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7"/>
  <workbookPr defaultThemeVersion="166925"/>
  <mc:AlternateContent xmlns:mc="http://schemas.openxmlformats.org/markup-compatibility/2006">
    <mc:Choice Requires="x15">
      <x15ac:absPath xmlns:x15ac="http://schemas.microsoft.com/office/spreadsheetml/2010/11/ac" url="/Users/FBug/Dropbox/Hall's Cave (1)/HC-Project Data/TMM DATA COLLECTION trips/May 2022 Trip/"/>
    </mc:Choice>
  </mc:AlternateContent>
  <xr:revisionPtr revIDLastSave="0" documentId="13_ncr:1_{9318AC2D-77D2-2042-A7F3-279BED025839}" xr6:coauthVersionLast="47" xr6:coauthVersionMax="47" xr10:uidLastSave="{00000000-0000-0000-0000-000000000000}"/>
  <bookViews>
    <workbookView xWindow="0" yWindow="500" windowWidth="33600" windowHeight="20500" activeTab="6" xr2:uid="{4E06126E-BCE9-5A4F-BF47-E8287FF2C44C}"/>
  </bookViews>
  <sheets>
    <sheet name="Metadata" sheetId="2" r:id="rId1"/>
    <sheet name="Table S1-Summary data" sheetId="1" r:id="rId2"/>
    <sheet name="Table S2-Morphology" sheetId="8" r:id="rId3"/>
    <sheet name="Table S3--Museum Allometry data" sheetId="15" r:id="rId4"/>
    <sheet name="Table S4-Carnivore Regressions" sheetId="16" r:id="rId5"/>
    <sheet name="Table S5- Isotopes" sheetId="12" r:id="rId6"/>
    <sheet name="Table S6-Enamel vs. collagen" sheetId="17" r:id="rId7"/>
    <sheet name="Table S7- statistical tests" sheetId="18" r:id="rId8"/>
    <sheet name="Table S8-isotope by molar" sheetId="20" r:id="rId9"/>
    <sheet name="Table S9-isotopevsenamel" sheetId="21" r:id="rId10"/>
    <sheet name="OTHER BS equations" sheetId="9" r:id="rId11"/>
    <sheet name="bison sheet" sheetId="13" r:id="rId12"/>
    <sheet name="notes isotopes (07.28.20)" sheetId="11" r:id="rId13"/>
    <sheet name="MixSIAR results" sheetId="19" r:id="rId14"/>
  </sheets>
  <externalReferences>
    <externalReference r:id="rId15"/>
  </externalReferences>
  <definedNames>
    <definedName name="_xlnm._FilterDatabase" localSheetId="12" hidden="1">'notes isotopes (07.28.20)'!$A$1:$U$1191</definedName>
    <definedName name="_xlnm._FilterDatabase" localSheetId="2" hidden="1">'Table S2-Morphology'!$A$2:$T$1070</definedName>
    <definedName name="_xlnm._FilterDatabase" localSheetId="5" hidden="1">'Table S5- Isotopes'!$C$2:$R$1110</definedName>
    <definedName name="Bone">#REF!</definedName>
    <definedName name="carpal">#REF!</definedName>
    <definedName name="data">#REF!</definedName>
    <definedName name="dentary">#REF!</definedName>
    <definedName name="End">#REF!</definedName>
    <definedName name="hemimandible">#REF!</definedName>
    <definedName name="mandible">#REF!</definedName>
    <definedName name="maxilla">#REF!</definedName>
    <definedName name="metacarpal">#REF!</definedName>
    <definedName name="metatarsal">#REF!</definedName>
    <definedName name="mew">[1]Test!$A$1:$P$19</definedName>
    <definedName name="phalanx">#REF!</definedName>
    <definedName name="_xlnm.Print_Area" localSheetId="13">'MixSIAR results'!$A$1:$S$65</definedName>
    <definedName name="_xlnm.Print_Area" localSheetId="1">'Table S1-Summary data'!$A$1:$AH$64</definedName>
    <definedName name="_xlnm.Print_Area" localSheetId="2">'Table S2-Morphology'!$A$1:$W$2125</definedName>
    <definedName name="_xlnm.Print_Area" localSheetId="3">'Table S3--Museum Allometry data'!$A$1:$AA$293</definedName>
    <definedName name="_xlnm.Print_Area" localSheetId="4">'Table S4-Carnivore Regressions'!$A$1:$J$106</definedName>
    <definedName name="_xlnm.Print_Area" localSheetId="5">'Table S5- Isotopes'!$A$1:$S$1274</definedName>
    <definedName name="_xlnm.Print_Area" localSheetId="6">'Table S6-Enamel vs. collagen'!$A$1:$K$8</definedName>
    <definedName name="_xlnm.Print_Area" localSheetId="7">'Table S7- statistical tests'!$A$1:$P$78</definedName>
    <definedName name="_xlnm.Print_Area" localSheetId="8">'Table S8-isotope by molar'!$A$1:$X$42</definedName>
    <definedName name="_xlnm.Print_Area" localSheetId="9">'Table S9-isotopevsenamel'!$A$1:$AR$59</definedName>
    <definedName name="Side">#REF!</definedName>
    <definedName name="skull">#REF!</definedName>
    <definedName name="tarsal">#REF!</definedName>
    <definedName name="tooth">#REF!</definedName>
    <definedName name="UpLow">#REF!</definedName>
    <definedName name="vertebra">#REF!</definedName>
    <definedName name="Yes">#REF!</definedName>
    <definedName name="YesNo">#REF!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J3" i="17" l="1"/>
  <c r="J6" i="17"/>
  <c r="J5" i="17"/>
  <c r="J4" i="17"/>
  <c r="I24" i="1" l="1"/>
  <c r="I48" i="1" l="1"/>
  <c r="S1" i="19" l="1"/>
  <c r="I50" i="1"/>
  <c r="S385" i="8"/>
  <c r="S1076" i="8"/>
  <c r="S384" i="8"/>
  <c r="S375" i="8"/>
  <c r="S374" i="8"/>
  <c r="S373" i="8"/>
  <c r="S372" i="8"/>
  <c r="S371" i="8"/>
  <c r="S370" i="8"/>
  <c r="S369" i="8"/>
  <c r="Z334" i="2"/>
  <c r="U334" i="2"/>
  <c r="S334" i="2"/>
  <c r="T334" i="2" s="1"/>
  <c r="U333" i="2"/>
  <c r="S333" i="2"/>
  <c r="T333" i="2" s="1"/>
  <c r="U332" i="2"/>
  <c r="S332" i="2"/>
  <c r="T332" i="2" s="1"/>
  <c r="U331" i="2"/>
  <c r="S331" i="2"/>
  <c r="T331" i="2" s="1"/>
  <c r="Z330" i="2"/>
  <c r="U330" i="2"/>
  <c r="T330" i="2"/>
  <c r="S330" i="2"/>
  <c r="U329" i="2"/>
  <c r="S329" i="2"/>
  <c r="T329" i="2" s="1"/>
  <c r="Z328" i="2"/>
  <c r="U328" i="2"/>
  <c r="S328" i="2"/>
  <c r="T328" i="2" s="1"/>
  <c r="U327" i="2"/>
  <c r="S327" i="2"/>
  <c r="T327" i="2" s="1"/>
  <c r="U326" i="2"/>
  <c r="S326" i="2"/>
  <c r="T326" i="2" s="1"/>
  <c r="U325" i="2"/>
  <c r="D135" i="1" l="1"/>
  <c r="U318" i="2"/>
  <c r="U316" i="2"/>
  <c r="H28" i="1"/>
  <c r="I28" i="1" s="1"/>
  <c r="H29" i="1"/>
  <c r="I29" i="1" s="1"/>
  <c r="H11" i="1"/>
  <c r="I11" i="1" s="1"/>
  <c r="I8" i="1"/>
  <c r="S1410" i="8"/>
  <c r="S1408" i="8"/>
  <c r="S20" i="8"/>
  <c r="S1407" i="8"/>
  <c r="S247" i="8"/>
  <c r="S243" i="8"/>
  <c r="S242" i="8"/>
  <c r="S1305" i="8"/>
  <c r="S1201" i="8"/>
  <c r="S1208" i="8"/>
  <c r="S1200" i="8"/>
  <c r="S1227" i="8"/>
  <c r="S1219" i="8"/>
  <c r="S1221" i="8"/>
  <c r="S1215" i="8"/>
  <c r="S1195" i="8"/>
  <c r="S1211" i="8"/>
  <c r="S1217" i="8"/>
  <c r="S1581" i="8"/>
  <c r="S1580" i="8"/>
  <c r="S1579" i="8"/>
  <c r="S1578" i="8"/>
  <c r="S1550" i="8"/>
  <c r="S1577" i="8"/>
  <c r="S1576" i="8"/>
  <c r="S1575" i="8"/>
  <c r="S1574" i="8"/>
  <c r="S1573" i="8"/>
  <c r="S1572" i="8"/>
  <c r="S1571" i="8"/>
  <c r="S1570" i="8"/>
  <c r="S1569" i="8"/>
  <c r="S1568" i="8"/>
  <c r="S1567" i="8"/>
  <c r="S1566" i="8"/>
  <c r="S1565" i="8"/>
  <c r="S1564" i="8"/>
  <c r="S1641" i="8"/>
  <c r="S1640" i="8"/>
  <c r="S1639" i="8"/>
  <c r="S1638" i="8"/>
  <c r="S1633" i="8"/>
  <c r="S1632" i="8"/>
  <c r="S1628" i="8"/>
  <c r="S1627" i="8"/>
  <c r="S1625" i="8"/>
  <c r="S1563" i="8"/>
  <c r="S1562" i="8"/>
  <c r="S1619" i="8"/>
  <c r="S1617" i="8"/>
  <c r="S1612" i="8"/>
  <c r="S1610" i="8"/>
  <c r="S1609" i="8"/>
  <c r="S1607" i="8"/>
  <c r="S1561" i="8"/>
  <c r="S1606" i="8"/>
  <c r="S1605" i="8"/>
  <c r="S1560" i="8"/>
  <c r="S1559" i="8"/>
  <c r="S1604" i="8"/>
  <c r="S1602" i="8"/>
  <c r="S1557" i="8"/>
  <c r="S1558" i="8"/>
  <c r="S1600" i="8"/>
  <c r="S1599" i="8"/>
  <c r="S1598" i="8"/>
  <c r="S1597" i="8"/>
  <c r="S1556" i="8"/>
  <c r="S1595" i="8"/>
  <c r="S1594" i="8"/>
  <c r="S1555" i="8"/>
  <c r="S1593" i="8"/>
  <c r="S1592" i="8"/>
  <c r="S1554" i="8"/>
  <c r="S1590" i="8"/>
  <c r="S1589" i="8"/>
  <c r="S1553" i="8"/>
  <c r="S1552" i="8"/>
  <c r="S1588" i="8"/>
  <c r="S1587" i="8"/>
  <c r="S1586" i="8"/>
  <c r="S1551" i="8"/>
  <c r="S1585" i="8"/>
  <c r="S1584" i="8"/>
  <c r="S1583" i="8"/>
  <c r="S1582" i="8"/>
  <c r="S1549" i="8"/>
  <c r="S1548" i="8"/>
  <c r="S1547" i="8"/>
  <c r="S1546" i="8"/>
  <c r="S1545" i="8"/>
  <c r="S1544" i="8"/>
  <c r="S1543" i="8"/>
  <c r="S1718" i="8"/>
  <c r="S799" i="8"/>
  <c r="S800" i="8"/>
  <c r="S815" i="8"/>
  <c r="S392" i="8"/>
  <c r="S1153" i="8"/>
  <c r="S82" i="8"/>
  <c r="S74" i="8"/>
  <c r="S75" i="8"/>
  <c r="S76" i="8"/>
  <c r="S77" i="8"/>
  <c r="S78" i="8"/>
  <c r="S79" i="8"/>
  <c r="S80" i="8"/>
  <c r="S81" i="8"/>
  <c r="S85" i="8"/>
  <c r="S83" i="8"/>
  <c r="S84" i="8"/>
  <c r="S86" i="8"/>
  <c r="I27" i="1"/>
  <c r="S1175" i="8"/>
  <c r="U383" i="8"/>
  <c r="S383" i="8"/>
  <c r="U382" i="8"/>
  <c r="S382" i="8"/>
  <c r="U381" i="8"/>
  <c r="S381" i="8"/>
  <c r="S1694" i="8"/>
  <c r="S1693" i="8"/>
  <c r="S245" i="8"/>
  <c r="S246" i="8"/>
  <c r="S251" i="8"/>
  <c r="S1308" i="8"/>
  <c r="S38" i="8"/>
  <c r="S1737" i="8"/>
  <c r="S1172" i="8"/>
  <c r="S18" i="8"/>
  <c r="S918" i="8"/>
  <c r="S250" i="8"/>
  <c r="S248" i="8"/>
  <c r="S1318" i="8"/>
  <c r="S1331" i="8"/>
  <c r="S1335" i="8"/>
  <c r="S1334" i="8"/>
  <c r="S1329" i="8"/>
  <c r="S1324" i="8"/>
  <c r="S1322" i="8"/>
  <c r="S203" i="8"/>
  <c r="S1339" i="8"/>
  <c r="S1314" i="8"/>
  <c r="S95" i="8"/>
  <c r="S94" i="8"/>
  <c r="S1321" i="8"/>
  <c r="S1306" i="8"/>
  <c r="S1311" i="8"/>
  <c r="S1317" i="8"/>
  <c r="S1319" i="8"/>
  <c r="S1325" i="8"/>
  <c r="S1404" i="8"/>
  <c r="S734" i="8"/>
  <c r="S1316" i="8"/>
  <c r="S735" i="8"/>
  <c r="S1312" i="8"/>
  <c r="S1462" i="8"/>
  <c r="S1333" i="8"/>
  <c r="S1326" i="8"/>
  <c r="S1315" i="8"/>
  <c r="S1309" i="8"/>
  <c r="S1307" i="8"/>
  <c r="S252" i="8"/>
  <c r="S249" i="8"/>
  <c r="S1313" i="8"/>
  <c r="S1426" i="8"/>
  <c r="S1678" i="8"/>
  <c r="S1666" i="8"/>
  <c r="S1664" i="8"/>
  <c r="S1660" i="8"/>
  <c r="S1658" i="8"/>
  <c r="S1657" i="8"/>
  <c r="S1655" i="8"/>
  <c r="S1654" i="8"/>
  <c r="S1653" i="8"/>
  <c r="S1651" i="8"/>
  <c r="S1650" i="8"/>
  <c r="S1649" i="8"/>
  <c r="S1645" i="8"/>
  <c r="S1637" i="8"/>
  <c r="S1635" i="8"/>
  <c r="S1681" i="8"/>
  <c r="S1676" i="8"/>
  <c r="S1669" i="8"/>
  <c r="S1668" i="8"/>
  <c r="S1661" i="8"/>
  <c r="S1656" i="8"/>
  <c r="S1634" i="8"/>
  <c r="S1630" i="8"/>
  <c r="S1629" i="8"/>
  <c r="S1624" i="8"/>
  <c r="S1618" i="8"/>
  <c r="S1615" i="8"/>
  <c r="S1614" i="8"/>
  <c r="S1613" i="8"/>
  <c r="S1611" i="8"/>
  <c r="S1688" i="8"/>
  <c r="S1687" i="8"/>
  <c r="S1685" i="8"/>
  <c r="S1684" i="8"/>
  <c r="S1683" i="8"/>
  <c r="S1682" i="8"/>
  <c r="S1680" i="8"/>
  <c r="S1679" i="8"/>
  <c r="S1677" i="8"/>
  <c r="S1675" i="8"/>
  <c r="S1674" i="8"/>
  <c r="S1672" i="8"/>
  <c r="S1671" i="8"/>
  <c r="S1667" i="8"/>
  <c r="S1665" i="8"/>
  <c r="S1648" i="8"/>
  <c r="S1646" i="8"/>
  <c r="S1644" i="8"/>
  <c r="S1643" i="8"/>
  <c r="S1631" i="8"/>
  <c r="S1626" i="8"/>
  <c r="S1623" i="8"/>
  <c r="S1616" i="8"/>
  <c r="S1603" i="8"/>
  <c r="S1601" i="8"/>
  <c r="S1596" i="8"/>
  <c r="S1670" i="8"/>
  <c r="S1662" i="8"/>
  <c r="S1652" i="8"/>
  <c r="S1636" i="8"/>
  <c r="S1621" i="8"/>
  <c r="S1608" i="8"/>
  <c r="S1591" i="8"/>
  <c r="S204" i="8"/>
  <c r="S1336" i="8"/>
  <c r="S1328" i="8"/>
  <c r="S1320" i="8"/>
  <c r="S1310" i="8"/>
  <c r="S1403" i="8"/>
  <c r="S1427" i="8"/>
  <c r="S912" i="8"/>
  <c r="S915" i="8"/>
  <c r="S1171" i="8"/>
  <c r="S1542" i="8"/>
  <c r="S1541" i="8"/>
  <c r="S1540" i="8"/>
  <c r="S1539" i="8"/>
  <c r="S1538" i="8"/>
  <c r="S1537" i="8"/>
  <c r="S1536" i="8"/>
  <c r="S1535" i="8"/>
  <c r="S1304" i="8"/>
  <c r="S1302" i="8"/>
  <c r="S241" i="8"/>
  <c r="S1303" i="8"/>
  <c r="S1425" i="8"/>
  <c r="S740" i="8"/>
  <c r="S92" i="8"/>
  <c r="S93" i="8"/>
  <c r="S1223" i="8"/>
  <c r="S1204" i="8"/>
  <c r="S1424" i="8"/>
  <c r="S1534" i="8"/>
  <c r="S1189" i="8"/>
  <c r="S1193" i="8"/>
  <c r="S1191" i="8"/>
  <c r="S1190" i="8"/>
  <c r="S1188" i="8"/>
  <c r="S1214" i="8"/>
  <c r="S244" i="8"/>
  <c r="S1332" i="8"/>
  <c r="S1323" i="8"/>
  <c r="S1338" i="8"/>
  <c r="S1337" i="8"/>
  <c r="S1233" i="8"/>
  <c r="S1238" i="8"/>
  <c r="S1235" i="8"/>
  <c r="S1234" i="8"/>
  <c r="S1230" i="8"/>
  <c r="S1240" i="8"/>
  <c r="S1241" i="8"/>
  <c r="S1239" i="8"/>
  <c r="S1327" i="8"/>
  <c r="S96" i="8"/>
  <c r="S1816" i="8"/>
  <c r="S1815" i="8"/>
  <c r="S1812" i="8"/>
  <c r="S1811" i="8"/>
  <c r="S1809" i="8"/>
  <c r="S1808" i="8"/>
  <c r="S1807" i="8"/>
  <c r="S1804" i="8"/>
  <c r="S1803" i="8"/>
  <c r="S1793" i="8"/>
  <c r="S1813" i="8"/>
  <c r="S1806" i="8"/>
  <c r="S1237" i="8"/>
  <c r="S1222" i="8"/>
  <c r="S1213" i="8"/>
  <c r="S1810" i="8"/>
  <c r="S1799" i="8"/>
  <c r="S1795" i="8"/>
  <c r="S1216" i="8"/>
  <c r="S1202" i="8"/>
  <c r="S1231" i="8"/>
  <c r="S1218" i="8"/>
  <c r="S1210" i="8"/>
  <c r="S1207" i="8"/>
  <c r="S746" i="8"/>
  <c r="S745" i="8"/>
  <c r="S1226" i="8"/>
  <c r="S744" i="8"/>
  <c r="S1794" i="8"/>
  <c r="S1792" i="8"/>
  <c r="S1797" i="8"/>
  <c r="S1800" i="8"/>
  <c r="S1802" i="8"/>
  <c r="S1796" i="8"/>
  <c r="S1798" i="8"/>
  <c r="S1197" i="8"/>
  <c r="S1236" i="8"/>
  <c r="S1199" i="8"/>
  <c r="S1198" i="8"/>
  <c r="S1196" i="8"/>
  <c r="S743" i="8"/>
  <c r="S1405" i="8"/>
  <c r="S1673" i="8"/>
  <c r="S1663" i="8"/>
  <c r="S1659" i="8"/>
  <c r="S1173" i="8"/>
  <c r="S1647" i="8"/>
  <c r="S1642" i="8"/>
  <c r="S1622" i="8"/>
  <c r="S1620" i="8"/>
  <c r="S1686" i="8"/>
  <c r="S1228" i="8"/>
  <c r="S1330" i="8"/>
  <c r="S1805" i="8"/>
  <c r="S1212" i="8"/>
  <c r="S1224" i="8"/>
  <c r="S1206" i="8"/>
  <c r="S1205" i="8"/>
  <c r="S1203" i="8"/>
  <c r="S1220" i="8"/>
  <c r="S1801" i="8"/>
  <c r="S1818" i="8"/>
  <c r="S1717" i="8"/>
  <c r="S1814" i="8"/>
  <c r="S1817" i="8"/>
  <c r="S1819" i="8"/>
  <c r="S739" i="8"/>
  <c r="S741" i="8"/>
  <c r="S742" i="8"/>
  <c r="S1232" i="8"/>
  <c r="S1225" i="8"/>
  <c r="S1209" i="8"/>
  <c r="S1229" i="8"/>
  <c r="S1194" i="8"/>
  <c r="S1253" i="8"/>
  <c r="S1272" i="8"/>
  <c r="S1252" i="8"/>
  <c r="S1283" i="8"/>
  <c r="S1256" i="8"/>
  <c r="S1268" i="8"/>
  <c r="S1267" i="8"/>
  <c r="S1269" i="8"/>
  <c r="S1258" i="8"/>
  <c r="S1271" i="8"/>
  <c r="S1261" i="8"/>
  <c r="S1270" i="8"/>
  <c r="S1243" i="8"/>
  <c r="S1251" i="8"/>
  <c r="S1249" i="8"/>
  <c r="S1248" i="8"/>
  <c r="S1273" i="8"/>
  <c r="S1266" i="8"/>
  <c r="S1265" i="8"/>
  <c r="S1264" i="8"/>
  <c r="S1250" i="8"/>
  <c r="S1242" i="8"/>
  <c r="S1276" i="8"/>
  <c r="S1260" i="8"/>
  <c r="S1299" i="8"/>
  <c r="S1298" i="8"/>
  <c r="S1301" i="8"/>
  <c r="S1295" i="8"/>
  <c r="S1290" i="8"/>
  <c r="S1278" i="8"/>
  <c r="S1279" i="8"/>
  <c r="S230" i="8"/>
  <c r="S1291" i="8"/>
  <c r="S1275" i="8"/>
  <c r="S1293" i="8"/>
  <c r="S1857" i="8"/>
  <c r="S1292" i="8"/>
  <c r="S1856" i="8"/>
  <c r="S1858" i="8"/>
  <c r="S1285" i="8"/>
  <c r="S1916" i="8"/>
  <c r="S229" i="8"/>
  <c r="S1263" i="8"/>
  <c r="S1282" i="8"/>
  <c r="S1281" i="8"/>
  <c r="S1289" i="8"/>
  <c r="S1300" i="8"/>
  <c r="S1297" i="8"/>
  <c r="S1296" i="8"/>
  <c r="S1294" i="8"/>
  <c r="S1262" i="8"/>
  <c r="S1277" i="8"/>
  <c r="S1287" i="8"/>
  <c r="S1274" i="8"/>
  <c r="S1288" i="8"/>
  <c r="S1280" i="8"/>
  <c r="S1284" i="8"/>
  <c r="S1286" i="8"/>
  <c r="S1245" i="8"/>
  <c r="S1246" i="8"/>
  <c r="S1244" i="8"/>
  <c r="S1259" i="8"/>
  <c r="S1257" i="8"/>
  <c r="S1255" i="8"/>
  <c r="S1247" i="8"/>
  <c r="S1254" i="8"/>
  <c r="S1192" i="8"/>
  <c r="S1470" i="8"/>
  <c r="S124" i="8"/>
  <c r="S1430" i="8"/>
  <c r="S1379" i="8"/>
  <c r="S972" i="8"/>
  <c r="S978" i="8"/>
  <c r="S990" i="8"/>
  <c r="S1791" i="8"/>
  <c r="S1785" i="8"/>
  <c r="S1790" i="8"/>
  <c r="S946" i="8"/>
  <c r="S944" i="8"/>
  <c r="S963" i="8"/>
  <c r="S1987" i="8"/>
  <c r="S1995" i="8"/>
  <c r="S1996" i="8"/>
  <c r="S1731" i="8"/>
  <c r="S37" i="8"/>
  <c r="S1421" i="8"/>
  <c r="S220" i="8"/>
  <c r="S814" i="8"/>
  <c r="S1129" i="8"/>
  <c r="S1123" i="8"/>
  <c r="S779" i="8"/>
  <c r="S777" i="8"/>
  <c r="S1960" i="8"/>
  <c r="S749" i="8"/>
  <c r="S761" i="8"/>
  <c r="S756" i="8"/>
  <c r="S758" i="8"/>
  <c r="S830" i="8"/>
  <c r="S827" i="8"/>
  <c r="S829" i="8"/>
  <c r="S836" i="8"/>
  <c r="S737" i="8"/>
  <c r="S789" i="8"/>
  <c r="S791" i="8"/>
  <c r="S787" i="8"/>
  <c r="S793" i="8"/>
  <c r="S1926" i="8"/>
  <c r="S1930" i="8"/>
  <c r="S1925" i="8"/>
  <c r="S844" i="8"/>
  <c r="S583" i="8"/>
  <c r="S845" i="8"/>
  <c r="S1931" i="8"/>
  <c r="S795" i="8"/>
  <c r="S23" i="8"/>
  <c r="S1728" i="8"/>
  <c r="S1719" i="8"/>
  <c r="S1730" i="8"/>
  <c r="S841" i="8"/>
  <c r="S842" i="8"/>
  <c r="S1847" i="8"/>
  <c r="S837" i="8"/>
  <c r="S838" i="8"/>
  <c r="S822" i="8"/>
  <c r="S7" i="8"/>
  <c r="S874" i="8"/>
  <c r="S1391" i="8"/>
  <c r="S849" i="8"/>
  <c r="S3" i="8"/>
  <c r="S1453" i="8"/>
  <c r="S840" i="8"/>
  <c r="S843" i="8"/>
  <c r="S725" i="8" l="1"/>
  <c r="S1721" i="8"/>
  <c r="S752" i="8"/>
  <c r="S123" i="8"/>
  <c r="V272" i="2"/>
  <c r="S1033" i="8" l="1"/>
  <c r="S1052" i="8"/>
  <c r="S1008" i="8"/>
  <c r="S1006" i="8"/>
  <c r="S1017" i="8"/>
  <c r="S1010" i="8"/>
  <c r="S1046" i="8"/>
  <c r="S308" i="8"/>
  <c r="S1037" i="8"/>
  <c r="S766" i="8"/>
  <c r="S336" i="8"/>
  <c r="S337" i="8"/>
  <c r="S1751" i="8" l="1"/>
  <c r="S1907" i="8"/>
  <c r="S198" i="8"/>
  <c r="S225" i="8"/>
  <c r="S1906" i="8"/>
  <c r="S199" i="8"/>
  <c r="S200" i="8"/>
  <c r="S197" i="8"/>
  <c r="S31" i="8"/>
  <c r="S1465" i="8"/>
  <c r="S1467" i="8"/>
  <c r="S1463" i="8"/>
  <c r="S9" i="8"/>
  <c r="S1899" i="8"/>
  <c r="S97" i="8"/>
  <c r="S19" i="8"/>
  <c r="S1720" i="8"/>
  <c r="S1722" i="8"/>
  <c r="S125" i="8" l="1"/>
  <c r="S253" i="8"/>
  <c r="S1746" i="8"/>
  <c r="S387" i="8"/>
  <c r="S388" i="8"/>
  <c r="S389" i="8"/>
  <c r="S391" i="8"/>
  <c r="S1357" i="8"/>
  <c r="S1898" i="8"/>
  <c r="S747" i="8"/>
  <c r="S1781" i="8"/>
  <c r="S1784" i="8"/>
  <c r="S237" i="8"/>
  <c r="S236" i="8"/>
  <c r="S1711" i="8"/>
  <c r="S1829" i="8"/>
  <c r="S1833" i="8"/>
  <c r="S1831" i="8"/>
  <c r="S927" i="8"/>
  <c r="S772" i="8"/>
  <c r="S1873" i="8"/>
  <c r="S1788" i="8"/>
  <c r="S1789" i="8"/>
  <c r="S1783" i="8"/>
  <c r="S783" i="8"/>
  <c r="S781" i="8"/>
  <c r="S757" i="8"/>
  <c r="S768" i="8"/>
  <c r="S764" i="8"/>
  <c r="S1871" i="8"/>
  <c r="S1127" i="8"/>
  <c r="S1174" i="8"/>
  <c r="S1128" i="8"/>
  <c r="S738" i="8"/>
  <c r="S1853" i="8"/>
  <c r="S1852" i="8"/>
  <c r="S1961" i="8"/>
  <c r="S792" i="8"/>
  <c r="S1749" i="8"/>
  <c r="S268" i="8"/>
  <c r="S267" i="8"/>
  <c r="S264" i="8"/>
  <c r="S258" i="8"/>
  <c r="S1354" i="8"/>
  <c r="S262" i="8"/>
  <c r="S261" i="8"/>
  <c r="S794" i="8"/>
  <c r="S266" i="8"/>
  <c r="S1953" i="8"/>
  <c r="S256" i="8"/>
  <c r="S1372" i="8"/>
  <c r="S778" i="8"/>
  <c r="S765" i="8"/>
  <c r="S769" i="8"/>
  <c r="S760" i="8"/>
  <c r="S755" i="8"/>
  <c r="S754" i="8"/>
  <c r="S1872" i="8"/>
  <c r="S750" i="8"/>
  <c r="S1944" i="8"/>
  <c r="S1859" i="8"/>
  <c r="S17" i="8"/>
  <c r="S1180" i="8"/>
  <c r="S257" i="8"/>
  <c r="S989" i="8"/>
  <c r="S654" i="8"/>
  <c r="S1957" i="8"/>
  <c r="S1956" i="8"/>
  <c r="S1954" i="8"/>
  <c r="S260" i="8"/>
  <c r="S259" i="8"/>
  <c r="S940" i="8"/>
  <c r="S968" i="8"/>
  <c r="S991" i="8"/>
  <c r="S987" i="8"/>
  <c r="S1183" i="8"/>
  <c r="S1184" i="8"/>
  <c r="S1185" i="8"/>
  <c r="S1187" i="8"/>
  <c r="S1186" i="8"/>
  <c r="S1346" i="8"/>
  <c r="S1745" i="8"/>
  <c r="S977" i="8"/>
  <c r="S976" i="8"/>
  <c r="S945" i="8"/>
  <c r="S943" i="8"/>
  <c r="S926" i="8"/>
  <c r="S982" i="8"/>
  <c r="S964" i="8"/>
  <c r="S981" i="8"/>
  <c r="S986" i="8"/>
  <c r="S934" i="8"/>
  <c r="S935" i="8"/>
  <c r="S929" i="8"/>
  <c r="S938" i="8"/>
  <c r="S955" i="8"/>
  <c r="S966" i="8"/>
  <c r="S960" i="8"/>
  <c r="S930" i="8"/>
  <c r="S947" i="8"/>
  <c r="S948" i="8"/>
  <c r="S965" i="8"/>
  <c r="S1121" i="8"/>
  <c r="S235" i="8"/>
  <c r="S941" i="8"/>
  <c r="S727" i="8" l="1"/>
  <c r="S112" i="8"/>
  <c r="S1851" i="8"/>
  <c r="S1998" i="8"/>
  <c r="S1385" i="8"/>
  <c r="S1840" i="8"/>
  <c r="S405" i="8"/>
  <c r="S1726" i="8"/>
  <c r="S393" i="8"/>
  <c r="S145" i="8"/>
  <c r="S410" i="8"/>
  <c r="S1750" i="8"/>
  <c r="S265" i="8"/>
  <c r="S263" i="8"/>
  <c r="S272" i="8"/>
  <c r="S271" i="8"/>
  <c r="S1949" i="8"/>
  <c r="S1860" i="8"/>
  <c r="S1431" i="8"/>
  <c r="S1782" i="8"/>
  <c r="S1472" i="8"/>
  <c r="S240" i="8"/>
  <c r="S1786" i="8"/>
  <c r="S1945" i="8"/>
  <c r="S1787" i="8"/>
  <c r="S1780" i="8"/>
  <c r="S653" i="8"/>
  <c r="S1832" i="8"/>
  <c r="S1825" i="8"/>
  <c r="S1835" i="8"/>
  <c r="S1828" i="8"/>
  <c r="S1826" i="8"/>
  <c r="S728" i="8"/>
  <c r="S1120" i="8"/>
  <c r="S790" i="8"/>
  <c r="S1125" i="8"/>
  <c r="S1126" i="8"/>
  <c r="S652" i="8"/>
  <c r="S1827" i="8"/>
  <c r="S1822" i="8"/>
  <c r="S650" i="8"/>
  <c r="S1836" i="8"/>
  <c r="S1821" i="8"/>
  <c r="S1118" i="8"/>
  <c r="S1119" i="8"/>
  <c r="S1366" i="8"/>
  <c r="S784" i="8"/>
  <c r="S782" i="8"/>
  <c r="S786" i="8"/>
  <c r="S770" i="8"/>
  <c r="S785" i="8"/>
  <c r="S762" i="8"/>
  <c r="S767" i="8"/>
  <c r="S771" i="8"/>
  <c r="S776" i="8"/>
  <c r="S763" i="8"/>
  <c r="S780" i="8"/>
  <c r="S773" i="8"/>
  <c r="S751" i="8"/>
  <c r="S1351" i="8"/>
  <c r="S1406" i="8"/>
  <c r="S748" i="8"/>
  <c r="S1411" i="8"/>
  <c r="S1400" i="8"/>
  <c r="S1855" i="8"/>
  <c r="S819" i="8"/>
  <c r="S239" i="8"/>
  <c r="S1181" i="8"/>
  <c r="S992" i="8"/>
  <c r="S1690" i="8"/>
  <c r="S408" i="8"/>
  <c r="S409" i="8"/>
  <c r="S1689" i="8"/>
  <c r="S1950" i="8"/>
  <c r="S1947" i="8"/>
  <c r="S1941" i="8"/>
  <c r="S1940" i="8"/>
  <c r="S1948" i="8"/>
  <c r="S1942" i="8"/>
  <c r="S1946" i="8"/>
  <c r="S1938" i="8"/>
  <c r="S1943" i="8"/>
  <c r="S1939" i="8"/>
  <c r="S1116" i="8"/>
  <c r="S1824" i="8"/>
  <c r="S1850" i="8"/>
  <c r="S1849" i="8"/>
  <c r="S44" i="8"/>
  <c r="S1867" i="8"/>
  <c r="S816" i="8"/>
  <c r="S59" i="8"/>
  <c r="S56" i="8"/>
  <c r="S52" i="8"/>
  <c r="S651" i="8"/>
  <c r="S1962" i="8"/>
  <c r="S47" i="8"/>
  <c r="S46" i="8"/>
  <c r="S50" i="8"/>
  <c r="S49" i="8"/>
  <c r="S820" i="8"/>
  <c r="S394" i="8"/>
  <c r="S273" i="8"/>
  <c r="S98" i="8"/>
  <c r="S146" i="8"/>
  <c r="S269" i="8"/>
  <c r="S270" i="8"/>
  <c r="S1839" i="8"/>
  <c r="S1951" i="8"/>
  <c r="S1837" i="8"/>
  <c r="S1834" i="8"/>
  <c r="S1838" i="8"/>
  <c r="S1952" i="8"/>
  <c r="S1830" i="8"/>
  <c r="S924" i="8"/>
  <c r="S788" i="8"/>
  <c r="S774" i="8"/>
  <c r="S1429" i="8"/>
  <c r="S1409" i="8"/>
  <c r="S1428" i="8"/>
  <c r="S1471" i="8"/>
  <c r="S1352" i="8"/>
  <c r="S1401" i="8"/>
  <c r="S1402" i="8"/>
  <c r="S1854" i="8"/>
  <c r="S1744" i="8"/>
  <c r="S1399" i="8"/>
  <c r="S726" i="8"/>
  <c r="S16" i="8"/>
  <c r="S1743" i="8"/>
  <c r="S1182" i="8"/>
  <c r="S109" i="8"/>
  <c r="S1848" i="8"/>
  <c r="S937" i="8"/>
  <c r="S238" i="8"/>
  <c r="S736" i="8"/>
  <c r="S1473" i="8"/>
  <c r="S775" i="8"/>
  <c r="S759" i="8"/>
  <c r="S729" i="8"/>
  <c r="S1377" i="8"/>
  <c r="S1416" i="8"/>
  <c r="S1375" i="8"/>
  <c r="S1082" i="8"/>
  <c r="S796" i="8"/>
  <c r="S810" i="8"/>
  <c r="S1039" i="8"/>
  <c r="S1004" i="8"/>
  <c r="S1905" i="8"/>
  <c r="S1903" i="8"/>
  <c r="S721" i="8"/>
  <c r="S196" i="8"/>
  <c r="S195" i="8"/>
  <c r="S193" i="8"/>
  <c r="S192" i="8"/>
  <c r="S194" i="8"/>
  <c r="S1904" i="8"/>
  <c r="S1079" i="8"/>
  <c r="S72" i="8"/>
  <c r="S73" i="8"/>
  <c r="S1359" i="8"/>
  <c r="S1360" i="8"/>
  <c r="S1361" i="8"/>
  <c r="S1362" i="8"/>
  <c r="S1469" i="8"/>
  <c r="S32" i="8"/>
  <c r="S1902" i="8"/>
  <c r="S1464" i="8"/>
  <c r="S1466" i="8"/>
  <c r="S1468" i="8"/>
  <c r="S8" i="8"/>
  <c r="S1901" i="8"/>
  <c r="S1900" i="8"/>
  <c r="S1691" i="8"/>
  <c r="S1356" i="8"/>
  <c r="S390" i="8"/>
  <c r="S386" i="8"/>
  <c r="S1078" i="8"/>
  <c r="S71" i="8"/>
  <c r="S70" i="8"/>
  <c r="S1177" i="8"/>
  <c r="S1077" i="8"/>
  <c r="S812" i="8"/>
  <c r="S1106" i="8"/>
  <c r="S1108" i="8"/>
  <c r="S1104" i="8"/>
  <c r="S277" i="8"/>
  <c r="S276" i="8"/>
  <c r="S275" i="8"/>
  <c r="S274" i="8"/>
  <c r="S801" i="8"/>
  <c r="S255" i="8"/>
  <c r="S254" i="8"/>
  <c r="S732" i="8" l="1"/>
  <c r="S1529" i="8"/>
  <c r="S1368" i="8"/>
  <c r="S1997" i="8"/>
  <c r="S1434" i="8"/>
  <c r="S1437" i="8"/>
  <c r="S1101" i="8"/>
  <c r="S1100" i="8"/>
  <c r="S1344" i="8"/>
  <c r="S1350" i="8"/>
  <c r="S834" i="8"/>
  <c r="S825" i="8"/>
  <c r="S831" i="8"/>
  <c r="S832" i="8"/>
  <c r="S828" i="8"/>
  <c r="S1868" i="8"/>
  <c r="S1435" i="8"/>
  <c r="S1439" i="8"/>
  <c r="S1440" i="8"/>
  <c r="S1441" i="8"/>
  <c r="S105" i="8"/>
  <c r="S1724" i="8"/>
  <c r="S182" i="8"/>
  <c r="S1348" i="8"/>
  <c r="S1740" i="8"/>
  <c r="S1102" i="8"/>
  <c r="S1179" i="8"/>
  <c r="S1345" i="8"/>
  <c r="S826" i="8"/>
  <c r="S823" i="8"/>
  <c r="S824" i="8"/>
  <c r="S1166" i="8"/>
  <c r="S1165" i="8"/>
  <c r="S401" i="8"/>
  <c r="S1446" i="8"/>
  <c r="S1447" i="8"/>
  <c r="S1110" i="8"/>
  <c r="S1448" i="8"/>
  <c r="S1483" i="8"/>
  <c r="S1777" i="8"/>
  <c r="S1779" i="8"/>
  <c r="S142" i="8"/>
  <c r="S115" i="8"/>
  <c r="S180" i="8"/>
  <c r="S174" i="8"/>
  <c r="S181" i="8"/>
  <c r="S169" i="8"/>
  <c r="S179" i="8"/>
  <c r="S151" i="8"/>
  <c r="S149" i="8"/>
  <c r="S1496" i="8"/>
  <c r="S1498" i="8"/>
  <c r="S1507" i="8"/>
  <c r="S1521" i="8"/>
  <c r="S1523" i="8"/>
  <c r="S1524" i="8"/>
  <c r="S1526" i="8"/>
  <c r="S1527" i="8"/>
  <c r="S1528" i="8"/>
  <c r="S1506" i="8"/>
  <c r="S133" i="8"/>
  <c r="S148" i="8"/>
  <c r="S150" i="8"/>
  <c r="S400" i="8"/>
  <c r="S1500" i="8"/>
  <c r="S1505" i="8"/>
  <c r="S1518" i="8"/>
  <c r="S1520" i="8"/>
  <c r="S1525" i="8"/>
  <c r="S185" i="8"/>
  <c r="S402" i="8"/>
  <c r="S1530" i="8"/>
  <c r="S1436" i="8"/>
  <c r="S1438" i="8"/>
  <c r="S183" i="8"/>
  <c r="S1347" i="8"/>
  <c r="S835" i="8"/>
  <c r="S1444" i="8"/>
  <c r="S1445" i="8"/>
  <c r="S184" i="8"/>
  <c r="S141" i="8"/>
  <c r="S1522" i="8"/>
  <c r="S1384" i="8"/>
  <c r="S1107" i="8"/>
  <c r="S1109" i="8"/>
  <c r="S1382" i="8"/>
  <c r="S137" i="8"/>
  <c r="S138" i="8"/>
  <c r="S902" i="8"/>
  <c r="S903" i="8"/>
  <c r="S904" i="8"/>
  <c r="S170" i="8"/>
  <c r="S1477" i="8"/>
  <c r="S1476" i="8"/>
  <c r="S1775" i="8"/>
  <c r="S135" i="8"/>
  <c r="S833" i="8"/>
  <c r="S152" i="8"/>
  <c r="S165" i="8"/>
  <c r="S1349" i="8"/>
  <c r="S1509" i="8"/>
  <c r="S1475" i="8"/>
  <c r="S1383" i="8"/>
  <c r="S1776" i="8"/>
  <c r="S136" i="8"/>
  <c r="S139" i="8"/>
  <c r="S188" i="8"/>
  <c r="S126" i="8"/>
  <c r="S127" i="8"/>
  <c r="S128" i="8"/>
  <c r="S129" i="8"/>
  <c r="S130" i="8"/>
  <c r="S131" i="8"/>
  <c r="S132" i="8"/>
  <c r="S134" i="8"/>
  <c r="S187" i="8"/>
  <c r="S186" i="8"/>
  <c r="S655" i="8"/>
  <c r="S656" i="8"/>
  <c r="S657" i="8"/>
  <c r="S658" i="8"/>
  <c r="S659" i="8"/>
  <c r="S660" i="8"/>
  <c r="S661" i="8"/>
  <c r="S662" i="8"/>
  <c r="S663" i="8"/>
  <c r="S664" i="8"/>
  <c r="S665" i="8"/>
  <c r="S666" i="8"/>
  <c r="S667" i="8"/>
  <c r="S668" i="8"/>
  <c r="S669" i="8"/>
  <c r="S670" i="8"/>
  <c r="S671" i="8"/>
  <c r="S672" i="8"/>
  <c r="S673" i="8"/>
  <c r="S674" i="8"/>
  <c r="S675" i="8"/>
  <c r="S676" i="8"/>
  <c r="S677" i="8"/>
  <c r="S678" i="8"/>
  <c r="S679" i="8"/>
  <c r="S680" i="8"/>
  <c r="S681" i="8"/>
  <c r="S682" i="8"/>
  <c r="S683" i="8"/>
  <c r="S687" i="8"/>
  <c r="S686" i="8"/>
  <c r="S685" i="8"/>
  <c r="S684" i="8"/>
  <c r="S688" i="8"/>
  <c r="S689" i="8"/>
  <c r="S690" i="8"/>
  <c r="S691" i="8"/>
  <c r="S692" i="8"/>
  <c r="S693" i="8"/>
  <c r="S694" i="8"/>
  <c r="S695" i="8"/>
  <c r="S696" i="8"/>
  <c r="S697" i="8"/>
  <c r="S698" i="8"/>
  <c r="S699" i="8"/>
  <c r="S700" i="8"/>
  <c r="S701" i="8"/>
  <c r="S702" i="8"/>
  <c r="S703" i="8"/>
  <c r="S704" i="8"/>
  <c r="S705" i="8"/>
  <c r="S706" i="8"/>
  <c r="S707" i="8"/>
  <c r="S709" i="8"/>
  <c r="S708" i="8"/>
  <c r="S710" i="8"/>
  <c r="S711" i="8"/>
  <c r="S712" i="8"/>
  <c r="S713" i="8"/>
  <c r="S714" i="8"/>
  <c r="S715" i="8"/>
  <c r="S716" i="8"/>
  <c r="S717" i="8"/>
  <c r="S718" i="8"/>
  <c r="S719" i="8"/>
  <c r="S164" i="8"/>
  <c r="S166" i="8"/>
  <c r="S153" i="8"/>
  <c r="S171" i="8"/>
  <c r="S173" i="8"/>
  <c r="S158" i="8"/>
  <c r="S157" i="8"/>
  <c r="S155" i="8"/>
  <c r="S161" i="8"/>
  <c r="S168" i="8"/>
  <c r="S176" i="8"/>
  <c r="S178" i="8"/>
  <c r="S162" i="8"/>
  <c r="S160" i="8"/>
  <c r="S156" i="8"/>
  <c r="S163" i="8"/>
  <c r="S177" i="8"/>
  <c r="S159" i="8"/>
  <c r="S172" i="8"/>
  <c r="S175" i="8"/>
  <c r="S154" i="8"/>
  <c r="S147" i="8"/>
  <c r="S1103" i="8"/>
  <c r="S1105" i="8"/>
  <c r="S144" i="8"/>
  <c r="S143" i="8"/>
  <c r="S1499" i="8"/>
  <c r="S1493" i="8"/>
  <c r="S1474" i="8"/>
  <c r="S1478" i="8"/>
  <c r="S1482" i="8"/>
  <c r="S1485" i="8"/>
  <c r="S1486" i="8"/>
  <c r="S1488" i="8"/>
  <c r="S1487" i="8"/>
  <c r="S1489" i="8"/>
  <c r="S1490" i="8"/>
  <c r="S1491" i="8"/>
  <c r="S1492" i="8"/>
  <c r="S1495" i="8"/>
  <c r="S1497" i="8"/>
  <c r="S1501" i="8"/>
  <c r="S1502" i="8"/>
  <c r="S1503" i="8"/>
  <c r="S1504" i="8"/>
  <c r="S1510" i="8"/>
  <c r="S1511" i="8"/>
  <c r="S1512" i="8"/>
  <c r="S1513" i="8"/>
  <c r="S1514" i="8"/>
  <c r="S1515" i="8"/>
  <c r="S1517" i="8"/>
  <c r="S1519" i="8"/>
  <c r="S1484" i="8"/>
  <c r="S1508" i="8"/>
  <c r="S1516" i="8"/>
  <c r="S403" i="8"/>
  <c r="S733" i="8"/>
  <c r="S122" i="8"/>
  <c r="S1531" i="8"/>
  <c r="S140" i="8"/>
  <c r="S113" i="8"/>
  <c r="S114" i="8"/>
  <c r="S116" i="8"/>
  <c r="S1778" i="8"/>
  <c r="S111" i="8"/>
  <c r="S1386" i="8"/>
  <c r="S901" i="8"/>
  <c r="S167" i="8"/>
  <c r="S1741" i="8"/>
  <c r="S1494" i="8"/>
  <c r="S404" i="8"/>
  <c r="S1450" i="8"/>
  <c r="S1380" i="8"/>
  <c r="S1696" i="8"/>
  <c r="S406" i="8"/>
  <c r="S1449" i="8"/>
  <c r="S1442" i="8"/>
  <c r="S1443" i="8"/>
  <c r="S1433" i="8"/>
  <c r="S1432" i="8"/>
  <c r="S1727" i="8"/>
  <c r="S1723" i="8"/>
  <c r="S1725" i="8"/>
  <c r="S1417" i="8"/>
  <c r="S1419" i="8"/>
  <c r="S1418" i="8"/>
  <c r="S1376" i="8"/>
  <c r="S1754" i="8"/>
  <c r="S1381" i="8"/>
  <c r="S1479" i="8"/>
  <c r="S1480" i="8"/>
  <c r="S1481" i="8"/>
  <c r="S647" i="8"/>
  <c r="S546" i="8"/>
  <c r="S424" i="8"/>
  <c r="S423" i="8"/>
  <c r="S1986" i="8"/>
  <c r="S426" i="8"/>
  <c r="S646" i="8"/>
  <c r="S1697" i="8"/>
  <c r="S648" i="8" l="1"/>
  <c r="S638" i="8"/>
  <c r="S619" i="8"/>
  <c r="S606" i="8"/>
  <c r="S605" i="8"/>
  <c r="S595" i="8"/>
  <c r="S587" i="8"/>
  <c r="S574" i="8"/>
  <c r="S571" i="8"/>
  <c r="S558" i="8"/>
  <c r="S511" i="8"/>
  <c r="S636" i="8"/>
  <c r="S634" i="8"/>
  <c r="S631" i="8"/>
  <c r="S630" i="8"/>
  <c r="S629" i="8"/>
  <c r="S627" i="8"/>
  <c r="S626" i="8"/>
  <c r="S624" i="8"/>
  <c r="S623" i="8"/>
  <c r="S622" i="8"/>
  <c r="S621" i="8"/>
  <c r="S620" i="8"/>
  <c r="S1753" i="8"/>
  <c r="S617" i="8"/>
  <c r="S616" i="8"/>
  <c r="S615" i="8"/>
  <c r="S613" i="8"/>
  <c r="S612" i="8"/>
  <c r="S610" i="8"/>
  <c r="S608" i="8"/>
  <c r="S607" i="8"/>
  <c r="S601" i="8"/>
  <c r="S599" i="8"/>
  <c r="S598" i="8"/>
  <c r="S597" i="8"/>
  <c r="S592" i="8"/>
  <c r="S588" i="8"/>
  <c r="S586" i="8"/>
  <c r="S582" i="8"/>
  <c r="S581" i="8"/>
  <c r="S559" i="8"/>
  <c r="S555" i="8"/>
  <c r="S547" i="8"/>
  <c r="S542" i="8"/>
  <c r="S538" i="8"/>
  <c r="S525" i="8"/>
  <c r="S513" i="8"/>
  <c r="S509" i="8"/>
  <c r="S494" i="8"/>
  <c r="S491" i="8"/>
  <c r="S475" i="8"/>
  <c r="S1748" i="8"/>
  <c r="S988" i="8"/>
  <c r="S985" i="8"/>
  <c r="S984" i="8"/>
  <c r="S983" i="8"/>
  <c r="S980" i="8"/>
  <c r="S979" i="8"/>
  <c r="S975" i="8"/>
  <c r="S974" i="8"/>
  <c r="S973" i="8"/>
  <c r="S971" i="8"/>
  <c r="S970" i="8"/>
  <c r="S969" i="8"/>
  <c r="S967" i="8"/>
  <c r="S962" i="8"/>
  <c r="S961" i="8"/>
  <c r="S959" i="8"/>
  <c r="S958" i="8"/>
  <c r="S957" i="8"/>
  <c r="S956" i="8"/>
  <c r="S954" i="8"/>
  <c r="S953" i="8"/>
  <c r="S952" i="8"/>
  <c r="S951" i="8"/>
  <c r="S950" i="8"/>
  <c r="S949" i="8"/>
  <c r="S942" i="8"/>
  <c r="S939" i="8"/>
  <c r="S936" i="8"/>
  <c r="S933" i="8"/>
  <c r="S932" i="8"/>
  <c r="S931" i="8"/>
  <c r="S925" i="8"/>
  <c r="S923" i="8"/>
  <c r="S1747" i="8"/>
  <c r="S1374" i="8"/>
  <c r="S909" i="8"/>
  <c r="S908" i="8"/>
  <c r="S907" i="8"/>
  <c r="S1369" i="8"/>
  <c r="S279" i="8"/>
  <c r="S280" i="8"/>
  <c r="S278" i="8"/>
  <c r="S281" i="8"/>
  <c r="S1122" i="8"/>
  <c r="S928" i="8"/>
  <c r="S1959" i="8"/>
  <c r="S1958" i="8"/>
  <c r="S1955" i="8"/>
  <c r="S1823" i="8"/>
  <c r="S922" i="8"/>
  <c r="S1124" i="8"/>
  <c r="S1755" i="8"/>
  <c r="S234" i="8"/>
  <c r="S753" i="8"/>
  <c r="S1373" i="8"/>
  <c r="S906" i="8"/>
  <c r="S1370" i="8"/>
  <c r="S1398" i="8"/>
  <c r="S1098" i="8" l="1"/>
  <c r="S464" i="8"/>
  <c r="S434" i="8"/>
  <c r="S516" i="8"/>
  <c r="S444" i="8"/>
  <c r="S473" i="8"/>
  <c r="S556" i="8"/>
  <c r="S433" i="8"/>
  <c r="S428" i="8"/>
  <c r="S441" i="8"/>
  <c r="S498" i="8"/>
  <c r="S438" i="8"/>
  <c r="S487" i="8"/>
  <c r="S443" i="8"/>
  <c r="S600" i="8"/>
  <c r="S535" i="8"/>
  <c r="S641" i="8"/>
  <c r="S635" i="8"/>
  <c r="S614" i="8"/>
  <c r="S531" i="8"/>
  <c r="S510" i="8"/>
  <c r="S470" i="8"/>
  <c r="S495" i="8"/>
  <c r="S482" i="8"/>
  <c r="S537" i="8"/>
  <c r="S550" i="8"/>
  <c r="S562" i="8"/>
  <c r="S492" i="8"/>
  <c r="S565" i="8"/>
  <c r="S501" i="8"/>
  <c r="S564" i="8"/>
  <c r="S625" i="8"/>
  <c r="S520" i="8"/>
  <c r="S480" i="8"/>
  <c r="S554" i="8"/>
  <c r="S523" i="8"/>
  <c r="S549" i="8"/>
  <c r="S457" i="8"/>
  <c r="S578" i="8"/>
  <c r="S545" i="8"/>
  <c r="S543" i="8"/>
  <c r="S609" i="8"/>
  <c r="S639" i="8"/>
  <c r="S570" i="8"/>
  <c r="S534" i="8"/>
  <c r="S499" i="8"/>
  <c r="S519" i="8"/>
  <c r="S567" i="8"/>
  <c r="S1162" i="8"/>
  <c r="S1161" i="8"/>
  <c r="S1164" i="8"/>
  <c r="S1093" i="8"/>
  <c r="S1081" i="8"/>
  <c r="S1099" i="8"/>
  <c r="S1087" i="8"/>
  <c r="S1094" i="8"/>
  <c r="S1089" i="8"/>
  <c r="S1096" i="8"/>
  <c r="S1097" i="8"/>
  <c r="S1091" i="8"/>
  <c r="S1090" i="8"/>
  <c r="S1092" i="8"/>
  <c r="S1083" i="8"/>
  <c r="S1080" i="8"/>
  <c r="S1086" i="8"/>
  <c r="S1088" i="8"/>
  <c r="S1095" i="8"/>
  <c r="S1084" i="8"/>
  <c r="S1085" i="8"/>
  <c r="S1159" i="8"/>
  <c r="S1752" i="8"/>
  <c r="S1880" i="8"/>
  <c r="S1911" i="8"/>
  <c r="S12" i="8"/>
  <c r="S13" i="8"/>
  <c r="S14" i="8"/>
  <c r="S36" i="8"/>
  <c r="S35" i="8"/>
  <c r="S11" i="8"/>
  <c r="S10" i="8"/>
  <c r="S34" i="8"/>
  <c r="S33" i="8"/>
  <c r="S905" i="8"/>
  <c r="S1912" i="8"/>
  <c r="S1909" i="8"/>
  <c r="S1908" i="8"/>
  <c r="S1395" i="8"/>
  <c r="S557" i="8"/>
  <c r="S521" i="8"/>
  <c r="S584" i="8"/>
  <c r="S561" i="8"/>
  <c r="S579" i="8"/>
  <c r="S644" i="8"/>
  <c r="S435" i="8"/>
  <c r="S505" i="8"/>
  <c r="S493" i="8"/>
  <c r="S590" i="8"/>
  <c r="S460" i="8"/>
  <c r="S563" i="8"/>
  <c r="S437" i="8"/>
  <c r="S447" i="8"/>
  <c r="S462" i="8"/>
  <c r="S637" i="8"/>
  <c r="S572" i="8"/>
  <c r="S575" i="8"/>
  <c r="S602" i="8"/>
  <c r="S454" i="8"/>
  <c r="S522" i="8"/>
  <c r="S544" i="8"/>
  <c r="S477" i="8"/>
  <c r="S632" i="8"/>
  <c r="S643" i="8"/>
  <c r="S642" i="8"/>
  <c r="S645" i="8"/>
  <c r="S471" i="8"/>
  <c r="S628" i="8"/>
  <c r="S500" i="8"/>
  <c r="S450" i="8"/>
  <c r="S530" i="8"/>
  <c r="S465" i="8"/>
  <c r="S483" i="8"/>
  <c r="S436" i="8"/>
  <c r="S453" i="8"/>
  <c r="S446" i="8"/>
  <c r="S573" i="8"/>
  <c r="S440" i="8"/>
  <c r="S439" i="8"/>
  <c r="S448" i="8"/>
  <c r="S474" i="8"/>
  <c r="S468" i="8"/>
  <c r="S452" i="8"/>
  <c r="S445" i="8"/>
  <c r="S459" i="8"/>
  <c r="S633" i="8"/>
  <c r="S472" i="8"/>
  <c r="S585" i="8"/>
  <c r="S533" i="8"/>
  <c r="S594" i="8"/>
  <c r="S449" i="8"/>
  <c r="S576" i="8"/>
  <c r="S461" i="8"/>
  <c r="S541" i="8"/>
  <c r="S569" i="8"/>
  <c r="S481" i="8"/>
  <c r="S476" i="8"/>
  <c r="S455" i="8"/>
  <c r="S451" i="8"/>
  <c r="S508" i="8"/>
  <c r="S536" i="8"/>
  <c r="S502" i="8"/>
  <c r="S479" i="8"/>
  <c r="S429" i="8"/>
  <c r="S589" i="8"/>
  <c r="S442" i="8"/>
  <c r="S517" i="8"/>
  <c r="S431" i="8"/>
  <c r="S432" i="8"/>
  <c r="S577" i="8"/>
  <c r="S466" i="8"/>
  <c r="S497" i="8"/>
  <c r="S427" i="8"/>
  <c r="S548" i="8"/>
  <c r="S504" i="8"/>
  <c r="S568" i="8"/>
  <c r="S463" i="8"/>
  <c r="S469" i="8"/>
  <c r="S526" i="8"/>
  <c r="S506" i="8"/>
  <c r="S528" i="8"/>
  <c r="S490" i="8"/>
  <c r="S540" i="8"/>
  <c r="S515" i="8"/>
  <c r="S507" i="8"/>
  <c r="S551" i="8"/>
  <c r="S496" i="8"/>
  <c r="S456" i="8"/>
  <c r="S527" i="8"/>
  <c r="S484" i="8"/>
  <c r="S640" i="8"/>
  <c r="S514" i="8"/>
  <c r="S518" i="8"/>
  <c r="S485" i="8"/>
  <c r="S489" i="8"/>
  <c r="S560" i="8"/>
  <c r="S512" i="8"/>
  <c r="S566" i="8"/>
  <c r="S552" i="8"/>
  <c r="S529" i="8"/>
  <c r="S486" i="8"/>
  <c r="S604" i="8"/>
  <c r="S580" i="8"/>
  <c r="S593" i="8"/>
  <c r="S478" i="8"/>
  <c r="S458" i="8"/>
  <c r="S539" i="8"/>
  <c r="S488" i="8"/>
  <c r="S596" i="8"/>
  <c r="S618" i="8"/>
  <c r="S430" i="8"/>
  <c r="S467" i="8"/>
  <c r="S553" i="8"/>
  <c r="S611" i="8"/>
  <c r="S503" i="8"/>
  <c r="S603" i="8"/>
  <c r="S532" i="8"/>
  <c r="S524" i="8"/>
  <c r="S591" i="8"/>
  <c r="S1160" i="8"/>
  <c r="S1163" i="8"/>
  <c r="AD225" i="2" l="1"/>
  <c r="AD223" i="2"/>
  <c r="AD221" i="2"/>
  <c r="AD219" i="2"/>
  <c r="AD218" i="2"/>
  <c r="AD216" i="2"/>
  <c r="AD215" i="2"/>
  <c r="AD213" i="2"/>
  <c r="AD211" i="2"/>
  <c r="AD209" i="2"/>
  <c r="AD207" i="2"/>
  <c r="AD205" i="2"/>
  <c r="AD203" i="2"/>
  <c r="AD201" i="2"/>
  <c r="AD199" i="2"/>
  <c r="AD198" i="2"/>
  <c r="AD197" i="2"/>
  <c r="AD196" i="2"/>
  <c r="AD195" i="2"/>
  <c r="AD193" i="2"/>
  <c r="AD191" i="2"/>
  <c r="AD189" i="2"/>
  <c r="AD188" i="2"/>
  <c r="AD186" i="2"/>
  <c r="AD184" i="2"/>
  <c r="AD182" i="2"/>
  <c r="AD181" i="2"/>
  <c r="AD179" i="2"/>
  <c r="AD177" i="2"/>
  <c r="AD175" i="2"/>
  <c r="AD174" i="2"/>
  <c r="AD173" i="2"/>
  <c r="AD171" i="2"/>
  <c r="AD170" i="2"/>
  <c r="AD168" i="2"/>
  <c r="AD166" i="2"/>
  <c r="AD164" i="2"/>
  <c r="AD163" i="2"/>
  <c r="AD161" i="2"/>
  <c r="AD136" i="2"/>
  <c r="AD159" i="2"/>
  <c r="AD155" i="2"/>
  <c r="AD156" i="2"/>
  <c r="AD157" i="2"/>
  <c r="AD153" i="2"/>
  <c r="AD151" i="2"/>
  <c r="AD150" i="2"/>
  <c r="AD148" i="2"/>
  <c r="AD146" i="2"/>
  <c r="AD145" i="2"/>
  <c r="AD144" i="2"/>
  <c r="AD143" i="2"/>
  <c r="AD142" i="2"/>
  <c r="AD141" i="2"/>
  <c r="AD140" i="2"/>
  <c r="AD139" i="2"/>
  <c r="AD138" i="2"/>
  <c r="AD137" i="2"/>
  <c r="AD135" i="2"/>
  <c r="AD134" i="2"/>
  <c r="AD133" i="2"/>
  <c r="AD132" i="2"/>
  <c r="AD131" i="2"/>
  <c r="AD130" i="2"/>
  <c r="AD129" i="2"/>
  <c r="AD128" i="2"/>
  <c r="AD127" i="2"/>
  <c r="AD126" i="2"/>
  <c r="AD124" i="2"/>
  <c r="AD123" i="2"/>
  <c r="AD122" i="2"/>
  <c r="AD121" i="2"/>
  <c r="AD120" i="2"/>
  <c r="AD119" i="2"/>
  <c r="AD118" i="2"/>
  <c r="AD117" i="2"/>
  <c r="AD116" i="2"/>
  <c r="AD115" i="2"/>
  <c r="AD114" i="2"/>
  <c r="AD107" i="2"/>
  <c r="T107" i="2"/>
  <c r="S1363" i="8"/>
  <c r="AD105" i="2"/>
  <c r="T105" i="2"/>
  <c r="S1355" i="8"/>
  <c r="S303" i="8"/>
  <c r="S15" i="8"/>
  <c r="S1715" i="8"/>
  <c r="S69" i="8"/>
  <c r="S67" i="8"/>
  <c r="S68" i="8"/>
  <c r="S803" i="8"/>
  <c r="S807" i="8"/>
  <c r="S806" i="8"/>
  <c r="S331" i="8"/>
  <c r="S332" i="8"/>
  <c r="S301" i="8"/>
  <c r="S999" i="8"/>
  <c r="S994" i="8"/>
  <c r="S1924" i="8"/>
  <c r="S1985" i="8"/>
  <c r="S1992" i="8"/>
  <c r="S1989" i="8"/>
  <c r="S1993" i="8"/>
  <c r="S1990" i="8"/>
  <c r="S1773" i="8"/>
  <c r="S395" i="8"/>
  <c r="S1742" i="8"/>
  <c r="S1178" i="8"/>
  <c r="S227" i="8"/>
  <c r="S1774" i="8"/>
  <c r="S1991" i="8"/>
  <c r="S1988" i="8"/>
  <c r="S1994" i="8"/>
  <c r="S87" i="8"/>
  <c r="S207" i="8"/>
  <c r="S228" i="8"/>
  <c r="S376" i="8"/>
  <c r="S380" i="8"/>
  <c r="S1064" i="8"/>
  <c r="S340" i="8"/>
  <c r="S338" i="8"/>
  <c r="S339" i="8"/>
  <c r="S341" i="8"/>
  <c r="S364" i="8"/>
  <c r="S363" i="8"/>
  <c r="S1923" i="8"/>
  <c r="S813" i="8"/>
  <c r="S343" i="8"/>
  <c r="S352" i="8"/>
  <c r="S350" i="8"/>
  <c r="S345" i="8"/>
  <c r="S342" i="8"/>
  <c r="S344" i="8"/>
  <c r="S1769" i="8"/>
  <c r="S351" i="8"/>
  <c r="S355" i="8"/>
  <c r="S347" i="8"/>
  <c r="S348" i="8"/>
  <c r="S346" i="8"/>
  <c r="S349" i="8"/>
  <c r="S359" i="8"/>
  <c r="S353" i="8"/>
  <c r="S354" i="8"/>
  <c r="S379" i="8"/>
  <c r="S1148" i="8"/>
  <c r="S1158" i="8"/>
  <c r="S1895" i="8"/>
  <c r="S1888" i="8"/>
  <c r="S1889" i="8"/>
  <c r="S1897" i="8"/>
  <c r="S1884" i="8"/>
  <c r="S1890" i="8"/>
  <c r="S4" i="8"/>
  <c r="AD98" i="2"/>
  <c r="T98" i="2"/>
  <c r="AD94" i="2"/>
  <c r="AD90" i="2"/>
  <c r="S1131" i="8"/>
  <c r="S48" i="8"/>
  <c r="S45" i="8"/>
  <c r="S333" i="8"/>
  <c r="O420" i="8" s="1"/>
  <c r="S104" i="8"/>
  <c r="S313" i="8"/>
  <c r="S1050" i="8"/>
  <c r="S311" i="8"/>
  <c r="S51" i="8"/>
  <c r="S811" i="8"/>
  <c r="S995" i="8"/>
  <c r="S996" i="8"/>
  <c r="S325" i="8"/>
  <c r="S1869" i="8"/>
  <c r="S54" i="8"/>
  <c r="H249" i="15" l="1"/>
  <c r="H261" i="15"/>
  <c r="H250" i="15"/>
  <c r="H251" i="15"/>
  <c r="H257" i="15"/>
  <c r="H262" i="15"/>
  <c r="H269" i="15"/>
  <c r="H254" i="15"/>
  <c r="H256" i="15"/>
  <c r="H263" i="15"/>
  <c r="H270" i="15"/>
  <c r="H259" i="15"/>
  <c r="H292" i="15"/>
  <c r="H252" i="15"/>
  <c r="H290" i="15"/>
  <c r="H289" i="15"/>
  <c r="H282" i="15"/>
  <c r="H286" i="15"/>
  <c r="H287" i="15"/>
  <c r="H285" i="15"/>
  <c r="H288" i="15"/>
  <c r="H271" i="15"/>
  <c r="H268" i="15"/>
  <c r="H265" i="15"/>
  <c r="H278" i="15"/>
  <c r="H274" i="15"/>
  <c r="H277" i="15"/>
  <c r="H284" i="15"/>
  <c r="H272" i="15"/>
  <c r="H279" i="15"/>
  <c r="H280" i="15"/>
  <c r="H267" i="15"/>
  <c r="H283" i="15"/>
  <c r="H281" i="15"/>
  <c r="H276" i="15"/>
  <c r="H275" i="15"/>
  <c r="H273" i="15"/>
  <c r="H264" i="15"/>
  <c r="H293" i="15"/>
  <c r="H258" i="15"/>
  <c r="P72" i="2"/>
  <c r="H245" i="15"/>
  <c r="H246" i="15"/>
  <c r="H247" i="15"/>
  <c r="H248" i="15"/>
  <c r="H241" i="15"/>
  <c r="H242" i="15"/>
  <c r="H243" i="15"/>
  <c r="H244" i="15"/>
  <c r="H237" i="15"/>
  <c r="H238" i="15"/>
  <c r="H239" i="15"/>
  <c r="H240" i="15"/>
  <c r="H236" i="15"/>
  <c r="H200" i="15"/>
  <c r="H201" i="15"/>
  <c r="H202" i="15"/>
  <c r="H203" i="15"/>
  <c r="H204" i="15"/>
  <c r="H205" i="15"/>
  <c r="H206" i="15"/>
  <c r="H207" i="15"/>
  <c r="H208" i="15"/>
  <c r="H209" i="15"/>
  <c r="H210" i="15"/>
  <c r="H211" i="15"/>
  <c r="H199" i="15"/>
  <c r="H82" i="15"/>
  <c r="H83" i="15"/>
  <c r="H84" i="15"/>
  <c r="H85" i="15"/>
  <c r="H86" i="15"/>
  <c r="H87" i="15"/>
  <c r="H88" i="15"/>
  <c r="H89" i="15"/>
  <c r="H90" i="15"/>
  <c r="H91" i="15"/>
  <c r="H92" i="15"/>
  <c r="H93" i="15"/>
  <c r="H94" i="15"/>
  <c r="H95" i="15"/>
  <c r="H96" i="15"/>
  <c r="H97" i="15"/>
  <c r="H98" i="15"/>
  <c r="H99" i="15"/>
  <c r="H100" i="15"/>
  <c r="H101" i="15"/>
  <c r="H102" i="15"/>
  <c r="H103" i="15"/>
  <c r="H104" i="15"/>
  <c r="H81" i="15"/>
  <c r="H43" i="15"/>
  <c r="H44" i="15"/>
  <c r="H56" i="15"/>
  <c r="H50" i="15"/>
  <c r="H51" i="15"/>
  <c r="H52" i="15"/>
  <c r="H53" i="15"/>
  <c r="H54" i="15"/>
  <c r="H55" i="15"/>
  <c r="H45" i="15"/>
  <c r="H46" i="15"/>
  <c r="H47" i="15"/>
  <c r="H48" i="15"/>
  <c r="H49" i="15"/>
  <c r="B236" i="15"/>
  <c r="S1770" i="8" l="1"/>
  <c r="S1771" i="8"/>
  <c r="S1772" i="8"/>
  <c r="S1885" i="8"/>
  <c r="S1886" i="8"/>
  <c r="S5" i="8"/>
  <c r="S1065" i="8"/>
  <c r="S1887" i="8"/>
  <c r="S1066" i="8"/>
  <c r="S1891" i="8"/>
  <c r="S1067" i="8"/>
  <c r="S1068" i="8"/>
  <c r="S1069" i="8"/>
  <c r="S1070" i="8"/>
  <c r="S1071" i="8"/>
  <c r="S1892" i="8"/>
  <c r="S1149" i="8"/>
  <c r="S1072" i="8"/>
  <c r="S1073" i="8"/>
  <c r="S1074" i="8"/>
  <c r="S1893" i="8"/>
  <c r="S1894" i="8"/>
  <c r="S1896" i="8"/>
  <c r="S1150" i="8"/>
  <c r="S731" i="8"/>
  <c r="S1176" i="8"/>
  <c r="S377" i="8"/>
  <c r="S378" i="8"/>
  <c r="S356" i="8"/>
  <c r="S357" i="8"/>
  <c r="S358" i="8"/>
  <c r="S360" i="8"/>
  <c r="S361" i="8"/>
  <c r="S362" i="8"/>
  <c r="S817" i="8"/>
  <c r="S1933" i="8"/>
  <c r="S365" i="8"/>
  <c r="S366" i="8"/>
  <c r="S367" i="8"/>
  <c r="S368" i="8"/>
  <c r="S1934" i="8"/>
  <c r="Q412" i="13" l="1"/>
  <c r="Q411" i="13"/>
  <c r="S123" i="13"/>
  <c r="S122" i="13"/>
  <c r="S121" i="13"/>
  <c r="S120" i="13"/>
  <c r="S119" i="13"/>
  <c r="S118" i="13"/>
  <c r="S88" i="13"/>
  <c r="S86" i="13"/>
  <c r="S85" i="13"/>
  <c r="S84" i="13"/>
  <c r="S83" i="13"/>
  <c r="S65" i="13"/>
  <c r="S64" i="13"/>
  <c r="S63" i="13"/>
  <c r="S62" i="13"/>
  <c r="S61" i="13"/>
  <c r="S60" i="13"/>
  <c r="S59" i="13"/>
  <c r="S58" i="13"/>
  <c r="S57" i="13"/>
  <c r="S56" i="13"/>
  <c r="S55" i="13"/>
  <c r="S54" i="13"/>
  <c r="S53" i="13"/>
  <c r="S52" i="13"/>
  <c r="S51" i="13"/>
  <c r="S50" i="13"/>
  <c r="S49" i="13"/>
  <c r="S48" i="13"/>
  <c r="S47" i="13"/>
  <c r="S46" i="13"/>
  <c r="S45" i="13"/>
  <c r="S44" i="13"/>
  <c r="S43" i="13"/>
  <c r="S42" i="13"/>
  <c r="S41" i="13"/>
  <c r="S40" i="13"/>
  <c r="S39" i="13"/>
  <c r="S38" i="13"/>
  <c r="S37" i="13"/>
  <c r="S36" i="13"/>
  <c r="S35" i="13"/>
  <c r="S30" i="13"/>
  <c r="S29" i="13"/>
  <c r="S28" i="13"/>
  <c r="S27" i="13"/>
  <c r="S26" i="13"/>
  <c r="S25" i="13"/>
  <c r="S24" i="13"/>
  <c r="S23" i="13"/>
  <c r="S22" i="13"/>
  <c r="S21" i="13"/>
  <c r="S20" i="13"/>
  <c r="S19" i="13"/>
  <c r="S18" i="13"/>
  <c r="S17" i="13"/>
  <c r="S16" i="13"/>
  <c r="S15" i="13"/>
  <c r="Q183" i="13" l="1"/>
  <c r="R75" i="13"/>
  <c r="P73" i="13"/>
  <c r="Q413" i="13"/>
  <c r="R73" i="13"/>
  <c r="R74" i="13"/>
  <c r="Q184" i="13"/>
  <c r="Q185" i="13"/>
  <c r="P75" i="13"/>
  <c r="P74" i="13"/>
  <c r="Q1870" i="8"/>
  <c r="P1870" i="8"/>
  <c r="S1870" i="8" s="1"/>
  <c r="I26" i="1" l="1"/>
  <c r="I59" i="1" l="1"/>
  <c r="I31" i="1" l="1"/>
  <c r="I39" i="1"/>
  <c r="I10" i="1"/>
</calcChain>
</file>

<file path=xl/sharedStrings.xml><?xml version="1.0" encoding="utf-8"?>
<sst xmlns="http://schemas.openxmlformats.org/spreadsheetml/2006/main" count="72784" uniqueCount="3693">
  <si>
    <t xml:space="preserve">Revised Taxonomy (16-Dec-16). Revised Trophic classifications (09.2015) - using literature to determine; if no good info, used dietary classifications for genus or even family </t>
  </si>
  <si>
    <t>May 12 2020</t>
  </si>
  <si>
    <t>FAS</t>
  </si>
  <si>
    <t>Went through and 1) deleted any micromammals or isotopes done at the family level, or unknown.</t>
  </si>
  <si>
    <t>isotope sheet</t>
  </si>
  <si>
    <t>2) added in Pleistocene/Holocene ages based on Texas Cave Sites (09/19/2018 information); I believe this is the most recent version. If in doubt, assigned to Holocene</t>
  </si>
  <si>
    <t>3) got rid of species names for lepus, deer, mammoth, horses and holocene bison</t>
  </si>
  <si>
    <t>Trying to integrate all morphology for mammals &gt;1 kg here. Really should integrate ALL mammals and then delete the ones below 1 kg for this project. But, these data appear to be in separate sheets.</t>
  </si>
  <si>
    <t>Also, who locked the large mammal morphology file? I tried changing permissions but I can't access it. Or is it locked in some other fashion that I am unfamiliar with?</t>
  </si>
  <si>
    <t>CPT</t>
  </si>
  <si>
    <t>added specimens from to be added-Morphology Data to Table S2 (added specimens are marked with an x in column A)</t>
  </si>
  <si>
    <t>Deleted specimens without genus, under 1 kg. Changed to 'sp.' if uncertain, accepted 'name?' as the name; got rid of specific name in the case of the genera we are using only genera with</t>
  </si>
  <si>
    <t>Fixed family of Hemiauchenia - it's a camel not pronghorn.</t>
  </si>
  <si>
    <t>Added in common names</t>
  </si>
  <si>
    <t>Updated Table S2 to reflect Large Mammal Morphology v10 as of 17 July 2020</t>
  </si>
  <si>
    <t>Updated Tables to standardize across S1 and S2; put full sheets at end - raw data before we 'clean' it up to remove duplicates, species we aren't using etc. But, good to keep original sheet as it was.</t>
  </si>
  <si>
    <t>We need to make sure the information on ages, site names, ID's of some specimens get back into the master inventory and the master morphology/isotope sheets. We've been correcting things here, but</t>
  </si>
  <si>
    <t xml:space="preserve"> </t>
  </si>
  <si>
    <t>I don't think all the corrections are being made backwards.</t>
  </si>
  <si>
    <t>FINISHED BISON! EQUATIONS ALL LOOK GOOD AND GIVE REASONABLE SIZES. DELETED MULTIPLE MEASUREMENTS FOR ANY SPECIMEN, USING THE BEST R2 VALUE, AND/OR THE EQUATION BASED ON BOVIDS, PREFERENTIALLY.</t>
  </si>
  <si>
    <t>OLD BISON ROWS WERE DELETED AND I PASTED IN THE NEW VALUES FROM THE BISON WORKBOOK AS OF 31 JULY 2020</t>
  </si>
  <si>
    <t>also, double checked if used W or L on equations that used just one or another; used the largest size since I may measure W and L differently than others!</t>
  </si>
  <si>
    <t>Screwed up the addition of the new isotope data so recopied Table s2 from version 3 and will redo.</t>
  </si>
  <si>
    <t>Added in new isotope data; cleaned up Table S2. Added order and family and put ALL isotopes back in, even if c:N &gt;3.7. Figured we might as well show the data even if we aren't going to use it</t>
  </si>
  <si>
    <t>According to fossilworks …Felis amnicola is a synonym for Leopardus wiedii 0 the margay. Thus, not extinct. And size =4.59 based on measurements reported.</t>
  </si>
  <si>
    <t>Need to make sure that measurements of canids we got from Mel are indicated</t>
  </si>
  <si>
    <t>Updated N for SIA attempted to indicate a higher number if one is indicated on my May 2018 sampling summary; most N's are higher in the present spreadsheet reflecting effort after May 2018</t>
  </si>
  <si>
    <t>Went through Bison. Ranked from largest to smallest and checked TMM specify for date and specific name for each entry &gt;~800kg. Turns out that some of the Kincaid Shelter ones were Pleistocene, not Holocene, and the Sitter</t>
  </si>
  <si>
    <t>Ranch site is firmly interdigitated with the  B. latifrons. I think we have extinct bison, and that they are Pleistocene, not Holocene</t>
  </si>
  <si>
    <t>The beginning of the Archaic Period roughly coincides with the Pleistocene/Holocene glacial boundary </t>
  </si>
  <si>
    <t>Cleaned up names of elements and descriptions.Also, added in ages for ones that were missing. Used TMM specify to find ages for missing Kincaid Shelter. They all seemed to be Pleistocene, which makes me wonder if they just catagorized</t>
  </si>
  <si>
    <t xml:space="preserve">  </t>
  </si>
  <si>
    <t>everything as that age ….?</t>
  </si>
  <si>
    <t>Also, turns out that the width and length measures for lagomorphs were on separate rows (groan) so I had to merge them and then delete lots of rows of duplicates. This was all from halls caveL; THERE MAY STILL BE DUPLICATES  BECAUSE APPARENTLY TIARA USED A SEPARATE LINE FOR EACH MEASUREMENT</t>
  </si>
  <si>
    <t>ANYTHING IN BLUE IS A NEW CHANGE IN THE DATASET.</t>
  </si>
  <si>
    <t>my astragulas measures use W for L and L for W! At least relative to this dissertation</t>
  </si>
  <si>
    <t>for Pleistocene Bison sp. at Kincaid, looked up each one; all say Pleistocene</t>
  </si>
  <si>
    <t>FIXED all lagomorphs. Deleted what I had. Reformated what Cat did and replaced it in Table S1. Masses based on calcaneum not done yet.</t>
  </si>
  <si>
    <t>Changed any Bison larger than 1a00 kg to B. latifrons/antiquus? (they were all Pleistocene)</t>
  </si>
  <si>
    <t>in version 5.7, started deleting rows when it was obvious they were the same individual. Based on specify as well. Looked up all Bison in specify to check species and R or L elements. Also, added in more data from Lundelius 1972b</t>
  </si>
  <si>
    <t>For plainview Quarry - looked up first 20 specimens, but since not individually id'ed wouldn't be much of a help anyway if I figured out what species they were. They all say 'sp.'</t>
  </si>
  <si>
    <t>Bison 40450-2571, specify says it's a horse. Can't be since I measured it! Wrote wrong number down?</t>
  </si>
  <si>
    <t>Bison 892-493 supposed to be a horn core in a jacket instead of a molar</t>
  </si>
  <si>
    <t>Site 725 is almost all Bison sp. BUT, there are a couple of Bison antiquus identified (725-399, and 398), we don't have these in our database. This is Lubbock Lake, I think.</t>
  </si>
  <si>
    <t>Johnsont 1976 PhD on Lubbock lake - she id's some B. bison, but says they are all Holocene; she definitely ID's some B. antiquus from Pleistocene. She seems to have a lot of data we don't -she deposited these data in other collections? They are in tables at the end of the dissertation.</t>
  </si>
  <si>
    <t>I have made those changes to the tables. But, should I then try to figure out all the Lubbock Lake samples? Some of them have no identifying info. Perhaps replace with these which do?</t>
  </si>
  <si>
    <t>Added in data from appendix of Johnson 1976 PhD on Lubbock Lake. But, did not enter everything. Mostly specimen ID's I was sure we didn't have and I focused on astraguli and a few limb bones. THERE ARE MORE DATA HERE THAT COULD BE ADDED. But, we have</t>
  </si>
  <si>
    <t>enough, I think. Also added in a few measurements from non-bison as I found them.</t>
  </si>
  <si>
    <t>OCT?</t>
  </si>
  <si>
    <t>AV</t>
  </si>
  <si>
    <t xml:space="preserve">Added in values for 'corrected' enamel. To calculate the spacing relationship between ruminants and non-ruminants, we use published data from Codron and colleagues (2018). A reduced major axis line is fit between collagen and carbonate d13C values collected from the same individuals in ruminant and non-ruminant species separately. The slope and intercept determined by these relationships are used to “correct” carbonate values to the same scale as collagen for plotting and community comparison purposes. </t>
  </si>
  <si>
    <t>FAS and EES</t>
  </si>
  <si>
    <t>Went over all isotope values. Checked amplitude of peaks for questionable ones. Replaced corrected dC with 'nd' for not determined when they were too low. Left C:N ratios even though some of these were based on very low amplitude peaks. Used 'bdl' for below detection limits for values marked as questionable in original datasheets from CSI.</t>
  </si>
  <si>
    <t xml:space="preserve">Deleted the odd value:  Carnivora	Mustelidae	Taxidea	taxus	1295	13	Carnivore	Carnivore 	Clamp Cave	Pleistocene	Present Study	collagen	-23.9	-23.9	1.6			3.3	delete										</t>
  </si>
  <si>
    <t>Also redid the formating - added in a column for tissue type so we don't have to have redundant C,N,O columns. These were all replaced after Em and I checked them in 7-9 Jan 2021.</t>
  </si>
  <si>
    <t>Used regressions Emma and I conducted to 'estimate' body mass for missing values in Museum Allometry data. We will then use these to estimate allometries for various elements to translate measurements of various elements in Table S1 into masses.</t>
  </si>
  <si>
    <t>Used skull regressions for canidae, felidae and mustelidae; procyon used mustelidae since double checking on known specimens (and the shape of the skull) it seemed more appropriate than the overall carnivore regressions. The equations we are using are as follows:</t>
  </si>
  <si>
    <r>
      <rPr>
        <sz val="12"/>
        <color theme="1"/>
        <rFont val="AdobeDevanagari-Regular"/>
      </rPr>
      <t>**All =</t>
    </r>
    <r>
      <rPr>
        <i/>
        <sz val="12"/>
        <color theme="1"/>
        <rFont val="AdobeDevanagari-Regular"/>
      </rPr>
      <t xml:space="preserve"> Canidae, Felidae </t>
    </r>
    <r>
      <rPr>
        <sz val="12"/>
        <color theme="1"/>
        <rFont val="AdobeDevanagari-Regular"/>
      </rPr>
      <t>and</t>
    </r>
    <r>
      <rPr>
        <i/>
        <sz val="12"/>
        <color theme="1"/>
        <rFont val="AdobeDevanagari-Regular"/>
      </rPr>
      <t xml:space="preserve"> Mustelidae; </t>
    </r>
    <r>
      <rPr>
        <sz val="12"/>
        <color theme="1"/>
        <rFont val="AdobeDevanagari-Regular"/>
      </rPr>
      <t>excludes</t>
    </r>
    <r>
      <rPr>
        <i/>
        <sz val="12"/>
        <color theme="1"/>
        <rFont val="AdobeDevanagari-Regular"/>
      </rPr>
      <t xml:space="preserve"> Ursidae, and Procyonidae</t>
    </r>
  </si>
  <si>
    <t>From Blaire- 1990</t>
  </si>
  <si>
    <t>Group</t>
  </si>
  <si>
    <t>Equation</t>
  </si>
  <si>
    <t>Intercept</t>
  </si>
  <si>
    <t>Std. Error of Intercept</t>
  </si>
  <si>
    <t>Slope</t>
  </si>
  <si>
    <t>Std. Error of Slope</t>
  </si>
  <si>
    <t>Adjusted R-square</t>
  </si>
  <si>
    <t>DF</t>
  </si>
  <si>
    <t>P-value</t>
  </si>
  <si>
    <t>N</t>
  </si>
  <si>
    <t>r2</t>
  </si>
  <si>
    <t>%PE</t>
  </si>
  <si>
    <t>All carnivores</t>
  </si>
  <si>
    <t>BM.log ~ HBL.log + Family</t>
  </si>
  <si>
    <t>&lt;0.001</t>
  </si>
  <si>
    <t>Canidae</t>
  </si>
  <si>
    <t>BM.log ~ HBL.log</t>
  </si>
  <si>
    <t>Felidae</t>
  </si>
  <si>
    <t>Mustelidae</t>
  </si>
  <si>
    <t>BM.log ~ SKL.log + Family</t>
  </si>
  <si>
    <t>BM.log ~ SKL.log</t>
  </si>
  <si>
    <t>Ursidae</t>
  </si>
  <si>
    <t>didn't do</t>
  </si>
  <si>
    <t xml:space="preserve"> in kg and skl in mm (she said cm but a careful look at her data makes clear is mm)</t>
  </si>
  <si>
    <t>Blaire's chapter in the Damuth book has SKL-BS regressions.</t>
  </si>
  <si>
    <t>used Blaire's regression for Ursidae since we didn't have one; our regressions are better than hers for the other carnivore families, probably because our N's are larger</t>
  </si>
  <si>
    <t xml:space="preserve">Ran regressions with 'museum allometry data' to develop allometries for various elements. In doing so, identified a number of what are probably mistakes with measurements - used ** to denote those, presumably bad, data </t>
  </si>
  <si>
    <t>and then reran analyses. Also deleleted a 'Mesogale' that was included - no species identified (most are insular) and its values were crazy.</t>
  </si>
  <si>
    <t>translating elements into body mass measures. When get things that look odd - am checking specimen in Specify. Some are misidentified. C. latrans 30967-1616 was a LP3, not LM3; C. dirus 40685-384 was a LP4, not a LM3. Should check all in specify?</t>
  </si>
  <si>
    <t>Canis latrans from Mel. 908-4258 is a Fe, not SKL; 908-4260 is a Fe, not SKL; 908-4262 is a Fe, not SKL, and 908-4263 and 4264 are both Humerus-distal ends, not SKL</t>
  </si>
  <si>
    <t>Oh boy. In checking a number of specimens attributed to Mel two issues: duplicate numbers and the elements don't match what is listed in specify. They also probably don't match what was measured in some instances since BS estimates are very odd.</t>
  </si>
  <si>
    <t>Ernie References are in the PDF folder in the Hall's Cave dropbox</t>
  </si>
  <si>
    <t>Lundelius 1972b =  Lundelius, E.L? 1972b. VERTEBRA TE REMAINS FROM THE GRAY SAND. Blackwater Locality No. 1. A Stratified Early Man Site in Eastern New Mexico. Fort Burgwin Research Center, Publ. No.8. 1972.</t>
  </si>
  <si>
    <t>Sagebiel, J.C., Late Pleistocene fauna from Zesch Cave, Mason County, Texas, Quaternary International (2010), doi:10.1016/j.quaint.2009.11.029</t>
  </si>
  <si>
    <t>Specify differences in felids:</t>
  </si>
  <si>
    <t>these have been fixed - assuming specify is correct</t>
  </si>
  <si>
    <t>Smilodon</t>
  </si>
  <si>
    <t>fatalis</t>
  </si>
  <si>
    <t xml:space="preserve"> we had this listed as Homotherium. Although the element was correct</t>
  </si>
  <si>
    <t>we had femur; it says humerus; orientation correct</t>
  </si>
  <si>
    <t>deleted (this was the second measurement - almost identical to other)</t>
  </si>
  <si>
    <t xml:space="preserve">Homotherium </t>
  </si>
  <si>
    <t>serum</t>
  </si>
  <si>
    <t>Friesenhahn cave</t>
  </si>
  <si>
    <t>Bexar</t>
  </si>
  <si>
    <t>Pleistocene</t>
  </si>
  <si>
    <t>Present study</t>
  </si>
  <si>
    <t>Femur</t>
  </si>
  <si>
    <t xml:space="preserve">distal end of femur </t>
  </si>
  <si>
    <t>L</t>
  </si>
  <si>
    <t>we had LM1, says UP4</t>
  </si>
  <si>
    <t>Ingleside</t>
  </si>
  <si>
    <t>San Patricio</t>
  </si>
  <si>
    <t>LM1</t>
  </si>
  <si>
    <t>first lower molar</t>
  </si>
  <si>
    <t>R</t>
  </si>
  <si>
    <t>we have this as a Smilodon, they list it as 'blade, pick-like'</t>
  </si>
  <si>
    <t>more checking line by line of carnivores in Specify. All carnivores but canids now checked</t>
  </si>
  <si>
    <t>Procyon</t>
  </si>
  <si>
    <t>lotor</t>
  </si>
  <si>
    <t>Longhorn Cave</t>
  </si>
  <si>
    <t>Burnet</t>
  </si>
  <si>
    <t>HuEB</t>
  </si>
  <si>
    <t xml:space="preserve">distal end of humerus </t>
  </si>
  <si>
    <t xml:space="preserve"> we had this listed as the femur</t>
  </si>
  <si>
    <t>Tremarctos</t>
  </si>
  <si>
    <t>floridanus</t>
  </si>
  <si>
    <t>LM3</t>
  </si>
  <si>
    <t>third lower molar</t>
  </si>
  <si>
    <t>we had this as the SECOND lower molar</t>
  </si>
  <si>
    <t>LM</t>
  </si>
  <si>
    <t>lower molar</t>
  </si>
  <si>
    <t>we had this as the THird lower molar</t>
  </si>
  <si>
    <t>Ursus</t>
  </si>
  <si>
    <t>americanus</t>
  </si>
  <si>
    <t>Zesch Cave</t>
  </si>
  <si>
    <t>Mason</t>
  </si>
  <si>
    <t>FeB</t>
  </si>
  <si>
    <t>we had this as tibia</t>
  </si>
  <si>
    <t>multiple measurement of specimen</t>
  </si>
  <si>
    <t>deleted this row</t>
  </si>
  <si>
    <t>Sanders Ranch Cave</t>
  </si>
  <si>
    <t>Williamson</t>
  </si>
  <si>
    <t xml:space="preserve">Quaternary </t>
  </si>
  <si>
    <t>UM2</t>
  </si>
  <si>
    <t>Miller's Cave</t>
  </si>
  <si>
    <t>Llano</t>
  </si>
  <si>
    <t xml:space="preserve">first lower molar </t>
  </si>
  <si>
    <t>we had this as an UM1</t>
  </si>
  <si>
    <t>More checking on Table S1. Deleted more multiple measurements of the same specimen (generally when entire skull was available)</t>
  </si>
  <si>
    <t>Equiidae</t>
  </si>
  <si>
    <t>Equus</t>
  </si>
  <si>
    <t>sp.</t>
  </si>
  <si>
    <t>Sullivans Creek AK</t>
  </si>
  <si>
    <t>P1</t>
  </si>
  <si>
    <t>first premolar</t>
  </si>
  <si>
    <t>UM1</t>
  </si>
  <si>
    <t xml:space="preserve">first upper molar </t>
  </si>
  <si>
    <t xml:space="preserve">second upper molar </t>
  </si>
  <si>
    <t>UM3</t>
  </si>
  <si>
    <t xml:space="preserve">third upper molar </t>
  </si>
  <si>
    <t>UP2</t>
  </si>
  <si>
    <t>second upper premolar</t>
  </si>
  <si>
    <t>UP3</t>
  </si>
  <si>
    <t>third upper premolar</t>
  </si>
  <si>
    <t>Blanco creek</t>
  </si>
  <si>
    <t>Goloiad</t>
  </si>
  <si>
    <t>M2</t>
  </si>
  <si>
    <t>second molar</t>
  </si>
  <si>
    <t>x</t>
  </si>
  <si>
    <t>Perissodactyla</t>
  </si>
  <si>
    <t>Salt Fork Brazos River</t>
  </si>
  <si>
    <t>Stonewall</t>
  </si>
  <si>
    <t>M1</t>
  </si>
  <si>
    <t>first molar</t>
  </si>
  <si>
    <t>M3</t>
  </si>
  <si>
    <t>third molar</t>
  </si>
  <si>
    <t>P2</t>
  </si>
  <si>
    <t>second premolar</t>
  </si>
  <si>
    <t>P3</t>
  </si>
  <si>
    <t>third premolar</t>
  </si>
  <si>
    <t>Chlamyphoridae</t>
  </si>
  <si>
    <t>Glyptotherium</t>
  </si>
  <si>
    <t>floridanum</t>
  </si>
  <si>
    <t>O'Brian Ranch</t>
  </si>
  <si>
    <t>Bee</t>
  </si>
  <si>
    <t>M</t>
  </si>
  <si>
    <t>molar</t>
  </si>
  <si>
    <t>Tayassuidae</t>
  </si>
  <si>
    <t>Platygonus</t>
  </si>
  <si>
    <t>compressus</t>
  </si>
  <si>
    <t>Scharbauer Ranch</t>
  </si>
  <si>
    <t>Midland</t>
  </si>
  <si>
    <t>third upper molar</t>
  </si>
  <si>
    <t>Antilocapridae</t>
  </si>
  <si>
    <t>Antilocapra</t>
  </si>
  <si>
    <t>americana</t>
  </si>
  <si>
    <t>Morhiss Mound</t>
  </si>
  <si>
    <t>Victoria</t>
  </si>
  <si>
    <t>Radius</t>
  </si>
  <si>
    <t>proximal end of radius</t>
  </si>
  <si>
    <t>Log(body mass)= (2.4301)*log(R4) + 0.3842</t>
  </si>
  <si>
    <t>Scott, K.M. 1990. Damuth and MacFadden, Table 16.7, Cervids only</t>
  </si>
  <si>
    <t>Camelidae</t>
  </si>
  <si>
    <t>Camelops</t>
  </si>
  <si>
    <t>hesternus</t>
  </si>
  <si>
    <t>n/a</t>
  </si>
  <si>
    <t>Texas</t>
  </si>
  <si>
    <t>Mayfield Ranch</t>
  </si>
  <si>
    <t>Briscoe</t>
  </si>
  <si>
    <t>LM2</t>
  </si>
  <si>
    <t>Nothrotheriidae</t>
  </si>
  <si>
    <t>Nothrotherium</t>
  </si>
  <si>
    <t>Old Glory</t>
  </si>
  <si>
    <t>HuAPD</t>
  </si>
  <si>
    <t xml:space="preserve"> mid-shaft diameter</t>
  </si>
  <si>
    <t>breadth of epicondyles</t>
  </si>
  <si>
    <t>second lower molar</t>
  </si>
  <si>
    <t>x; subadult</t>
  </si>
  <si>
    <t>Artiodactyla</t>
  </si>
  <si>
    <t>Paleolama</t>
  </si>
  <si>
    <t>mirifica</t>
  </si>
  <si>
    <t>Cervidae</t>
  </si>
  <si>
    <t>Odocoileus</t>
  </si>
  <si>
    <t>Wunderlich site</t>
  </si>
  <si>
    <t>Comal</t>
  </si>
  <si>
    <t>Holocene</t>
  </si>
  <si>
    <t>Log(body mass)= (1.638)*log(SLMA) +1.474</t>
  </si>
  <si>
    <t>Janis C.M 1990. Damuth and MacFadden, Table 16.8, Cervids</t>
  </si>
  <si>
    <t>y</t>
  </si>
  <si>
    <t>LP2</t>
  </si>
  <si>
    <t>second lower premolar</t>
  </si>
  <si>
    <t>Log(body mass)= (3.399)*log(TLPL) +1.556</t>
  </si>
  <si>
    <t>no premolar area equations given by Janis, and premolar length equations have better r squared</t>
  </si>
  <si>
    <t>LP3</t>
  </si>
  <si>
    <t xml:space="preserve"> third lower premolar</t>
  </si>
  <si>
    <t>Antilocapra or Stockoceros</t>
  </si>
  <si>
    <t>log Mass = 1.57(log LM2Area) + 1.32</t>
  </si>
  <si>
    <t>Damuth 1990. Damuth &amp; MacFadden, Table 16.9, all selenodonts</t>
  </si>
  <si>
    <t>multiple measurement; also we had Upper and Specify says lower</t>
  </si>
  <si>
    <t xml:space="preserve">third lower molar </t>
  </si>
  <si>
    <t>Sheep Shelter</t>
  </si>
  <si>
    <t>Hill</t>
  </si>
  <si>
    <t>Log(body mass)= (1.561)*log(TLMA) +1.346</t>
  </si>
  <si>
    <t>LP4</t>
  </si>
  <si>
    <t xml:space="preserve"> fourth lower premolar</t>
  </si>
  <si>
    <t>log Mass = 1.6(log UM2Area) + 0.99</t>
  </si>
  <si>
    <t>Tapiridae</t>
  </si>
  <si>
    <t>Tapirus</t>
  </si>
  <si>
    <t>veroensis</t>
  </si>
  <si>
    <t>Friesenhahn Cave</t>
  </si>
  <si>
    <t>Kincaid Shelter</t>
  </si>
  <si>
    <t>Uvalde</t>
  </si>
  <si>
    <t>UP4</t>
  </si>
  <si>
    <t>fourth upper premolar</t>
  </si>
  <si>
    <t>log Mass = 1.52(log UP4Area)+1.61</t>
  </si>
  <si>
    <t>inventory says this is from the same maxilla as duplicate number - may need to remove one of these measurements</t>
  </si>
  <si>
    <t>Lundelius 1972b</t>
  </si>
  <si>
    <t>ISOTOPE SHEET _ TABLE S4:  AV deleted the data from Koch, 2004 and Yann, 2016 and reenterd that data from her most recent spreadsheet. The values are now correct. All enamel specimens should now have corrected D13C values.</t>
  </si>
  <si>
    <t>AV also corrected the spelling of Equiidae to Equidae for all equids</t>
  </si>
  <si>
    <t>AV renamed D18O coulmn to D18O VSMOW</t>
  </si>
  <si>
    <t>24 Feb 20121</t>
  </si>
  <si>
    <t>Continued checking via Specify portal.</t>
  </si>
  <si>
    <t>Bison sp. 892-4, we have listed as B. latifrons/antiquus (probably based on Johnson 1976). We have listed as LM1 - specify as a metacarpal/metatarsal. Removed the ID since this doesn't correspond.</t>
  </si>
  <si>
    <t>Equus 892-299 tooth 'unidentified'; we have it as a M3; left as is</t>
  </si>
  <si>
    <t>Equus 892-450 listed as metacarpal; we had metatarsal. Changed.</t>
  </si>
  <si>
    <t>originally had number 933-366, but this was a Mammuthus columbi, and I believe this is actually 933-3666, which is a Canis latrans with a p/3</t>
  </si>
  <si>
    <t>Canis</t>
  </si>
  <si>
    <t>latrans</t>
  </si>
  <si>
    <t>Log(body mass, g) = 3.3177*Log(Lower Premolar Length, mm (LP3, LP4)) + 0.5544</t>
  </si>
  <si>
    <t>Present Study</t>
  </si>
  <si>
    <t xml:space="preserve">r2s: 0.8491; %Pes: </t>
  </si>
  <si>
    <t>there is only one Urocyon in 892 site that is a skull, I therefore changed it to that tmm id: 892-291 instead of the 892-2E we originally had</t>
  </si>
  <si>
    <t>Specify: Bison</t>
  </si>
  <si>
    <t>Carnivora</t>
  </si>
  <si>
    <t>Urocyon</t>
  </si>
  <si>
    <t>2E</t>
  </si>
  <si>
    <t>Lubbock Lake</t>
  </si>
  <si>
    <t>Lubbock</t>
  </si>
  <si>
    <t>Log(body mass, g) = 2.93*Log(Lower First Molar Length, mm (LM1)) + 0.27</t>
  </si>
  <si>
    <t>Pardi  2016</t>
  </si>
  <si>
    <t>r2s: 0.96; %Pes: 12.4</t>
  </si>
  <si>
    <t>orginally had ID as 30967 - 977-4, which is an alternate catalogue number for 30967-299&amp;300, we already have 300, so converted to 299</t>
  </si>
  <si>
    <t>dirus</t>
  </si>
  <si>
    <t>977-4</t>
  </si>
  <si>
    <t>Pardi 2016</t>
  </si>
  <si>
    <t>tooth (incisor) (1)</t>
  </si>
  <si>
    <t>repeated specimen, different measurement</t>
  </si>
  <si>
    <t>na</t>
  </si>
  <si>
    <t>Unknown</t>
  </si>
  <si>
    <t>Modern</t>
  </si>
  <si>
    <t>SKL</t>
  </si>
  <si>
    <t>length of cranium</t>
  </si>
  <si>
    <t>?</t>
  </si>
  <si>
    <t>Log(body mass , g) = 3.58*Log(Skull length, mm(SkL)) + -4</t>
  </si>
  <si>
    <t>r2s: 0.99; %Pes: 8</t>
  </si>
  <si>
    <t>Red Rock</t>
  </si>
  <si>
    <t>12 mi S of Austin on interstate 35</t>
  </si>
  <si>
    <t>we had a repeated entry of 40541-266 correctly id'd as a tibia, but the only second lower premolar from 40541 is 309, so changed to that</t>
  </si>
  <si>
    <t>x: converted from 40541-266 to 40541-309</t>
  </si>
  <si>
    <t>Vulpes</t>
  </si>
  <si>
    <t>Starveout Cave</t>
  </si>
  <si>
    <t>Carson</t>
  </si>
  <si>
    <t>tibia left, without proximal end (1)</t>
  </si>
  <si>
    <t>previously marked as 40449-34x. I'm fairly certain this is another 349 as in Specify it has 7 phalanx for Canis, and 40449-34 is a Neotoma</t>
  </si>
  <si>
    <t>x: metadata note</t>
  </si>
  <si>
    <t>Levi Shelter</t>
  </si>
  <si>
    <t>Travis</t>
  </si>
  <si>
    <t>Phalanx-1</t>
  </si>
  <si>
    <t>phalanx</t>
  </si>
  <si>
    <t>N/A</t>
  </si>
  <si>
    <t>Fixed Leporidae data - rows of measurements had been shifts right and were in mm not cm. Fixed issues with equations and standardized equation references</t>
  </si>
  <si>
    <t>ISOTOPE SHEET _ TABLE S4:  AV corrected Koch values for D13Craw and verified that VSMOW values were correct. Verfied that Yann 2016 D13C and D18O values are also correct.</t>
  </si>
  <si>
    <t>ISOTOPE SHEET _ TABLE S4:  AV checked every Koch value and most of the Yann values and verfied that they were correct; AV added new corrected D13C values to the table for ruminants and non-ruminants in the Koch dataset</t>
  </si>
  <si>
    <t>added sheet for enamel vs. collagen t-tests</t>
  </si>
  <si>
    <t xml:space="preserve">Entered and fixed mass equations for Artiodactlys that were the Bison </t>
  </si>
  <si>
    <t>6-8 April</t>
  </si>
  <si>
    <t>Tsubamoto 2014 regressions were in log 10, not natural ln (although those in 2019 were in natural ln); fixed measurements that used wrong logs. Did mass conversions for rest of Astralagus/calcalceum, downloaded and cleaned up raw bovid data; emma  ran more regressions on Mendoza et al. 2006 to fill in some elements; those are in mammal body mass regression workbook</t>
  </si>
  <si>
    <t>body mass values that I question are in red; we need to check those. I worry that L, W and D measures were mixed for the ankle/heel bones. Should try all 3 regressions to see what yields reasonable results for questionable values.</t>
  </si>
  <si>
    <t>Specify is still down</t>
  </si>
  <si>
    <t>12-14 April</t>
  </si>
  <si>
    <t>Doing mass for Equids</t>
  </si>
  <si>
    <t xml:space="preserve">UPDATED ALL ISOTOPE SUMMARIES FOR SPECIES IN TABLE ONE. IT JUST NOW NEEDS BODY MASS TO BE COMPLETE; NOTE THAT deleted this row in table 1 since it's a duplicate of the Felis weidii. Need to decide what to call it. ALSO, THE NUMBER OF SIA SAMPLES DOESN'T MATCH UP WITH TABLE S4 - I SUSPECT SOME DISINEGRATED BEFORE ANALYSIS. THOSE SHOULD BE ADDED IN. </t>
  </si>
  <si>
    <t>Herpailurus</t>
  </si>
  <si>
    <t>yaguarondi</t>
  </si>
  <si>
    <t>Jaguarundi</t>
  </si>
  <si>
    <t>carnivore</t>
  </si>
  <si>
    <t>double checked some wonky BS estimates against the original datasheet - several were ends and not overlengths of long bones. These are now fixed. Also, noticed that Mel's data seem to be in the large mammal morphology file and seem reasonable there. Perhaps this could be our source?</t>
  </si>
  <si>
    <t>FAs</t>
  </si>
  <si>
    <t>Going through and using lengths, not areas for the teeth. The r2 values are generally higher anyway, and I think it would be nice to use the same dimensionality when we can. This means changing LOTS of the equations. Also noticing that when we use equations on mels data, we get different masses, that seem more reasonable ...</t>
  </si>
  <si>
    <t>Also, Table 16.8 is better than Table 16.9. Former has N=3 for each species, versus N=1; restricted to adults, and overall looked at 137 species vs 95.</t>
  </si>
  <si>
    <t>Going through and trying to use it preferentially where possible.</t>
  </si>
  <si>
    <t>And, as I double check things, am finding equations in mm, that should be in cm and so forth! Argh!</t>
  </si>
  <si>
    <t>18-20 April</t>
  </si>
  <si>
    <t>continuing to go line by line checking equations. Have now finished and highlighted in red those that we have an issue with OR that are missing</t>
  </si>
  <si>
    <t>Per Cat, have deleted Mel's canids (N=254); she'll put those back in after she finishes checking them.</t>
  </si>
  <si>
    <t>There were 3 very large camels - 5 and 6 tons! I think this was a case where the LM1 was actually the LM3 - when I used that equation, the numbers were very reasonable ~1 ton. Double check these in specify, when it is working again. I made notes in the comments column. I suspect this was an issue with several camels.</t>
  </si>
  <si>
    <t>We need UP4 equations for felids and then equations of all sorts for the sloths and probiscideans</t>
  </si>
  <si>
    <t xml:space="preserve">Added Mel's canid data back in from table in dissertation with only element and body mass given, no measurements. </t>
  </si>
  <si>
    <t>Re-entered the Specify information on the Odocoileus</t>
  </si>
  <si>
    <t>REPEAT REMOVE</t>
  </si>
  <si>
    <t>length of third molar</t>
  </si>
  <si>
    <t xml:space="preserve"> Log(Body mass, g) = average [3.35*Log(LM3, mm) + 0.35, 3.29*Log(UM3) + 0.8]</t>
  </si>
  <si>
    <t>Selenodont browser, Table 16.9; Damuth and MacFadden 1990</t>
  </si>
  <si>
    <t xml:space="preserve">Removed above repeat specimen. Specify rows that have been left blank are to go back and check once Specify is back up as these specimens weren't found in the TMM All Specimen Spreadsheet. </t>
  </si>
  <si>
    <t>Lynx</t>
  </si>
  <si>
    <t>rufus</t>
  </si>
  <si>
    <t>Humerus, epicondyle breadth</t>
  </si>
  <si>
    <t>40449-563</t>
  </si>
  <si>
    <t>First Lower Molar</t>
  </si>
  <si>
    <t>908-4325</t>
  </si>
  <si>
    <t>familiaris/latrans</t>
  </si>
  <si>
    <t>933-3672</t>
  </si>
  <si>
    <t>Fourth Upper Premolar</t>
  </si>
  <si>
    <t>933-3673</t>
  </si>
  <si>
    <t>Removed above repeat specimens because were measured by both Present study and Pardi, and kept the Present study measurements</t>
  </si>
  <si>
    <t>Filled in genus and species for canids from MSB collections from Arctos</t>
  </si>
  <si>
    <t>went through bovids. Calculated the range of sizes expected for M1, M2 and M3 based on those elements definitively Ided. Anything in the 5mm+ is definitely a M3, anything in the 4mm range can't be a M1, so changed those animals accordingly. Can't really tell for some (good guesses, maybe, but thats what they would be</t>
  </si>
  <si>
    <t>unless and until Specify comes back up!), so left those. Highlighted in red, rows that were changed. If Specify works again, we should double check these (or check them against the old TMM master sheet).</t>
  </si>
  <si>
    <t>went to do measurements for sloths. Read a bunch of Richard Farina papers. Turns out that he has used Scott's general ungulate model for all his sloth body size regressions! Not even a general mammal model, but one for ungulates. Downloaded Campione and Evans 2012</t>
  </si>
  <si>
    <t xml:space="preserve">data; this is on a wide segment of mammals. Emma is running regressions on Femur and Humerus Lengths and midshaft circumference from these to use. </t>
  </si>
  <si>
    <t>According to Rosy, Circuf = Pi * Diameter. So, if we have a diameter, and multiply it by Pi, we can plug that value into our circumferance equations. I have done so for the Femur and Humerus MAPD measurements. Also, if had nothing else, used Ungulates for sloths! Although, fortunately most do have some sort of better regression available.</t>
  </si>
  <si>
    <t>Went through Lundelius 1972b paper - got designations for those Bison (antiquus) and added in a few specimens that we didn't have.</t>
  </si>
  <si>
    <t>29/30 April 2021</t>
  </si>
  <si>
    <t>did a few more regression using equations in literature (Figuierido et al. 2010, etc.); estimated mass on some very large camel molars from LM1 to LM3 (in that size range); estimates make sense. We need to check these in specify.</t>
  </si>
  <si>
    <t>25/26 May 2021</t>
  </si>
  <si>
    <t>Updated Bison morphology data to reflect changes in molar classifications according to graphed distributions. Molars with changed classifications are in red</t>
  </si>
  <si>
    <t>June 21 2021</t>
  </si>
  <si>
    <t>updated some felids using paper finally sent by Christiansen and Harris 2005 (Humerus measurements)</t>
  </si>
  <si>
    <t>we measured Mylohyus nasutus (long-nosed peccary) from Frieshenham, but didn't have it in our community? Added to Table 1. Also, check over the sloths. We have some species measured that are also not in table 1. perhaps synomies?</t>
  </si>
  <si>
    <t>updated Tayassu to Pecari tajacu (current nomenclature)</t>
  </si>
  <si>
    <t>used better equations for dire wolves and some smilodon, which got rid of the ridiculous 500 kg animals.</t>
  </si>
  <si>
    <t>fixed equations for Procyon, which changed the ridiculous 60 kg animals to normal masses.</t>
  </si>
  <si>
    <t>imported data into SPSS and calculated averages for Pleistocene/Holocene animals. Still have to do the canids and bison (was hard to do because couldn't run on species or genus name- may have to do by hand in excel)</t>
  </si>
  <si>
    <t>24-25 June 2021</t>
  </si>
  <si>
    <t>Combed data more - assigned indet canidae that were &gt;10 kg to canids not foxes; computed averages for canids etc. Table 1 is done except for Bison.</t>
  </si>
  <si>
    <t>Need to verify that any of the name changes in morphology are reflected in the isotope sheet. Does anything have to change there?</t>
  </si>
  <si>
    <t>27-29 June</t>
  </si>
  <si>
    <t>Specify now up; checked all bison in both morphology and isotopes; changed to actual name given in Specify or in a pub. Redid means in Table 1. Also, doing this for foxes, since we have enough data to do them separately (not that it matters, really, because they are the same)</t>
  </si>
  <si>
    <t>Oh no! Just discovered my changes werent' saved and now I have to do it all again! Only said latifrons if EITHER Specify says so, or the LM3&gt;5 (rounded to a digit!); this is conservative - perhaps move more of the 'sp.' into latifrons based on molars? Or leave alone since it doesnt matter much and we have tons of B. antiquus now</t>
  </si>
  <si>
    <t>Ok. I have redone all this work. Bison are now correct in all 3 main tables (summary, morphology and isotopes).</t>
  </si>
  <si>
    <t>Went through and checked all canids against Specify as well. Broke down the foxes into species, and separated coyotes and dogs as well. Species that have been classified</t>
  </si>
  <si>
    <t>based on their body mass (from table 1) are indicated by (cf) I suppose, technically, the 'cf' should preceed the name, but that would cause difficulties in sorting so I put it at the end.</t>
  </si>
  <si>
    <t>Found 3 duplicate isotope values for bison and deleted</t>
  </si>
  <si>
    <t>Vulpes - checked for species; indicated if listed somewhere.</t>
  </si>
  <si>
    <t>DO Vulpes velox and V. macrotis together:  Vulpes velox - swift fox, 2.2 kg and Vulpes macrotis - kit fox, 2.1 kg</t>
  </si>
  <si>
    <t>Vulpes vulpes - red fox, 4.1 kg   (keep this separate if possible, also consider that size changes in Vulpes could be the result of different species)</t>
  </si>
  <si>
    <t>Urocyon - gray fox, 4.1 kg</t>
  </si>
  <si>
    <t>Changed below from Pleistocene/Holocene to "Pleistocene" since species is "anitiquus"</t>
  </si>
  <si>
    <t>x; name Johnson 1976</t>
  </si>
  <si>
    <t>Bovidae</t>
  </si>
  <si>
    <t>Bison</t>
  </si>
  <si>
    <t>antiquus</t>
  </si>
  <si>
    <t>Pleistocene/Holocene</t>
  </si>
  <si>
    <t>Johnson 1976</t>
  </si>
  <si>
    <t>CaL</t>
  </si>
  <si>
    <t>length of calcaneum, and width of distal end</t>
  </si>
  <si>
    <t>Ln(Body mass, g) = 2.969*Ln(CaL, mm) - 1.611</t>
  </si>
  <si>
    <t>Tsubamoto 2019. Table 3, land mammals</t>
  </si>
  <si>
    <t>2B</t>
  </si>
  <si>
    <t>na but in Johnson 1976</t>
  </si>
  <si>
    <t>TTU-A-2578</t>
  </si>
  <si>
    <t>AsL</t>
  </si>
  <si>
    <t>length of astragalus</t>
  </si>
  <si>
    <t>Log(Body mass, g) = 3.125*Log(AsL, mm) -0.463</t>
  </si>
  <si>
    <t>all terrestrial mammals, Table 1; Tsubamoto 2014</t>
  </si>
  <si>
    <t>Changed below from Holocene? to Pleistocene since species is dirus</t>
  </si>
  <si>
    <t>dirus (cf)</t>
  </si>
  <si>
    <t>Holocene?</t>
  </si>
  <si>
    <t xml:space="preserve">length of second upper molar </t>
  </si>
  <si>
    <t>Log(Body mass, g) = 3.413*(Log (UM2, mm) +1.29</t>
  </si>
  <si>
    <t>Canids, Present study</t>
  </si>
  <si>
    <t>based on size, assigning to C. dirus</t>
  </si>
  <si>
    <t>Changed below from Carnivora to Didelphimorphia</t>
  </si>
  <si>
    <t>Didelphidae</t>
  </si>
  <si>
    <t>Didelphis</t>
  </si>
  <si>
    <t>length of fourth upper premolar</t>
  </si>
  <si>
    <t>Log(Body mass, g) = 3.399*Log(UP4, mm) + 0.753</t>
  </si>
  <si>
    <t>Uploaded table 11.6 with edits from Felisa prior to new Table calculations and mass t-tests</t>
  </si>
  <si>
    <t>added Holmesina septentrionalis to Table 1</t>
  </si>
  <si>
    <t>Table 1 Mass info updated</t>
  </si>
  <si>
    <t>specify does say its a LP4</t>
  </si>
  <si>
    <t>length of fourth lower premolar</t>
  </si>
  <si>
    <t>value divided by 1.37861292669638 to standardize to LM1 measurements for equation</t>
  </si>
  <si>
    <t>Log(Body mass, g) = 3.01*Log (LP4, mm) +0.936</t>
  </si>
  <si>
    <t>Felids; Present Study</t>
  </si>
  <si>
    <t>CONVERTED TO A UP4</t>
  </si>
  <si>
    <t>Log(Body mass, g) = 3.0129*Log (LP4, mm) +0.9356</t>
  </si>
  <si>
    <t>Felids, Present study (LP4&gt;LP3, but ?UP4)</t>
  </si>
  <si>
    <t>x; juv</t>
  </si>
  <si>
    <t>Status</t>
  </si>
  <si>
    <t>Order</t>
  </si>
  <si>
    <t>Family</t>
  </si>
  <si>
    <t xml:space="preserve">Genus </t>
  </si>
  <si>
    <t>Species</t>
  </si>
  <si>
    <t>Common Name</t>
  </si>
  <si>
    <t>Main Trophic Category</t>
  </si>
  <si>
    <t>Body Mass (kg)</t>
  </si>
  <si>
    <t>MOM Log Mass (g)</t>
  </si>
  <si>
    <t>N mass</t>
  </si>
  <si>
    <t>Site Specific  Mass (kg)</t>
  </si>
  <si>
    <t>Site Specific Mass Stdev</t>
  </si>
  <si>
    <t>N collagen</t>
  </si>
  <si>
    <t>Mean Collagen δ13C (‰)</t>
  </si>
  <si>
    <t>Collagen δ13C Stdev  (‰)</t>
  </si>
  <si>
    <t>Mean δ15N  (‰)</t>
  </si>
  <si>
    <t>Mean δ15N Stdev  (‰)</t>
  </si>
  <si>
    <t>N enamel</t>
  </si>
  <si>
    <t>Corrected enamel δ13C  (‰)</t>
  </si>
  <si>
    <t>Mean Enamel δ13C Stdev  (‰)</t>
  </si>
  <si>
    <t xml:space="preserve">Number sampled for Stable Isotope Analysis </t>
  </si>
  <si>
    <t>Mean Collagen δ13C  (‰)</t>
  </si>
  <si>
    <t xml:space="preserve"> Collagen δ13C Stdev  (‰)</t>
  </si>
  <si>
    <t xml:space="preserve"> δ15N Stdev  (‰)</t>
  </si>
  <si>
    <t>Mean corrected enamel δ13C  (‰)</t>
  </si>
  <si>
    <t xml:space="preserve"> Enamel δ13C Stdev  (‰)</t>
  </si>
  <si>
    <t>Comments</t>
  </si>
  <si>
    <t>Extant</t>
  </si>
  <si>
    <t>Pronghorn</t>
  </si>
  <si>
    <t>browser</t>
  </si>
  <si>
    <t>Extinct</t>
  </si>
  <si>
    <t>Capromeryx</t>
  </si>
  <si>
    <t>minor</t>
  </si>
  <si>
    <t>Dwarf pronghorn</t>
  </si>
  <si>
    <t>bdl</t>
  </si>
  <si>
    <t>Stockoceros</t>
  </si>
  <si>
    <t>Four-horned pronghorn</t>
  </si>
  <si>
    <t>Tetrameryx</t>
  </si>
  <si>
    <t>shuleri</t>
  </si>
  <si>
    <t>Ancient bison</t>
  </si>
  <si>
    <t>grazer</t>
  </si>
  <si>
    <t>bison</t>
  </si>
  <si>
    <t>latifrons</t>
  </si>
  <si>
    <t>Long-horned bison</t>
  </si>
  <si>
    <r>
      <t xml:space="preserve">either </t>
    </r>
    <r>
      <rPr>
        <i/>
        <sz val="11"/>
        <color theme="1"/>
        <rFont val="AdobeDevanagari-Regular"/>
      </rPr>
      <t>B. latifrons</t>
    </r>
    <r>
      <rPr>
        <sz val="11"/>
        <color theme="1"/>
        <rFont val="AdobeDevanagari-Regular"/>
      </rPr>
      <t xml:space="preserve"> or </t>
    </r>
    <r>
      <rPr>
        <i/>
        <sz val="11"/>
        <color theme="1"/>
        <rFont val="AdobeDevanagari-Regular"/>
      </rPr>
      <t>B. antiquus</t>
    </r>
  </si>
  <si>
    <t xml:space="preserve">Bootherium </t>
  </si>
  <si>
    <r>
      <t>bombifrons</t>
    </r>
    <r>
      <rPr>
        <i/>
        <vertAlign val="superscript"/>
        <sz val="12"/>
        <color theme="1"/>
        <rFont val="AdobeDevanagari-Regular"/>
      </rPr>
      <t>1</t>
    </r>
  </si>
  <si>
    <t>Woodland muskox</t>
  </si>
  <si>
    <t>mixed feeder</t>
  </si>
  <si>
    <t>Yesterday's camel</t>
  </si>
  <si>
    <t>Hemiauchenia</t>
  </si>
  <si>
    <t>macrocephala</t>
  </si>
  <si>
    <t>Large-headed llama</t>
  </si>
  <si>
    <t>Palaeolama</t>
  </si>
  <si>
    <t>Stout-legged llama</t>
  </si>
  <si>
    <t>Navahoceros</t>
  </si>
  <si>
    <t>fricki</t>
  </si>
  <si>
    <t>American mountain deer</t>
  </si>
  <si>
    <t>NA</t>
  </si>
  <si>
    <t>sp</t>
  </si>
  <si>
    <t>Deer</t>
  </si>
  <si>
    <t>Mylohyus</t>
  </si>
  <si>
    <t>nasutus</t>
  </si>
  <si>
    <t>Long-nosed peccary</t>
  </si>
  <si>
    <t>Browser</t>
  </si>
  <si>
    <t>Pecari</t>
  </si>
  <si>
    <t>tajacu</t>
  </si>
  <si>
    <t>Collared peccary</t>
  </si>
  <si>
    <t>Flat-headed peccary</t>
  </si>
  <si>
    <t>Dire wolf</t>
  </si>
  <si>
    <t>familiaris</t>
  </si>
  <si>
    <t>domestic dog</t>
  </si>
  <si>
    <t xml:space="preserve">coyote  </t>
  </si>
  <si>
    <t>Modern N=63, Mean=12.0 +2.58</t>
  </si>
  <si>
    <t>latrans/familiaris</t>
  </si>
  <si>
    <t>coyote or dog</t>
  </si>
  <si>
    <t>lupus</t>
  </si>
  <si>
    <t>Wolf</t>
  </si>
  <si>
    <t>Modern N=29, Mean=21.7+3.28</t>
  </si>
  <si>
    <t>Extant/ Extinct</t>
  </si>
  <si>
    <t>wolf, coyote or dog</t>
  </si>
  <si>
    <t>cinereoargentous</t>
  </si>
  <si>
    <t>Grey fox</t>
  </si>
  <si>
    <t>Modern N=15, Mean=2.5+0.33</t>
  </si>
  <si>
    <t>Urocyon/Vulpes</t>
  </si>
  <si>
    <t>Grey or red fox</t>
  </si>
  <si>
    <t>swift, kit or red  fox</t>
  </si>
  <si>
    <r>
      <rPr>
        <i/>
        <sz val="10"/>
        <color theme="1"/>
        <rFont val="AdobeDevanagari-Regular"/>
      </rPr>
      <t xml:space="preserve">Modern: V. macrotis, </t>
    </r>
    <r>
      <rPr>
        <sz val="10"/>
        <color theme="1"/>
        <rFont val="AdobeDevanagari-Regular"/>
      </rPr>
      <t xml:space="preserve">N=18, Mean =2.3+0.33; </t>
    </r>
    <r>
      <rPr>
        <i/>
        <sz val="10"/>
        <color theme="1"/>
        <rFont val="AdobeDevanagari-Regular"/>
      </rPr>
      <t>V. velox</t>
    </r>
    <r>
      <rPr>
        <sz val="10"/>
        <color theme="1"/>
        <rFont val="AdobeDevanagari-Regular"/>
      </rPr>
      <t xml:space="preserve">, N=15, Mean =2.6+0.65; </t>
    </r>
    <r>
      <rPr>
        <i/>
        <sz val="10"/>
        <color theme="1"/>
        <rFont val="AdobeDevanagari-Regular"/>
      </rPr>
      <t>V. vulpes</t>
    </r>
    <r>
      <rPr>
        <sz val="10"/>
        <color theme="1"/>
        <rFont val="AdobeDevanagari-Regular"/>
      </rPr>
      <t>, N=2, Mean=3.4+1.13</t>
    </r>
  </si>
  <si>
    <t>Homotherium</t>
  </si>
  <si>
    <t>Scimitar cat</t>
  </si>
  <si>
    <t>Leopardus (Felis )</t>
  </si>
  <si>
    <t>wiedii (amnicola)</t>
  </si>
  <si>
    <t>margay</t>
  </si>
  <si>
    <t>Bobcat</t>
  </si>
  <si>
    <t>Modern N=16, Mean =11.7+2.26</t>
  </si>
  <si>
    <t>Panthera</t>
  </si>
  <si>
    <t>leo atrox</t>
  </si>
  <si>
    <t>Cave lion</t>
  </si>
  <si>
    <t>onca</t>
  </si>
  <si>
    <t>Jaguar</t>
  </si>
  <si>
    <t>Puma</t>
  </si>
  <si>
    <t>concolor</t>
  </si>
  <si>
    <t>Mountain lion</t>
  </si>
  <si>
    <t xml:space="preserve">Smilodon </t>
  </si>
  <si>
    <t>Saber-toothed cat</t>
  </si>
  <si>
    <t>Mephitidae</t>
  </si>
  <si>
    <t>Conepatus</t>
  </si>
  <si>
    <t>leuconotus</t>
  </si>
  <si>
    <t>Hog-nosed skunk</t>
  </si>
  <si>
    <t>insectivore</t>
  </si>
  <si>
    <t>Mephitis</t>
  </si>
  <si>
    <t>mephitis</t>
  </si>
  <si>
    <t>Striped skunk</t>
  </si>
  <si>
    <t>omnivore</t>
  </si>
  <si>
    <t>Modern N=16, Mean =1.54 +0.36</t>
  </si>
  <si>
    <t>Spilogale</t>
  </si>
  <si>
    <t>skunk</t>
  </si>
  <si>
    <t>Indet.</t>
  </si>
  <si>
    <t>Weasel or baadger</t>
  </si>
  <si>
    <t xml:space="preserve">Taxidea </t>
  </si>
  <si>
    <t>taxus</t>
  </si>
  <si>
    <t>Badger</t>
  </si>
  <si>
    <t>Procyonidae</t>
  </si>
  <si>
    <t>Bassariscus</t>
  </si>
  <si>
    <t>astutus</t>
  </si>
  <si>
    <t>Ring-tailed cat</t>
  </si>
  <si>
    <t>Modern N=16, Mean=1.5+0.84</t>
  </si>
  <si>
    <t>Raccoon</t>
  </si>
  <si>
    <t>Arctodus</t>
  </si>
  <si>
    <t>simus</t>
  </si>
  <si>
    <t>Short-faced bear</t>
  </si>
  <si>
    <t>Florida spectacled bear</t>
  </si>
  <si>
    <t>Black bear</t>
  </si>
  <si>
    <t>Cingulata</t>
  </si>
  <si>
    <t>Dasypodidae</t>
  </si>
  <si>
    <t>Dasypus</t>
  </si>
  <si>
    <t>bellus</t>
  </si>
  <si>
    <t>armadillo</t>
  </si>
  <si>
    <t>novemcinctus</t>
  </si>
  <si>
    <t>Glyptodontidae</t>
  </si>
  <si>
    <r>
      <t>Glyptotherium</t>
    </r>
    <r>
      <rPr>
        <i/>
        <vertAlign val="superscript"/>
        <sz val="12"/>
        <color theme="1"/>
        <rFont val="AdobeDevanagari-Regular"/>
      </rPr>
      <t>2</t>
    </r>
  </si>
  <si>
    <t>Glyptodont</t>
  </si>
  <si>
    <t>Pampatheriidae</t>
  </si>
  <si>
    <t>Holmesina</t>
  </si>
  <si>
    <t>septentrionalis</t>
  </si>
  <si>
    <t>Pampathere</t>
  </si>
  <si>
    <t>grazer/mixed-feeder</t>
  </si>
  <si>
    <t>Didelphimorphia</t>
  </si>
  <si>
    <t>virginiana</t>
  </si>
  <si>
    <t>Virginia opossum</t>
  </si>
  <si>
    <t>Lagomorpha</t>
  </si>
  <si>
    <t>Leporidae</t>
  </si>
  <si>
    <t>Lepus</t>
  </si>
  <si>
    <r>
      <t>californicus</t>
    </r>
    <r>
      <rPr>
        <sz val="12"/>
        <color theme="1"/>
        <rFont val="Adobe Devanagari"/>
      </rPr>
      <t xml:space="preserve"> </t>
    </r>
  </si>
  <si>
    <t>Jackrabbit</t>
  </si>
  <si>
    <t>Modern N=6, Mean = 2.6+0.28</t>
  </si>
  <si>
    <t>Sylvilagus</t>
  </si>
  <si>
    <t>Cottontail rabbit</t>
  </si>
  <si>
    <t>Modern N=11, Mean = 1.35+0.8</t>
  </si>
  <si>
    <t>Equidae</t>
  </si>
  <si>
    <t xml:space="preserve">sp. </t>
  </si>
  <si>
    <t>Horse</t>
  </si>
  <si>
    <t>Vero tapir</t>
  </si>
  <si>
    <t>Pilosa</t>
  </si>
  <si>
    <t>Megalonychidae</t>
  </si>
  <si>
    <t>Megalonyx</t>
  </si>
  <si>
    <t>jeffersonii</t>
  </si>
  <si>
    <t>Jefferson's ground sloth</t>
  </si>
  <si>
    <t>Mylodontidae</t>
  </si>
  <si>
    <t>Paramylodon</t>
  </si>
  <si>
    <t>harlani</t>
  </si>
  <si>
    <t>Harlan's ground sloth</t>
  </si>
  <si>
    <t>Proboscidea</t>
  </si>
  <si>
    <t>Elephantidae</t>
  </si>
  <si>
    <t>Mammuthus</t>
  </si>
  <si>
    <t>Mammoth</t>
  </si>
  <si>
    <t>Gomphotheriidae</t>
  </si>
  <si>
    <t>Cuvieronius</t>
  </si>
  <si>
    <t>Gomphothere</t>
  </si>
  <si>
    <t>Mammutidae</t>
  </si>
  <si>
    <t>Mammut</t>
  </si>
  <si>
    <t>americanum</t>
  </si>
  <si>
    <t>Mastodon</t>
  </si>
  <si>
    <t xml:space="preserve">  1 Animal known from aDNA conducted on sediments and bulk bone samples at Hall's Cave; no bones available for morphology or isotopes</t>
  </si>
  <si>
    <t xml:space="preserve"> 2 Only reported from oldest deposits</t>
  </si>
  <si>
    <t xml:space="preserve"> 3 Number of specimens sampled for SIA; not all yielded valid samples (see SI for details)</t>
  </si>
  <si>
    <t>Table S2. Morphology measurements for fossils</t>
  </si>
  <si>
    <t>Genus</t>
  </si>
  <si>
    <t xml:space="preserve">species </t>
  </si>
  <si>
    <t>Locality ID (TMM )</t>
  </si>
  <si>
    <t xml:space="preserve">TMM ID </t>
  </si>
  <si>
    <t>Site Name</t>
  </si>
  <si>
    <t>County (all in TX, unless specified)</t>
  </si>
  <si>
    <t>Age</t>
  </si>
  <si>
    <t>Source</t>
  </si>
  <si>
    <t>Element</t>
  </si>
  <si>
    <t>Description</t>
  </si>
  <si>
    <t>R or L?</t>
  </si>
  <si>
    <t>Diameter (cm)</t>
  </si>
  <si>
    <t>Circumference (cm)</t>
  </si>
  <si>
    <t>Length (cm)</t>
  </si>
  <si>
    <t>Width (cm)</t>
  </si>
  <si>
    <t>Height (cm)</t>
  </si>
  <si>
    <t>Body mass (kg)</t>
  </si>
  <si>
    <t>Body mass equation employed</t>
  </si>
  <si>
    <t>R2</t>
  </si>
  <si>
    <t>Source for body mass equation</t>
  </si>
  <si>
    <t>length of third lower molar</t>
  </si>
  <si>
    <t>Log(Body mass, g) = 3.35*Log (LM3, mm) + 0.35</t>
  </si>
  <si>
    <t xml:space="preserve"> selenodonts broswers, Table 16.9; Damuth and MacFadden</t>
  </si>
  <si>
    <t>41196 or 40531</t>
  </si>
  <si>
    <t>a-a</t>
  </si>
  <si>
    <t>Brazos river</t>
  </si>
  <si>
    <t>Brazos</t>
  </si>
  <si>
    <t>Log(Body mass, g) = 3.34*Log(UM2, mm) +0.73</t>
  </si>
  <si>
    <t>Selenodont browsers, Table 16.9; Damuth and MacFadden 1990</t>
  </si>
  <si>
    <t xml:space="preserve"> length of fourth lower premolar</t>
  </si>
  <si>
    <t>Log(Body mass, g) = 3.11*Log(LP4, mm) + 1.3</t>
  </si>
  <si>
    <t>TiB</t>
  </si>
  <si>
    <t>distal end; breadth of tibia</t>
  </si>
  <si>
    <t>Log(Body mass, kg)= 2.8486*Log(TiB, cm) + 0.3</t>
  </si>
  <si>
    <t>Cervids, Table 16.7; Damuth and MacFadden 1990</t>
  </si>
  <si>
    <t>length of  first lower or upper molar</t>
  </si>
  <si>
    <t>Log(Body mass, g) = average[3.21*Log(LM1, mm)+1.12, 3.21*Log(UM1) + 1.07]</t>
  </si>
  <si>
    <t>length of  third lower premolar</t>
  </si>
  <si>
    <t>Log(Body mass, g) = 3.19*Log(LP3, mm) + 1.31</t>
  </si>
  <si>
    <t>AsA</t>
  </si>
  <si>
    <t>cross-sectional area of astragalus</t>
  </si>
  <si>
    <t>Log(Body mass, g) = 1.463*Log(AsA, mm) + 0.633</t>
  </si>
  <si>
    <t xml:space="preserve">length of first upper molar </t>
  </si>
  <si>
    <t>Log(Body mass, g) = 3.21*Log(UM1, mm) + 1.07</t>
  </si>
  <si>
    <t>RaL</t>
  </si>
  <si>
    <t>length of radius</t>
  </si>
  <si>
    <t>Log(Body mass, kg)= 3.0795*Log(RaL, cm) - 2.1515</t>
  </si>
  <si>
    <t>length of first lower molar</t>
  </si>
  <si>
    <t>Log (Body mass, g) = 3.21*Log(LM1, mm) + 1.12</t>
  </si>
  <si>
    <t>Mt</t>
  </si>
  <si>
    <t>distal end of metatarsal</t>
  </si>
  <si>
    <t>Log(Body mass, kg) = 2.8912(MT2, cm) + 0.621</t>
  </si>
  <si>
    <t>Artiodactyla, Table 16.7; Damuth and MacFadden 1990</t>
  </si>
  <si>
    <t>Aransas River</t>
  </si>
  <si>
    <t xml:space="preserve">CaL </t>
  </si>
  <si>
    <t>length of calcaneum</t>
  </si>
  <si>
    <t>Ln(Body mass, g) = 2.969* Ln(CaL, mm) - 1.611</t>
  </si>
  <si>
    <t>Tp</t>
  </si>
  <si>
    <t>distal end of metapodial</t>
  </si>
  <si>
    <t>Log(Body mass, kg) = average[2.6115*Log(MC2, cm) + 0.6185, 2.8912(MT2, cm) + 0.621]</t>
  </si>
  <si>
    <t>&gt;0.94</t>
  </si>
  <si>
    <t>no ID- antelope?</t>
  </si>
  <si>
    <t>6-ck</t>
  </si>
  <si>
    <t>horn core</t>
  </si>
  <si>
    <t>horn core, proximal end</t>
  </si>
  <si>
    <t>Tetrameryx (cf)</t>
  </si>
  <si>
    <t>Honey Creek Cave</t>
  </si>
  <si>
    <t>LM1 or LM2</t>
  </si>
  <si>
    <t>length of second lower molar</t>
  </si>
  <si>
    <t>Log(Body mass, g) = average[3.21*Log(LM1, mm) + 1.12,  3.41*Log(LM2) + 0.72]</t>
  </si>
  <si>
    <t xml:space="preserve">length of third upper molar </t>
  </si>
  <si>
    <t>Log(Body mass, g) = 3.29*Log(UM3, mm) + 0.8</t>
  </si>
  <si>
    <t>Tetrameryx?</t>
  </si>
  <si>
    <t>1035a</t>
  </si>
  <si>
    <t>3E</t>
  </si>
  <si>
    <t>TiL</t>
  </si>
  <si>
    <t>length of tibia</t>
  </si>
  <si>
    <t>Log(Body mass, kg) = 3.9842*Log(TiL, cm) -3.8078</t>
  </si>
  <si>
    <t>Bovids, Table 16.7; Damuth and MacFadden 1990</t>
  </si>
  <si>
    <t>3E-Y</t>
  </si>
  <si>
    <t>TTU-A-1702</t>
  </si>
  <si>
    <t>TTU-A-14045</t>
  </si>
  <si>
    <t>Log(Body mass, kg) = 3.9842* Log(TiL, cm) -3.8078</t>
  </si>
  <si>
    <t>Log(Body mass, kg) = 3.375*(log LM2, cm) + 1.119</t>
  </si>
  <si>
    <t>Bovids, Table 16.8; Damuth and McFadden 1990</t>
  </si>
  <si>
    <t>Plainview Quarry</t>
  </si>
  <si>
    <t>Hale</t>
  </si>
  <si>
    <t>Log(Body mass, g) = 3.13*Log(UM1, mm) + 1.17</t>
  </si>
  <si>
    <t>Selenodonts, Table 16.9; Damuth and McFadden 1990</t>
  </si>
  <si>
    <t>4E</t>
  </si>
  <si>
    <t>Blackwater Draw</t>
  </si>
  <si>
    <t>Roosevelt Co., NM</t>
  </si>
  <si>
    <t>length of second upper molar</t>
  </si>
  <si>
    <t>Log(Body mass, kg) = 3.395*(Log UM2, cm) + 1.061</t>
  </si>
  <si>
    <t>HuL</t>
  </si>
  <si>
    <t>length of humerus</t>
  </si>
  <si>
    <t>Log (Body mass, kg) = 3.3633*(Log HuL, cm) -2.4637</t>
  </si>
  <si>
    <t>Bovids; Table 16.7; Damuth and McFadden 1990</t>
  </si>
  <si>
    <t>FeL</t>
  </si>
  <si>
    <t>length of femur</t>
  </si>
  <si>
    <t>Log(Body mass, kg) = 3.5526 Log(FeL, cm) - 2.9997</t>
  </si>
  <si>
    <t>Log (Body mass, kg) = 3.236*Log (LM3, cm) +0.745</t>
  </si>
  <si>
    <t>Log (Body mass, kg) = 3.520*(Log LM1, cm) + 1.372</t>
  </si>
  <si>
    <t>TTU-A-1417</t>
  </si>
  <si>
    <t>length of second lower premolar</t>
  </si>
  <si>
    <t>Log(Body mass, kg) = 2.72*Log(LP2, cm) + 2.2</t>
  </si>
  <si>
    <t>TTU-A-2724</t>
  </si>
  <si>
    <t>TTU-A-13699</t>
  </si>
  <si>
    <t>TTU-A-13841</t>
  </si>
  <si>
    <t>TTU-A-13719</t>
  </si>
  <si>
    <t>Tables 16.8, 16.9; Damuth and McFadden 1990</t>
  </si>
  <si>
    <t>Log(Body mass, kg) = 2.988*Log(LP3, cm) + 1.797</t>
  </si>
  <si>
    <t>length of first or second lower molar</t>
  </si>
  <si>
    <t>M1 or M2</t>
  </si>
  <si>
    <t>length of first or second molar</t>
  </si>
  <si>
    <t>Log(Body mass, kg) = average[3.52(logLM1, cm) + 1.372,  3.375(log LM2) + 1.119,  3.395(log UM2)+1.061]</t>
  </si>
  <si>
    <t>Bovids, Tables 16.8, Damuth and McFadden 1990</t>
  </si>
  <si>
    <t>M2 or LM3</t>
  </si>
  <si>
    <t>length of second or third lower molar</t>
  </si>
  <si>
    <t>Log(Body mass, kg) = average[3.236(logLM3, cm) + 0.745,  3.375(log LM2) + 1.119,  3.395(log UM2)+1.061]</t>
  </si>
  <si>
    <t>2E #2</t>
  </si>
  <si>
    <t>6A</t>
  </si>
  <si>
    <t>6K</t>
  </si>
  <si>
    <t>TTU-A-8121</t>
  </si>
  <si>
    <t>TTU-A-8855</t>
  </si>
  <si>
    <t>TTU-A-8803</t>
  </si>
  <si>
    <t>TTU-A-1739</t>
  </si>
  <si>
    <t>6AK</t>
  </si>
  <si>
    <t>TTU-A-8141</t>
  </si>
  <si>
    <t>TTU-A-8841</t>
  </si>
  <si>
    <t>TTU-A-1737</t>
  </si>
  <si>
    <t>TTU-A-4521</t>
  </si>
  <si>
    <t>TTU-A-2942</t>
  </si>
  <si>
    <t>TTU-A-6524</t>
  </si>
  <si>
    <t>TTU-A-13761</t>
  </si>
  <si>
    <t>TTU-A-7408</t>
  </si>
  <si>
    <t>TTU-A-13603</t>
  </si>
  <si>
    <t>unknown</t>
  </si>
  <si>
    <t>TTU-A-1782</t>
  </si>
  <si>
    <t>TTU-A-1848</t>
  </si>
  <si>
    <t>TTU-A-13608</t>
  </si>
  <si>
    <t>TTU-A-8157</t>
  </si>
  <si>
    <t>TTU-A-8902</t>
  </si>
  <si>
    <t>60-47-391</t>
  </si>
  <si>
    <t>60-47-313</t>
  </si>
  <si>
    <t>Log(Body mass, kg) = 3.2052*Log(RaL) - 2.3203</t>
  </si>
  <si>
    <t>Doughty Collection</t>
  </si>
  <si>
    <t>Garza</t>
  </si>
  <si>
    <t>Log (Body mass, kg) = 3.52*(Log LM1, cm) + 1.372</t>
  </si>
  <si>
    <t>TTU-A-9180</t>
  </si>
  <si>
    <t>TTU-A-9280</t>
  </si>
  <si>
    <t>TTU-A-6882</t>
  </si>
  <si>
    <t>6CK</t>
  </si>
  <si>
    <t>TTU-A-8979</t>
  </si>
  <si>
    <t>TTU-A-8170</t>
  </si>
  <si>
    <t>6-K</t>
  </si>
  <si>
    <t>6-A-K</t>
  </si>
  <si>
    <t>Victoria Bison site</t>
  </si>
  <si>
    <t>Log(Body mass, kg)  =  2.9220*(log Mt2, cm) +0.6162</t>
  </si>
  <si>
    <t>Brain case</t>
  </si>
  <si>
    <t>breadth of brain case</t>
  </si>
  <si>
    <t>latifrons (cf)</t>
  </si>
  <si>
    <t>un-numbered (256-333)</t>
  </si>
  <si>
    <t>Sitter Ranch</t>
  </si>
  <si>
    <t>Donley</t>
  </si>
  <si>
    <t xml:space="preserve">UM2 </t>
  </si>
  <si>
    <t>2562; subadult</t>
  </si>
  <si>
    <t>Cave without a Name</t>
  </si>
  <si>
    <t>Kendall</t>
  </si>
  <si>
    <t>Mc</t>
  </si>
  <si>
    <t>distal end of metacarpal</t>
  </si>
  <si>
    <t>Log(Body mass, kg) =  2.6495*Log(MC2, cm) +0.6016</t>
  </si>
  <si>
    <t>Log (Body mass, kg) = 3.236*Log (LM3, cm) +0.820</t>
  </si>
  <si>
    <t>Bovids, Table 16.8; Damuth and McFadden 2065</t>
  </si>
  <si>
    <t>Log (Body mass, kg) = 3.236*Log (LM3, cm) +0.819</t>
  </si>
  <si>
    <t>Bovids, Table 16.8; Damuth and McFadden 2064</t>
  </si>
  <si>
    <t>Log (Body mass, kg) = 3.236*Log (LM3, cm) +0.818</t>
  </si>
  <si>
    <t>Bovids, Table 16.8; Damuth and McFadden 2063</t>
  </si>
  <si>
    <t>Log (Body mass, kg) = 3.236*Log (LM3, cm) +0.817</t>
  </si>
  <si>
    <t>Bovids, Table 16.8; Damuth and McFadden 2062</t>
  </si>
  <si>
    <t>Log (Body mass, kg) = 3.236*Log (LM3, cm) +0.816</t>
  </si>
  <si>
    <t>Bovids, Table 16.8; Damuth and McFadden 2061</t>
  </si>
  <si>
    <t>Log (Body mass, kg) = 3.236*Log (LM3, cm) +0.815</t>
  </si>
  <si>
    <t>Bovids, Table 16.8; Damuth and McFadden 2060</t>
  </si>
  <si>
    <t>Log (Body mass, kg) = 3.236*Log (LM3, cm) +0.814</t>
  </si>
  <si>
    <t>Bovids, Table 16.8; Damuth and McFadden 2059</t>
  </si>
  <si>
    <t>Log (Body mass, kg) = 3.236*Log (LM3, cm) +0.750</t>
  </si>
  <si>
    <t>Bovids, Table 16.8; Damuth and McFadden 1995</t>
  </si>
  <si>
    <t>Log (Body mass, kg) = 3.236*Log (LM3, cm) +0.809</t>
  </si>
  <si>
    <t>Bovids, Table 16.8; Damuth and McFadden 2054</t>
  </si>
  <si>
    <t>Log (Body mass, kg) = 3.236*Log (LM3, cm) +0.805</t>
  </si>
  <si>
    <t>Bovids, Table 16.8; Damuth and McFadden 2050</t>
  </si>
  <si>
    <t>Log (Body mass, kg) = 3.236*Log (LM3, cm) +0.804</t>
  </si>
  <si>
    <t>Bovids, Table 16.8; Damuth and McFadden 2049</t>
  </si>
  <si>
    <t>LM2 or LM3</t>
  </si>
  <si>
    <t>Log (Body mass, kg) = 3.236*Log (LM3, cm) +0.801</t>
  </si>
  <si>
    <t>Bovids, Table 16.8; Damuth and McFadden 2046</t>
  </si>
  <si>
    <t>Log (Body mass, kg) = 3.236*Log (LM3, cm) +0.798</t>
  </si>
  <si>
    <t>Bovids, Table 16.8; Damuth and McFadden 2043</t>
  </si>
  <si>
    <t>Log (Body mass, kg) = 3.236*Log (LM3, cm) +0.795</t>
  </si>
  <si>
    <t>Bovids, Table 16.8; Damuth and McFadden 2040</t>
  </si>
  <si>
    <t>Log (Body mass, kg) = 3.236*Log (LM3, cm) +0.789</t>
  </si>
  <si>
    <t>Bovids, Table 16.8; Damuth and McFadden 2034</t>
  </si>
  <si>
    <t>Log (Body mass, kg) = 3.236*Log (LM3, cm) +0.790</t>
  </si>
  <si>
    <t>Bovids, Table 16.8; Damuth and McFadden 2035</t>
  </si>
  <si>
    <t>Log (Body mass, kg) = 3.236*Log (LM3, cm) +0.786</t>
  </si>
  <si>
    <t>Bovids, Table 16.8; Damuth and McFadden 2031</t>
  </si>
  <si>
    <t>Log (Body mass, kg) = 3.236*Log (LM3, cm) +0.785</t>
  </si>
  <si>
    <t>Bovids, Table 16.8; Damuth and McFadden 2030</t>
  </si>
  <si>
    <t>Log (Body mass, kg) = 3.236*Log (LM3, cm) +0.782</t>
  </si>
  <si>
    <t>Bovids, Table 16.8; Damuth and McFadden 2027</t>
  </si>
  <si>
    <t>Log(Body mass, kg) = 2.8409*Log(TiB, cm) +0.3222</t>
  </si>
  <si>
    <t>Log (Body mass, kg) = 3.236*Log (LM3, cm) +0.775</t>
  </si>
  <si>
    <t>Bovids, Table 16.8; Damuth and McFadden 2020</t>
  </si>
  <si>
    <t>Log (Body mass, kg) = 3.236*Log (LM3, cm) +0.774</t>
  </si>
  <si>
    <t>Bovids, Table 16.8; Damuth and McFadden 2019</t>
  </si>
  <si>
    <t>High Island</t>
  </si>
  <si>
    <t>Chambers</t>
  </si>
  <si>
    <t>Log(Body mass, kg) = 2.8409*(LogTiB, cm) +0.3222</t>
  </si>
  <si>
    <t>Log (Body mass, kg) = 3.236*Log (LM3, cm) +0.764</t>
  </si>
  <si>
    <t>Bovids, Table 16.8; Damuth and McFadden 2009</t>
  </si>
  <si>
    <t>Log (Body mass, kg) = 3.236*Log (LM3, cm) +0.763</t>
  </si>
  <si>
    <t>Bovids, Table 16.8; Damuth and McFadden 2008</t>
  </si>
  <si>
    <t>Log (Body mass, kg) = 3.236*Log (LM3, cm) +0.762</t>
  </si>
  <si>
    <t>Bovids, Table 16.8; Damuth and McFadden 2007</t>
  </si>
  <si>
    <t>Log (Body mass, kg) = 3.236*Log (LM3, cm) +0.761</t>
  </si>
  <si>
    <t>Bovids, Table 16.8; Damuth and McFadden 2006</t>
  </si>
  <si>
    <t>Samuelson Farm</t>
  </si>
  <si>
    <t>Log (Body mass, kg) = 3.236*Log (LM3, cm) +0.760</t>
  </si>
  <si>
    <t>Bovids, Table 16.8; Damuth and McFadden 2005</t>
  </si>
  <si>
    <t>Log (Body mass, kg) = 3.236*Log (LM3, cm) +0.759</t>
  </si>
  <si>
    <t>Bovids, Table 16.8; Damuth and McFadden 2004</t>
  </si>
  <si>
    <t>831b</t>
  </si>
  <si>
    <t>Log(Body mass, kg) = 2.8409*(logTiB, cm) +0.3222</t>
  </si>
  <si>
    <t>Log (Body mass, kg) = 3.236*Log (LM3, cm) +0.758</t>
  </si>
  <si>
    <t>Bovids, Table 16.8; Damuth and McFadden 2003</t>
  </si>
  <si>
    <t>Log(Body mass, kg) =  2.6495*(log MC2, cm) +0.6016</t>
  </si>
  <si>
    <t>Hughes Ranch Indian Camp</t>
  </si>
  <si>
    <t>Log (Body mass, kg) = 3.236*Log (LM3, cm) +0.757</t>
  </si>
  <si>
    <t>Bovids, Table 16.8; Damuth and McFadden 2002</t>
  </si>
  <si>
    <t>Log (Body mass, kg) = 3.236*Log (LM3, cm) +0.756</t>
  </si>
  <si>
    <t>Bovids, Table 16.8; Damuth and McFadden 2001</t>
  </si>
  <si>
    <t>Log (Body mass, kg) = 3.236*Log (LM3, cm) +0.755</t>
  </si>
  <si>
    <t>Bovids, Table 16.8; Damuth and McFadden 2000</t>
  </si>
  <si>
    <t>Log (Body mass, kg) = 3.236*Log (LM3, cm) +0.754</t>
  </si>
  <si>
    <t>Bovids, Table 16.8; Damuth and McFadden 1999</t>
  </si>
  <si>
    <t>Log (Body mass, kg) = 3.236*Log (LM3, cm) +0.753</t>
  </si>
  <si>
    <t>Bovids, Table 16.8; Damuth and McFadden 1998</t>
  </si>
  <si>
    <t xml:space="preserve"> Log(Body mass, g) = average[3.13*(Log LM1, mm) + 1.17, 3.2*(Log LM1, mm) + 1.17]</t>
  </si>
  <si>
    <t>Log (Body mass, kg) = 3.236*Log (LM3, cm) +0.752</t>
  </si>
  <si>
    <t>Bovids, Table 16.8; Damuth and McFadden 1997</t>
  </si>
  <si>
    <t>Log (Body mass, kg) = 3.236*Log (LM3, cm) +0.751</t>
  </si>
  <si>
    <t>Bovids, Table 16.8; Damuth and McFadden 1996</t>
  </si>
  <si>
    <t>Log (Body mass, kg) = 3.236*Log (LM3, cm) +0.749</t>
  </si>
  <si>
    <t>Bovids, Table 16.8; Damuth and McFadden 1994</t>
  </si>
  <si>
    <t>Log (Body mass, kg) = 3.236*Log (LM3, cm) +0.748</t>
  </si>
  <si>
    <t>Bovids, Table 16.8; Damuth and McFadden 1993</t>
  </si>
  <si>
    <t>Log (Body mass, kg) = 3.236*Log (LM3, cm) +0.747</t>
  </si>
  <si>
    <t>Bovids, Table 16.8; Damuth and McFadden 1992</t>
  </si>
  <si>
    <t>Log (Body mass, kg) = 3.236*Log (LM3, cm) +0.746</t>
  </si>
  <si>
    <t>Bovids, Table 16.8; Damuth and McFadden 1991</t>
  </si>
  <si>
    <t>Otto Strokein Ranch</t>
  </si>
  <si>
    <t>Gillespie</t>
  </si>
  <si>
    <t>Log (Body mass, kg) = 3.236*Log (LM3, cm) +0.813</t>
  </si>
  <si>
    <t>Bovids, Table 16.8; Damuth and McFadden 2058</t>
  </si>
  <si>
    <t>Log (Body mass, kg) = 3.236*Log (LM3, cm) +0.812</t>
  </si>
  <si>
    <t>Bovids, Table 16.8; Damuth and McFadden 2057</t>
  </si>
  <si>
    <t>UM</t>
  </si>
  <si>
    <t>length of upper molar</t>
  </si>
  <si>
    <t>Log(Body mass, g) = average[3.13*Log(UM1, mm) + 1.17, 3.15*Log(UM2, mm)+0.94, 3.12*Log(UM3,mm) +0.94]</t>
  </si>
  <si>
    <t>Log (Body mass, kg) = 3.236*Log (LM3, cm) +0.811</t>
  </si>
  <si>
    <t>Bovids, Table 16.8; Damuth and McFadden 2056</t>
  </si>
  <si>
    <t>Log (Body mass, kg) = 3.236*Log (LM3, cm) +0.810</t>
  </si>
  <si>
    <t>Bovids, Table 16.8; Damuth and McFadden 2055</t>
  </si>
  <si>
    <t>Log (Body mass, kg) = 3.236*Log (LM3, cm) +0.808</t>
  </si>
  <si>
    <t>Bovids, Table 16.8; Damuth and McFadden 2053</t>
  </si>
  <si>
    <t>Log (Body mass, kg) = 3.236*Log (LM3, cm) +0.807</t>
  </si>
  <si>
    <t>Bovids, Table 16.8; Damuth and McFadden 2052</t>
  </si>
  <si>
    <t>Log (Body mass, kg) = 3.236*Log (LM3, cm) +0.806</t>
  </si>
  <si>
    <t>Bovids, Table 16.8; Damuth and McFadden 2051</t>
  </si>
  <si>
    <t>Log(Body mass, g) = 3.12*Log(UM3, mm) + 0.94</t>
  </si>
  <si>
    <t>Log (Body mass, kg) = 3.236*Log (LM3, cm) +0.803</t>
  </si>
  <si>
    <t>Bovids, Table 16.8; Damuth and McFadden 2048</t>
  </si>
  <si>
    <t>Log (Body mass, kg) = 3.236*Log (LM3, cm) +0.802</t>
  </si>
  <si>
    <t>Bovids, Table 16.8; Damuth and McFadden 2047</t>
  </si>
  <si>
    <t>Log(Body mass, kg) = average[3.52*Log(LM1, cm) + 1.372,  3.375*Log (LM2) + 1.119,  3.395*Log(UM2)+1.061]</t>
  </si>
  <si>
    <t>Log (Body mass, kg) = 3.236*Log (LM3, cm) +0.800</t>
  </si>
  <si>
    <t>Bovids, Table 16.8; Damuth and McFadden 2045</t>
  </si>
  <si>
    <t>Log (Body mass, kg) = 3.236*Log (LM3, cm) +0.799</t>
  </si>
  <si>
    <t>Bovids, Table 16.8; Damuth and McFadden 2044</t>
  </si>
  <si>
    <t>Log (Body mass, kg) = 3.236*Log (LM3, cm) +0.797</t>
  </si>
  <si>
    <t>Bovids, Table 16.8; Damuth and McFadden 2042</t>
  </si>
  <si>
    <t>Log (Body mass, kg) = 3.236*Log (LM3, cm) +0.796</t>
  </si>
  <si>
    <t>Bovids, Table 16.8; Damuth and McFadden 2041</t>
  </si>
  <si>
    <t>Log(Body mass, kg) = average[3.520*Log(LM1, cm) + 1.372,  3.375*Log(LM2, cm) + 1.119]</t>
  </si>
  <si>
    <t>Log (Body mass, kg) = 3.236*Log (LM3, cm) +0.794</t>
  </si>
  <si>
    <t>Bovids, Table 16.8; Damuth and McFadden 2039</t>
  </si>
  <si>
    <t>Log (Body mass, kg) = 3.236*Log (LM3, cm) +0.793</t>
  </si>
  <si>
    <t>Bovids, Table 16.8; Damuth and McFadden 2038</t>
  </si>
  <si>
    <t>Log (Body mass, kg) = 3.236*Log (LM3, cm) +0.792</t>
  </si>
  <si>
    <t>Bovids, Table 16.8; Damuth and McFadden 2037</t>
  </si>
  <si>
    <t>Log (Body mass, kg) = 3.236*Log (LM3, cm) +0.791</t>
  </si>
  <si>
    <t>Bovids, Table 16.8; Damuth and McFadden 2036</t>
  </si>
  <si>
    <t>Log (Body mass, kg) = 3.236*Log (LM3, cm) +0.788</t>
  </si>
  <si>
    <t>Bovids, Table 16.8; Damuth and McFadden 2033</t>
  </si>
  <si>
    <t>Log (Body mass, kg) = 3.236*Log (LM3, cm) +0.787</t>
  </si>
  <si>
    <t>Bovids, Table 16.8; Damuth and McFadden 2032</t>
  </si>
  <si>
    <t>385-1</t>
  </si>
  <si>
    <t>Log (Body mass, kg) = 3.236*Log (LM3, cm) +0.784</t>
  </si>
  <si>
    <t>Bovids, Table 16.8; Damuth and McFadden 2029</t>
  </si>
  <si>
    <t>Beidleman Farm</t>
  </si>
  <si>
    <t>Log (Body mass, kg) = 3.236*Log (LM3, cm) +0.783</t>
  </si>
  <si>
    <t>Bovids, Table 16.8; Damuth and McFadden 2028</t>
  </si>
  <si>
    <t>Log (Body mass, kg) = 3.236*Log (LM3, cm) +0.781</t>
  </si>
  <si>
    <t>Bovids, Table 16.8; Damuth and McFadden 2026</t>
  </si>
  <si>
    <t>Log (Body mass, kg) = 3.236*Log (LM3, cm) +0.780</t>
  </si>
  <si>
    <t>Bovids, Table 16.8; Damuth and McFadden 2025</t>
  </si>
  <si>
    <t>Log (Body mass, kg) = 3.236*Log (LM3, cm) +0.779</t>
  </si>
  <si>
    <t>Bovids, Table 16.8; Damuth and McFadden 2024</t>
  </si>
  <si>
    <t>Log (Body mass, kg) = 3.236*Log (LM3, cm) +0.778</t>
  </si>
  <si>
    <t>Bovids, Table 16.8; Damuth and McFadden 2023</t>
  </si>
  <si>
    <t>Log (Body mass, kg) = 3.236*Log (LM3, cm) +0.777</t>
  </si>
  <si>
    <t>Bovids, Table 16.8; Damuth and McFadden 2022</t>
  </si>
  <si>
    <t>length of second molar</t>
  </si>
  <si>
    <t xml:space="preserve"> Log(Body mass, kg) = average[3.375(log LM2, cm) + 1.119,  3.395(log UM2)+1.061]</t>
  </si>
  <si>
    <t>Log (Body mass, kg) = 3.236*Log (LM3, cm) +0.776</t>
  </si>
  <si>
    <t>Bovids, Table 16.8; Damuth and McFadden 2021</t>
  </si>
  <si>
    <t>Log (Body mass, kg) = 3.236*Log (LM3, cm) +0.773</t>
  </si>
  <si>
    <t>Bovids, Table 16.8; Damuth and McFadden 2018</t>
  </si>
  <si>
    <t>Log (Body mass, kg) = 3.236*Log (LM3, cm) +0.772</t>
  </si>
  <si>
    <t>Bovids, Table 16.8; Damuth and McFadden 2017</t>
  </si>
  <si>
    <t>Log (Body mass, kg) = 3.236*Log (LM3, cm) +0.771</t>
  </si>
  <si>
    <t>Bovids, Table 16.8; Damuth and McFadden 2016</t>
  </si>
  <si>
    <t>Log (Body mass, kg) = 3.236*Log (LM3, cm) +0.770</t>
  </si>
  <si>
    <t>Bovids, Table 16.8; Damuth and McFadden 2015</t>
  </si>
  <si>
    <t>Log (Body mass, kg) = 3.236*Log (LM3, cm) +0.769</t>
  </si>
  <si>
    <t>Bovids, Table 16.8; Damuth and McFadden 2014</t>
  </si>
  <si>
    <t>Log (Body mass, kg) = 3.236*Log (LM3, cm) +0.768</t>
  </si>
  <si>
    <t>Bovids, Table 16.8; Damuth and McFadden 2013</t>
  </si>
  <si>
    <t>Log (Body mass, kg) = 3.236*Log (LM3, cm) +0.767</t>
  </si>
  <si>
    <t>Bovids, Table 16.8; Damuth and McFadden 2012</t>
  </si>
  <si>
    <t>Log (Body mass, kg) = 3.236*Log (LM3, cm) +0.766</t>
  </si>
  <si>
    <t>Bovids, Table 16.8; Damuth and McFadden 2011</t>
  </si>
  <si>
    <t>Log (Body mass, kg) = 3.236*Log (LM3, cm) +0.765</t>
  </si>
  <si>
    <t>Bovids, Table 16.8; Damuth and McFadden 2010</t>
  </si>
  <si>
    <t xml:space="preserve"> Log(Body mass, g) = average[3.13*(Log UM1, mm) + 1.17, 3.2*(Log LM1, mm) + 1.17]</t>
  </si>
  <si>
    <t>UM1 or UM2</t>
  </si>
  <si>
    <t>length of upper first or second molar</t>
  </si>
  <si>
    <t>Log(Body mass, g) = average[3.13*Log(UM1, mm) + 1.17, 3.15*Log(UM2, mm)+0.94]</t>
  </si>
  <si>
    <t>Log(Body mass, kg) = average[3.375(log LM2) + 1.119,  3.395(log UM2)+1.061]</t>
  </si>
  <si>
    <t>Log(Body mass, kg) =  2.6495 * (log MC2, cm) +0.6016</t>
  </si>
  <si>
    <t>1608a</t>
  </si>
  <si>
    <t>Quitaque Creek</t>
  </si>
  <si>
    <t>Motley</t>
  </si>
  <si>
    <t>1608b</t>
  </si>
  <si>
    <t xml:space="preserve">Trinity River </t>
  </si>
  <si>
    <t>Dallas</t>
  </si>
  <si>
    <t>length of skull</t>
  </si>
  <si>
    <t>Log(Body mass, kg) = 2.975*Log(SKL, cm)+-2.344</t>
  </si>
  <si>
    <t>Ungulates, Table 16.8; Damuth and MacFadden 1990</t>
  </si>
  <si>
    <t>Log(Body mass, kg) = 3.184*Log(UM2, cm) + 1.091</t>
  </si>
  <si>
    <t>Log (Body mass, kg) = 3.263*Log(LM1, cm) + 1.337</t>
  </si>
  <si>
    <t>all ungulates, Table 16.8; Damuth and MacFadden 1990</t>
  </si>
  <si>
    <t>Log(Body mass, g) = 3.19*Log(LM3, mm) + 0.51</t>
  </si>
  <si>
    <t>All selenodonts, Table 16.9; Damuth and MacFadden 1990</t>
  </si>
  <si>
    <t>LM1? LM3?</t>
  </si>
  <si>
    <t xml:space="preserve"> selenodonts, Table 16.9; Damuth and MacFadden 1990</t>
  </si>
  <si>
    <t>Pittsbridge</t>
  </si>
  <si>
    <t>length of second or third molar</t>
  </si>
  <si>
    <t>Log(Body mass, g) = average[3.21*Log(LM2) + 0.92; 3.19*Log(LM3) + 0.51; 3.15*Log(UM2) + 0.94; 3.12*Log(UM3) + 0.94]</t>
  </si>
  <si>
    <t>HuMAPC</t>
  </si>
  <si>
    <t xml:space="preserve"> midshaft anteroposterior circumference of humerus</t>
  </si>
  <si>
    <t>Log(Body mass, g) = 2.66975*Log(HuMAPC, g) -0.13193</t>
  </si>
  <si>
    <t>All mammals; Present Study</t>
  </si>
  <si>
    <t>Cameron</t>
  </si>
  <si>
    <t>Milam</t>
  </si>
  <si>
    <t>all selenodonts, Table 16.9; Damuth and MacFadden 1990</t>
  </si>
  <si>
    <t>Log(Body mass, g) = 3.21*Log(LM2) + 0.92; 3.19*Log(LM3) + 0.51; 3.15*Log(UM2) + 0.94; 3.12*Log(UM3) + 0.94]</t>
  </si>
  <si>
    <t>2184A</t>
  </si>
  <si>
    <t>36?</t>
  </si>
  <si>
    <t>2184B</t>
  </si>
  <si>
    <t>length of molar</t>
  </si>
  <si>
    <t>Log(Body mass, g) = average[3.2*Log(LM1, mm) + 1.17;  3.21*Log(LM2) + 0.92; 3.19*Log(LM3) + 0.51]</t>
  </si>
  <si>
    <t>Log(Body mass, g) = 3.21*Log(LM2, mm) + 0.92</t>
  </si>
  <si>
    <t>UM1?</t>
  </si>
  <si>
    <t>Log(Body mass, g) = 3.12*Log(UM3) + 0.94</t>
  </si>
  <si>
    <t>Log(Body mass, g) = average[3.21*Log(LM2) + 0.92; 3.19*Log(LM3) + 0.51]</t>
  </si>
  <si>
    <t>near Portal, NM</t>
  </si>
  <si>
    <t>Log(Body mass, g) = average[3.2*Log(LM1, mm) + 1.17;  3.21*Log(LM2) + 0.92; 3.19*Log(LM3) + 0.51; 3.13*Log(UM1) + 1.17; 3.15*Log(UM2) + 0.94; 3.12*Log(UM3) + 0.94]</t>
  </si>
  <si>
    <t>Present study; length by Lundelius 1972b</t>
  </si>
  <si>
    <t>FeL, FeB, FeMAPC</t>
  </si>
  <si>
    <t>overall length; width at condyles;  midshaft anteroposterior circumference of femur</t>
  </si>
  <si>
    <t>Log(Body mass, kg)= 3.4263*Log(FeL, cm) - 2.8404</t>
  </si>
  <si>
    <t>artiodactyls, Table 16.7; Damuth and MacFadden, Scott, K.M. 1990.</t>
  </si>
  <si>
    <t>Log(Body mass, g) = 3.21*Log(LM2) + 0.92</t>
  </si>
  <si>
    <t>length of lower first or second molar</t>
  </si>
  <si>
    <t xml:space="preserve"> Log(Body mass, g) = average[3.20*Log(LM1, mm) + 1.17, 3.21*Log(LM2) + 0.92]</t>
  </si>
  <si>
    <t>2575D</t>
  </si>
  <si>
    <t>2575C</t>
  </si>
  <si>
    <t>1878B</t>
  </si>
  <si>
    <t>2574C</t>
  </si>
  <si>
    <t>1878A</t>
  </si>
  <si>
    <t>2577A</t>
  </si>
  <si>
    <t>2577B</t>
  </si>
  <si>
    <t>2575B</t>
  </si>
  <si>
    <t>2574B</t>
  </si>
  <si>
    <t>2575A</t>
  </si>
  <si>
    <t>2574D</t>
  </si>
  <si>
    <t>2574A</t>
  </si>
  <si>
    <t>Navahocerus</t>
  </si>
  <si>
    <t>Montell shelter</t>
  </si>
  <si>
    <t>Log(Body mass, kg)= 3.334*Log(LM1, cm) + 1.270</t>
  </si>
  <si>
    <t>Cervids, Table 16.8; Damuth and MacFadden 1990</t>
  </si>
  <si>
    <t xml:space="preserve"> # (Schulze Cave)</t>
  </si>
  <si>
    <t>Schulze Cave</t>
  </si>
  <si>
    <t>Edwards</t>
  </si>
  <si>
    <t>distal end; breadth of epicondyles of femur</t>
  </si>
  <si>
    <t>Log(Body mass, kg)= 2.9100*Log(FeB, cm) - 0.0883</t>
  </si>
  <si>
    <t>cervids only, Table 16.7; Damuth and MacFadden 1991</t>
  </si>
  <si>
    <t xml:space="preserve"> Log(Body mass, kg) =average[ 3.334*Log(LM1, cm) + 1.27;  3.106*Log(LM2) + 1.119; 3.143*Log(LM3) + 0.799; 3.218*Log(UM2) + 1.073] </t>
  </si>
  <si>
    <t>Fawcett's Cave</t>
  </si>
  <si>
    <t>Val Verde</t>
  </si>
  <si>
    <t>cervids only, Table 16.7; Damuth and MacFadden 1990</t>
  </si>
  <si>
    <t>Smith Rockshelter</t>
  </si>
  <si>
    <t>Log(Body mass, kg) = 3.399*Log(LP3, cm) + 1.556</t>
  </si>
  <si>
    <t>distal end; breadth of epicondyles of humerus</t>
  </si>
  <si>
    <t>Log(Body mass, kg)= 2.6389*Log(HuB, cm) +0.2582</t>
  </si>
  <si>
    <t>cervids only, Table 16.7; Damuth and MacFadden, Scott, K.M. 1990.</t>
  </si>
  <si>
    <t>Log(Body mass, kg)= 3.106*Log(LM2, cm) + 1.119</t>
  </si>
  <si>
    <t xml:space="preserve">Log(Body mass, kg) = 2.6568*Log(MC2, cm) + 0.607 </t>
  </si>
  <si>
    <t>RaB</t>
  </si>
  <si>
    <t>distal end of radius</t>
  </si>
  <si>
    <t>Log(Body mass, kg)= 2.4956*Log(RaB, cm) + 0.4581</t>
  </si>
  <si>
    <t>Log(Body mass, kg)= 3.143*Log(LM3, cm) + 0.799</t>
  </si>
  <si>
    <t>cervids, Table 16.8; Damuth and MacFadden, Janis C.M 1990.</t>
  </si>
  <si>
    <t>Log(Body mass, kg) = 3.13*Log(LP4, cm) + 1.471</t>
  </si>
  <si>
    <t>93C</t>
  </si>
  <si>
    <t>length of third upper premolar</t>
  </si>
  <si>
    <t>Log(Body mass, g) = 3.13*Log(UP3, mm) + 1.40</t>
  </si>
  <si>
    <t>Harrell Site</t>
  </si>
  <si>
    <t>Young</t>
  </si>
  <si>
    <t>Felton cave</t>
  </si>
  <si>
    <t xml:space="preserve">Sutton </t>
  </si>
  <si>
    <t>length of second upper premolar</t>
  </si>
  <si>
    <t>Log(Body mass, g) = 3.26*Log(UP2, mm) + 1.31</t>
  </si>
  <si>
    <t>Log(Body mass, g) = 3.05*Log(UP3, mm) + 1.60</t>
  </si>
  <si>
    <t>UP1</t>
  </si>
  <si>
    <t>length of first upper premolar</t>
  </si>
  <si>
    <t>3968C</t>
  </si>
  <si>
    <t>B</t>
  </si>
  <si>
    <t>93D</t>
  </si>
  <si>
    <t>Log(Body mass, kg)= 2.5568*Log(HuEB, cm) + 0.4084</t>
  </si>
  <si>
    <t>3969D</t>
  </si>
  <si>
    <t>Log(Body mass, kg)  =  2.9334*(log Mt2, cm) +0.6132</t>
  </si>
  <si>
    <t xml:space="preserve">UP </t>
  </si>
  <si>
    <t>length of upper premolar</t>
  </si>
  <si>
    <t>Log(Body mass, g) = average[3.26*Log(UP2, mm) + 1.31, 3.13*Log(UP3) + 1.4, 3.05*Log(UP4) + 1.6]</t>
  </si>
  <si>
    <t>&gt;0.86</t>
  </si>
  <si>
    <t>~65</t>
  </si>
  <si>
    <t>Hearne gravel pits</t>
  </si>
  <si>
    <t>Robertson</t>
  </si>
  <si>
    <t>Log(Body mass, g) = average[3.21*Log(UM1)+1.07, 3.34*Log(UM2)+0.73,3.29*Log(UM3)+0.8]</t>
  </si>
  <si>
    <t>~50</t>
  </si>
  <si>
    <t>93B</t>
  </si>
  <si>
    <t>length of lower molar</t>
  </si>
  <si>
    <t>Log(Body mass, kg)= average[3.334*Log(LM1, cm) + 1.270 , 3.106*Log(LM2) + 1.119,  3.143*Log(LM3) + 0.799]</t>
  </si>
  <si>
    <t>3969E</t>
  </si>
  <si>
    <t>3968B</t>
  </si>
  <si>
    <t xml:space="preserve"> Log(Body mass, kg)= average[3.334*Log(LM1,cm) + 1.270,  3.106*Log(LM2, cm) + 1.119]</t>
  </si>
  <si>
    <t>A</t>
  </si>
  <si>
    <t>3969F</t>
  </si>
  <si>
    <t>LM or LP</t>
  </si>
  <si>
    <t xml:space="preserve"> Log(Body mass, g) = average[3.21*Log(LM1, mm) + 1.12, 3.41*Log(LM2) + 0.72, 3.35*Log(LM3) + 0.35]</t>
  </si>
  <si>
    <t>length of first or second upper molar</t>
  </si>
  <si>
    <t>Log(Body mass, g) = average[3.21*Log(UM1, mm) + 1.07, 3.34*Log(UM2, mm) +0.73</t>
  </si>
  <si>
    <t>3969B</t>
  </si>
  <si>
    <t>3969C</t>
  </si>
  <si>
    <t>Log(Body mass, kg) = 3.619*Log(LP2, cm) + 1.885</t>
  </si>
  <si>
    <t>length of second upper and lower premolar</t>
  </si>
  <si>
    <t xml:space="preserve"> Log(Body mass, g) = average[3.26*Log(UP2, mm) + 1.31, 2.75*Log(LP2) + 2.06]</t>
  </si>
  <si>
    <t xml:space="preserve">UM1 </t>
  </si>
  <si>
    <t>Log(Body mass, g) = average[3.21*Log(UM1, mm) + 1.07, 3.34*Log(UM2, mm)+0.73, 3.29*Log(UM3,mm) +0.80]</t>
  </si>
  <si>
    <t>~40</t>
  </si>
  <si>
    <t>Selenodont browsers, Table 16.9; Damuth and McFadden 1990</t>
  </si>
  <si>
    <t>length of first premolar</t>
  </si>
  <si>
    <t>Log(Body mass, g) = 2.89*Log(First Upper Premolar Length, mm UP1Length) + 2.01</t>
  </si>
  <si>
    <t>all ungulates, Table 16.9; Damuth and MacFadden 1990</t>
  </si>
  <si>
    <t>Rattlesnake cave</t>
  </si>
  <si>
    <t>Kinney</t>
  </si>
  <si>
    <t>UP3 or UP4</t>
  </si>
  <si>
    <t>length of third or fourth upper premolar</t>
  </si>
  <si>
    <t xml:space="preserve"> Log(Body mass, g) =average[3.13*Log(UP3, mm) + 1.4, 3.05*Log(UP4) + 1.6]</t>
  </si>
  <si>
    <t>~58</t>
  </si>
  <si>
    <t>UP</t>
  </si>
  <si>
    <t>length of third premolar</t>
  </si>
  <si>
    <t>Log(Body mass, g) = average[3.13*Log(UP3, mm) + 1.4, 3.19*Log( LP3) + 1.31]</t>
  </si>
  <si>
    <t>Log(Body mass, g) = 3.29*Log(UM3,mm) +0.80</t>
  </si>
  <si>
    <t>Log(Body mass, kg) = average[3.106*Log(UM2, cm) + 1.119; 3.218*Log(LM2) + 1.073]</t>
  </si>
  <si>
    <t>LP</t>
  </si>
  <si>
    <t>length of lower premolar</t>
  </si>
  <si>
    <t xml:space="preserve">   Log(Body mass, kg) = average[3.619*Log(LP2, cm)+1.885, 3.399*Log(LP3)+1.556, 3.13*Log(LP4)+1.471]</t>
  </si>
  <si>
    <t>Thoracic vertebra</t>
  </si>
  <si>
    <t>thoracic vertebra</t>
  </si>
  <si>
    <t>no equation for thoracic vertebrae measurements found</t>
  </si>
  <si>
    <t>indet.</t>
  </si>
  <si>
    <t>Suidae</t>
  </si>
  <si>
    <t>Sus</t>
  </si>
  <si>
    <t>scrofua</t>
  </si>
  <si>
    <t>Log(Body mass, g) = 3.11*Log(UM1, mm) + 1.11</t>
  </si>
  <si>
    <t>nonselenodonts, Table 16.9; Damuth and MacFadden 1990</t>
  </si>
  <si>
    <t>Log(Body mass, kg)  =  2.9934*(log Mt2, cm) +1.23</t>
  </si>
  <si>
    <t>Suids, Table 16.7; Damuth and MacFadden 1990</t>
  </si>
  <si>
    <t>Lundelius 1960</t>
  </si>
  <si>
    <t>Log(Body mass, g) = 2.96*Log(UM2, mm) +1.09</t>
  </si>
  <si>
    <t>Nonselenodonts, Table 16.9; Damuth and MacFadden 1990</t>
  </si>
  <si>
    <t>Log(Body mass, g) = 2.63*Log(UM3, mm) + 1.49</t>
  </si>
  <si>
    <t>Log(Body mass, g) = 2.81*Log(LM3, mm) + 1.18</t>
  </si>
  <si>
    <t>nonselenodonts, Table 16.9; Damuth and MacFadden 1990.</t>
  </si>
  <si>
    <t>Leon River Shelter</t>
  </si>
  <si>
    <t>Coryell</t>
  </si>
  <si>
    <t>Log(Body mass, g) = 3.11*Log(LP4, mm) + 1.15</t>
  </si>
  <si>
    <t>Hall's Cave</t>
  </si>
  <si>
    <t>Kerr</t>
  </si>
  <si>
    <t>Log(Body mass, kg)= 3.201*Log(LM2, cm) + 1.13</t>
  </si>
  <si>
    <t>Cameron (Curry Gravel Pit)</t>
  </si>
  <si>
    <t>lentgth of second lower molar</t>
  </si>
  <si>
    <t xml:space="preserve">Platygonus </t>
  </si>
  <si>
    <t>Log(Body mass, kg) = 2.6454*Log(HuEB, cm) +0.2538</t>
  </si>
  <si>
    <t>Artiodactyla; Table 16.7; Damuth and McFadden 1990</t>
  </si>
  <si>
    <t>Log(Body mass, kg) = 3.0451*Log(FeB, cm ) - 0.0643</t>
  </si>
  <si>
    <t>suids, Table 16.7; Damuth and MacFadden 1993</t>
  </si>
  <si>
    <t>suids, Table 16.7; Damuth and MacFadden 1992</t>
  </si>
  <si>
    <t>suids, Table 16.7; Damuth and MacFadden 1991</t>
  </si>
  <si>
    <t>suids, Table 16.7; Damuth and MacFadden 1990</t>
  </si>
  <si>
    <t>172c</t>
  </si>
  <si>
    <t>Log(Body mass, g) = 3.16*Log(AsL, mm) -0.36</t>
  </si>
  <si>
    <t>Log(Body mass, g) = 2.54*(Log (UM1, mm) +1.47</t>
  </si>
  <si>
    <t>Log(Body mass, g) = 3.747*Log(LM2, mm) + 0.43</t>
  </si>
  <si>
    <t>TiAPD</t>
  </si>
  <si>
    <t>Tibia</t>
  </si>
  <si>
    <t>Laubach 3, East wall, south end</t>
  </si>
  <si>
    <t>UlOL</t>
  </si>
  <si>
    <t>Ulna, proximal</t>
  </si>
  <si>
    <t>HuMAPD</t>
  </si>
  <si>
    <t xml:space="preserve"> midshaft anteroposterior diameter of humerus</t>
  </si>
  <si>
    <t>Sagebiel 2010</t>
  </si>
  <si>
    <t>Log(Body mass, g) = 3.3177*Log(LP3, mm) + 0.5544</t>
  </si>
  <si>
    <t>Canids; Present Study</t>
  </si>
  <si>
    <t>FeHD</t>
  </si>
  <si>
    <t xml:space="preserve">proximal end; diameter of femoral head </t>
  </si>
  <si>
    <t>Log(Body mass, g) = 3.03*Log(Cal, mm) -0.87</t>
  </si>
  <si>
    <t>Log(Body mass, g) = 2.93*Log(LM1, mm) + 0.27</t>
  </si>
  <si>
    <t>172B</t>
  </si>
  <si>
    <t>975A</t>
  </si>
  <si>
    <t>Log(Body mass, g) = 1.99229*(Log (UM2, mm) +2.385</t>
  </si>
  <si>
    <t>Clamp Cave</t>
  </si>
  <si>
    <t>975B</t>
  </si>
  <si>
    <t>172a</t>
  </si>
  <si>
    <t>Log(Body mass, g) = 2.58*Log(HuEB, mm) -0.214</t>
  </si>
  <si>
    <t>P</t>
  </si>
  <si>
    <t>length of premolar</t>
  </si>
  <si>
    <t>Log(Body mass, g) = 3.3177*Log(LP4, mm) + 0.5544</t>
  </si>
  <si>
    <t>Canids, Present Study</t>
  </si>
  <si>
    <t>FeAPDd</t>
  </si>
  <si>
    <t>distal end; anterior-posterior diameter of femur</t>
  </si>
  <si>
    <t>Ranny Creek Cave</t>
  </si>
  <si>
    <t>W. Culp Site</t>
  </si>
  <si>
    <t>Bering Sinkhole</t>
  </si>
  <si>
    <t>Boneyard Pit</t>
  </si>
  <si>
    <t>familiaris/latrans (cf)</t>
  </si>
  <si>
    <t>Levi Shelter, Pleistocene</t>
  </si>
  <si>
    <t>HuHTL</t>
  </si>
  <si>
    <t>Humerus, distal</t>
  </si>
  <si>
    <t>HuHD</t>
  </si>
  <si>
    <t xml:space="preserve">proximal end; diameter of humerus head </t>
  </si>
  <si>
    <t>Ln (Body mass, kg) = 2.645*Ln(HuHD, mm)+-6.882</t>
  </si>
  <si>
    <t>Losey et al. 2017</t>
  </si>
  <si>
    <t>Ulna, distal</t>
  </si>
  <si>
    <t>Ln (Body mass, kg) = 2.63*Ln(RaB, mm)+-5.528</t>
  </si>
  <si>
    <t>Cunningham Shelter</t>
  </si>
  <si>
    <t>None</t>
  </si>
  <si>
    <t>Log(Body mass in g) = (2.54)*Log(Tibial tuberosity length in mm(TiSL)) + (0.39)</t>
  </si>
  <si>
    <t>Log(Body mass, g) = 3.1*Log(RaL, mm) + -2.92</t>
  </si>
  <si>
    <t>L?</t>
  </si>
  <si>
    <t>Log(Body mass, g) = 3.3177*Log(Lower Premolar Length, mm (LP3, LP4)) + 0.5544</t>
  </si>
  <si>
    <t>Log(Body mass, g) = 2.58*Log(HuEB, mm) +-0.214</t>
  </si>
  <si>
    <t>LP2 or LP3</t>
  </si>
  <si>
    <t>length of lower second or third premolar</t>
  </si>
  <si>
    <t>Log(Body mass, g) = 2.86*Log(FeB, mm) -0.12</t>
  </si>
  <si>
    <t>TiSL</t>
  </si>
  <si>
    <t>Tibia, proximal</t>
  </si>
  <si>
    <t>MSB</t>
  </si>
  <si>
    <t>Log(Body mass, g) = 2.5*Log(HuEB, mm) + 0.37</t>
  </si>
  <si>
    <t>Montell Shelter</t>
  </si>
  <si>
    <t>Ulna</t>
  </si>
  <si>
    <t>August Foster Site</t>
  </si>
  <si>
    <t>Jess Cox Ranch</t>
  </si>
  <si>
    <t>FeMAPD</t>
  </si>
  <si>
    <t>midshaft anteroposterior diameter of femur</t>
  </si>
  <si>
    <t>Log(Body mass, g) = 2.68*Log(FeAPD, mm) + 1.23</t>
  </si>
  <si>
    <t>Old Glory/Salt Fork of Brazox River</t>
  </si>
  <si>
    <t>Lundelius</t>
  </si>
  <si>
    <t>Log(Body mass,g) = 3.76*Log(TiL, mm) + -4.37</t>
  </si>
  <si>
    <t>UlL</t>
  </si>
  <si>
    <t>length of ulna</t>
  </si>
  <si>
    <t>Laubach 3</t>
  </si>
  <si>
    <t>Oblate Site</t>
  </si>
  <si>
    <t>The Avenue (Avenue Local Fauna)</t>
  </si>
  <si>
    <t>Lundelius 1992</t>
  </si>
  <si>
    <t>Blackwater Locality</t>
  </si>
  <si>
    <t>47A</t>
  </si>
  <si>
    <t>47B</t>
  </si>
  <si>
    <t>47C</t>
  </si>
  <si>
    <t>47D</t>
  </si>
  <si>
    <t>47E</t>
  </si>
  <si>
    <t>47F</t>
  </si>
  <si>
    <t>TTU-A 12-658</t>
  </si>
  <si>
    <t>length and width of tibia</t>
  </si>
  <si>
    <t>AJ Trammell Farm</t>
  </si>
  <si>
    <t>TTU-A-8600</t>
  </si>
  <si>
    <t>San Antonio</t>
  </si>
  <si>
    <t>South Texas</t>
  </si>
  <si>
    <t>length of  first molar</t>
  </si>
  <si>
    <t>Log(Body mass, g) = 2.93*Log(LM, mm)) + 0.27</t>
  </si>
  <si>
    <t>lupus (cf)</t>
  </si>
  <si>
    <t>TiHD</t>
  </si>
  <si>
    <t>proximal end; diameter of tibia</t>
  </si>
  <si>
    <t>none</t>
  </si>
  <si>
    <t>Log(Body mass, g) = 2.49*Log(HuAPD, mm) + 1.24</t>
  </si>
  <si>
    <t>lupus (rufus)</t>
  </si>
  <si>
    <t>proximal end of metatarsal</t>
  </si>
  <si>
    <t xml:space="preserve">indet. </t>
  </si>
  <si>
    <t xml:space="preserve">indet.  </t>
  </si>
  <si>
    <t>cinereoargenteus</t>
  </si>
  <si>
    <t xml:space="preserve">Laubach 3 </t>
  </si>
  <si>
    <t>LP3 or LP4</t>
  </si>
  <si>
    <t>lower second or third premolar</t>
  </si>
  <si>
    <t>Urocyon/Vulpes (cf)</t>
  </si>
  <si>
    <t>Log(Body mass, g) = 2.97*Log(UP4, mm) + 0.37</t>
  </si>
  <si>
    <t>macrotis</t>
  </si>
  <si>
    <t>Pratt Cave</t>
  </si>
  <si>
    <t>Culbertson</t>
  </si>
  <si>
    <t>proximal end of tibia</t>
  </si>
  <si>
    <t>Mt/Mc</t>
  </si>
  <si>
    <t>velox</t>
  </si>
  <si>
    <t>vulpes</t>
  </si>
  <si>
    <t>vulpes (cf)</t>
  </si>
  <si>
    <t>23A</t>
  </si>
  <si>
    <t>Green Estates</t>
  </si>
  <si>
    <t>23B</t>
  </si>
  <si>
    <t>23C</t>
  </si>
  <si>
    <t>Vulpes (cf)</t>
  </si>
  <si>
    <t>Log(Body mass, g) = 3.142*(Log (SKL, mm) -2.440</t>
  </si>
  <si>
    <t>Felids, Present study</t>
  </si>
  <si>
    <t>Log(Body mass, g) = 2.79*Log(FeB, mm) + -0.006</t>
  </si>
  <si>
    <t>Log(Body mass, g) = 3.05*Log (LM1, mm) -2.15</t>
  </si>
  <si>
    <t>Table 10.2 Felid regression;Van Valkenburgh 1990</t>
  </si>
  <si>
    <t>Log(Body mass, g) = 2.59*Log(HuEB, mm) + 1.21</t>
  </si>
  <si>
    <t>Log(Body mass, g) = 2.96*Log(CaL, mm) + -0.819</t>
  </si>
  <si>
    <t xml:space="preserve"> Schulze Cave</t>
  </si>
  <si>
    <t>1 mi E of Florence</t>
  </si>
  <si>
    <t>7389a</t>
  </si>
  <si>
    <t>7389b</t>
  </si>
  <si>
    <t>metatarsal III, proximal</t>
  </si>
  <si>
    <t>phalanx I</t>
  </si>
  <si>
    <t>Wight Materials North (Bluntzer)</t>
  </si>
  <si>
    <t>Canine</t>
  </si>
  <si>
    <t>UCL</t>
  </si>
  <si>
    <t>Wight Materials North</t>
  </si>
  <si>
    <t>Log(Body mass, g) = 3.01*Log (LP4 , mm) +0.936</t>
  </si>
  <si>
    <t>Log(Body mass, kg) = 2.186*Log(HuEB, mm) +-1.711</t>
  </si>
  <si>
    <t>Christiansen and Harris 2005</t>
  </si>
  <si>
    <t>UPA</t>
  </si>
  <si>
    <t>diameter at midshaft; overall length; width at distal end</t>
  </si>
  <si>
    <t>Log(Body mass, g) = 2.7*Log(FeHD, mm) + 0.75</t>
  </si>
  <si>
    <t>mesoleucus</t>
  </si>
  <si>
    <t>Log(Body mass, g) = 3.9287*Log(LM1, mm)+ -0.5516</t>
  </si>
  <si>
    <t>all carnivores, Present Study</t>
  </si>
  <si>
    <t>5 mi west of Austin</t>
  </si>
  <si>
    <t>Log(Body mass, kg) = 3.39*Log(SKL, mm) + -6.03</t>
  </si>
  <si>
    <t>Mustelids, Table 16.6; Damuth and MacFadden 1990</t>
  </si>
  <si>
    <t>Pease Park</t>
  </si>
  <si>
    <t>Balcones Reseach Center, Austin</t>
  </si>
  <si>
    <t>Log(Body mass, g) = 2.51467*Log(HuEB, mm) +0.15426</t>
  </si>
  <si>
    <t>73d</t>
  </si>
  <si>
    <t>73c</t>
  </si>
  <si>
    <t>73b</t>
  </si>
  <si>
    <t>73a</t>
  </si>
  <si>
    <t>Taxidea</t>
  </si>
  <si>
    <t>Camp Wood</t>
  </si>
  <si>
    <t>Highway 71, 3 mi SE of Pedernales River</t>
  </si>
  <si>
    <t>Comstock</t>
  </si>
  <si>
    <t>Log(Body mass, g) = 3.738*Log(LM1, mm)+ -0.534</t>
  </si>
  <si>
    <t>Log(Body mass, g) = 2.68299*Log(HuEB, mm) +0.0405</t>
  </si>
  <si>
    <t>Log(Body mass, g) = 2.02747*(Log (UM1, mm) +1.70866</t>
  </si>
  <si>
    <t>All carnivores, Present study</t>
  </si>
  <si>
    <t>Log(Body mass, g) = 1.92282*(log LM2, mm) +2.19684</t>
  </si>
  <si>
    <t>metacarpal -1</t>
  </si>
  <si>
    <t>metacarpal -3</t>
  </si>
  <si>
    <t>metacarpal -2</t>
  </si>
  <si>
    <t>metatarsal -2</t>
  </si>
  <si>
    <t>Log(Body mass, g) = 1.47*Log(HuEB, mm)+ 2.29</t>
  </si>
  <si>
    <t>Log(Body mass, g) = 1.59*Log(LM2 length, mm)+ 3.10</t>
  </si>
  <si>
    <t>Ursids, Present study</t>
  </si>
  <si>
    <t>Log(Body mass, g) = 2.20156*Log(LM3, mm) + 2.58945</t>
  </si>
  <si>
    <t>Log(Body mass, g) = average[1.9336*Log(LM1, mm)+2.7, 1.5878*Log(LM2)+3.1043,1.07*Log(LM3)+ 3.93]</t>
  </si>
  <si>
    <t>Log(Body mass, g) = 1.61*Log(FeB, mm)+ 2.19</t>
  </si>
  <si>
    <t>Log(Body mass, g) = 1.66*Log(UM1 length, mm)+ 3.08</t>
  </si>
  <si>
    <t>Log(Body mass, kg) = 2.02*Log(TiEB, mm)+ -1.461</t>
  </si>
  <si>
    <t>Figueirido et al. 2010 (Tedml; canids and ursids)</t>
  </si>
  <si>
    <t>Log(Body mass, g) = 1.66*Log(UM1, mm)+ 3.08</t>
  </si>
  <si>
    <t>Log(Body mass, g) = 1.93*Log(LM1, mm)+ 2.67</t>
  </si>
  <si>
    <t>Cicurina Cave Loc. 1</t>
  </si>
  <si>
    <t>TiEB</t>
  </si>
  <si>
    <t>Don Williams Cave</t>
  </si>
  <si>
    <t>Hays</t>
  </si>
  <si>
    <t>metatarsal</t>
  </si>
  <si>
    <t>61a</t>
  </si>
  <si>
    <t>Phalanx</t>
  </si>
  <si>
    <t>61b</t>
  </si>
  <si>
    <t>americanus (cf)</t>
  </si>
  <si>
    <t>length of lower 3 or 4th molar</t>
  </si>
  <si>
    <t>LM8</t>
  </si>
  <si>
    <t xml:space="preserve"> eighth lower molar</t>
  </si>
  <si>
    <t>Log(Body mass, g) = 2.66975*Log(HuMAPD*Pi, g) -0.13193</t>
  </si>
  <si>
    <t>Brazos River</t>
  </si>
  <si>
    <t xml:space="preserve">Lundelius </t>
  </si>
  <si>
    <t>second metatarsal</t>
  </si>
  <si>
    <t xml:space="preserve">Holmesina </t>
  </si>
  <si>
    <t>Log(Body mass, g) = 2.79712*Log(HuL, g) -1.72502</t>
  </si>
  <si>
    <t>Log(Body mass, g) = 3.353*Log(LM1, mm)+1.807</t>
  </si>
  <si>
    <t>Lagomorpha, Table 4; Moncunill-Solé et al. 2015</t>
  </si>
  <si>
    <t>Log(Body mass, g) = 2.584*Log(TiB, mm)+0.461</t>
  </si>
  <si>
    <t>Log(Body mass, g) = 2.393*Log(HuEB, mm)+0.934</t>
  </si>
  <si>
    <t>28x</t>
  </si>
  <si>
    <t>TX 30 btw Hunt and Leakey</t>
  </si>
  <si>
    <t>Log(Body mass, g) = 2.229*Log(FeL, mm) -1.11</t>
  </si>
  <si>
    <t>Just N of Florence on 440</t>
  </si>
  <si>
    <t>Near Comstock</t>
  </si>
  <si>
    <t>9 mi NW of Lampasas</t>
  </si>
  <si>
    <t>Lm1</t>
  </si>
  <si>
    <t>Halls Cave</t>
  </si>
  <si>
    <t>Ln(Body mass, g) = 2.969* Ln(CaL, mm ) - 1.611</t>
  </si>
  <si>
    <t xml:space="preserve">R </t>
  </si>
  <si>
    <t>CaW</t>
  </si>
  <si>
    <t xml:space="preserve"> width of the calcaneum </t>
  </si>
  <si>
    <t>Ln (Body mass, g) = 2.928*Ln(CaW, mm)+0.981</t>
  </si>
  <si>
    <t>HuAPDd</t>
  </si>
  <si>
    <t>distal end; anterior-posterior diameter of humerus</t>
  </si>
  <si>
    <t>Log(Body mass, g) = 2.076*Log(HAPDd, mm) +1.536</t>
  </si>
  <si>
    <t>HTDd</t>
  </si>
  <si>
    <t xml:space="preserve">distal Humerus transverse diameter </t>
  </si>
  <si>
    <t>Log(Body mass, g) =3.386*Log(HTDd, mm) -0.063</t>
  </si>
  <si>
    <t>Log(Body mass, g) =2.63*Log(FAPDd, mm)+0.225</t>
  </si>
  <si>
    <t>6 mi E of Austin, Deckler Lane area</t>
  </si>
  <si>
    <t>FeTDp</t>
  </si>
  <si>
    <t xml:space="preserve">proximal end; transverse diameter of proximal femur </t>
  </si>
  <si>
    <t>Log(Body mass, g) = 2.217*Log(FeTDp, mm) +0.498</t>
  </si>
  <si>
    <t xml:space="preserve">L </t>
  </si>
  <si>
    <t>5 mi east of Austin, Deckler Lane area</t>
  </si>
  <si>
    <t>Log(Body mass, g) = 2.418*Log(HuL, g) -1.221</t>
  </si>
  <si>
    <t>6 mi west of Austin</t>
  </si>
  <si>
    <t>AsW</t>
  </si>
  <si>
    <t>width of astragalus</t>
  </si>
  <si>
    <t>Log(Body mass, g) = 2.722*Log(AsW, mm) +1.67</t>
  </si>
  <si>
    <t>Hu</t>
  </si>
  <si>
    <t>humerus  - end?</t>
  </si>
  <si>
    <t>distal or proximal end?</t>
  </si>
  <si>
    <t xml:space="preserve"> Log(Body mass, kg)=average[3.187*Log(LM1, cm) + 1.264, 3.01*Log(LM2, cm) + 1.216, 2.99*Log(LM3, cm) +1.162]</t>
  </si>
  <si>
    <t>Table 16.8, Damuth and MacFadden 1990</t>
  </si>
  <si>
    <t>Log(Body mass, kg) = 2.9*Log(UM2,cm) + 1.209</t>
  </si>
  <si>
    <t>Log(Body mass, kg) = 3.187*Log(LM1,cm) + 1.264</t>
  </si>
  <si>
    <t>Perissodactyla, Table 16.8, Damuth and MacFadden 1990</t>
  </si>
  <si>
    <t>Cameron (Brown-Crawford Gravel Pit)</t>
  </si>
  <si>
    <t>Log(Body mass, kg) = 2.7422*Log(MC2, cm) + 0.6135</t>
  </si>
  <si>
    <t>Perissodactyla, Table 16.7; Damuth and MacFadden 1990</t>
  </si>
  <si>
    <t xml:space="preserve"> Log(Body mass, kg)= 2.999*Log(LM3, cm) + 1.162</t>
  </si>
  <si>
    <t xml:space="preserve"> Log(Body mass, kg)= Average[3.01*Log(LM2, cm) + 1.216, 2.9*LOG(UM2, cm)+1.209]</t>
  </si>
  <si>
    <t>Lot 3</t>
  </si>
  <si>
    <t>Sealy</t>
  </si>
  <si>
    <t>Austin</t>
  </si>
  <si>
    <t>36A</t>
  </si>
  <si>
    <t>UM or UP</t>
  </si>
  <si>
    <t>upper cheek tooth</t>
  </si>
  <si>
    <t>W123</t>
  </si>
  <si>
    <t>Cameron (Batt Pit, 2.5 mi. E Cameron)</t>
  </si>
  <si>
    <t>117 A</t>
  </si>
  <si>
    <t>Lot 4</t>
  </si>
  <si>
    <t>M3?</t>
  </si>
  <si>
    <t xml:space="preserve"> Log(Body mass, kg)= 3.01*Log(LM2, cm) + 1.216</t>
  </si>
  <si>
    <t>Joe Paholik Brazos river at san felipe, 1836</t>
  </si>
  <si>
    <t xml:space="preserve"> Log(Body mass, kg)=average[3.187*Log(LM1, cm) + 1.264, 3.01*Log(LM2, cm) + 1.216]</t>
  </si>
  <si>
    <t xml:space="preserve">San Felipe </t>
  </si>
  <si>
    <t>R?</t>
  </si>
  <si>
    <t>Log(Body mass, kg) = 2.965*Log(LP3, cm) + 1.383</t>
  </si>
  <si>
    <t>length of second premolar</t>
  </si>
  <si>
    <t xml:space="preserve"> Log(Body mass, kg)= Average[2.965*Log(LP3, cm) + 1.383, 3.09*LOG(LP4, cm)+1.29]</t>
  </si>
  <si>
    <t>Log(Body mass, kg) = 3.09*Log(LP4,cm) + 1.29</t>
  </si>
  <si>
    <t xml:space="preserve">   2196B</t>
  </si>
  <si>
    <t xml:space="preserve"> Log(Body mass, kg)= average[2.965*Log(LP3, cm) + 1.383, 3.09*Log(LP4)+1.29]</t>
  </si>
  <si>
    <t>Log(Body mass, kg) = 3.09*Log(LP4, cm) + 1.29</t>
  </si>
  <si>
    <t>A103</t>
  </si>
  <si>
    <t>Log(Body mass, g) = 2.999*Log(LM3, mm) + 1.162</t>
  </si>
  <si>
    <t>gravel bar at mouth of little Brazos river</t>
  </si>
  <si>
    <t>Gravel pit near Hearne TX,</t>
  </si>
  <si>
    <t>d?LP3</t>
  </si>
  <si>
    <t>length of lower third premolar</t>
  </si>
  <si>
    <t xml:space="preserve"> Log(Body mass, kg)= average[2.965*Log(LP3, cm) + 1.383, 3.09*LOG(LP4, cm)+1.29]</t>
  </si>
  <si>
    <t>d?UP3</t>
  </si>
  <si>
    <t>length of decidous upper third premolar</t>
  </si>
  <si>
    <t xml:space="preserve">   2196L</t>
  </si>
  <si>
    <t>40545? Or</t>
  </si>
  <si>
    <t>LP2 (said LP1)</t>
  </si>
  <si>
    <t>Log(Body mass, kg) = 2.637*Log(LP2, cm) + 1.527</t>
  </si>
  <si>
    <t>d?UP2</t>
  </si>
  <si>
    <t>length of decidous upper second premolar</t>
  </si>
  <si>
    <t>Log(Body mass, kg) = 2.637*Log(LP3, cm) + 1.527</t>
  </si>
  <si>
    <t>C</t>
  </si>
  <si>
    <t xml:space="preserve"> Log(Body mass, kg)= vaerage[2.965*Log(LP3, cm) + 1.383, 3.09*Log(LP4, cm)+1.29]</t>
  </si>
  <si>
    <t>LM or P</t>
  </si>
  <si>
    <t>length of lower cheek tooth</t>
  </si>
  <si>
    <t>Caldwell</t>
  </si>
  <si>
    <t>Culberson</t>
  </si>
  <si>
    <t xml:space="preserve">Tapirus </t>
  </si>
  <si>
    <t>sloth</t>
  </si>
  <si>
    <t>FeMAPC</t>
  </si>
  <si>
    <t xml:space="preserve"> midshaft anteroposterior circumference of femur</t>
  </si>
  <si>
    <t>Log(body mass, g) = 2.87355*Log(FeMAPC, mm) +-0.52682</t>
  </si>
  <si>
    <t>jeffersoni</t>
  </si>
  <si>
    <t>PIlosa</t>
  </si>
  <si>
    <t>Megatheriidae</t>
  </si>
  <si>
    <t>Eremotherium</t>
  </si>
  <si>
    <t>Stanley E. Smith</t>
  </si>
  <si>
    <t>Calhoun</t>
  </si>
  <si>
    <t>Mcdonald and Lundelius 2009</t>
  </si>
  <si>
    <t>Mylodon</t>
  </si>
  <si>
    <t>Mylondontidae</t>
  </si>
  <si>
    <t>Log(Body mass, g) = 2.90786*Log(FeL, mm) -2.17447</t>
  </si>
  <si>
    <t>FeMAPD, FeB</t>
  </si>
  <si>
    <t>midshaft anteroposterior diameter of femur; width across condyles</t>
  </si>
  <si>
    <t>Log(body mass, g) = 2.87355*Log(FeMAPC, mm) +-0.52683</t>
  </si>
  <si>
    <t>--</t>
  </si>
  <si>
    <t>Avenue site</t>
  </si>
  <si>
    <t>UM2 or LM1</t>
  </si>
  <si>
    <t>Nothrotheriops</t>
  </si>
  <si>
    <t>Log(Body mass, kg)= 2.782*Log(FeB, cm) - .0107</t>
  </si>
  <si>
    <t>ungulates, Table 16.7; Damuth and MacFadden 1990</t>
  </si>
  <si>
    <t> Valley Farms</t>
  </si>
  <si>
    <t>Navarro</t>
  </si>
  <si>
    <t>1B</t>
  </si>
  <si>
    <t>Reagan Gravel Pit</t>
  </si>
  <si>
    <t>Howard</t>
  </si>
  <si>
    <t>Borrego Creek</t>
  </si>
  <si>
    <t>Atascosa</t>
  </si>
  <si>
    <t>Log(Body mass, kg) = 2.06*Log(HuMAPC, mm)+ -1.60</t>
  </si>
  <si>
    <t>Table 1, Jukar et al. 2018</t>
  </si>
  <si>
    <t>Log(body mass, kg) = 2.07*Log(FeMAPC, mm) +-1.61</t>
  </si>
  <si>
    <t>San Felipe</t>
  </si>
  <si>
    <t>BM</t>
  </si>
  <si>
    <t>third molar? biggest molar</t>
  </si>
  <si>
    <t>Trinity River </t>
  </si>
  <si>
    <t>Valley Junction Gravel Pit</t>
  </si>
  <si>
    <t>830?</t>
  </si>
  <si>
    <t>2166-x</t>
  </si>
  <si>
    <t>big proboscidean molar</t>
  </si>
  <si>
    <t>2178-x</t>
  </si>
  <si>
    <t>2239A</t>
  </si>
  <si>
    <t>third lower molar </t>
  </si>
  <si>
    <t>Wallace Farm</t>
  </si>
  <si>
    <t>Live Oak</t>
  </si>
  <si>
    <t>SM</t>
  </si>
  <si>
    <t>small proboscidean molar</t>
  </si>
  <si>
    <t>Big Bend of the Brazos</t>
  </si>
  <si>
    <t>Clay Farm</t>
  </si>
  <si>
    <t>Grimes</t>
  </si>
  <si>
    <t>Waller</t>
  </si>
  <si>
    <t>2239B</t>
  </si>
  <si>
    <t>UM2 orUM3</t>
  </si>
  <si>
    <t>third upper molar </t>
  </si>
  <si>
    <t>Roxtom</t>
  </si>
  <si>
    <t>Lamar</t>
  </si>
  <si>
    <t>o</t>
  </si>
  <si>
    <t>Carlile Well 2</t>
  </si>
  <si>
    <t>Kocurek Gravel Pit</t>
  </si>
  <si>
    <t>overall length of humerus</t>
  </si>
  <si>
    <t>Log(Body mass) = 2.635*Log(HuL) -4.145</t>
  </si>
  <si>
    <t>Christiansen 2004</t>
  </si>
  <si>
    <t>midshaft anteroposterior circumference of femur</t>
  </si>
  <si>
    <t>Log(Body mass) = 3.036*Log(FeL) −5.568</t>
  </si>
  <si>
    <t>Farrish Ranch</t>
  </si>
  <si>
    <t>Bee3</t>
  </si>
  <si>
    <t>Coahoma</t>
  </si>
  <si>
    <t>Barron's Creek</t>
  </si>
  <si>
    <t>Log(Body mass, kg) = 2.06*Log(HuMAPD* Pi, mm)+ -1.60</t>
  </si>
  <si>
    <t>first or second lower molar</t>
  </si>
  <si>
    <t>is this a different number for the same element I measured below?</t>
  </si>
  <si>
    <t>E &amp; A Gravel Pit</t>
  </si>
  <si>
    <t>Bayor</t>
  </si>
  <si>
    <t>Brazos river </t>
  </si>
  <si>
    <t>Nueces river</t>
  </si>
  <si>
    <t>Nuences</t>
  </si>
  <si>
    <t>upper molar</t>
  </si>
  <si>
    <t>3?</t>
  </si>
  <si>
    <t>Buckner Ranch 3</t>
  </si>
  <si>
    <t>Miller Ranch</t>
  </si>
  <si>
    <t>Duval</t>
  </si>
  <si>
    <t>lower first or second molar</t>
  </si>
  <si>
    <t>LP4 or LM1</t>
  </si>
  <si>
    <t>Hondo</t>
  </si>
  <si>
    <t>Medina</t>
  </si>
  <si>
    <t>11XX</t>
  </si>
  <si>
    <t>Columbus South</t>
  </si>
  <si>
    <t>Colorado</t>
  </si>
  <si>
    <t>E&amp;A gravel pit</t>
  </si>
  <si>
    <t>Baylor</t>
  </si>
  <si>
    <t>second upper molar</t>
  </si>
  <si>
    <t>Slaton Quarry</t>
  </si>
  <si>
    <t>UM2 or UM3</t>
  </si>
  <si>
    <t>second or third upper molar</t>
  </si>
  <si>
    <t>Big Cypress Creek, Big Dig</t>
  </si>
  <si>
    <t>Mammuthus or Mammut</t>
  </si>
  <si>
    <t>FeMAPD </t>
  </si>
  <si>
    <t>Log(body mass, g) = 2.87355*Log(FeMAPD*Pi, mm) +-0.52682</t>
  </si>
  <si>
    <t>Rodentia</t>
  </si>
  <si>
    <t>Caviidae</t>
  </si>
  <si>
    <t>Neochoerus</t>
  </si>
  <si>
    <t>pinckneyi</t>
  </si>
  <si>
    <t xml:space="preserve"> lower premolar</t>
  </si>
  <si>
    <t>M or P</t>
  </si>
  <si>
    <t>molar or premolar</t>
  </si>
  <si>
    <t>Table S3. Measurements of modern mammals</t>
  </si>
  <si>
    <t>MMNH Accession</t>
  </si>
  <si>
    <t>Sex</t>
  </si>
  <si>
    <t>HBL (head-body length, mm)</t>
  </si>
  <si>
    <t>Estimated or actual BM (body mass, g)</t>
  </si>
  <si>
    <t>BM (body mass, g)</t>
  </si>
  <si>
    <t>SKL (skull length, mm)</t>
  </si>
  <si>
    <t xml:space="preserve"> lm1 length (mm)</t>
  </si>
  <si>
    <t xml:space="preserve"> lm2 length (mm)</t>
  </si>
  <si>
    <t>lm3 length (mm)</t>
  </si>
  <si>
    <t>lp4 length (mm)</t>
  </si>
  <si>
    <t>UM1 length (mm)</t>
  </si>
  <si>
    <t>UM2 length (mm)</t>
  </si>
  <si>
    <t xml:space="preserve"> AsL (Astragalus length, mm)</t>
  </si>
  <si>
    <t>AsTL (Trochlea length, mm)</t>
  </si>
  <si>
    <t xml:space="preserve"> CaL (calcaneum length, mm)</t>
  </si>
  <si>
    <t>HuEB (breadth of epicondyles, mm)</t>
  </si>
  <si>
    <t>HuAPD (midshaft anteroposterior diameter, mm)</t>
  </si>
  <si>
    <t>TiL (Tibia length, mm)</t>
  </si>
  <si>
    <t>FeAPD (midshaft anteroposterior diameter, mm)</t>
  </si>
  <si>
    <t xml:space="preserve"> FeB (breadth of epicondyles, mm)</t>
  </si>
  <si>
    <t xml:space="preserve"> FeHD (head diameter, mm)</t>
  </si>
  <si>
    <t xml:space="preserve"> FeL (femur length, mm)</t>
  </si>
  <si>
    <t>UlOL (ulna olecranon process length, mm)</t>
  </si>
  <si>
    <t>zerda</t>
  </si>
  <si>
    <t>u</t>
  </si>
  <si>
    <t>f</t>
  </si>
  <si>
    <t>m</t>
  </si>
  <si>
    <t>Nyctereutes</t>
  </si>
  <si>
    <t>procyonoides</t>
  </si>
  <si>
    <t>mesomelas</t>
  </si>
  <si>
    <t>***</t>
  </si>
  <si>
    <t>Lycaon</t>
  </si>
  <si>
    <t>pictus</t>
  </si>
  <si>
    <t>Chrysocyon</t>
  </si>
  <si>
    <t>brachiurus</t>
  </si>
  <si>
    <t>Felis</t>
  </si>
  <si>
    <t>bengalensis</t>
  </si>
  <si>
    <t>geoffroyi</t>
  </si>
  <si>
    <t>yagouaroundi</t>
  </si>
  <si>
    <t>domesticus</t>
  </si>
  <si>
    <t>viverrina</t>
  </si>
  <si>
    <t>chaus</t>
  </si>
  <si>
    <t>lynx</t>
  </si>
  <si>
    <t>Neofelis</t>
  </si>
  <si>
    <t>nebulosa</t>
  </si>
  <si>
    <t>leo</t>
  </si>
  <si>
    <t>tigris</t>
  </si>
  <si>
    <t>temmincki</t>
  </si>
  <si>
    <t>pardalis</t>
  </si>
  <si>
    <t>Acinonyx</t>
  </si>
  <si>
    <t>jubatus</t>
  </si>
  <si>
    <t>pardus</t>
  </si>
  <si>
    <t>uncat</t>
  </si>
  <si>
    <t>aquaticus</t>
  </si>
  <si>
    <t>arcticus</t>
  </si>
  <si>
    <t>townsendii</t>
  </si>
  <si>
    <t>californicus</t>
  </si>
  <si>
    <t>audubonii</t>
  </si>
  <si>
    <t>Mustela</t>
  </si>
  <si>
    <t>nivalis</t>
  </si>
  <si>
    <t>erminea</t>
  </si>
  <si>
    <t>frenata</t>
  </si>
  <si>
    <t>putorius</t>
  </si>
  <si>
    <t>vison</t>
  </si>
  <si>
    <t>nigripes</t>
  </si>
  <si>
    <t>Ictonyx</t>
  </si>
  <si>
    <t>striatus</t>
  </si>
  <si>
    <t>Martes</t>
  </si>
  <si>
    <t>Galictis</t>
  </si>
  <si>
    <t>cuja</t>
  </si>
  <si>
    <t>pennanti</t>
  </si>
  <si>
    <t>vittata</t>
  </si>
  <si>
    <t>Eira</t>
  </si>
  <si>
    <t>barbara</t>
  </si>
  <si>
    <t>Gulo</t>
  </si>
  <si>
    <t>gulo</t>
  </si>
  <si>
    <t>semistriatus</t>
  </si>
  <si>
    <t>Arctonyx</t>
  </si>
  <si>
    <t>collaris</t>
  </si>
  <si>
    <t>Ochotonidae</t>
  </si>
  <si>
    <t>Ochotona</t>
  </si>
  <si>
    <t>princeps</t>
  </si>
  <si>
    <t>Bassaricyon</t>
  </si>
  <si>
    <t>gabbi</t>
  </si>
  <si>
    <t>Nasua</t>
  </si>
  <si>
    <t>nasua</t>
  </si>
  <si>
    <t>Potos</t>
  </si>
  <si>
    <t>flavus</t>
  </si>
  <si>
    <t>sumichrasti</t>
  </si>
  <si>
    <t>arctos</t>
  </si>
  <si>
    <t>11.57**</t>
  </si>
  <si>
    <t>maritimus</t>
  </si>
  <si>
    <t>*** bad values</t>
  </si>
  <si>
    <t>Table S4. Allometric regressions developed on modern mammals</t>
  </si>
  <si>
    <t>**All = Canidae, Felidae, Mustelidae, and Ursidae; excludes Procyonidae</t>
  </si>
  <si>
    <t xml:space="preserve">Signif. codes:  0= ‘***’; 0.001 = **’; 0.01 = ‘*’; 0.05= ‘.’;  0.1 or higher = ‘0.XXX’ </t>
  </si>
  <si>
    <t>Y ~ X</t>
  </si>
  <si>
    <t>Element (abreviations follow  Table S2)</t>
  </si>
  <si>
    <t>Std. Error</t>
  </si>
  <si>
    <t>Slope std error</t>
  </si>
  <si>
    <t>Multiple R-square</t>
  </si>
  <si>
    <t>Using Campione and Evans (35) data:</t>
  </si>
  <si>
    <t>Afrotheria</t>
  </si>
  <si>
    <t>BM.log ~ FE_L.log</t>
  </si>
  <si>
    <t>Femur (length)</t>
  </si>
  <si>
    <t>Xenarthra</t>
  </si>
  <si>
    <t>ns</t>
  </si>
  <si>
    <t>Camponi and Evans</t>
  </si>
  <si>
    <t>BM.log ~ FE_MAPC.log</t>
  </si>
  <si>
    <t>Femur (midshaft AP circ)</t>
  </si>
  <si>
    <t>marginal</t>
  </si>
  <si>
    <t>BM.log ~ HU_L.log</t>
  </si>
  <si>
    <t>Humerus (length)</t>
  </si>
  <si>
    <t>BM.log ~ HU_MAPC.log</t>
  </si>
  <si>
    <t>Humerus (midshaft AP circ)</t>
  </si>
  <si>
    <t>Using Mendoza et al. (33) data:</t>
  </si>
  <si>
    <t>Ungulates</t>
  </si>
  <si>
    <t>BM.log ~ FLPL.log</t>
  </si>
  <si>
    <t>FLPL</t>
  </si>
  <si>
    <t>BM.log ~ PLML.log</t>
  </si>
  <si>
    <t>PLML</t>
  </si>
  <si>
    <t>BM.log ~ SLML.log</t>
  </si>
  <si>
    <t>SLML</t>
  </si>
  <si>
    <t>BM.log ~ TLML.log</t>
  </si>
  <si>
    <t>TLML</t>
  </si>
  <si>
    <t>BM.log ~ SUML.log</t>
  </si>
  <si>
    <t>SUML</t>
  </si>
  <si>
    <t>BM.log ~ PAW.log</t>
  </si>
  <si>
    <t>PAW</t>
  </si>
  <si>
    <t>Present Study with museum specimens (Table S3)</t>
  </si>
  <si>
    <t>All</t>
  </si>
  <si>
    <t xml:space="preserve">BM_Est.log ~ lm1_L.log </t>
  </si>
  <si>
    <t>Lower M1</t>
  </si>
  <si>
    <t xml:space="preserve">BM_Act.log ~ lm1_L.log </t>
  </si>
  <si>
    <t xml:space="preserve">BM_Est.log ~ lm2_L.log </t>
  </si>
  <si>
    <t>Lower M2</t>
  </si>
  <si>
    <t>BM_Est.log ~ lm2_L.log</t>
  </si>
  <si>
    <t xml:space="preserve">BM_Est.log ~ lm3_L.log </t>
  </si>
  <si>
    <t>Lower M3</t>
  </si>
  <si>
    <t>**</t>
  </si>
  <si>
    <t xml:space="preserve">BM_Est.log ~ lp4_L.log </t>
  </si>
  <si>
    <t>Lower premolar 4</t>
  </si>
  <si>
    <t xml:space="preserve">BM_Est.log ~ um1_L.log </t>
  </si>
  <si>
    <t>Upper molar 1</t>
  </si>
  <si>
    <t xml:space="preserve">BM_Est.log ~ um2_L.log </t>
  </si>
  <si>
    <t>Upper molar 2</t>
  </si>
  <si>
    <t xml:space="preserve">BM_Est.log ~ cal_L.log </t>
  </si>
  <si>
    <t>Calcaneum</t>
  </si>
  <si>
    <t xml:space="preserve">BM_Est.log ~ hue_B.log </t>
  </si>
  <si>
    <t>Humerus (B)</t>
  </si>
  <si>
    <t>.</t>
  </si>
  <si>
    <t xml:space="preserve">BM_Est.log ~ huap_D.log </t>
  </si>
  <si>
    <t>Humerus (APD)</t>
  </si>
  <si>
    <t xml:space="preserve">BM_Est.log ~ ti_L.log </t>
  </si>
  <si>
    <t xml:space="preserve">BM_Est.log ~ fe_L.log </t>
  </si>
  <si>
    <t xml:space="preserve">BM_Est.log ~ fe_B.log </t>
  </si>
  <si>
    <t>Femur (B)</t>
  </si>
  <si>
    <t xml:space="preserve">BM_Est.log ~ feh_D.log </t>
  </si>
  <si>
    <t>Femur (HD)</t>
  </si>
  <si>
    <t xml:space="preserve">BM_Est.log ~ feap_D.log </t>
  </si>
  <si>
    <t>Femur (APD)</t>
  </si>
  <si>
    <t>Table S5. Raw isotope data for fossil specimens</t>
  </si>
  <si>
    <t>Site ID</t>
  </si>
  <si>
    <t>Unique ID</t>
  </si>
  <si>
    <t>Diet</t>
  </si>
  <si>
    <t>Digestion</t>
  </si>
  <si>
    <t>Age Category</t>
  </si>
  <si>
    <t>Tissue</t>
  </si>
  <si>
    <r>
      <rPr>
        <b/>
        <sz val="14"/>
        <color theme="1"/>
        <rFont val="Symbol"/>
        <charset val="2"/>
      </rPr>
      <t>d</t>
    </r>
    <r>
      <rPr>
        <b/>
        <sz val="14"/>
        <color theme="1"/>
        <rFont val="AdobeDevanagari-Regular"/>
      </rPr>
      <t>13C raw</t>
    </r>
  </si>
  <si>
    <r>
      <rPr>
        <b/>
        <sz val="14"/>
        <color theme="1"/>
        <rFont val="Symbol"/>
        <charset val="2"/>
      </rPr>
      <t>d</t>
    </r>
    <r>
      <rPr>
        <b/>
        <sz val="14"/>
        <color theme="1"/>
        <rFont val="AdobeDevanagari-Regular"/>
      </rPr>
      <t>13C corrected</t>
    </r>
  </si>
  <si>
    <r>
      <rPr>
        <b/>
        <sz val="14"/>
        <color theme="1"/>
        <rFont val="Symbol"/>
        <charset val="2"/>
      </rPr>
      <t>d</t>
    </r>
    <r>
      <rPr>
        <b/>
        <sz val="14"/>
        <color theme="1"/>
        <rFont val="AdobeDevanagari-Regular"/>
      </rPr>
      <t>15N</t>
    </r>
  </si>
  <si>
    <r>
      <rPr>
        <b/>
        <sz val="14"/>
        <color theme="1"/>
        <rFont val="Symbol"/>
        <charset val="2"/>
      </rPr>
      <t>d</t>
    </r>
    <r>
      <rPr>
        <b/>
        <sz val="14"/>
        <color theme="1"/>
        <rFont val="AdobeDevanagari-Regular"/>
      </rPr>
      <t>18O vsmow</t>
    </r>
  </si>
  <si>
    <r>
      <rPr>
        <b/>
        <sz val="14"/>
        <color theme="1"/>
        <rFont val="Symbol"/>
        <charset val="2"/>
      </rPr>
      <t>d</t>
    </r>
    <r>
      <rPr>
        <b/>
        <sz val="14"/>
        <color theme="1"/>
        <rFont val="AdobeDevanagari-Regular"/>
      </rPr>
      <t>18O vpd</t>
    </r>
  </si>
  <si>
    <t>C:N ratio</t>
  </si>
  <si>
    <t>CHECK values</t>
  </si>
  <si>
    <t>comments</t>
  </si>
  <si>
    <t>Herbivore</t>
  </si>
  <si>
    <t>Ruminant</t>
  </si>
  <si>
    <t>collagen</t>
  </si>
  <si>
    <t>scapula</t>
  </si>
  <si>
    <t>cervical vertebra</t>
  </si>
  <si>
    <t xml:space="preserve">Holocene </t>
  </si>
  <si>
    <t>enamel</t>
  </si>
  <si>
    <t>tooth</t>
  </si>
  <si>
    <t>nd</t>
  </si>
  <si>
    <t>innominate</t>
  </si>
  <si>
    <t>radius</t>
  </si>
  <si>
    <t>molar 3</t>
  </si>
  <si>
    <t>axis vertebra</t>
  </si>
  <si>
    <t>phalanx 1</t>
  </si>
  <si>
    <t>tibia</t>
  </si>
  <si>
    <t>dentary</t>
  </si>
  <si>
    <t>molar 1</t>
  </si>
  <si>
    <t>Four Mile Ranch</t>
  </si>
  <si>
    <t xml:space="preserve">Herbivore </t>
  </si>
  <si>
    <t xml:space="preserve">Hall's Cave </t>
  </si>
  <si>
    <t>amplitude of peak too low</t>
  </si>
  <si>
    <t xml:space="preserve">Pleistocene </t>
  </si>
  <si>
    <t>Yann et al. 2016</t>
  </si>
  <si>
    <t>premolar 4</t>
  </si>
  <si>
    <t>molar 2</t>
  </si>
  <si>
    <t>metacarpal</t>
  </si>
  <si>
    <t>sesamoid</t>
  </si>
  <si>
    <t>skull</t>
  </si>
  <si>
    <t>6CK-1</t>
  </si>
  <si>
    <t>6CK-2</t>
  </si>
  <si>
    <t>6K or 6A</t>
  </si>
  <si>
    <t>astragalus</t>
  </si>
  <si>
    <t>lumbar vertebra</t>
  </si>
  <si>
    <t>rib</t>
  </si>
  <si>
    <t>ulna</t>
  </si>
  <si>
    <t>femur</t>
  </si>
  <si>
    <t>ilium</t>
  </si>
  <si>
    <t>petrosal</t>
  </si>
  <si>
    <t>humerus</t>
  </si>
  <si>
    <t>incisor</t>
  </si>
  <si>
    <t>phalanx 2</t>
  </si>
  <si>
    <t>500a</t>
  </si>
  <si>
    <t>500b</t>
  </si>
  <si>
    <t xml:space="preserve">tooth </t>
  </si>
  <si>
    <t>Bonfire Shelter</t>
  </si>
  <si>
    <t>Koch 2004</t>
  </si>
  <si>
    <t>Mustang Branch</t>
  </si>
  <si>
    <t>77 Ranch</t>
  </si>
  <si>
    <t>BDM</t>
  </si>
  <si>
    <t>814A</t>
  </si>
  <si>
    <t>MSU</t>
  </si>
  <si>
    <t xml:space="preserve">Schulze Cave </t>
  </si>
  <si>
    <t>premolar</t>
  </si>
  <si>
    <t>SMP</t>
  </si>
  <si>
    <t>Keller Springs</t>
  </si>
  <si>
    <t>misc</t>
  </si>
  <si>
    <t>molar 1 or 2</t>
  </si>
  <si>
    <t>Leo.Boatright.Pit</t>
  </si>
  <si>
    <t>2A</t>
  </si>
  <si>
    <t>Valley Farms</t>
  </si>
  <si>
    <t>Cave Without A Name</t>
  </si>
  <si>
    <t>calcaneus</t>
  </si>
  <si>
    <t>premolar 4 root</t>
  </si>
  <si>
    <t>bone</t>
  </si>
  <si>
    <t>Howard Ranch</t>
  </si>
  <si>
    <t>Moore.Pit</t>
  </si>
  <si>
    <t>cheek tooth</t>
  </si>
  <si>
    <t xml:space="preserve">Bison </t>
  </si>
  <si>
    <t xml:space="preserve">Morhiss Mound </t>
  </si>
  <si>
    <t>TMM</t>
  </si>
  <si>
    <t>2184b</t>
  </si>
  <si>
    <t>cuboid</t>
  </si>
  <si>
    <t>mesocuneiform</t>
  </si>
  <si>
    <t xml:space="preserve">hesternus </t>
  </si>
  <si>
    <t xml:space="preserve">Cameron </t>
  </si>
  <si>
    <t>814a</t>
  </si>
  <si>
    <t>814b</t>
  </si>
  <si>
    <t xml:space="preserve">Camelops </t>
  </si>
  <si>
    <t>ET</t>
  </si>
  <si>
    <t xml:space="preserve"> Lake Tawakoni</t>
  </si>
  <si>
    <t>metapodial</t>
  </si>
  <si>
    <t xml:space="preserve">Hemiauchenia </t>
  </si>
  <si>
    <t>maxilla</t>
  </si>
  <si>
    <t xml:space="preserve">fricki </t>
  </si>
  <si>
    <t>tooth root</t>
  </si>
  <si>
    <t>did both enamel and collagen</t>
  </si>
  <si>
    <t>molar 2 root</t>
  </si>
  <si>
    <t>premolar 3</t>
  </si>
  <si>
    <t>Non-ruminant</t>
  </si>
  <si>
    <t>107a</t>
  </si>
  <si>
    <t>1869a</t>
  </si>
  <si>
    <t>Levi Rock Shelter</t>
  </si>
  <si>
    <t>Wunderlich Site</t>
  </si>
  <si>
    <t>naviculocuboid</t>
  </si>
  <si>
    <t>orbit</t>
  </si>
  <si>
    <t>jugal</t>
  </si>
  <si>
    <t>fibula</t>
  </si>
  <si>
    <t>cuneiform</t>
  </si>
  <si>
    <t xml:space="preserve">Bering Sinkhole </t>
  </si>
  <si>
    <t>molar root</t>
  </si>
  <si>
    <t>127a</t>
  </si>
  <si>
    <t>UNM001</t>
  </si>
  <si>
    <t>108a</t>
  </si>
  <si>
    <t>918a</t>
  </si>
  <si>
    <t xml:space="preserve">Carnivore </t>
  </si>
  <si>
    <t>canine root</t>
  </si>
  <si>
    <t>canine</t>
  </si>
  <si>
    <t>premolar root</t>
  </si>
  <si>
    <t>2201a</t>
  </si>
  <si>
    <t>1907B</t>
  </si>
  <si>
    <t xml:space="preserve">dirus </t>
  </si>
  <si>
    <t>check if O is bdl</t>
  </si>
  <si>
    <t>metatarsal 3</t>
  </si>
  <si>
    <t>metatarsal 2</t>
  </si>
  <si>
    <t>metacarpal 3</t>
  </si>
  <si>
    <t>atlas vertebra</t>
  </si>
  <si>
    <t>metatarsal 4</t>
  </si>
  <si>
    <t>West Culp Site</t>
  </si>
  <si>
    <t xml:space="preserve">latrans </t>
  </si>
  <si>
    <t xml:space="preserve">Stream near San Antonio </t>
  </si>
  <si>
    <t>incisor root</t>
  </si>
  <si>
    <t>metacarpal 4</t>
  </si>
  <si>
    <t>scapholunar</t>
  </si>
  <si>
    <t>metacarpal 5</t>
  </si>
  <si>
    <t>Carnivore</t>
  </si>
  <si>
    <t>ischium</t>
  </si>
  <si>
    <t>indet. (juvenile)</t>
  </si>
  <si>
    <t>juvenile</t>
  </si>
  <si>
    <t xml:space="preserve">Carvivore </t>
  </si>
  <si>
    <t>Urocyon or Vulpes</t>
  </si>
  <si>
    <t xml:space="preserve">weidii/ yagouaroundi </t>
  </si>
  <si>
    <t xml:space="preserve">serum </t>
  </si>
  <si>
    <t>amplitude of peak too low; changed N of 13.4 to bdl</t>
  </si>
  <si>
    <t>Homotherium ?not a Platygonus</t>
  </si>
  <si>
    <t>ectocuneiform</t>
  </si>
  <si>
    <t>Laubach 1</t>
  </si>
  <si>
    <t>occipital</t>
  </si>
  <si>
    <t>metatarsal 5</t>
  </si>
  <si>
    <t xml:space="preserve">Puma </t>
  </si>
  <si>
    <t xml:space="preserve">concolor </t>
  </si>
  <si>
    <t xml:space="preserve">Spilogale </t>
  </si>
  <si>
    <t>molar 3 root</t>
  </si>
  <si>
    <t xml:space="preserve">americanus </t>
  </si>
  <si>
    <t xml:space="preserve">Don Williams Cave </t>
  </si>
  <si>
    <t xml:space="preserve">Cicurina Cave </t>
  </si>
  <si>
    <t xml:space="preserve">Ursus </t>
  </si>
  <si>
    <t>vertebra</t>
  </si>
  <si>
    <t>pelvis</t>
  </si>
  <si>
    <t>premaxilla</t>
  </si>
  <si>
    <t>palate</t>
  </si>
  <si>
    <t>acetabulum</t>
  </si>
  <si>
    <t>no corrected C?</t>
  </si>
  <si>
    <t>sacral</t>
  </si>
  <si>
    <t>frontal</t>
  </si>
  <si>
    <t>check</t>
  </si>
  <si>
    <t xml:space="preserve">Non-ruminant </t>
  </si>
  <si>
    <t>premolar 1</t>
  </si>
  <si>
    <t>209A</t>
  </si>
  <si>
    <t>209B</t>
  </si>
  <si>
    <t>check no O data?</t>
  </si>
  <si>
    <t>premolar or molar</t>
  </si>
  <si>
    <t>Cerling et al. 1999</t>
  </si>
  <si>
    <t>changed from na to nd for O</t>
  </si>
  <si>
    <t>1051A</t>
  </si>
  <si>
    <t>1051B</t>
  </si>
  <si>
    <t>1540a</t>
  </si>
  <si>
    <t>376A</t>
  </si>
  <si>
    <t>376B</t>
  </si>
  <si>
    <t>376C</t>
  </si>
  <si>
    <t>premolar 3 or 4</t>
  </si>
  <si>
    <t>Congress Avenue</t>
  </si>
  <si>
    <t>29a</t>
  </si>
  <si>
    <t>62a</t>
  </si>
  <si>
    <t>Easely.Ranch</t>
  </si>
  <si>
    <t>no</t>
  </si>
  <si>
    <t>number</t>
  </si>
  <si>
    <t>Waco Mammoth Site</t>
  </si>
  <si>
    <t>Coppell</t>
  </si>
  <si>
    <t>Clear Creek</t>
  </si>
  <si>
    <t>Ben Franklin</t>
  </si>
  <si>
    <t>60382ms</t>
  </si>
  <si>
    <t xml:space="preserve">Equus </t>
  </si>
  <si>
    <t>2223b</t>
  </si>
  <si>
    <t>molar 2 or 3</t>
  </si>
  <si>
    <t>premolar or molar 1</t>
  </si>
  <si>
    <t>126b</t>
  </si>
  <si>
    <t>46b</t>
  </si>
  <si>
    <t>E6</t>
  </si>
  <si>
    <t>premolar 2 or 3</t>
  </si>
  <si>
    <t>Nueces River</t>
  </si>
  <si>
    <t>Laubach Cave</t>
  </si>
  <si>
    <t>Pain In The Glass Cave</t>
  </si>
  <si>
    <t>#4</t>
  </si>
  <si>
    <t>uncat.</t>
  </si>
  <si>
    <t>SMNH</t>
  </si>
  <si>
    <t>WACO-12</t>
  </si>
  <si>
    <t>WACO-19</t>
  </si>
  <si>
    <t>WACO-21</t>
  </si>
  <si>
    <t>WACO-23</t>
  </si>
  <si>
    <t>WACO-B</t>
  </si>
  <si>
    <t>WACO-C</t>
  </si>
  <si>
    <t>WACO-D</t>
  </si>
  <si>
    <t>WACO-E</t>
  </si>
  <si>
    <t>WACO-F</t>
  </si>
  <si>
    <t>WACO-I</t>
  </si>
  <si>
    <t>WACO-K</t>
  </si>
  <si>
    <t>WACO-M</t>
  </si>
  <si>
    <t>WACO-N</t>
  </si>
  <si>
    <t>WACO-Q</t>
  </si>
  <si>
    <t>uncatalougedA</t>
  </si>
  <si>
    <t>Laubach 5</t>
  </si>
  <si>
    <t>carpal</t>
  </si>
  <si>
    <t xml:space="preserve">San Domingo Creek </t>
  </si>
  <si>
    <t>L327</t>
  </si>
  <si>
    <t>Near Enloe Bridge</t>
  </si>
  <si>
    <t>dentine</t>
  </si>
  <si>
    <t>RMA Slope</t>
  </si>
  <si>
    <t>RMA Intercept</t>
  </si>
  <si>
    <t>p-value</t>
  </si>
  <si>
    <r>
      <t xml:space="preserve">Mean </t>
    </r>
    <r>
      <rPr>
        <sz val="14"/>
        <color theme="1"/>
        <rFont val="Symbol"/>
        <charset val="2"/>
      </rPr>
      <t>d</t>
    </r>
    <r>
      <rPr>
        <sz val="14"/>
        <color theme="1"/>
        <rFont val="AdobeDevanagari-Regular"/>
      </rPr>
      <t>13C</t>
    </r>
    <r>
      <rPr>
        <sz val="10"/>
        <color theme="1"/>
        <rFont val="AdobeDevanagari-Regular"/>
      </rPr>
      <t>collagen</t>
    </r>
  </si>
  <si>
    <r>
      <t>Mean spacing (</t>
    </r>
    <r>
      <rPr>
        <sz val="14"/>
        <color theme="1"/>
        <rFont val="Symbol"/>
        <charset val="2"/>
      </rPr>
      <t>d</t>
    </r>
    <r>
      <rPr>
        <sz val="14"/>
        <color theme="1"/>
        <rFont val="AdobeDevanagari-Regular"/>
      </rPr>
      <t>13C</t>
    </r>
    <r>
      <rPr>
        <sz val="10"/>
        <color theme="1"/>
        <rFont val="AdobeDevanagari-Regular"/>
      </rPr>
      <t xml:space="preserve">carbonate </t>
    </r>
    <r>
      <rPr>
        <sz val="14"/>
        <color theme="1"/>
        <rFont val="AdobeDevanagari-Regular"/>
      </rPr>
      <t xml:space="preserve">- </t>
    </r>
    <r>
      <rPr>
        <sz val="14"/>
        <color theme="1"/>
        <rFont val="Symbol"/>
        <charset val="2"/>
      </rPr>
      <t>d</t>
    </r>
    <r>
      <rPr>
        <sz val="14"/>
        <color theme="1"/>
        <rFont val="AdobeDevanagari-Regular"/>
      </rPr>
      <t>13C</t>
    </r>
    <r>
      <rPr>
        <sz val="10"/>
        <color theme="1"/>
        <rFont val="AdobeDevanagari-Regular"/>
      </rPr>
      <t>collagen</t>
    </r>
    <r>
      <rPr>
        <sz val="14"/>
        <color theme="1"/>
        <rFont val="AdobeDevanagari-Regular"/>
      </rPr>
      <t xml:space="preserve">) </t>
    </r>
  </si>
  <si>
    <t xml:space="preserve"> Spacing Stdev</t>
  </si>
  <si>
    <r>
      <t xml:space="preserve">mean </t>
    </r>
    <r>
      <rPr>
        <sz val="14"/>
        <color theme="1"/>
        <rFont val="Symbol"/>
        <charset val="2"/>
      </rPr>
      <t>d</t>
    </r>
    <r>
      <rPr>
        <sz val="14"/>
        <color theme="1"/>
        <rFont val="AdobeDevanagari-Regular"/>
      </rPr>
      <t>13C</t>
    </r>
    <r>
      <rPr>
        <sz val="10"/>
        <color theme="1"/>
        <rFont val="AdobeDevanagari-Regular"/>
      </rPr>
      <t>corrected</t>
    </r>
  </si>
  <si>
    <r>
      <t xml:space="preserve">mean </t>
    </r>
    <r>
      <rPr>
        <sz val="14"/>
        <color theme="1"/>
        <rFont val="Symbol"/>
        <charset val="2"/>
      </rPr>
      <t>d</t>
    </r>
    <r>
      <rPr>
        <sz val="14"/>
        <color theme="1"/>
        <rFont val="AdobeDevanagari-Regular"/>
      </rPr>
      <t>13C</t>
    </r>
    <r>
      <rPr>
        <sz val="10"/>
        <color theme="1"/>
        <rFont val="AdobeDevanagari-Regular"/>
      </rPr>
      <t xml:space="preserve">corrected </t>
    </r>
    <r>
      <rPr>
        <sz val="16"/>
        <color theme="1"/>
        <rFont val="AdobeDevanagari-Regular"/>
      </rPr>
      <t>-</t>
    </r>
    <r>
      <rPr>
        <sz val="14"/>
        <color theme="1"/>
        <rFont val="AdobeDevanagari-Regular"/>
      </rPr>
      <t xml:space="preserve"> mean </t>
    </r>
    <r>
      <rPr>
        <sz val="14"/>
        <color theme="1"/>
        <rFont val="Symbol"/>
        <charset val="2"/>
      </rPr>
      <t>d</t>
    </r>
    <r>
      <rPr>
        <sz val="14"/>
        <color theme="1"/>
        <rFont val="AdobeDevanagari-Regular"/>
      </rPr>
      <t>13C</t>
    </r>
    <r>
      <rPr>
        <sz val="10"/>
        <color theme="1"/>
        <rFont val="AdobeDevanagari-Regular"/>
      </rPr>
      <t>collagen</t>
    </r>
  </si>
  <si>
    <t>&lt;0.01</t>
  </si>
  <si>
    <t>t</t>
  </si>
  <si>
    <t>df</t>
  </si>
  <si>
    <t>latifrons/antiquus</t>
  </si>
  <si>
    <t>Taxon</t>
  </si>
  <si>
    <t>Canis dirus</t>
  </si>
  <si>
    <t>Table S7. Statistical tests of changes in body mass and isotopes from the Pleistocene to Holocene. Welsh Two Sample t-test</t>
  </si>
  <si>
    <t>MASS: PLEISTOCENE - HOLOCENE</t>
  </si>
  <si>
    <t>ANOVA p-value</t>
  </si>
  <si>
    <t>Holocene Mean Mass</t>
  </si>
  <si>
    <t>Pleistocene Mean Mass</t>
  </si>
  <si>
    <t>α-Bonferroni (=0.0038)</t>
  </si>
  <si>
    <t>estimate</t>
  </si>
  <si>
    <t>conf.low</t>
  </si>
  <si>
    <t>conf.high</t>
  </si>
  <si>
    <t>n</t>
  </si>
  <si>
    <t>Extinct/Extant</t>
  </si>
  <si>
    <t>Bison*</t>
  </si>
  <si>
    <t>antiquus-bison</t>
  </si>
  <si>
    <t>Domestic dog</t>
  </si>
  <si>
    <t xml:space="preserve">Coyote  </t>
  </si>
  <si>
    <t>Coyote or Dog</t>
  </si>
  <si>
    <t>Extant/Extinct</t>
  </si>
  <si>
    <t>Wolf, Coyote or Dog</t>
  </si>
  <si>
    <t>Skunk</t>
  </si>
  <si>
    <t>δ13C: PLEISTOCENE - HOLOCENE</t>
  </si>
  <si>
    <r>
      <t>Holocene Mean δ</t>
    </r>
    <r>
      <rPr>
        <b/>
        <vertAlign val="superscript"/>
        <sz val="12"/>
        <rFont val="AdobeDevanagari-Regular"/>
      </rPr>
      <t>13</t>
    </r>
    <r>
      <rPr>
        <b/>
        <sz val="12"/>
        <rFont val="AdobeDevanagari-Regular"/>
      </rPr>
      <t>C</t>
    </r>
  </si>
  <si>
    <r>
      <t>Pleistocene Mean δ</t>
    </r>
    <r>
      <rPr>
        <b/>
        <vertAlign val="superscript"/>
        <sz val="12"/>
        <rFont val="AdobeDevanagari-Regular"/>
      </rPr>
      <t>13</t>
    </r>
    <r>
      <rPr>
        <b/>
        <sz val="12"/>
        <rFont val="AdobeDevanagari-Regular"/>
      </rPr>
      <t>C</t>
    </r>
  </si>
  <si>
    <t>α-Bonferroni (=0.0035)</t>
  </si>
  <si>
    <t xml:space="preserve">n </t>
  </si>
  <si>
    <r>
      <t>δ</t>
    </r>
    <r>
      <rPr>
        <vertAlign val="superscript"/>
        <sz val="14"/>
        <rFont val="AdobeDevanagari-Regular"/>
      </rPr>
      <t>15</t>
    </r>
    <r>
      <rPr>
        <sz val="14"/>
        <rFont val="AdobeDevanagari-Regular"/>
      </rPr>
      <t>N: PLEISTOCENE - HOLOCENE</t>
    </r>
  </si>
  <si>
    <t>Holocene Mean δ15N</t>
  </si>
  <si>
    <t>Pleistocene Mean δ15N</t>
  </si>
  <si>
    <t>MASS: HOLOCENE - MODERN</t>
  </si>
  <si>
    <t>Modern Mean Mass</t>
  </si>
  <si>
    <t>α-Bonferroni (=0.01)</t>
  </si>
  <si>
    <t>Table S8. MixSIAR Results and Sensitivity analyses</t>
  </si>
  <si>
    <t>I. Model presented in Fig. 3: Trophic Discrimination Factor of 4.5 +1‰ δ15N, 1+1‰ δ13C; Mom-kid offsest of 1.5 +1‰ δ15N, 0.5+1‰ δ13C</t>
  </si>
  <si>
    <t>Median value</t>
  </si>
  <si>
    <t>Mean</t>
  </si>
  <si>
    <t>SD</t>
  </si>
  <si>
    <t>Epsilon.1</t>
  </si>
  <si>
    <t>Epsilon.2</t>
  </si>
  <si>
    <t>p.Canis dirus.Browse_bby</t>
  </si>
  <si>
    <t>p.Canis dirus.Browser</t>
  </si>
  <si>
    <t>p.Canis dirus.Grazer</t>
  </si>
  <si>
    <t>p.Canis dirus.Grazer_bby</t>
  </si>
  <si>
    <t>p.Canis dirus.Mixed Herb</t>
  </si>
  <si>
    <t>p.Canis dirus.Mixed_bby</t>
  </si>
  <si>
    <t>p.Canis lupus.Browse_bby</t>
  </si>
  <si>
    <t>p.Canis lupus.Browser</t>
  </si>
  <si>
    <t>p.Canis lupus.Grazer</t>
  </si>
  <si>
    <t>p.Canis lupus.Grazer_bby</t>
  </si>
  <si>
    <t>p.Canis lupus.Mixed Herb</t>
  </si>
  <si>
    <t>p.Canis lupus.Mixed_bby</t>
  </si>
  <si>
    <t>p.Homotherium serum.Browse_bby</t>
  </si>
  <si>
    <t>p.Homotherium serum.Browser</t>
  </si>
  <si>
    <t>p.Homotherium serum.Grazer</t>
  </si>
  <si>
    <t>p.Homotherium serum.Grazer_bby</t>
  </si>
  <si>
    <t>p.Homotherium serum.Mixed Herb</t>
  </si>
  <si>
    <t>p.Homotherium serum.Mixed_bby</t>
  </si>
  <si>
    <t>p.Smilodon fatalis.Browse_bby</t>
  </si>
  <si>
    <t>p.Smilodon fatalis.Browser</t>
  </si>
  <si>
    <t>p.Smilodon fatalis.Grazer</t>
  </si>
  <si>
    <t>p.Smilodon fatalis.Grazer_bby</t>
  </si>
  <si>
    <t>p.Smilodon fatalis.Mixed Herb</t>
  </si>
  <si>
    <t>p.Smilodon fatalis.Mixed_bby</t>
  </si>
  <si>
    <t>p.Panthera onca.Browse_bby</t>
  </si>
  <si>
    <t>p.Panthera onca.Browser</t>
  </si>
  <si>
    <t>p.Panthera onca.Grazer</t>
  </si>
  <si>
    <t>p.Panthera onca.Grazer_bby</t>
  </si>
  <si>
    <t>p.Panthera onca.Mixed Herb</t>
  </si>
  <si>
    <t>p.Panthera onca.Mixed_bby</t>
  </si>
  <si>
    <t>II. Sensitivity analyses</t>
  </si>
  <si>
    <t>Model</t>
  </si>
  <si>
    <t>Sources</t>
  </si>
  <si>
    <t>Tracers</t>
  </si>
  <si>
    <t>δ13C TDF</t>
  </si>
  <si>
    <t>δ13C TDF SD</t>
  </si>
  <si>
    <t>δ15N TDF</t>
  </si>
  <si>
    <t>δ15N TDF SD</t>
  </si>
  <si>
    <t>δ13C Mom-kid</t>
  </si>
  <si>
    <t>δ13C Mom-kid SD</t>
  </si>
  <si>
    <t>δ15N Mom-kid</t>
  </si>
  <si>
    <t>δ15N Mom-kid SD</t>
  </si>
  <si>
    <t>Consumer</t>
  </si>
  <si>
    <t>Median Proportion Browser [95%CI]</t>
  </si>
  <si>
    <t>Median Proportion Browser BBY  [95%CI]</t>
  </si>
  <si>
    <t>Median Proportion Mixed  [95%CI]</t>
  </si>
  <si>
    <t>Median Proportion Mixed BBY  [95%CI]</t>
  </si>
  <si>
    <t>Median Proportion Grazer  [95%CI]</t>
  </si>
  <si>
    <t>Median Proportion Grazer BBY  [95%CI]</t>
  </si>
  <si>
    <t>Notes</t>
  </si>
  <si>
    <t>1A</t>
  </si>
  <si>
    <t>Grazers only with young</t>
  </si>
  <si>
    <t>0.663 [0.085, 0.921]</t>
  </si>
  <si>
    <t>0.337 [0.079, 0.915]</t>
  </si>
  <si>
    <t>Good convergence</t>
  </si>
  <si>
    <t>Homotherium serum</t>
  </si>
  <si>
    <t>0.314 [0.031, 0.879]</t>
  </si>
  <si>
    <t>0.686 [0.121, 0.969]</t>
  </si>
  <si>
    <t>Smilodon fatalis</t>
  </si>
  <si>
    <t>0.596 [0.042, 0.945]</t>
  </si>
  <si>
    <t>0.404 [0.025, 0.958]</t>
  </si>
  <si>
    <t>0.821 [0.467, 0.957]</t>
  </si>
  <si>
    <t>0.179 [0.043, 0.533]</t>
  </si>
  <si>
    <t>Poor convergence (Geweke Diag Chain 1 looks poor)</t>
  </si>
  <si>
    <t>0.496 [0.149, 0.883]</t>
  </si>
  <si>
    <t>0.504 [0.117	, 0.851]</t>
  </si>
  <si>
    <t>0.79 [0.218, 0.989]</t>
  </si>
  <si>
    <t>0.21 [0.011, 0.782]</t>
  </si>
  <si>
    <t>All herbivores and all young</t>
  </si>
  <si>
    <t>C, N</t>
  </si>
  <si>
    <t>0.083 [0.003, 0.254]</t>
  </si>
  <si>
    <t>0.076 [0.003, 0.298]</t>
  </si>
  <si>
    <t>0.084 [0.003, 0.358]</t>
  </si>
  <si>
    <t>0.091 [0.003, 0.380]</t>
  </si>
  <si>
    <t>0.195 [0.009, 0.498]</t>
  </si>
  <si>
    <t>0.374 [0.139, 0.611]</t>
  </si>
  <si>
    <t>Canis lupus</t>
  </si>
  <si>
    <t>0.088 [0.001, 0.519]</t>
  </si>
  <si>
    <t>0.06 [0.001, 0.582]</t>
  </si>
  <si>
    <t>0.065 [0.001	, 0.694]</t>
  </si>
  <si>
    <t>0.058 [0.001, 0.683]</t>
  </si>
  <si>
    <t>0.158 [0.004	, 0.746]</t>
  </si>
  <si>
    <t>0.174 [0.023, 0.562]</t>
  </si>
  <si>
    <t>0.021 [0.001, 0.119]</t>
  </si>
  <si>
    <t>0.023 [0.001, 0.14]</t>
  </si>
  <si>
    <t>0.028 [0.001, 0.197]</t>
  </si>
  <si>
    <t>0.034 [0.001, 0.277]</t>
  </si>
  <si>
    <t>0.095 [0.002, 0.609]</t>
  </si>
  <si>
    <t>0.707 [0.181, 0.924]</t>
  </si>
  <si>
    <t>Panthera onca</t>
  </si>
  <si>
    <t>0.103 [0.001, 0.546]</t>
  </si>
  <si>
    <t>0.096 [0.001, 0.631]</t>
  </si>
  <si>
    <t>0.088 [0.002, 0.727]</t>
  </si>
  <si>
    <t>0.079 [0.001, 0.609]</t>
  </si>
  <si>
    <t>0.112 [0.004, 0.513]</t>
  </si>
  <si>
    <t>0.162 [0.025, 0.461]</t>
  </si>
  <si>
    <t>0.034 [0.001, 0.216]</t>
  </si>
  <si>
    <t>0.035 [0.001, 0.245]</t>
  </si>
  <si>
    <t>0.043 [0.001, 0.414]</t>
  </si>
  <si>
    <t>0.048 [0.001, 0.472]</t>
  </si>
  <si>
    <t>0.131 [0.003, 0.769]</t>
  </si>
  <si>
    <t>0.525 [0.037, 0.89]</t>
  </si>
  <si>
    <t>0.137 [0.008, 0.32]</t>
  </si>
  <si>
    <t>0.067 [0.002, 0.306]</t>
  </si>
  <si>
    <t>0.102 [0.005, 0.402]</t>
  </si>
  <si>
    <t>0.057 [0.002, 0.275]</t>
  </si>
  <si>
    <t>0.258 [0.024, 0.554]</t>
  </si>
  <si>
    <t>0.286 [0.083, 0.532]</t>
  </si>
  <si>
    <t>Okay convergence (Geweke Diag chain 3 not great)</t>
  </si>
  <si>
    <t>0.203 [0.003, 0.591]</t>
  </si>
  <si>
    <t>0.04 [0.001, 0.564]</t>
  </si>
  <si>
    <t>0.073 [0.002, 0.771]</t>
  </si>
  <si>
    <t>0.031 [0.001, 0.321]</t>
  </si>
  <si>
    <t>0.244 [0.008, 0.797]</t>
  </si>
  <si>
    <t>0.117 [0.013, 0.443]</t>
  </si>
  <si>
    <t>0.039 [0.002, 0.165]</t>
  </si>
  <si>
    <t>0.026 [0.001, 0.178]</t>
  </si>
  <si>
    <t>0.04 [0.001, 0.243]</t>
  </si>
  <si>
    <t>0.027 [0.001, 0.269]</t>
  </si>
  <si>
    <t>0.151 [0.006, 0.629]</t>
  </si>
  <si>
    <t>0.614 [0.146, 0.884]</t>
  </si>
  <si>
    <t>0.234 [0.004, 0.611]</t>
  </si>
  <si>
    <t>0.07 [0.001, 0.634]</t>
  </si>
  <si>
    <t>0.105 [0.002, 0.746]</t>
  </si>
  <si>
    <t>0.043 [0.001, 0.353]</t>
  </si>
  <si>
    <t>0.143 [0.009, 0.579]</t>
  </si>
  <si>
    <t>0.129 [0.018, 0.367]</t>
  </si>
  <si>
    <t>0.06 [0.003, 0.287]</t>
  </si>
  <si>
    <t>0.033 [0.001, 0.286]</t>
  </si>
  <si>
    <t>0.057 [0.001, 0.482]</t>
  </si>
  <si>
    <t>0.034 [0.001, 0.368]</t>
  </si>
  <si>
    <t>0.222 [0.006, 0.82]</t>
  </si>
  <si>
    <t>0.386 [0.022, 0.841]</t>
  </si>
  <si>
    <r>
      <t xml:space="preserve">II. Trophic Discrimination Factor of 3 </t>
    </r>
    <r>
      <rPr>
        <b/>
        <sz val="14"/>
        <color theme="1"/>
        <rFont val="Calibri (Body)"/>
      </rPr>
      <t>+</t>
    </r>
    <r>
      <rPr>
        <b/>
        <sz val="14"/>
        <color theme="1"/>
        <rFont val="Calibri"/>
        <family val="2"/>
        <scheme val="minor"/>
      </rPr>
      <t>1‰ δ15N, 1+1‰ δ13C; Mom-kid offsest of 3 +1‰ δ15N, 1+1‰ δ13C</t>
    </r>
  </si>
  <si>
    <t>Carbon isotope comparisons w/o bonferroni corrections</t>
  </si>
  <si>
    <t>nitrogen isotope comparisons w/o bonferroni corrections</t>
  </si>
  <si>
    <t>Common name</t>
  </si>
  <si>
    <t>Element sampled</t>
  </si>
  <si>
    <t>N (δ13C)</t>
  </si>
  <si>
    <t xml:space="preserve"> δ13C Stdev  (‰)</t>
  </si>
  <si>
    <t xml:space="preserve">N (δ15N) </t>
  </si>
  <si>
    <r>
      <t xml:space="preserve">M1 </t>
    </r>
    <r>
      <rPr>
        <i/>
        <sz val="14"/>
        <color theme="1"/>
        <rFont val="AdobeDevanagari-Regular"/>
      </rPr>
      <t>vs</t>
    </r>
    <r>
      <rPr>
        <sz val="14"/>
        <color theme="1"/>
        <rFont val="AdobeDevanagari-Regular"/>
      </rPr>
      <t>. M2</t>
    </r>
  </si>
  <si>
    <r>
      <t xml:space="preserve">M1 </t>
    </r>
    <r>
      <rPr>
        <i/>
        <sz val="14"/>
        <color theme="1"/>
        <rFont val="AdobeDevanagari-Regular"/>
      </rPr>
      <t>vs.</t>
    </r>
    <r>
      <rPr>
        <sz val="14"/>
        <color theme="1"/>
        <rFont val="AdobeDevanagari-Regular"/>
      </rPr>
      <t xml:space="preserve"> M3</t>
    </r>
  </si>
  <si>
    <r>
      <t xml:space="preserve">M2 </t>
    </r>
    <r>
      <rPr>
        <i/>
        <sz val="14"/>
        <color theme="1"/>
        <rFont val="AdobeDevanagari-Regular"/>
      </rPr>
      <t>vs</t>
    </r>
    <r>
      <rPr>
        <sz val="14"/>
        <color theme="1"/>
        <rFont val="AdobeDevanagari-Regular"/>
      </rPr>
      <t>. M3</t>
    </r>
  </si>
  <si>
    <r>
      <t xml:space="preserve">bone </t>
    </r>
    <r>
      <rPr>
        <i/>
        <sz val="14"/>
        <color theme="1"/>
        <rFont val="AdobeDevanagari-Regular"/>
      </rPr>
      <t>vs</t>
    </r>
    <r>
      <rPr>
        <sz val="14"/>
        <color theme="1"/>
        <rFont val="AdobeDevanagari-Regular"/>
      </rPr>
      <t>. M1</t>
    </r>
  </si>
  <si>
    <r>
      <t xml:space="preserve">bone </t>
    </r>
    <r>
      <rPr>
        <i/>
        <sz val="14"/>
        <color theme="1"/>
        <rFont val="AdobeDevanagari-Regular"/>
      </rPr>
      <t>vs.</t>
    </r>
    <r>
      <rPr>
        <sz val="14"/>
        <color theme="1"/>
        <rFont val="AdobeDevanagari-Regular"/>
      </rPr>
      <t xml:space="preserve"> M2</t>
    </r>
  </si>
  <si>
    <r>
      <t xml:space="preserve">bone </t>
    </r>
    <r>
      <rPr>
        <i/>
        <sz val="14"/>
        <color theme="1"/>
        <rFont val="AdobeDevanagari-Regular"/>
      </rPr>
      <t>vs</t>
    </r>
    <r>
      <rPr>
        <sz val="14"/>
        <color theme="1"/>
        <rFont val="AdobeDevanagari-Regular"/>
      </rPr>
      <t>. M3</t>
    </r>
  </si>
  <si>
    <t>Connochaetes taurinus</t>
  </si>
  <si>
    <t>Blue wildebeest</t>
  </si>
  <si>
    <t>Connochaetes gnou</t>
  </si>
  <si>
    <t>Black wildebeest</t>
  </si>
  <si>
    <t xml:space="preserve">  ---</t>
  </si>
  <si>
    <t xml:space="preserve"> ---</t>
  </si>
  <si>
    <t xml:space="preserve"> ---  </t>
  </si>
  <si>
    <t>Procavia capensis</t>
  </si>
  <si>
    <t>Rock hyrax</t>
  </si>
  <si>
    <t>Hyracoidea</t>
  </si>
  <si>
    <t>Procaviidae</t>
  </si>
  <si>
    <t>Antidorcas marsupialis</t>
  </si>
  <si>
    <t>Springbok</t>
  </si>
  <si>
    <t xml:space="preserve">Damaliscus pygargus </t>
  </si>
  <si>
    <t>Blesbok</t>
  </si>
  <si>
    <t>Oryx gazella</t>
  </si>
  <si>
    <t>Gemsbok</t>
  </si>
  <si>
    <t>Raphicerus campestris</t>
  </si>
  <si>
    <t>Steenbok</t>
  </si>
  <si>
    <t xml:space="preserve"> --</t>
  </si>
  <si>
    <t>Tragelaphus oryx</t>
  </si>
  <si>
    <t>Eland</t>
  </si>
  <si>
    <t>Equus quagga</t>
  </si>
  <si>
    <t>Plains zebra</t>
  </si>
  <si>
    <t xml:space="preserve"> --- </t>
  </si>
  <si>
    <t>---</t>
  </si>
  <si>
    <t xml:space="preserve">Only groups with 7 or more samples were included. Bonferroni corrections were made for multiple comparisons. </t>
  </si>
  <si>
    <t>PLEISTOCENE: Enamel</t>
  </si>
  <si>
    <r>
      <t>δ</t>
    </r>
    <r>
      <rPr>
        <vertAlign val="superscript"/>
        <sz val="16"/>
        <rFont val="AdobeDevanagari-Regular"/>
      </rPr>
      <t>13</t>
    </r>
    <r>
      <rPr>
        <sz val="16"/>
        <rFont val="AdobeDevanagari-Regular"/>
      </rPr>
      <t>C</t>
    </r>
  </si>
  <si>
    <t>PLEISTOCENE: Collagen</t>
  </si>
  <si>
    <r>
      <t>δ</t>
    </r>
    <r>
      <rPr>
        <vertAlign val="superscript"/>
        <sz val="16"/>
        <rFont val="AdobeDevanagari-Regular"/>
      </rPr>
      <t>15</t>
    </r>
    <r>
      <rPr>
        <sz val="16"/>
        <rFont val="AdobeDevanagari-Regular"/>
      </rPr>
      <t>N</t>
    </r>
  </si>
  <si>
    <t>PLEISTOCENE: All Elements</t>
  </si>
  <si>
    <t>Corrected δ13C</t>
  </si>
  <si>
    <t>HOLOCENE: Enamel</t>
  </si>
  <si>
    <t>δ13C</t>
  </si>
  <si>
    <t>HOLOCENE: Collagen</t>
  </si>
  <si>
    <t>δ15N</t>
  </si>
  <si>
    <t>HOLOCENE: All Elements</t>
  </si>
  <si>
    <t>Number of Specimens</t>
  </si>
  <si>
    <t>Number of Elements</t>
  </si>
  <si>
    <t>F-value</t>
  </si>
  <si>
    <t>Bonferroni adjusted significance level</t>
  </si>
  <si>
    <t>Number of Specimens (enamel:collagen)</t>
  </si>
  <si>
    <t>all</t>
  </si>
  <si>
    <t>1:3</t>
  </si>
  <si>
    <t>2/13</t>
  </si>
  <si>
    <t>0:16</t>
  </si>
  <si>
    <t>0:2</t>
  </si>
  <si>
    <t>1:0</t>
  </si>
  <si>
    <t>0:0</t>
  </si>
  <si>
    <t>0:1</t>
  </si>
  <si>
    <t>7/24</t>
  </si>
  <si>
    <t>4/9</t>
  </si>
  <si>
    <t>32:14</t>
  </si>
  <si>
    <t>5/40</t>
  </si>
  <si>
    <t>6/11</t>
  </si>
  <si>
    <t>2/28</t>
  </si>
  <si>
    <t>18:31</t>
  </si>
  <si>
    <t>3/45</t>
  </si>
  <si>
    <t>2:2</t>
  </si>
  <si>
    <t>7/21</t>
  </si>
  <si>
    <t>4/7</t>
  </si>
  <si>
    <t>29:12</t>
  </si>
  <si>
    <t>5/35</t>
  </si>
  <si>
    <t>4/22</t>
  </si>
  <si>
    <t>27:0</t>
  </si>
  <si>
    <t>4/17</t>
  </si>
  <si>
    <t>22:0</t>
  </si>
  <si>
    <t>5:0</t>
  </si>
  <si>
    <t>3/14</t>
  </si>
  <si>
    <t>3:18</t>
  </si>
  <si>
    <t>5</t>
  </si>
  <si>
    <t>4/56</t>
  </si>
  <si>
    <t>0:61</t>
  </si>
  <si>
    <t>3:5</t>
  </si>
  <si>
    <t>0:3</t>
  </si>
  <si>
    <t>3</t>
  </si>
  <si>
    <t>2/8</t>
  </si>
  <si>
    <t>0:11</t>
  </si>
  <si>
    <t>0:5</t>
  </si>
  <si>
    <t>4/15</t>
  </si>
  <si>
    <t>0:20</t>
  </si>
  <si>
    <t>2/4</t>
  </si>
  <si>
    <t>0:7</t>
  </si>
  <si>
    <t>0:18</t>
  </si>
  <si>
    <t>3/7</t>
  </si>
  <si>
    <t>7:11</t>
  </si>
  <si>
    <t>4/2</t>
  </si>
  <si>
    <t>4/45</t>
  </si>
  <si>
    <t>7:50</t>
  </si>
  <si>
    <t>5/51</t>
  </si>
  <si>
    <t>6:11</t>
  </si>
  <si>
    <t>9/68</t>
  </si>
  <si>
    <t>78:0</t>
  </si>
  <si>
    <t>2:0</t>
  </si>
  <si>
    <t>9/66</t>
  </si>
  <si>
    <t>76:0</t>
  </si>
  <si>
    <t>13/69</t>
  </si>
  <si>
    <t>83:5</t>
  </si>
  <si>
    <t>4/13</t>
  </si>
  <si>
    <t>4</t>
  </si>
  <si>
    <t>3/10</t>
  </si>
  <si>
    <t>0:14</t>
  </si>
  <si>
    <t>weidii/yagouaroundi</t>
  </si>
  <si>
    <t>2/5</t>
  </si>
  <si>
    <t>0:8</t>
  </si>
  <si>
    <t>4:1</t>
  </si>
  <si>
    <t>Cuvieranius</t>
  </si>
  <si>
    <t>4/35</t>
  </si>
  <si>
    <t>0:40</t>
  </si>
  <si>
    <t>4/225</t>
  </si>
  <si>
    <t>0:231</t>
  </si>
  <si>
    <t>3/39</t>
  </si>
  <si>
    <t>0:43</t>
  </si>
  <si>
    <t>4/182</t>
  </si>
  <si>
    <t>0:187</t>
  </si>
  <si>
    <t>3/9</t>
  </si>
  <si>
    <t>0:13</t>
  </si>
  <si>
    <t>0:4</t>
  </si>
  <si>
    <t>0:9</t>
  </si>
  <si>
    <t>3/6</t>
  </si>
  <si>
    <t>0:10</t>
  </si>
  <si>
    <t>3/4</t>
  </si>
  <si>
    <t>6/3</t>
  </si>
  <si>
    <t>Other Specification</t>
  </si>
  <si>
    <t>y description</t>
  </si>
  <si>
    <t>units of y</t>
  </si>
  <si>
    <t>x description</t>
  </si>
  <si>
    <t>units of x</t>
  </si>
  <si>
    <t>EQUATION (log 10 unless otherwise noted)</t>
  </si>
  <si>
    <t>test used to form equation</t>
  </si>
  <si>
    <t>body mass range used</t>
  </si>
  <si>
    <t>%SEE</t>
  </si>
  <si>
    <t>Reference</t>
  </si>
  <si>
    <t>Figure and Descriptions of Measurements Taken</t>
  </si>
  <si>
    <t>body mass</t>
  </si>
  <si>
    <t>kg</t>
  </si>
  <si>
    <t>F1</t>
  </si>
  <si>
    <t>cm</t>
  </si>
  <si>
    <t>Log(body mass) = (3.5526)*Log(F1) + (-2.9997)</t>
  </si>
  <si>
    <t>Scott, K.M. 1990. Postcranial dimensions of ungulates as predictors of body mass.  Body size im mammalian paleobiology: estimation and biological implication. Damuth, J. and B.J. MacFadden, eds. Cambridge University Press, New York. 301-335</t>
  </si>
  <si>
    <t>F2</t>
  </si>
  <si>
    <t>Log(body mass) = (2.6934)*Log(F2) + (-0.2555)</t>
  </si>
  <si>
    <t>F3</t>
  </si>
  <si>
    <t>Log(body mass) = (2.9531)*Log(F3) + (-0.0808)</t>
  </si>
  <si>
    <t>F4</t>
  </si>
  <si>
    <t>Log(body mass) = (2.9573)*Log(F4) + (0.7271)</t>
  </si>
  <si>
    <t>F5</t>
  </si>
  <si>
    <t>Log(body mass) = (2.9053)*Log(F5) + (-0.0768)</t>
  </si>
  <si>
    <t>F6</t>
  </si>
  <si>
    <t>Log(body mass) = (2.917)*Log(F6) + (0.8627)</t>
  </si>
  <si>
    <t>F7</t>
  </si>
  <si>
    <t>Log(body mass) = (2.7671)*Log(F7) + (0.8731)</t>
  </si>
  <si>
    <t>H1</t>
  </si>
  <si>
    <t>Log(body mass) = (3.4591)*Log(H1) + (-2.919)</t>
  </si>
  <si>
    <t>H2</t>
  </si>
  <si>
    <t>Log(body mass) = (3.3633)*Log(H2) + (-2.4637)</t>
  </si>
  <si>
    <t>H3</t>
  </si>
  <si>
    <t>Log(body mass) = (2.7311)*Log(H3) + (0.2334)</t>
  </si>
  <si>
    <t>H4</t>
  </si>
  <si>
    <t>Log(body mass) = (2.5499)*Log(H4) + (0.4078)</t>
  </si>
  <si>
    <t>H5</t>
  </si>
  <si>
    <t>Log(body mass) = (2.6246)*Log(H5) + (0.2756)</t>
  </si>
  <si>
    <t>H6</t>
  </si>
  <si>
    <t>Log(body mass) = (2.763)*Log(H6) + (1.3617)</t>
  </si>
  <si>
    <t>H7</t>
  </si>
  <si>
    <t>Log(body mass) = (2.5013)*Log(H7) + (1.0794)</t>
  </si>
  <si>
    <t>H8</t>
  </si>
  <si>
    <t>Log(body mass) = (2.5424)*Log(H8) + (0.8843)</t>
  </si>
  <si>
    <t>MC1</t>
  </si>
  <si>
    <t>Log(body mass) = (2.5109)*Log(MC1) + (-1.2773)</t>
  </si>
  <si>
    <t>MC2</t>
  </si>
  <si>
    <t>Log(body mass) = (2.6495)*Log(MC2) + (0.6016)</t>
  </si>
  <si>
    <t>MC3</t>
  </si>
  <si>
    <t>Log(body mass) = (2.8291)*Log(MC3) + (1.062)</t>
  </si>
  <si>
    <t>MC4</t>
  </si>
  <si>
    <t>Log(body mass) = (2.3765)*Log(MC4) + (0.7443)</t>
  </si>
  <si>
    <t>MC5</t>
  </si>
  <si>
    <t>Log(body mass) = (2.6469)*Log(MC5) + (1.2458)</t>
  </si>
  <si>
    <t>MC6</t>
  </si>
  <si>
    <t>Log(body mass) = (2.4354)*Log(MC6) + (1.2059)</t>
  </si>
  <si>
    <t>MC7</t>
  </si>
  <si>
    <t>Log(body mass) = (s.7444)*Log(MC7) + (1.3815)</t>
  </si>
  <si>
    <t>MT1</t>
  </si>
  <si>
    <t>Log(body mass) = (3.0701)*Log(MT1) + (-2.0622)</t>
  </si>
  <si>
    <t>MT2</t>
  </si>
  <si>
    <t>Log(body mass) = (2.922)*Log(MT2) + (0.6162)</t>
  </si>
  <si>
    <t>MT3</t>
  </si>
  <si>
    <t>Log(body mass) = (3.0306)*Log(MT3) + (0.5755)</t>
  </si>
  <si>
    <t>MT4</t>
  </si>
  <si>
    <t>Log(body mass) = (2.7421)*Log(MT4) + (0.5614)</t>
  </si>
  <si>
    <t>MT5</t>
  </si>
  <si>
    <t>Log(body mass) = (2.9763)*Log(MT5) + (1.1416)</t>
  </si>
  <si>
    <t>MT6</t>
  </si>
  <si>
    <t>Log(body mass) = (2.871)*Log(MT6) + (1.1939)</t>
  </si>
  <si>
    <t>MT7</t>
  </si>
  <si>
    <t>Log(body mass) = (2.9361)*Log(MT7) + (1.1375)</t>
  </si>
  <si>
    <t>R1</t>
  </si>
  <si>
    <t>Log(body mass) = (3.2052)*Log(R1) + (-2.3203)</t>
  </si>
  <si>
    <t>Log(body mass) = (2.5069)*Log(R2) + (0.4311)</t>
  </si>
  <si>
    <t>R3</t>
  </si>
  <si>
    <t>Log(body mass) = (2.5472)*Log(R3) + (1.0525)</t>
  </si>
  <si>
    <t>R4</t>
  </si>
  <si>
    <t>Log(body mass) = (2.4305)*Log(R4) + (0.3736)</t>
  </si>
  <si>
    <t>R5</t>
  </si>
  <si>
    <t>Log(body mass) = (2.4824)*Log(R5) + (0.4635)</t>
  </si>
  <si>
    <t>R6</t>
  </si>
  <si>
    <t>Log(body mass) = (2.6208)*Log(R6) + (0.8854)</t>
  </si>
  <si>
    <t>R7</t>
  </si>
  <si>
    <t>Log(body mass) = (2.5679)*Log(R7) + (1.4742)</t>
  </si>
  <si>
    <t>T1</t>
  </si>
  <si>
    <t>Log(body mass) = (3.9842)*Log(T1) + (-3.8078)</t>
  </si>
  <si>
    <t>T2</t>
  </si>
  <si>
    <t>Log(body mass) = (2.885)*Log(T2) + (-0.2758)</t>
  </si>
  <si>
    <t>T3</t>
  </si>
  <si>
    <t>Log(body mass) = (3.2248)*Log(T3) + (0.0753)</t>
  </si>
  <si>
    <t>T4</t>
  </si>
  <si>
    <t>Log(body mass) = (2.8409)*Log(T4) + (0.3222)</t>
  </si>
  <si>
    <t>T5</t>
  </si>
  <si>
    <t>Log(body mass) = (2.972)*Log(T5) + (0.6222)</t>
  </si>
  <si>
    <t>T6</t>
  </si>
  <si>
    <t>Log(body mass) = (2.8562)*Log(T6) + (0.8318)</t>
  </si>
  <si>
    <t>T7</t>
  </si>
  <si>
    <t>Log(body mass) = (2.9469)*Log(T7) + (0.9879)</t>
  </si>
  <si>
    <t>U1</t>
  </si>
  <si>
    <t>Log(body mass) = (3.1886)*Log(U1) + (-2.632)</t>
  </si>
  <si>
    <t>U2</t>
  </si>
  <si>
    <t>Log(body mass) = (2.631)*Log(U2) + (-0.0844)</t>
  </si>
  <si>
    <t>Log(body mass) = (3.5335)*Log(F1) + (-2.9926)</t>
  </si>
  <si>
    <t>Log(body mass) = (2.6928)*Log(F2) + (-0.267)</t>
  </si>
  <si>
    <t>Log(body mass) = (2.95)*Log(F3) + (-0.103)</t>
  </si>
  <si>
    <t>Log(body mass) = (2.9714)*Log(F4) + (0.7268)</t>
  </si>
  <si>
    <t>Log(body mass) = (2.91)*Log(F5) + (-0.0883)</t>
  </si>
  <si>
    <t>Log(body mass) = (2.8949)*Log(F6) + (0.8767)</t>
  </si>
  <si>
    <t>Log(body mass) = (2.7547)*Log(F7) + (0.8739)</t>
  </si>
  <si>
    <t>Log(body mass) = (3.4337)*Log(H1) + (-2.4141)</t>
  </si>
  <si>
    <t>Log(body mass) = (3.358)*Log(H2) + (-2.4788)</t>
  </si>
  <si>
    <t>Log(body mass) = (2.708)*Log(H3) + (0.2432)</t>
  </si>
  <si>
    <t>Log(body mass) = (2.5568)*Log(H4) + (0.4084)</t>
  </si>
  <si>
    <t>Log(body mass) = (2.6389)*Log(H5) + (0.2582)</t>
  </si>
  <si>
    <t>Log(body mass) = (2.723)*Log(H6) + (1.373)</t>
  </si>
  <si>
    <t>Log(body mass) = (2.493)*Log(H7) + (1.0845)</t>
  </si>
  <si>
    <t>Log(body mass) = (2.463)*Log(H8) + (0.8836)</t>
  </si>
  <si>
    <t>Log(body mass) = (2.5036)*Log(MC1) + (-1.2742)</t>
  </si>
  <si>
    <t>Log(body mass) = (2.6568)*Log(MC2) + (0.607)</t>
  </si>
  <si>
    <t>Log(body mass) = (2.804)*Log(MC3) + (1.0687)</t>
  </si>
  <si>
    <t>Log(body mass) = (2.33)*Log(MC4) + (0.7466)</t>
  </si>
  <si>
    <t>Log(body mass) = (2.6352)*Log(MC5) + (1.2473)</t>
  </si>
  <si>
    <t>Log(body mass) = (2.4787)*Log(MC6) + (1.1964)</t>
  </si>
  <si>
    <t>Log(body mass) = (2.6919)*Log(MC7) + (1.3805)</t>
  </si>
  <si>
    <t>Log(body mass) = (3.0039)*Log(MT1) + (-2.0105)</t>
  </si>
  <si>
    <t>Log(body mass) = (2.9334)*Log(MT2) + (0.6132)</t>
  </si>
  <si>
    <t>Log(body mass) = (2.8848)*Log(MT3) + (0.6369)</t>
  </si>
  <si>
    <t>Log(body mass) = (2.7521)*Log(MT4) + (0.5397)</t>
  </si>
  <si>
    <t>Log(body mass) = (2.9391)*Log(MT5) + (1.1375)</t>
  </si>
  <si>
    <t>Log(body mass) = (2.876)*Log(MT6) + (1.185)</t>
  </si>
  <si>
    <t>Log(body mass) = (2.8693)*Log(MT7) + (1.1399)</t>
  </si>
  <si>
    <t>Log(body mass) = (3.0795)*Log(R1) + (-2.1515)</t>
  </si>
  <si>
    <t>Log(body mass) = (2.515)*Log(R2) + (0.4304)</t>
  </si>
  <si>
    <t>Log(body mass) = (2.5588)*Log(R3) + (1.0498)</t>
  </si>
  <si>
    <t>Log(body mass) = (2.4301)*Log(R4) + (0.3842)</t>
  </si>
  <si>
    <t>Log(body mass) = (2.4956)*Log(R5) + (0.4581)</t>
  </si>
  <si>
    <t>Log(body mass) = (2.597)*Log(R6) + (0.8916)</t>
  </si>
  <si>
    <t>Log(body mass) = (2.5681)*Log(R7) + (1.4651)</t>
  </si>
  <si>
    <t>Log(body mass) = (3.8551)*Log(T1) + (-3.6352)</t>
  </si>
  <si>
    <t>Log(body mass) = (2.8861)*Log(T2) + (-0.2841)</t>
  </si>
  <si>
    <t>Log(body mass) = (3.1432)*Log(T3) + (0.1174)</t>
  </si>
  <si>
    <t>Log(body mass) = (2.8486)*Log(T4) + (0.3)</t>
  </si>
  <si>
    <t>Log(body mass) = (2.9628)*Log(T5) + (0.6159)</t>
  </si>
  <si>
    <t>Log(body mass) = (2.8333)*Log(T6) + (0.8378)</t>
  </si>
  <si>
    <t>Log(body mass) = (2.9694)*Log(T7) + (0.9733)</t>
  </si>
  <si>
    <t>Log(body mass) = (3.091)*Log(U1) + (-2.4906)</t>
  </si>
  <si>
    <t>Log(body mass) = (2.6396)*Log(U2) + (-0.0825)</t>
  </si>
  <si>
    <t>Log(body mass) = (3.5007)*Log(F1) + (-2.7428)</t>
  </si>
  <si>
    <t>Log(body mass) = (2.6845)*Log(F2) + (-0.0411)</t>
  </si>
  <si>
    <t>Log(body mass) = (3.0588)*Log(F3) + (-0.0858)</t>
  </si>
  <si>
    <t>Log(body mass) = (2.9139)*Log(F4) + (0.7925)</t>
  </si>
  <si>
    <t>Log(body mass) = (3.0451)*Log(F5) + (-0.0643)</t>
  </si>
  <si>
    <t>Log(body mass) = (2.694)*Log(F6) + (1.0774)</t>
  </si>
  <si>
    <t>Log(body mass) = (2.8226)*Log(F7) + (0.8736)</t>
  </si>
  <si>
    <t>Log(body mass) = (3.4122)*Log(H1) + (-2.3639)</t>
  </si>
  <si>
    <t>Log(body mass) = (3.391)*Log(H2) + (-2.5183)</t>
  </si>
  <si>
    <t>Log(body mass) = (3.0904)*Log(H3) + (0.2716)</t>
  </si>
  <si>
    <t>Log(body mass) = (2.7528)*Log(H4) + (0.4996)</t>
  </si>
  <si>
    <t>Log(body mass) = (3.0861)*Log(H5) + (0.0216)</t>
  </si>
  <si>
    <t>Log(body mass) = (2.2222)*Log(H6) + (1.3837)</t>
  </si>
  <si>
    <t>Log(body mass) = (2.653)*Log(H7) + (1.1157)</t>
  </si>
  <si>
    <t>Log(body mass) = (2.6672)*Log(H8) + (0.7875)</t>
  </si>
  <si>
    <t>Log(body mass) = (2.7639)*Log(MC1) + (-0.65)</t>
  </si>
  <si>
    <t>Log(body mass) = (2.9534)*Log(MC2) + (1.0052)</t>
  </si>
  <si>
    <t>Log(body mass) = (2.9362)*Log(MC3) + (1.1772)</t>
  </si>
  <si>
    <t>Log(body mass) = (2.6377)*Log(MC4) + (1.3056)</t>
  </si>
  <si>
    <t>Log(body mass) = (2.6955)*Log(MC5) + (1.501)</t>
  </si>
  <si>
    <t>Log(body mass) = (2.2955)*Log(MC6) + (1.5468)</t>
  </si>
  <si>
    <t>Log(body mass) = (3.0858)*Log(MC7) + (1.735)</t>
  </si>
  <si>
    <t>Log(body mass) = (3.227)*Log(MT1) + (-0.9333)</t>
  </si>
  <si>
    <t>Log(body mass) = (2.9934)*Log(MT2) + (1.23)</t>
  </si>
  <si>
    <t>Log(body mass) = (2.882)*Log(MT3) + (1.636)</t>
  </si>
  <si>
    <t>Log(body mass) = (2.6821)*Log(MT4) + (1.3219)</t>
  </si>
  <si>
    <t>Log(body mass) = (3.2878)*Log(MT5) + (1.5054)</t>
  </si>
  <si>
    <t>Log(body mass) = (2.7074)*Log(MT6) + (1.5614)</t>
  </si>
  <si>
    <t>Log(body mass) = (3.4254)*Log(MT7) + (1.7129)</t>
  </si>
  <si>
    <t>Log(body mass) = (2.6673)*Log(R1) + (-1.2336)</t>
  </si>
  <si>
    <t>Log(body mass) = (2.8435)*Log(R2) + (0.558)</t>
  </si>
  <si>
    <t>Log(body mass) = (2.5962)*Log(R3) + (1.1392)</t>
  </si>
  <si>
    <t>Log(body mass) = (2.4855)*Log(R5) + (1.1374)</t>
  </si>
  <si>
    <t>Log(body mass) = (3.029)*Log(R6) + (1.3634)</t>
  </si>
  <si>
    <t>Log(body mass) = (2.386)*Log(R7) + (1.2913)</t>
  </si>
  <si>
    <t>Log(body mass) = (3.3916)*Log(T1) + (-2.4421)</t>
  </si>
  <si>
    <t>Log(body mass) = (2.9746)*Log(T2) + (-0.1783)</t>
  </si>
  <si>
    <t>Log(body mass) = (2.9538)*Log(T3) + (0.4142)</t>
  </si>
  <si>
    <t>Log(body mass) = (3.0297)*Log(T4) + (0.5102)</t>
  </si>
  <si>
    <t>Log(body mass) = (3.0289)*Log(T5) + (0.666)</t>
  </si>
  <si>
    <t>Log(body mass) = (2.5831)*Log(T6) + (1.0961)</t>
  </si>
  <si>
    <t>Log(body mass) = (2.6749)*Log(T7) + (1.0588)</t>
  </si>
  <si>
    <t>Log(body mass) = (2.8975)*Log(U1) + (-1.9239)</t>
  </si>
  <si>
    <t>Log(body mass) = (2.8708)*Log(U2) + (-0.3834)</t>
  </si>
  <si>
    <t>Log(body mass) = (3.4263)*Log(F1) + (-2.8404)</t>
  </si>
  <si>
    <t>Log(body mass) = (2.6886)*Log(F2) + (-0.2471)</t>
  </si>
  <si>
    <t>Log(body mass) = (2.9405)*Log(F3) + (-0.087)</t>
  </si>
  <si>
    <t>Log(body mass) = (2.9962)*Log(F4) + (0.7259)</t>
  </si>
  <si>
    <t>Log(body mass) = (2.894)*Log(F5) + (-0.0719)</t>
  </si>
  <si>
    <t>Log(body mass) = (2.8771)*Log(F6) + (0.8915)</t>
  </si>
  <si>
    <t>Log(body mass) = (2.7585)*Log(F7) + (0.8737)</t>
  </si>
  <si>
    <t>Log(body mass) = (3.3414)*Log(H1) + (-2.3068)</t>
  </si>
  <si>
    <t>Log(body mass) = (3.3142)*Log(H2) + (-2.4273)</t>
  </si>
  <si>
    <t>Log(body mass) = (2.6909)*Log(H3) + (0.2689)</t>
  </si>
  <si>
    <t>Log(body mass) = (2.5332)*Log(H4) + (0.4312)</t>
  </si>
  <si>
    <t>Log(body mass) = (2.645)*Log(H5) + (0.2538)</t>
  </si>
  <si>
    <t>Log(body mass) = (2.734)*Log(H6) + (1.3692)</t>
  </si>
  <si>
    <t>Log(body mass) = (2.46)*Log(H7) + (1.0947)</t>
  </si>
  <si>
    <t>Log(body mass) = (2.4548)*Log(H8) + (0.8824)</t>
  </si>
  <si>
    <t>Log(body mass) = (2.472)*Log(MC1) + (-1.237)</t>
  </si>
  <si>
    <t>Log(body mass) = (2.6115)*Log(MC2) + (0.6185)</t>
  </si>
  <si>
    <t>Log(body mass) = (2.757)*Log(MC3) + (1.0819)</t>
  </si>
  <si>
    <t>Log(body mass) = (2.3014)*Log(MC4) + (0.7536)</t>
  </si>
  <si>
    <t>Log(body mass) = (2.6075)*Log(MC5) + (1.2497)</t>
  </si>
  <si>
    <t>Log(body mass) = (2.4965)*Log(MC6) + (1.1937)</t>
  </si>
  <si>
    <t>Log(body mass) = (2.6556)*Log(MC7) + (1.3819)</t>
  </si>
  <si>
    <t>Log(body mass) = (2.9135)*Log(MT1) + (-1.8977)</t>
  </si>
  <si>
    <t>Log(body mass) = (2.8912)*Log(MT2) + (0.621)</t>
  </si>
  <si>
    <t>Log(body mass) = (2.8712)*Log(MT3) + (0.6581)</t>
  </si>
  <si>
    <t>Log(body mass) = (2.7095)*Log(MT4) + (0.5527)</t>
  </si>
  <si>
    <t>Log(body mass) = (2.9239)*Log(MT5) + (1.1406)</t>
  </si>
  <si>
    <t>Log(body mass) = (2.8721)*Log(MT6) + (1.186)</t>
  </si>
  <si>
    <t>Log(body mass) = (2.8727)*Log(MT7) + (1.141)</t>
  </si>
  <si>
    <t>Log(body mass) = (2.772)*Log(R1) + (-1.7397)</t>
  </si>
  <si>
    <t>Log(body mass) = (2.4768)*Log(R2) + (0.4677)</t>
  </si>
  <si>
    <t>Log(body mass) = (2.5374)*Log(R3) + (1.0603)</t>
  </si>
  <si>
    <t>Log(body mass) = (2.4226)*Log(R4) + (0.3872)</t>
  </si>
  <si>
    <t>Log(body mass) = (2.4522)*Log(R5) + (0.4805)</t>
  </si>
  <si>
    <t>Log(body mass) = (2.555)*Log(R6) + (0.9131)</t>
  </si>
  <si>
    <t>Log(body mass) = (2.5133)*Log(R7) + (1.4647)</t>
  </si>
  <si>
    <t>Log(body mass) = (3.4985)*Log(T1) + (-3.095)</t>
  </si>
  <si>
    <t>Log(body mass) = (2.856)*Log(T2) + (-0.254)</t>
  </si>
  <si>
    <t>Log(body mass) = (3.1232)*Log(T3) + (0.1473)</t>
  </si>
  <si>
    <t>Log(body mass) = (2.7425)*Log(T4) + (0.3677)</t>
  </si>
  <si>
    <t>Log(body mass) = (2.9777)*Log(T5) + (0.6171)</t>
  </si>
  <si>
    <t>Log(body mass) = (2.7672)*Log(T6) + (0.8689)</t>
  </si>
  <si>
    <t>Log(body mass) = (2.9356)*Log(T7) + (0.9834)</t>
  </si>
  <si>
    <t>Log(body mass) = (2.9111)*Log(U1) + (-2.2284)</t>
  </si>
  <si>
    <t>Log(body mass) = (2.6853)*Log(U2) + (-0.1174)</t>
  </si>
  <si>
    <t>ruminants</t>
  </si>
  <si>
    <t>Femur Length 1 (femoral head to medial condyle)</t>
  </si>
  <si>
    <t>Log(body mass) = (3.4661)*Log(F1) + (-2.908)</t>
  </si>
  <si>
    <t>Femur Length 2 (trochanteric notch to lateral condyle)</t>
  </si>
  <si>
    <t>Log(body mass) = (2.7237)*Log(F2) + (-0.2882)</t>
  </si>
  <si>
    <t>Femur Length 3 (third trochanter to lateral condyle)</t>
  </si>
  <si>
    <t>Log(body mass) = (2.9439)*Log(F3) + (-0.0941)</t>
  </si>
  <si>
    <t>Log(body mass) = (3.0012)*Log(F4) + (0.7215)</t>
  </si>
  <si>
    <t>Distal Femur Transversal Diameter</t>
  </si>
  <si>
    <t>Log(body mass) = (2.9006)*Log(F5) + (-0.083)</t>
  </si>
  <si>
    <t>Log(body mass) = (2.9022)*Log(F6) + (0.8739)</t>
  </si>
  <si>
    <t>Log(body mass) = (2.7577)*Log(F7) + (0.8725)</t>
  </si>
  <si>
    <t>Humerus Length 1 (short)</t>
  </si>
  <si>
    <t>Log(body mass) = (3.3412)*Log(H1) + (-2.3085)</t>
  </si>
  <si>
    <t>Humerus Length 2 (long)</t>
  </si>
  <si>
    <t>Log(body mass) = (3.3123)*Log(H2) + (-2.4252)</t>
  </si>
  <si>
    <t>Proximal Humerus Diameter (articulating surface)</t>
  </si>
  <si>
    <t>Log(body mass) = (2.7156)*Log(H3) + (0.2411)</t>
  </si>
  <si>
    <t>Distal Humerus Transveral Diameter 1 (narrow)</t>
  </si>
  <si>
    <t>Log(body mass) = (2.5518)*Log(H4) + (0.4093)</t>
  </si>
  <si>
    <t>Distal Humerus Transveral Diameter 1 (wide)</t>
  </si>
  <si>
    <t>Log(body mass) = (2.6372)*Log(H5) + (0.2574)</t>
  </si>
  <si>
    <t>Log(body mass) = (2.7556)*Log(H6) + (1.3708)</t>
  </si>
  <si>
    <t>Log(body mass) = (2.4603)*Log(H7) + (1.0899)</t>
  </si>
  <si>
    <t>Log(body mass) = (2.4492)*Log(H8) + (0.8856)</t>
  </si>
  <si>
    <t>Metacarpal Length</t>
  </si>
  <si>
    <t>Log(body mass) = (2.4722)*Log(MC1) + (-1.237)</t>
  </si>
  <si>
    <t>Distal Metacarpal Transversal Diameter</t>
  </si>
  <si>
    <t>Log(body mass) = (2.6091)*Log(MC2) + (0.6225)</t>
  </si>
  <si>
    <t>Distal Metacarpal Anteroposterior Diamteter</t>
  </si>
  <si>
    <t>Log(body mass) = (2.7633)*Log(MC3) + (1.0742)</t>
  </si>
  <si>
    <t>Log(body mass) = (2.4965)*Log(MC6) + (1.1938)</t>
  </si>
  <si>
    <t>Metatarsal Length</t>
  </si>
  <si>
    <t>Log(body mass) = (2.9135)*Log(MT1) + (-1.8978)</t>
  </si>
  <si>
    <t>Proximal Metatarsal Transversal Diameter</t>
  </si>
  <si>
    <t>Log(body mass) = (2.8871)*Log(MT2) + (0.6262)</t>
  </si>
  <si>
    <t>Proximal Metatarsal Anteroposterior Diameter</t>
  </si>
  <si>
    <t>Log(body mass) = (2.9054)*Log(MT3) + (0.63)</t>
  </si>
  <si>
    <t>Distal Metatarsal Transversal Diameter</t>
  </si>
  <si>
    <t>Radius Length</t>
  </si>
  <si>
    <t>Log(body mass) = (2.9204)*Log(R1) + (-1.9583)</t>
  </si>
  <si>
    <t>Proximal Radius Transversal Diameter 1 (narrow)</t>
  </si>
  <si>
    <t>Log(body mass) = (2.5149)*Log(R2) + (0.4297)</t>
  </si>
  <si>
    <t>Proximal Radius Transversal Diameter 1 (wide)</t>
  </si>
  <si>
    <t>Log(body mass) = (2.5443)*Log(R3) + (1.0519)</t>
  </si>
  <si>
    <t>Proximal Radius Anteroposterior Diamter</t>
  </si>
  <si>
    <t>Distal Radius Transversal Diameter</t>
  </si>
  <si>
    <t>Log(body mass) = (2.452)*Log(R5) + (0.4758)</t>
  </si>
  <si>
    <t>Log(body mass) = (2.5784)*Log(R6) + (0.8948)</t>
  </si>
  <si>
    <t>Log(body mass) = (2.5041)*Log(R7) + (1.4672)</t>
  </si>
  <si>
    <t>Tibia Length</t>
  </si>
  <si>
    <t>Log(body mass) = (3.8468)*Log(T1) + (-3.6242)</t>
  </si>
  <si>
    <t>Proximal Tibia Transversal Diameter</t>
  </si>
  <si>
    <t>Log(body mass) = (2.8751)*Log(T2) + (-0.2758)</t>
  </si>
  <si>
    <t>Proximal Tibia Anteroposterior Diameter</t>
  </si>
  <si>
    <t>Log(body mass) = (3.1659)*Log(T3) + (0.114)</t>
  </si>
  <si>
    <t>Distal Tibia Transversal Diameter</t>
  </si>
  <si>
    <t>Log(body mass) = (2.794)*Log(T4) + (0.3222)</t>
  </si>
  <si>
    <t>Distal Tibia Anteroposterior Diameter</t>
  </si>
  <si>
    <t>Log(body mass) = (2.9821)*Log(T5) + (0.6107)</t>
  </si>
  <si>
    <t>Log(body mass) = (2.8018)*Log(T6) + (0.8446)</t>
  </si>
  <si>
    <t>Log(body mass) = (2.9451)*Log(T7) + (0.9804)</t>
  </si>
  <si>
    <t>Ulna Length</t>
  </si>
  <si>
    <t>Log(body mass) = (2.99)*Log(U1) + (-2.3584)</t>
  </si>
  <si>
    <t>Log(body mass) = (2.6873)*Log(U2) + (-0.1103)</t>
  </si>
  <si>
    <t>Artiodactyla &amp; Perissodactyla</t>
  </si>
  <si>
    <t>all ungulates</t>
  </si>
  <si>
    <t>Log(body mass) = (3.4855)*Log(F1) + (-2.9112)</t>
  </si>
  <si>
    <t>Log(body mass) = (3.0284)*Log(F4) + (0.7196)</t>
  </si>
  <si>
    <t>Log(body mass) = (2.782)*Log(F5) + (-0.0107)</t>
  </si>
  <si>
    <t>Log(body mass) = (2.821)*Log(F6) + (0.9062)</t>
  </si>
  <si>
    <t>Log(body mass) = (2.6016)*Log(F7) + (0.9119)</t>
  </si>
  <si>
    <t>Log(body mass) = (3.4026)*Log(H1) + (-2.3707)</t>
  </si>
  <si>
    <t>Log(body mass) = (3.3951)*Log(H2) + (-2.513)</t>
  </si>
  <si>
    <t>Log(body mass) = (2.7146)*Log(H3) + (0.2594)</t>
  </si>
  <si>
    <t>Log(body mass) = (2.4815)*Log(H4) + (0.4516)</t>
  </si>
  <si>
    <t>Log(body mass) = (2.5752)*Log(H5) + (0.2863)</t>
  </si>
  <si>
    <t>Log(body mass) = (2.7884)*Log(H6) + (1.3696)</t>
  </si>
  <si>
    <t>Log(body mass) = (2.485)*Log(H7) + (1.0934)</t>
  </si>
  <si>
    <t>Log(body mass) = (2.4937)*Log(H8) + (0.876)</t>
  </si>
  <si>
    <t>Log(body mass) = (1.9313)*Log(MC1) + (-0.476)</t>
  </si>
  <si>
    <t>Log(body mass) = (2.6485)*Log(MC2) + (0.608)</t>
  </si>
  <si>
    <t>Log(body mass) = (2.7928)*Log(MC3) + (1.0784)</t>
  </si>
  <si>
    <t>Log(body mass) = (2.378)*Log(MC4) + (0.7366)</t>
  </si>
  <si>
    <t>Log(body mass) = (2.6061)*Log(MC5) + (1.2757)</t>
  </si>
  <si>
    <t>Log(body mass) = (2.5266)*Log(MC6) + (1.1921)</t>
  </si>
  <si>
    <t>Log(body mass) = (2.6193)*Log(MC7) + (1.4156)</t>
  </si>
  <si>
    <t>Log(body mass) = (2.1344)*Log(MT1) + (-0.8149)</t>
  </si>
  <si>
    <t>Log(body mass) = (2.8269)*Log(MT2) + (0.6408)</t>
  </si>
  <si>
    <t>Log(body mass) = (2.8481)*Log(MT3) + (0.6681)</t>
  </si>
  <si>
    <t>Log(body mass) = (2.7634)*Log(MT4) + (0.5401)</t>
  </si>
  <si>
    <t>Log(body mass) = (2.8246)*Log(MT5) + (1.1872)</t>
  </si>
  <si>
    <t>Log(body mass) = (2.7335)*Log(MT6) + (1.1904)</t>
  </si>
  <si>
    <t>Log(body mass) = (2.7417)*Log(MT7) + (1.2078)</t>
  </si>
  <si>
    <t>Log(body mass) = (2.8455)*Log(R1) + (-1.8223)</t>
  </si>
  <si>
    <t>Log(body mass) = (2.4304)*Log(R2) + (0.4856)</t>
  </si>
  <si>
    <t>Log(body mass) = (2.536)*Log(R3) + (1.0605)</t>
  </si>
  <si>
    <t>Log(body mass) = (2.3884)*Log(R4) + (0.4011)</t>
  </si>
  <si>
    <t>Log(body mass) = (2.4054)*Log(R5) + (0.4987)</t>
  </si>
  <si>
    <t>Log(body mass) = (2.5894)*Log(R6) + (0.9092)</t>
  </si>
  <si>
    <t>Log(body mass) = (2.5038)*Log(R7) + (1.4661)</t>
  </si>
  <si>
    <t>Log(body mass) = (3.5808)*Log(T1) + (-3.1732)</t>
  </si>
  <si>
    <t>Log(body mass) = (2.8491)*Log(T2) + (-0.2495)</t>
  </si>
  <si>
    <t>Log(body mass) = (3.1568)*Log(T3) + (0.137)</t>
  </si>
  <si>
    <t>Log(body mass) = (2.6075)*Log(T4) + (0.4247)</t>
  </si>
  <si>
    <t>Log(body mass) = (2.8949)*Log(T5) + (0.642)</t>
  </si>
  <si>
    <t>Log(body mass) = (2.7382)*Log(T6) + (0.8761)</t>
  </si>
  <si>
    <t>Log(body mass) = (2.906)*Log(T7) + (0.9909)</t>
  </si>
  <si>
    <t>Log(body mass) = (2.9762)*Log(U1) + (-2.3087)</t>
  </si>
  <si>
    <t>Log(body mass) = (2.7611)*Log(U2) + (-0.1556)</t>
  </si>
  <si>
    <t>HBL</t>
  </si>
  <si>
    <t>Head-Body Length (HBL)</t>
  </si>
  <si>
    <t>Log(body mass) = (2.3)*Log(Head-Body Length (HBL)) + (-5.58)</t>
  </si>
  <si>
    <t>Van Valkenburgh, B. 1990. Skeletal and dental predictors of body mass in carnivores. Body size im mammalian paleobiology: estimation and biological implication. Damuth, J. and B.J. MacFadden, eds. Cambridge University Press, New York. 181-205</t>
  </si>
  <si>
    <t>LM/1</t>
  </si>
  <si>
    <t>Lower First Molar Length (M1L)</t>
  </si>
  <si>
    <t>mm</t>
  </si>
  <si>
    <t>Log(body mass) = (1.82)*Log(Lower First Molar Length (M1L)) + (-1.22)</t>
  </si>
  <si>
    <t>g</t>
  </si>
  <si>
    <t>m1L</t>
  </si>
  <si>
    <t>Dentition: lower first molar length (m1L)</t>
  </si>
  <si>
    <t>Log(body mass) = (2.93)*Log(Dentition: lower first molar length (m1L)) + (0.27)</t>
  </si>
  <si>
    <t>"We regressed the log-normalized data for body size and each body measurement
separately across all species (Fig. S2.1-S2.5, Table 2.1)."</t>
  </si>
  <si>
    <t>Pardi, M.I. 2016. A multidimensional investigation of the niche: geographic distributions, body size, and interspecific interactions of late Quaternary North American Canidae. Ph.D. Dissertation. University of New Mexico.</t>
  </si>
  <si>
    <t>OOL</t>
  </si>
  <si>
    <t>Occiput-Orbit Length (OOL)</t>
  </si>
  <si>
    <t>Log(body mass) = (3.08)*Log(Occiput-Orbit Length (OOL)) + (-5.03)</t>
  </si>
  <si>
    <t>P4L</t>
  </si>
  <si>
    <t>Dentition: upper fouther molar length (P4L)</t>
  </si>
  <si>
    <t>Log(body mass) = (2.97)*Log(Dentition: upper fouther molar length (P4L)) + (0.37)</t>
  </si>
  <si>
    <t>Skull Length (SKL)</t>
  </si>
  <si>
    <t>Log(body mass) = (2.86)*Log(Skull Length (SKL)) + (-5.21)</t>
  </si>
  <si>
    <t>SkL</t>
  </si>
  <si>
    <t>Skull length (SkL)</t>
  </si>
  <si>
    <t>Log(body mass) = (3.58)*Log(Skull length (SkL)) + (-4)</t>
  </si>
  <si>
    <t>Astragalus length (AsL)</t>
  </si>
  <si>
    <t>Log(body mass) = (3.16)*Log(Astragalus length (AsL)) + (-0.36)</t>
  </si>
  <si>
    <t>AsTL</t>
  </si>
  <si>
    <t>Astragalus trochlea length (AsTL)</t>
  </si>
  <si>
    <t>Log(body mass) = (2.73)*Log(Astragalus trochlea length (AsTL)) + (0.99)</t>
  </si>
  <si>
    <t>Calcaneum length (CaL)</t>
  </si>
  <si>
    <t>Log(body mass) = (3.03)*Log(Calcaneum length (CaL)) + (-0.87)</t>
  </si>
  <si>
    <t>FeAPD</t>
  </si>
  <si>
    <t>Femur midshaft anteroposterior diameter (FeAPD)</t>
  </si>
  <si>
    <t>Log(body mass) = (2.68)*Log(Femur midshaft anteroposterior diameter (FeAPD)) + (1.23)</t>
  </si>
  <si>
    <t>Femur breadth of epicondyles (FeB)</t>
  </si>
  <si>
    <t>Log(body mass) = (2.86)*Log(Femur breadth of epicondyles (FeB)) + (-0.12)</t>
  </si>
  <si>
    <t>FeGTH</t>
  </si>
  <si>
    <t>Femur height of greater trochanter (FeGTH)</t>
  </si>
  <si>
    <t>Log(body mass) = (2.24)*Log(Femur height of greater trochanter (FeGTH)) + (1.15)</t>
  </si>
  <si>
    <t>Femur head diameter (FeHD)</t>
  </si>
  <si>
    <t>Log(body mass) = (2.7)*Log(Femur head diameter (FeHD)) + (0.75)</t>
  </si>
  <si>
    <t>Femur length (FeL)</t>
  </si>
  <si>
    <t>Log(body mass) = (3.25)*Log(Femur length (FeL)) + (-3.17)</t>
  </si>
  <si>
    <t>FeMLD</t>
  </si>
  <si>
    <t>Femur midshaft mediolateral diameter (FeMLD)</t>
  </si>
  <si>
    <t>Log(body mass) = (2.96)*Log(Femur midshaft mediolateral diameter (FeMLD)) + (0.87)</t>
  </si>
  <si>
    <t>Humerus midshaft anteroposterior diameter (HuAPD)</t>
  </si>
  <si>
    <t>Log(body mass) = (2.49)*Log(Humerus midshaft anteroposterior diameter (HuAPD)) + (1.24)</t>
  </si>
  <si>
    <t>Humerus breadth of epicondyles (HuEB)</t>
  </si>
  <si>
    <t>Log(body mass) = (2.5)*Log(Humerus breadth of epicondyles (HuEB)) + (0.37)</t>
  </si>
  <si>
    <t>Humerus breadth of the trochlea and condyle (HuHTL)</t>
  </si>
  <si>
    <t>Log(body mass) = (2.29)*Log(Humerus breadth of the trochlea and condyle (HuHTL)) + (1.06)</t>
  </si>
  <si>
    <t>Humerus length (HuL)</t>
  </si>
  <si>
    <t>Log(body mass) = (3.52)*Log(Humerus length (HuL)) + (-3.67)</t>
  </si>
  <si>
    <t>HuMLD</t>
  </si>
  <si>
    <t>Humerus midshaft mediolateral diameter (HuMLD)</t>
  </si>
  <si>
    <t>Log(body mass) = (2.57)*Log(Humerus midshaft mediolateral diameter (HuMLD)) + (1.37)</t>
  </si>
  <si>
    <t>Radius length (RaL)</t>
  </si>
  <si>
    <t>Log(body mass) = (3.19)*Log(Radius length (RaL)) + (-2.92)</t>
  </si>
  <si>
    <t>Tibia midshaft anteroposterior diameter (TiAPD)</t>
  </si>
  <si>
    <t>Log(body mass) = (2.79)*Log(Tibia midshaft anteroposterior diameter (TiAPD)) + (1.07)</t>
  </si>
  <si>
    <t>Tibia length (TiL)</t>
  </si>
  <si>
    <t>Log(body mass) = (3.76)*Log(Tibia length (TiL)) + (-4.37)</t>
  </si>
  <si>
    <t>TiMLD</t>
  </si>
  <si>
    <t>Tibia midshaft mediolateral diameter (TiMLD)</t>
  </si>
  <si>
    <t>Log(body mass) = (2.75)*Log(Tibia midshaft mediolateral diameter (TiMLD)) + (1.15)</t>
  </si>
  <si>
    <t>Tibial tuberosity length (TiSL)</t>
  </si>
  <si>
    <t>Log(body mass) = (2.54)*Log(Tibial tuberosity length (TiSL)) + (0.39)</t>
  </si>
  <si>
    <t>Ulna length (UlL)</t>
  </si>
  <si>
    <t>Log(body mass) = (3.18)*Log(Ulna length (UlL)) + (-3.11)</t>
  </si>
  <si>
    <t>Ulna length of olecranon process (UlOL)</t>
  </si>
  <si>
    <t>Log(body mass) = (2.58)*Log(Ulna length of olecranon process (UlOL)) + (0.69)</t>
  </si>
  <si>
    <t>Log(body mass) = (2.72)*Log(Head-Body Length (HBL)) + (-6.83)</t>
  </si>
  <si>
    <t>condylobasal length of cranium</t>
  </si>
  <si>
    <t>zygomatic breadth</t>
  </si>
  <si>
    <t>condylobasal length of cranium = 1.0694(zygomatic breadth)+(26.857)</t>
  </si>
  <si>
    <t>linear regression</t>
  </si>
  <si>
    <t>Turner, A. and O.H. Regan. 2002. The assessment of size in fossil Felidae. Estudios Geol. 58: 45-54</t>
  </si>
  <si>
    <t>rostral breadth</t>
  </si>
  <si>
    <t>condylobasal length of cranium = 2.5909(rostral breadth)+(30.495)</t>
  </si>
  <si>
    <t>palatal length</t>
  </si>
  <si>
    <t>condylobasal length of cranium = 1.8227(palatal length)+(26.57)</t>
  </si>
  <si>
    <t>lower canine-condyle</t>
  </si>
  <si>
    <t>condylobasal length of cranium = 1.2272(lower canine-condyle)+(10.987)</t>
  </si>
  <si>
    <t>upper carnassial length</t>
  </si>
  <si>
    <t>condylobasal length of cranium = 7.1052(upper carnassial length)+(14.827)</t>
  </si>
  <si>
    <t>lower carnassial length</t>
  </si>
  <si>
    <t>condylobasal length of cranium = 8.5215(lower carnassial length)+(33.224)</t>
  </si>
  <si>
    <t>upper canine length</t>
  </si>
  <si>
    <t>condylobasal length of cranium = 6.9312(upper canine length)+(80.08)</t>
  </si>
  <si>
    <t>lower canine length</t>
  </si>
  <si>
    <t>condylobasal length of cranium = 7.115(lower canine length)+(80.217)</t>
  </si>
  <si>
    <t>lower P3-carnassial</t>
  </si>
  <si>
    <t>condylobasal length of cranium = 3.504(lower P3-carnassial)+(21.748)</t>
  </si>
  <si>
    <t>lower canine-carnassial</t>
  </si>
  <si>
    <t>condylobasal length of cranium = 2.4752(lower canine-carnassial)+(-12.123)</t>
  </si>
  <si>
    <t>condylobasal length of cranium = 1.101(zygomatic breadth)+(39.295)</t>
  </si>
  <si>
    <t>condylobasal length of cranium = 2.991(rostral breadth)+(7.9095)</t>
  </si>
  <si>
    <t>condylobasal length of cranium = 1.5962(palatal length)+(43.323)</t>
  </si>
  <si>
    <t>condylobasal length of cranium = 1.2113(lower canine-condyle)+(13.821)</t>
  </si>
  <si>
    <t>condylobasal length of cranium = 7.4493(upper carnassial length)+(5.3483)</t>
  </si>
  <si>
    <t>condylobasal length of cranium = 8.7179(lower carnassial length)+(39.834)</t>
  </si>
  <si>
    <t>condylobasal length of cranium = 7.9184(upper canine length)+(86.184)</t>
  </si>
  <si>
    <t>condylobasal length of cranium = 8.9822(lower canine length)+(75.229)</t>
  </si>
  <si>
    <t>condylobasal length of cranium = 4.492(lower P3-carnassial)+(38.487)</t>
  </si>
  <si>
    <t>condylobasal length of cranium = 1.1552(zygomatic breadth)+(26.272)</t>
  </si>
  <si>
    <t>condylobasal length of cranium = 3.1742(rostral breadth)+(11.563)</t>
  </si>
  <si>
    <t>condylobasal length of cranium = 1.6963(palatal length)+(21.683)</t>
  </si>
  <si>
    <t>condylobasal length of cranium = 1.2368(lower canine-condyle)+(12.384)</t>
  </si>
  <si>
    <t>condylobasal length of cranium = 6.8768(upper carnassial length)+(11.071)</t>
  </si>
  <si>
    <t>condylobasal length of cranium = 8.9258(lower carnassial length)+(17.593)</t>
  </si>
  <si>
    <t>condylobasal length of cranium = 9.5065(upper canine length)+(49.005)</t>
  </si>
  <si>
    <t>condylobasal length of cranium = 10.605(lower canine length)+(39.504)</t>
  </si>
  <si>
    <t>condylobasal length of cranium = 4.3481(lower P3-carnassial)+(24.091)</t>
  </si>
  <si>
    <t>body length</t>
  </si>
  <si>
    <t>cranium</t>
  </si>
  <si>
    <t>body length = 0.7597(condylobasal length of cranium)+(-38.063)</t>
  </si>
  <si>
    <t>body mass = 1.122(condylobasal length of cranium)+(-184.88)</t>
  </si>
  <si>
    <t>"condylobasal length against body mass, for which a least-squares linear regression has been performed"</t>
  </si>
  <si>
    <t>LM/6</t>
  </si>
  <si>
    <t>Log(body mass) = (3.05)*Log(Lower First Molar Length (M1L)) + (-2.15)</t>
  </si>
  <si>
    <t>Log(body mass) = (3.54)*Log(Occiput-Orbit Length (OOL)) + (-5.86)</t>
  </si>
  <si>
    <t>Log(body mass) = (3.11)*Log(Skull Length (SKL)) + (-5.38)</t>
  </si>
  <si>
    <t>Log(body mass) = (2.81)*Log(Head-Body Length (HBL)) + (-7.08)</t>
  </si>
  <si>
    <t>M1L</t>
  </si>
  <si>
    <t>Log(body mass) = (3.48)*Log(Lower First Molar Length (M1L)) + (-3.04)</t>
  </si>
  <si>
    <t>Log(body mass) = (3.29)*Log(Occiput-Orbit Length (OOL)) + (-5.53)</t>
  </si>
  <si>
    <t>Log(body mass) = (3.39)*Log(Skull Length (SKL)) + (-6.03)</t>
  </si>
  <si>
    <t>Log(body mass) = (2.98)*Log(Head-Body Length (HBL)) + (-7.43)</t>
  </si>
  <si>
    <t>Log(body mass) = (0.49)*Log(Lower First Molar Length (M1L)) + (1.26)</t>
  </si>
  <si>
    <t>Log(body mass) = (1.98)*Log(Occiput-Orbit Length (OOL)) + (-2.38)</t>
  </si>
  <si>
    <t>Log(body mass) = (2.02)*Log(Skull Length (SKL)) + (-2.8)</t>
  </si>
  <si>
    <t>Log(body mass) = (2.88)*Log(Head-Body Length (HBL)) + (-7.24)</t>
  </si>
  <si>
    <t>Log(body mass) = (2.97)*Log(Lower First Molar Length (M1L)) + (-2.27)</t>
  </si>
  <si>
    <t>Log(body mass) = (3.44)*Log(Occiput-Orbit Length (OOL)) + (-5.74)</t>
  </si>
  <si>
    <t>Log(body mass) = (3.13)*Log(Skull Length (SKL)) + (-5.59)</t>
  </si>
  <si>
    <t>Size group: &lt; 6 kg</t>
  </si>
  <si>
    <t>Log(body mass) = (2.13)*Log(Head-Body Length (HBL)) + (-5.39)</t>
  </si>
  <si>
    <t>Log(body mass) = (1.21)*Log(Lower First Molar Length (M1L)) + (-0.93)</t>
  </si>
  <si>
    <t>Log(body mass) = (2.7)*Log(Occiput-Orbit Length (OOL)) + (-4.55)</t>
  </si>
  <si>
    <t>Log(body mass) = (2.55)*Log(Skull Length (SKL)) + (-4.56)</t>
  </si>
  <si>
    <t>Size group: &gt;100 kg</t>
  </si>
  <si>
    <t>Log(body mass) = (2.46)*Log(Head-Body Length (HBL)) + (-5.78)</t>
  </si>
  <si>
    <t>Log(body mass) = (0.57)*Log(Lower First Molar Length (M1L)) + (1.45)</t>
  </si>
  <si>
    <t>Log(body mass) = (1.51)*Log(Occiput-Orbit Length (OOL)) + (-1.25)</t>
  </si>
  <si>
    <t>Log(body mass) = (1.56)*Log(Skull Length (SKL)) + (-1.61)</t>
  </si>
  <si>
    <t>Size group: 10-100 kg</t>
  </si>
  <si>
    <t>Log(body mass) = (2.05)*Log(Head-Body Length (HBL)) + (-4.77)</t>
  </si>
  <si>
    <t>Log(body mass) = (1.19)*Log(Lower First Molar Length (M1L)) + (-0.09)</t>
  </si>
  <si>
    <t>Log(body mass) = (2.3)*Log(Occiput-Orbit Length (OOL)) + (-3.37)</t>
  </si>
  <si>
    <t>Log(body mass) = (1.71)*Log(Skull Length (SKL)) + (-2.42)</t>
  </si>
  <si>
    <t>Size group: 6-10 kg</t>
  </si>
  <si>
    <t>Log(body mass) = (0.9)*Log(Head-Body Length (HBL)) + (-1.68)</t>
  </si>
  <si>
    <t>Log(body mass) = (0.36)*Log(Lower First Molar Length (M1L)) + (0.43)</t>
  </si>
  <si>
    <t>Log(body mass) = (0.8)*Log(Occiput-Orbit Length (OOL)) + (-0.7)</t>
  </si>
  <si>
    <t>Log(body mass) = (1.01)*Log(Skull Length (SKL)) + (-1.28)</t>
  </si>
  <si>
    <t>WOC</t>
  </si>
  <si>
    <t>width of occipital condyles (WOC)</t>
  </si>
  <si>
    <t>Log(body mass) = (-1.526) + (4.091)*Log(width of occipital condyles (WOC))</t>
  </si>
  <si>
    <t>"The model used to estimate the BMs of extinct animals was allometric (Damuth &amp; MacFadden, 1990), expressed as a power function Y = aXb. The power function was log transformed, obtaining a linear relationship (log Y = log a + b log X). The data were fitted by the method of least squares (OLS, Model I) using stepwise methodology for multiple models (Quinn &amp; Keough, 2002)."</t>
  </si>
  <si>
    <t>Moncunill-Solé, B., J. Quintana, X. Jordana, P. Engelbrektsson, and M. Köhler. 2015. The weight of fossil leporids and ochotonids: body mass estimation models for the order Lagomorpha</t>
  </si>
  <si>
    <t>FAPDd</t>
  </si>
  <si>
    <t>distal femoral anteroposterior diameter (FAPDd)</t>
  </si>
  <si>
    <t>Log(body mass) = (0.225) + (2.63)*Log(distal femoral anteroposterior diameter (FAPDd))</t>
  </si>
  <si>
    <t>FL</t>
  </si>
  <si>
    <t>femur length (FL)</t>
  </si>
  <si>
    <t>Log(body mass) = (-1.11) + (2.229)*Log(femur length (FL))</t>
  </si>
  <si>
    <t>FTDd</t>
  </si>
  <si>
    <t>distal femoral transversal diameter (FTDd)</t>
  </si>
  <si>
    <t>Log(body mass) = (0.318) + (2.481)*Log(distal femoral transversal diameter (FTDd))</t>
  </si>
  <si>
    <t>FTDp</t>
  </si>
  <si>
    <t>proximal femoral transversal diameter (FTDp)</t>
  </si>
  <si>
    <t>Log(body mass) = (0.498) + (2.217)*Log(proximal femoral transversal diameter (FTDp))</t>
  </si>
  <si>
    <t>HAPDd</t>
  </si>
  <si>
    <t>distal humeral anteroposterior diameter (HAPDd)</t>
  </si>
  <si>
    <t>Log(body mass) = (1.13) + (2.553)*Log(distal humeral anteroposterior diameter (HAPDd))</t>
  </si>
  <si>
    <t>HAPDp</t>
  </si>
  <si>
    <t>proximal humeral anteroposterior diameter (HAPDp)</t>
  </si>
  <si>
    <t>Log(body mass) = (0.27) + (2.819)*Log(proximal humeral anteroposterior diameter (HAPDp))</t>
  </si>
  <si>
    <t>HL</t>
  </si>
  <si>
    <t>humerus length (HL)</t>
  </si>
  <si>
    <t>Log(body mass) = (-1.221) + (2.418)*Log(humerus length (HL))</t>
  </si>
  <si>
    <t>distal humeral transversal diameter (HTDd)</t>
  </si>
  <si>
    <t>Log(body mass) = (-0.063) + (3.386)*Log(distal humeral transversal diameter (HTDd))</t>
  </si>
  <si>
    <t>TAPDp</t>
  </si>
  <si>
    <t>proximal tibia anteroposterior diameter (TAPDp)</t>
  </si>
  <si>
    <t>Log(body mass) = (0.599) + (2.265)*Log(proximal tibia anteroposterior diameter (TAPDp))</t>
  </si>
  <si>
    <t>TL</t>
  </si>
  <si>
    <t>tibia length (TL)</t>
  </si>
  <si>
    <t>Log(body mass) = (-1.271) + (2.254)*Log(tibia length (TL))</t>
  </si>
  <si>
    <t>TTDd</t>
  </si>
  <si>
    <t>distal tibia transversal diameter (TTDd)</t>
  </si>
  <si>
    <t>Log(body mass) = (0.461) + (2.584)*Log(distal tibia transversal diameter (TTDd))</t>
  </si>
  <si>
    <t>TTDp</t>
  </si>
  <si>
    <t>proximal tibia transversal diameter (TTDp)</t>
  </si>
  <si>
    <t>Log(body mass) = (0.219) + (2.577)*Log(proximal tibia transversal diameter (TTDp))</t>
  </si>
  <si>
    <t xml:space="preserve">length of the first lower molar (LM/1) </t>
  </si>
  <si>
    <t>Log(body mass) = (1.807) + (3.353)*Log(length of the first lower molar (LM/1) )</t>
  </si>
  <si>
    <t>M/1AA</t>
  </si>
  <si>
    <t>area of the first lower molar (M/1AA)</t>
  </si>
  <si>
    <t>Log(body mass) = (1.89) + (1.47)*Log(area of the first lower molar (M/1AA))</t>
  </si>
  <si>
    <t>TRAA</t>
  </si>
  <si>
    <t>toothrow area (TRAA)</t>
  </si>
  <si>
    <t>Log(body mass) = (0.462) + (1.659)*Log(toothrow area (TRAA))</t>
  </si>
  <si>
    <t>TRL</t>
  </si>
  <si>
    <t>toothrow length (TRL)</t>
  </si>
  <si>
    <t>Log(body mass) = (0.547) + (2.247)*Log(toothrow length (TRL))</t>
  </si>
  <si>
    <t>WM/1</t>
  </si>
  <si>
    <t>width of the first lower molar (WM/1)</t>
  </si>
  <si>
    <t>Log(body mass) = (1.778) + (2.959)*Log(width of the first lower molar (WM/1))</t>
  </si>
  <si>
    <t>Log(body mass) = (1.536) + (2.076)*Log(distal humeral anteroposterior diameter (HAPDd))</t>
  </si>
  <si>
    <t>Log(body mass) = (0.949) + (2.191)*Log(proximal humeral anteroposterior diameter (HAPDp))</t>
  </si>
  <si>
    <t>Log(body mass) = (0.934) + (2.393)*Log(distal humeral transversal diameter (HTDd))</t>
  </si>
  <si>
    <t>burrowing</t>
  </si>
  <si>
    <t>Log(body mass) = (1.354) + (1.769)*Log(distal humeral anteroposterior diameter (HAPDd))</t>
  </si>
  <si>
    <t>Log(body mass) = (0.916) + (1.769)*Log(proximal humeral anteroposterior diameter (HAPDp))</t>
  </si>
  <si>
    <t>Log(body mass) = (1.053) + (1.513)*Log(distal humeral transversal diameter (HTDd))</t>
  </si>
  <si>
    <t>Log(body mass) = (1.514) + (2.608)*Log(length of the first lower molar (LM/1) )</t>
  </si>
  <si>
    <t>Log(body mass) = (1.454) + (1.418)*Log(area of the first lower molar (M/1AA))</t>
  </si>
  <si>
    <t>Log(body mass) = (0.566) + (1.397)*Log(toothrow area (TRAA))</t>
  </si>
  <si>
    <t>Log(body mass) = (-0.228) + (2.741)*Log(toothrow length (TRL))</t>
  </si>
  <si>
    <t>Log(body mass) = L1.483) + (2.728)*Log(width of the first lower molar (WM/1))</t>
  </si>
  <si>
    <t>Log(body mass) = (3.1274)*Log(F1) + (-2.2619)</t>
  </si>
  <si>
    <t>Log(body mass) = (2.9812)*Log(F2) + (-2.1543)</t>
  </si>
  <si>
    <t>Log(body mass) = (2.8419)*Log(F3) + (-1.4078)</t>
  </si>
  <si>
    <t>Log(body mass) = (2.8685)*Log(F4) + (0.868)</t>
  </si>
  <si>
    <t>Log(body mass) = (2.5856)*Log(F5) + (0.0445)</t>
  </si>
  <si>
    <t>Log(body mass) = (2.0469)*Log(F6) + (1.3123)</t>
  </si>
  <si>
    <t>Log(body mass) = (2.1794)*Log(F7) + (1.0246)</t>
  </si>
  <si>
    <t>Log(body mass) = (2.8794)*Log(H1) + (-1.5178)</t>
  </si>
  <si>
    <t>Log(body mass) = (2.7142)*Log(H2) + (-1.3571)</t>
  </si>
  <si>
    <t>Log(body mass) = (2.6562)*Log(H3) + (0.3506)</t>
  </si>
  <si>
    <t>Log(body mass) = (2.8535)*Log(H4) + (0.0471)</t>
  </si>
  <si>
    <t>Log(body mass) = (2.5392)*Log(H5) + (0.2196)</t>
  </si>
  <si>
    <t>Log(body mass) = (2.9047)*Log(H6) + (1.4284)</t>
  </si>
  <si>
    <t>Log(body mass) = (2.2001)*Log(H7) + (1.3111)</t>
  </si>
  <si>
    <t>Log(body mass) = (2.3416)*Log(H8) + (1.0596)</t>
  </si>
  <si>
    <t>Log(body mass) = (2.6838)*Log(MC1) + (-1.0402)</t>
  </si>
  <si>
    <t>Log(body mass) = (2.7422)*Log(MC2) + (0.6146)</t>
  </si>
  <si>
    <t>Log(body mass) = (2.786)*Log(MC3) + (1.1468)</t>
  </si>
  <si>
    <t>Log(body mass) = (2.7086)*Log(MC4) + (0.7046)</t>
  </si>
  <si>
    <t>Log(body mass) = (2.3308)*Log(MC5) + (1.491)</t>
  </si>
  <si>
    <t>Log(body mass) = (2.4313)*Log(MC6) + (1.299)</t>
  </si>
  <si>
    <t>Log(body mass) = (2.485)*Log(MC7) + (1.538)</t>
  </si>
  <si>
    <t>Log(body mass) = (2.8417)*Log(MT1) + (-1.4453)</t>
  </si>
  <si>
    <t>Log(body mass) = (2.4076)*Log(MT2) + (0.8452)</t>
  </si>
  <si>
    <t>Log(body mass) = (1.9467)*Log(MT3) + (1.2419)</t>
  </si>
  <si>
    <t>Log(body mass) = (2.4247)*Log(MT4) + (0.8911)</t>
  </si>
  <si>
    <t>Log(body mass) = (2.456)*Log(MT5) + (1.3638)</t>
  </si>
  <si>
    <t>Log(body mass) = (2.3802)*Log(MT6) + (1.3643)</t>
  </si>
  <si>
    <t>Log(body mass) = (2.3286)*Log(MT7) + (1.4629)</t>
  </si>
  <si>
    <t>Log(body mass) = (3.077)*Log(R1) + (-2.0373)</t>
  </si>
  <si>
    <t>Log(body mass) = (2.7991)*Log(R2) + (0.089)</t>
  </si>
  <si>
    <t>Log(body mass) = (2.5513)*Log(R3) + (1.0488)</t>
  </si>
  <si>
    <t>Log(body mass) = (2.7703)*Log(R4) + (-0.0067)</t>
  </si>
  <si>
    <t>Log(body mass) = (2.5996)*Log(R5) + (0.252)</t>
  </si>
  <si>
    <t>Log(body mass) = (2.2382)*Log(R6) + (1.1988)</t>
  </si>
  <si>
    <t>Log(body mass) = (2.1409)*Log(R7) + (1.6146)</t>
  </si>
  <si>
    <t>Log(body mass) = (2.2529)*Log(T1) + (-0.8241)</t>
  </si>
  <si>
    <t>Log(body mass) = (2.6798)*Log(T2) + (-0.0915)</t>
  </si>
  <si>
    <t>Log(body mass) = (2.549)*Log(T3) + (0.6566)</t>
  </si>
  <si>
    <t>Log(body mass) = (2.5026)*Log(T4) + (0.3548)</t>
  </si>
  <si>
    <t>Log(body mass) = (2.5712)*Log(T5) + (0.7648)</t>
  </si>
  <si>
    <t>Log(body mass) = (2.3573)*Log(T6) + (1.0746)</t>
  </si>
  <si>
    <t>Log(body mass) = (2.2549)*Log(T7) + (1.3171)</t>
  </si>
  <si>
    <t>Log(body mass) = (3.1121)*Log(U1) + (-2.4111)</t>
  </si>
  <si>
    <t>Log(body mass) = (2.8706)*Log(U2) + (-0.0754)</t>
  </si>
  <si>
    <t>height range: 117-320 cm</t>
  </si>
  <si>
    <t>shoulder height</t>
  </si>
  <si>
    <t>Log(body mass) = (2.711)*Log(shoulder height) + (-3.0844)</t>
  </si>
  <si>
    <t>least squares regression of log (mass in kg) on log (should height in cm)</t>
  </si>
  <si>
    <t>NR</t>
  </si>
  <si>
    <t>Roth, V.L. 1990. Insular dwarf elephants: a case study in body mass estimation and ecological inference. Body size im mammalian paleobiology: estimation and biological implication. Damuth, J. and B.J. MacFadden, eds. Cambridge University Press, New York. 151-179</t>
  </si>
  <si>
    <t>height range: 164-279 cm</t>
  </si>
  <si>
    <t>Log(body mass) = (2.917)*Log(shoulder height) + (-3.5127)</t>
  </si>
  <si>
    <t>height range: 173-254 cm</t>
  </si>
  <si>
    <t>Log(body mass) = (3.356)*Log(shoulder height) + (-4.4895)</t>
  </si>
  <si>
    <t>height range: 76-310 cm</t>
  </si>
  <si>
    <t>Log(body mass) = (3.263)*Log(shoulder height) + (-4.3296)</t>
  </si>
  <si>
    <t>Log(body mass) = (3.387)*Log(shoulder height) + (-4.5638)</t>
  </si>
  <si>
    <t>height range: 79-251 cm</t>
  </si>
  <si>
    <t>Log(body mass) = (3.11)*Log(shoulder height) + (-3.9914)</t>
  </si>
  <si>
    <t>height range: 85-325 cm</t>
  </si>
  <si>
    <t>Log(body mass) = (2.803)*Log(shoulder height) + (-3.295)</t>
  </si>
  <si>
    <t>height range: 88-270 cm</t>
  </si>
  <si>
    <t>Log(body mass) = (2.631)*Log(shoulder height) + (-2.8972)</t>
  </si>
  <si>
    <t>height range: 89-315 cm</t>
  </si>
  <si>
    <t>Log(body mass) = (2.934)*Log(shoulder height) + (-3.6819)</t>
  </si>
  <si>
    <t>height range: 95-320 cm</t>
  </si>
  <si>
    <t>Log(body mass) = (2.97)*Log(shoulder height) + (-3.7423)</t>
  </si>
  <si>
    <t>OCB</t>
  </si>
  <si>
    <t>occipital condyle breadth (OCB)</t>
  </si>
  <si>
    <t>total femur length (FL)</t>
  </si>
  <si>
    <t>Log(occipital condyle breadth (OCB)) = (0.81)*Log(total femur length (FL)) + (1.16)</t>
  </si>
  <si>
    <t>"ordinary least square (OLS) regressions were fitted to log 10 transformed data"</t>
  </si>
  <si>
    <t>&lt;0.0001</t>
  </si>
  <si>
    <t>Jukar, A.M., S.K. Lyons, and M.D. Uhen. 2018. A cranial correlate of body mass in proboscideans. Zoological Journal of the Linnean Society. XX, 1-13</t>
  </si>
  <si>
    <t>Figure 1. : Occipital condyle breadth (OCB): measured as linear distance across both condyles . Total length of femur (FL): measured between the proimal end of the femoral head and the distal-most end of the medial condyle.</t>
  </si>
  <si>
    <t>FMC</t>
  </si>
  <si>
    <t>femur minimum circumference (FMC)</t>
  </si>
  <si>
    <t>Log(occipital condyle breadth (OCB)) = (1.01)*Log(femur minimum circumference (FMC)) + (0.17)</t>
  </si>
  <si>
    <t>Figure 1. : Occipital condyle breadth (OCB): measured as linear distance across both condyles . Femur minimum circumference (FMC): measured using loop tape down the diaphysis of the limb bones until minimum circumference found.</t>
  </si>
  <si>
    <t>total humerus length</t>
  </si>
  <si>
    <t>Log(occipital condyle breadth (OCB)) = (1.01)*Log(total humerus length) + (0.61)</t>
  </si>
  <si>
    <t>Figure 1. : Occipital condyle breadth (OCB): measured as linear distance across both condyles . Total length of humerus (HL): measured between most proximal end of lateral tuberosity to most distal end of lateral condyle</t>
  </si>
  <si>
    <t>HMC</t>
  </si>
  <si>
    <t>humerus minimum circumference (HMC)</t>
  </si>
  <si>
    <t>Log(occipital condyle breadth (OCB)) = (1.03)*Log(humerus minimum circumference (HMC)) + (0.15)</t>
  </si>
  <si>
    <t>Figure 1. : Occipital condyle breadth (OCB): measured as linear distance across both condyles . Humerus minimum circumference (HMC): measured using loop tape down the diaphysis of the limb bones until minimum circumference found.</t>
  </si>
  <si>
    <t>femur medial condyle length</t>
  </si>
  <si>
    <t>Log(body mass) = (4.199)*Log(femur medial condyle length) + (−5.108)</t>
  </si>
  <si>
    <t>Christiansen, P. 2004. Body size in proboscideans, with notes on elephant metabolism. Zoological Journal of the Linnean Society. 140: 523-549</t>
  </si>
  <si>
    <t>humerus lateral condyle width</t>
  </si>
  <si>
    <t>Log(body mass) = (3.775)*Log(humerus lateral condyle width) + (-3.784)</t>
  </si>
  <si>
    <t>femur lateral condyle length</t>
  </si>
  <si>
    <t>Log(body mass) = (4.345)*Log(femur lateral condyle length) + (−4.970)</t>
  </si>
  <si>
    <t>radius diaphysial diameter in the lateromedial plane</t>
  </si>
  <si>
    <t>Log(body mass) = (2.017)*Log(radius diaphysial diameter in the lateromedial plane) + (-0.332)</t>
  </si>
  <si>
    <t>femur medial condyle length*</t>
  </si>
  <si>
    <t>Log(body mass) = (2.156)*Log(femur medial condyle length*) + (−0.819)</t>
  </si>
  <si>
    <t>6*</t>
  </si>
  <si>
    <t>humerus medial condyle length</t>
  </si>
  <si>
    <t>Log(body mass) = (2.943)*Log(humerus medial condyle length) + (-2.554)</t>
  </si>
  <si>
    <t>Log(body mass) = (4.316)*Log(shoulder height) + (-6.731)</t>
  </si>
  <si>
    <t>"Raw values were log transformed and bivariate regression analyses were fitted to the data by means of a Model II Reduced Major Axis (RMA) analysis with body mass as the ‘dependent’ variable"</t>
  </si>
  <si>
    <t>&lt;0.000</t>
  </si>
  <si>
    <t>humerus lateral condyle length</t>
  </si>
  <si>
    <t>Log(body mass) = (2.867)*Log(humerus lateral condyle length) + (-2.294)</t>
  </si>
  <si>
    <t>femur width of distal articular surface</t>
  </si>
  <si>
    <t>Log(body mass) = (3.502)*Log(femur width of distal articular surface) + (−4.347)</t>
  </si>
  <si>
    <t>fibula diaphysial diameter in the lateromedial plane</t>
  </si>
  <si>
    <t>Log(body mass) = (1.215)*Log(fibula diaphysial diameter in the lateromedial plane) + (−2.020)</t>
  </si>
  <si>
    <t>humerus medial condyle width</t>
  </si>
  <si>
    <t>Log(body mass) = (3.409)*Log(humerus medial condyle width) + (-3.202)</t>
  </si>
  <si>
    <t>Log(body mass) = (3.161)*Log(shoulder height) + (-4.016)</t>
  </si>
  <si>
    <t>femur medial condyle width</t>
  </si>
  <si>
    <t>Log(body mass) = (2.619)*Log(femur medial condyle width) + (−1.550)</t>
  </si>
  <si>
    <t>radius diaphysial diameter in the anteroposterior plane</t>
  </si>
  <si>
    <t>Log(body mass) = (1.834)*Log(radius diaphysial diameter in the anteroposterior plane) + (-0.43)</t>
  </si>
  <si>
    <t>fibula diaphysial diameter in the anteroposterior plane</t>
  </si>
  <si>
    <t>Log(body mass) = (1.263)*Log(fibula diaphysial diameter in the anteroposterior plane) + (−1.695)</t>
  </si>
  <si>
    <t>humerus width of distal articular surface</t>
  </si>
  <si>
    <t>Log(body mass) = (3.872)*Log(humerus width of distal articular surface) + (-5.29)</t>
  </si>
  <si>
    <t>radius diaphysial diameter in the lateromedial plane*</t>
  </si>
  <si>
    <t>Log(body mass) = (1.969)*Log(radius diaphysial diameter in the lateromedial plane*) + (-0.351)</t>
  </si>
  <si>
    <t>femur diaphysial diameter in the lateromedial plane</t>
  </si>
  <si>
    <t>Log(body mass) = (1.904)*Log(femur diaphysial diameter in the lateromedial plane) + (−0.342)</t>
  </si>
  <si>
    <t>tibia diaphysial diameter in the lateromedial plane</t>
  </si>
  <si>
    <t>Log(body mass) = (1.391)*Log(tibia diaphysial diameter in the lateromedial plane) + (−0.950)</t>
  </si>
  <si>
    <t>radius least circumference of diaphysis</t>
  </si>
  <si>
    <t>Log(body mass) = (2.001)*Log(radius least circumference of diaphysis) + (-0.754)</t>
  </si>
  <si>
    <t>tibia diaphysial diameter in the anteroposterior plane</t>
  </si>
  <si>
    <t>Log(body mass) = (1.395)*Log(tibia diaphysial diameter in the anteroposterior plane) + (−1.044)</t>
  </si>
  <si>
    <t>ulna diaphysial diameter in the anteroposterior plane</t>
  </si>
  <si>
    <t>Log(body mass) = (2.304)*Log(ulna diaphysial diameter in the anteroposterior plane) + (-0.872)</t>
  </si>
  <si>
    <t>fibula length</t>
  </si>
  <si>
    <t>Log(body mass) = (2.422)*Log(fibula length) + (−3.086)</t>
  </si>
  <si>
    <t>femur least circumference of diaphysis</t>
  </si>
  <si>
    <t>Log(body mass) = (2.073)*Log(femur least circumference of diaphysis) + (−1.606)</t>
  </si>
  <si>
    <t>femur diaphysial diameter in the anteroposterior plane</t>
  </si>
  <si>
    <t>Log(body mass) = (2.315)*Log(femur diaphysial diameter in the anteroposterior plane) + (−0.912)</t>
  </si>
  <si>
    <t>femur length</t>
  </si>
  <si>
    <t>Log(body mass) = (−5.568±1.844) + (3.036±0.614)*Log(femur length)</t>
  </si>
  <si>
    <t>Log(body mass) = (-3.436±1.196) + (2.906±0.491)*Log(shoulder height)</t>
  </si>
  <si>
    <t>femur lateral condyle width</t>
  </si>
  <si>
    <t>Log(body mass) = (−1.514±0.933) + (2.695±0.497)*Log(femur lateral condyle width)</t>
  </si>
  <si>
    <t>tibia length</t>
  </si>
  <si>
    <t>Log(body mass) = (−3.064±1.154) + (2.378±0.414)*Log(tibia length)</t>
  </si>
  <si>
    <t>humerus diaphysial diameter in the lateromedial plane</t>
  </si>
  <si>
    <t>Log(body mass) = (-0.66±0.72) + (2.124±0.363)*Log(humerus diaphysial diameter in the lateromedial plane)</t>
  </si>
  <si>
    <t>humerus length</t>
  </si>
  <si>
    <t>Log(body mass) = (-4.145±1.25) + (2.635±0.428)*Log(humerus length)</t>
  </si>
  <si>
    <t>tibia least circumference of diaphysis</t>
  </si>
  <si>
    <t>Log(body mass) = (−2.724±0.948) + (2.647±0.4)*Log(tibia least circumference of diaphysis)</t>
  </si>
  <si>
    <t>Log(body mass) = (-3.99) + (3.11)*Log(shoulder height)</t>
  </si>
  <si>
    <t>153(SH), 250 (BS)</t>
  </si>
  <si>
    <t>Hank, J. 1972. Growth of the African elephant (Loxodonta africana)</t>
  </si>
  <si>
    <t>radius length</t>
  </si>
  <si>
    <t>Log(body mass) = (-3.838±1.052) + (2.634±0.374)*Log(radius length)</t>
  </si>
  <si>
    <t>ulna diaphysial diameter in the lateromedial plane</t>
  </si>
  <si>
    <t>Log(body mass) = (-0.185±0.497) + (1.743±0.257)*Log(ulna diaphysial diameter in the lateromedial plane)</t>
  </si>
  <si>
    <t>fibula least circumference of diaphysis</t>
  </si>
  <si>
    <t>Log(body mass) = (−0.483±0.548) + (2.097±0.284)*Log(fibula least circumference of diaphysis)</t>
  </si>
  <si>
    <t>humerus least circumference of diaphysis</t>
  </si>
  <si>
    <t>Log(body mass) = (-1.598±0.574) + (2.062±0.23)*Log(humerus least circumference of diaphysis)</t>
  </si>
  <si>
    <t>ulna length</t>
  </si>
  <si>
    <t>Log(body mass) = (-4.135±0.927) + (2.674±0.323)*Log(ulna length)</t>
  </si>
  <si>
    <t>humerus diaphysial diameter in the anteroposterior plane</t>
  </si>
  <si>
    <t>Log(body mass) = (-0.503±1.107) + (2.009±0.173)*Log(humerus diaphysial diameter in the anteroposterior plane)</t>
  </si>
  <si>
    <t>ulna least circumference of diaphysis</t>
  </si>
  <si>
    <t>Log(body mass) = (-1.349±0.407) + (2.022±0.168)*Log(ulna least circumference of diaphysis)</t>
  </si>
  <si>
    <t>body mass = 5.07*(10^-4)*(SH^2.803)</t>
  </si>
  <si>
    <t>Laws, R.M., I.S.C. Parker, and R.C.B. Johnstone. 1975. Elephants and their habitats. The ecology of elephants in North Bunyoro, Uganda. Oxford: Clarendon Press</t>
  </si>
  <si>
    <t>body mass = 1.267*(10^-3)*(SH^2.631)</t>
  </si>
  <si>
    <t>total length</t>
  </si>
  <si>
    <t>Log(body mass) = (3.27)*Log(total length) + (-4.6801)</t>
  </si>
  <si>
    <t>"The logarithmic relationships between length, shoulder weight. The regression values were computed from the formula: S, between height at shoulder, total length and body weight experimental population. The relationships between these expressed in terms of common logarithmic functions."</t>
  </si>
  <si>
    <t>Johnson, O.W. &amp; I.O. Buss. 1965. Molariform teeth of male African elephants in relation to age, body dimensions, and growth</t>
  </si>
  <si>
    <t>Log(body mass) = (2.917)*Log(shoulder height) + (-3.5884)</t>
  </si>
  <si>
    <t>Log(body mass) = (2.89)*Log(shoulder height) + (-3.5143)</t>
  </si>
  <si>
    <t>total humerus length (HL)</t>
  </si>
  <si>
    <t>Log(occipital condyle breadth (OCB)) = (1.67)*Log(total humerus length (HL)) + (-1.02)</t>
  </si>
  <si>
    <t>Log(occipital condyle breadth (OCB)) = (0.83)*Log(total femur length (FL)) + (1.1)</t>
  </si>
  <si>
    <t>Log(occipital condyle breadth (OCB)) = (1.12)*Log(femur minimum circumference (FMC)) + (-0.09)</t>
  </si>
  <si>
    <t>Log(occipital condyle breadth (OCB)) = (0.99)*Log(total humerus length (HL)) + (0.66)</t>
  </si>
  <si>
    <t>Log(occipital condyle breadth (OCB)) = (1.19)*Log(humerus minimum circumference (HMC)) + (-0.22)</t>
  </si>
  <si>
    <t>Log(body mass) = (2.07)*Log(femur minimum circumference (FMC))+(-1.61)</t>
  </si>
  <si>
    <t>Christiansen, P. 2004. Body size in proboscideans, with notes on elephant metabolism. Zoological Journal of the Linnean Society. 140: 523-549; Jukar, A.M., S.K. Lyons, and M.D. Uhen. 2018. A cranial correlate of body mass in proboscideans. Zoological Journal of the Linnean Society. XX, 1-13</t>
  </si>
  <si>
    <t>Log(body mass) = (2.06)*Log(humerus minimum circumference (FMC))+(-1.60)</t>
  </si>
  <si>
    <t>Lower M1 length</t>
  </si>
  <si>
    <t>Log(body mass) = (3.31)*Log(Lower M1 length) + (0.611)</t>
  </si>
  <si>
    <t>Martin, R.A. 1990. Estimating body mass and correlated variables in extinct mammals: travels in the fourth dimension. Body size im mammalian paleobiology: estimation and biological implication. Damuth, J. and B.J. MacFadden, eds. Cambridge University Press, New York. 49-68</t>
  </si>
  <si>
    <t>4.9 mm &lt; Hu. C. &lt; 459 mm</t>
  </si>
  <si>
    <t>HC</t>
  </si>
  <si>
    <t>humerus circumference</t>
  </si>
  <si>
    <t>Log(body mass) = (2.611)*Log(humerus circumference) + (-3.024)</t>
  </si>
  <si>
    <t>originally done as least-squares regression of log mass and log bone measurement</t>
  </si>
  <si>
    <t>5.5 mm &lt; Fe. C. &lt; 413 mm</t>
  </si>
  <si>
    <t>FC</t>
  </si>
  <si>
    <t>femur circumference</t>
  </si>
  <si>
    <t>Log(body mass) = (2.827)*Log(femur circumference) + (-3.421)</t>
  </si>
  <si>
    <t>5.7 mm &lt; Hu. L. &lt; 830 mm</t>
  </si>
  <si>
    <t>Log(body mass) = (2.675)*Log(humerus length) + (-4.558)</t>
  </si>
  <si>
    <t>&gt;0.90</t>
  </si>
  <si>
    <t>6.0 mm &lt; Fe. L. &lt; 980 mm</t>
  </si>
  <si>
    <t>Log(body mass) = (2.654)*Log(femur length) + (-4.751)</t>
  </si>
  <si>
    <t>sum of humerus &amp; femur circumference</t>
  </si>
  <si>
    <t>Log(body mass) = (2.733)*Log(sum of humerus &amp; femur circumference) + (-4.075)</t>
  </si>
  <si>
    <t>C1</t>
  </si>
  <si>
    <t>Cranial 1</t>
  </si>
  <si>
    <t>Ln(body mass, kg) = 2.104Ln(C1, mm) + Ln(-4.246)</t>
  </si>
  <si>
    <t>Alberdi, M.T., J.L. Prado, E. Otriz-Jaureguizar. 1995. Patterns of body size changes in fossil and living Equini (Perissodactyla)</t>
  </si>
  <si>
    <t>Suggeted ref is Eisenmann et al. 1988, but I can't find this ref</t>
  </si>
  <si>
    <t>C3</t>
  </si>
  <si>
    <t>Cranial 3</t>
  </si>
  <si>
    <t>Ln(body mass, kg) = 1.214Ln(C3, mm) + Ln(0.027)</t>
  </si>
  <si>
    <t>C4</t>
  </si>
  <si>
    <t>Cranial 4</t>
  </si>
  <si>
    <t>Ln(body mass, kg) = 3.505Ln(C4, mm) + Ln(-10.869)</t>
  </si>
  <si>
    <t>C6</t>
  </si>
  <si>
    <t>Cranial 6</t>
  </si>
  <si>
    <t>Ln(body mass, kg) = 3.59Ln(C6, mm) + Ln(-16.278)</t>
  </si>
  <si>
    <t>C7</t>
  </si>
  <si>
    <t>Cranial 7</t>
  </si>
  <si>
    <t>Ln(body mass, kg) = 5.223Ln(C7, mm) + Ln(-17.569)</t>
  </si>
  <si>
    <t>C8</t>
  </si>
  <si>
    <t>Cranial 8</t>
  </si>
  <si>
    <t>Ln(body mass, kg) = 4.679Ln(C8, mm) + Ln(-14.316)</t>
  </si>
  <si>
    <t>C9</t>
  </si>
  <si>
    <t>Cranial 9</t>
  </si>
  <si>
    <t>Ln(body mass, kg) = 5.033Ln(C9, mm) + Ln(-19.757)</t>
  </si>
  <si>
    <t>C10</t>
  </si>
  <si>
    <t>Cranial 10</t>
  </si>
  <si>
    <t>Ln(body mass, kg) = 1.449Ln(C10, mm) + Ln(-0.375)</t>
  </si>
  <si>
    <t>C11</t>
  </si>
  <si>
    <t>Cranial 11</t>
  </si>
  <si>
    <t>Ln(body mass, kg) = 4.023Ln(C11, mm) + Ln(-9.055)</t>
  </si>
  <si>
    <t>C12</t>
  </si>
  <si>
    <t>Cranial 12</t>
  </si>
  <si>
    <t>Ln(body mass, kg) = 4.57Ln(C12, mm) + Ln(-11.872)</t>
  </si>
  <si>
    <t>C14</t>
  </si>
  <si>
    <t>Cranial 14</t>
  </si>
  <si>
    <t>Ln(body mass, kg) = 2.847Ln(C14, mm) + Ln(-4.832)</t>
  </si>
  <si>
    <t>C15</t>
  </si>
  <si>
    <t>Cranial 15</t>
  </si>
  <si>
    <t>Ln(body mass, kg) = 4.095Ln(C15, mm) + Ln(-11.006)</t>
  </si>
  <si>
    <t>C18</t>
  </si>
  <si>
    <t>Cranial 18</t>
  </si>
  <si>
    <t>Ln(body mass, kg) = 3.998Ln(C18, mm) + Ln(-15.431)</t>
  </si>
  <si>
    <t>C19</t>
  </si>
  <si>
    <t>Cranial 19</t>
  </si>
  <si>
    <t>Ln(body mass, kg) = 4.535Ln(C19, mm) + Ln(-18.124)</t>
  </si>
  <si>
    <t>C20</t>
  </si>
  <si>
    <t>Cranial 20</t>
  </si>
  <si>
    <t>Ln(body mass, kg) = 1.536Ln(C20, mm) + Ln(-0.674)</t>
  </si>
  <si>
    <t>C23</t>
  </si>
  <si>
    <t>Cranial 23</t>
  </si>
  <si>
    <t>Ln(body mass, kg) = 3.464Ln(C23, mm) + Ln(-14.671)</t>
  </si>
  <si>
    <t>C24</t>
  </si>
  <si>
    <t>Cranial 24</t>
  </si>
  <si>
    <t>Ln(body mass, kg) = 3.318Ln(C24, mm) + Ln(-11.7)</t>
  </si>
  <si>
    <t>C25</t>
  </si>
  <si>
    <t>Cranial 25</t>
  </si>
  <si>
    <t>Ln(body mass, kg) = 2.767Ln(C25, mm) + Ln(-6.955)</t>
  </si>
  <si>
    <t>C26</t>
  </si>
  <si>
    <t>Cranial 26</t>
  </si>
  <si>
    <t>Ln(body mass, kg) = 3.938Ln(C26, mm) + Ln(-12.25)</t>
  </si>
  <si>
    <t>C27</t>
  </si>
  <si>
    <t>Cranial 27</t>
  </si>
  <si>
    <t>Ln(body mass, kg) = 0.572Ln(C27, mm) + Ln(4.195)</t>
  </si>
  <si>
    <t>C28</t>
  </si>
  <si>
    <t>Cranial 28</t>
  </si>
  <si>
    <t>Ln(body mass, kg) = 6.076Ln(C28, mm) + Ln(-19.081)</t>
  </si>
  <si>
    <t>C29</t>
  </si>
  <si>
    <t>Cranial 29</t>
  </si>
  <si>
    <t>Ln(body mass, kg) = 4.884Ln(C29, mm) + Ln(-13.873)</t>
  </si>
  <si>
    <t>MD1</t>
  </si>
  <si>
    <t>Mandible 1</t>
  </si>
  <si>
    <t>Ln(body mass, kg) = 3.682Ln(MD1, mm) + Ln(-16.38)</t>
  </si>
  <si>
    <t>MD2</t>
  </si>
  <si>
    <t>Mandible 2</t>
  </si>
  <si>
    <t>Ln(body mass, kg) = 2.08Ln(MD2, mm) + Ln(-3.483)</t>
  </si>
  <si>
    <t>MD3</t>
  </si>
  <si>
    <t>Mandible 3</t>
  </si>
  <si>
    <t>Ln(body mass, kg) = 5.336Ln(MD3, mm) + Ln(-17.803)</t>
  </si>
  <si>
    <t>MD4</t>
  </si>
  <si>
    <t>Mandible 4</t>
  </si>
  <si>
    <t>Ln(body mass, kg) = 4.32Ln(MD4, mm) + Ln(-13.05)</t>
  </si>
  <si>
    <t>MD5</t>
  </si>
  <si>
    <t>Mandible 5</t>
  </si>
  <si>
    <t>Ln(body mass, kg) = 4.91Ln(MD5, mm) + Ln(-19.172)</t>
  </si>
  <si>
    <t>MD7</t>
  </si>
  <si>
    <t>Mandible 7</t>
  </si>
  <si>
    <t>Ln(body mass, kg) = 2.712Ln(MD7, mm) + Ln(-5.061)</t>
  </si>
  <si>
    <t>MD9</t>
  </si>
  <si>
    <t>Mandible 9</t>
  </si>
  <si>
    <t>Ln(body mass, kg) = 2.625Ln(MD9, mm) + Ln(-8.165)</t>
  </si>
  <si>
    <t>MD13</t>
  </si>
  <si>
    <t>Mandible 13</t>
  </si>
  <si>
    <t>Ln(body mass, kg) = 2.741Ln(MD13, mm) + Ln(-6.258)</t>
  </si>
  <si>
    <t>Upper Premolar 2</t>
  </si>
  <si>
    <t>Ln(body mass, kg) = 2.416Ln(P2, mm) + Ln(-10.583)</t>
  </si>
  <si>
    <t>Upper Premolar 3</t>
  </si>
  <si>
    <t>Ln(body mass, kg) = 2.824Ln(P3, mm) + Ln(-12.75)</t>
  </si>
  <si>
    <t>P4</t>
  </si>
  <si>
    <t>Upper Premolar 4</t>
  </si>
  <si>
    <t>Ln(body mass, kg) = 2.223Ln(P4, mm) + Ln(-8.723)</t>
  </si>
  <si>
    <t>Upper Molar 1</t>
  </si>
  <si>
    <t>Ln(body mass, kg) = 2.856Ln(M1, mm) + Ln(-12.463)</t>
  </si>
  <si>
    <t>Upper Molar 2</t>
  </si>
  <si>
    <t>Ln(body mass, kg) = 2.606Ln(M2, mm) + Ln(-10.816)</t>
  </si>
  <si>
    <t>Upper Molar 3</t>
  </si>
  <si>
    <t>Ln(body mass, kg) = 1.64Ln(M3, mm) + Ln(-4.569)</t>
  </si>
  <si>
    <t>p2</t>
  </si>
  <si>
    <t>Lower Premolar 2</t>
  </si>
  <si>
    <t>Ln(body mass, kg) = 1.505Ln(p2, mm) + Ln(-3.378)</t>
  </si>
  <si>
    <t>p3</t>
  </si>
  <si>
    <t>Lower Premolar 3</t>
  </si>
  <si>
    <t>Ln(body mass, kg) = 1.874Ln(p3, mm) + Ln(-5.609)</t>
  </si>
  <si>
    <t>p4</t>
  </si>
  <si>
    <t>Lower Premolar 4</t>
  </si>
  <si>
    <t>Ln(body mass, kg) = 2.001Ln(p4, mm) + Ln(-6.319)</t>
  </si>
  <si>
    <t>m1</t>
  </si>
  <si>
    <t>Lower Molar 1</t>
  </si>
  <si>
    <t>Ln(body mass, kg) = 1.916Ln(m1, mm) + Ln(-5.482)</t>
  </si>
  <si>
    <t>m2</t>
  </si>
  <si>
    <t>Lower Molar 2</t>
  </si>
  <si>
    <t>Ln(body mass, kg) = 1.774Ln(m2, mm) + Ln(-4.592)</t>
  </si>
  <si>
    <t>m3</t>
  </si>
  <si>
    <t>Lower Molar 3</t>
  </si>
  <si>
    <t>Ln(body mass, kg) = 1.461Ln(m3, mm) + Ln(-2.938)</t>
  </si>
  <si>
    <t>Metacarpal 1</t>
  </si>
  <si>
    <t>Ln(body mass, kg) = 3.713Ln(MC1, mm) + Ln(-14.209)</t>
  </si>
  <si>
    <t>Figure 1. Diagram of Third Metacarpal and Third Metatarsal Measurements</t>
  </si>
  <si>
    <t>Metacarpal 2</t>
  </si>
  <si>
    <t>Ln(body mass, kg) = 3.269Ln(MC2, mm) + Ln(-11.7)</t>
  </si>
  <si>
    <t>Metacarpal 3</t>
  </si>
  <si>
    <t>Ln(body mass, kg) = 2.612Ln(MC3, mm) + Ln(-3.223)</t>
  </si>
  <si>
    <t>Metacarpal 4</t>
  </si>
  <si>
    <t>Ln(body mass, kg) = 2.597Ln(MC4, mm) + Ln(-2.498)</t>
  </si>
  <si>
    <t>Metacarpal 5</t>
  </si>
  <si>
    <t>Ln(body mass, kg) = 2.817Ln(MC5, mm) + Ln(-5.204)</t>
  </si>
  <si>
    <t>Metacarpal 6</t>
  </si>
  <si>
    <t>Ln(body mass, kg) = 3.356Ln(MC6, mm) + Ln(-5.685)</t>
  </si>
  <si>
    <t>Metacarpal 7</t>
  </si>
  <si>
    <t>Ln(body mass, kg) = 2.952Ln(MC7, mm) + Ln(-5.903)</t>
  </si>
  <si>
    <t>MC8</t>
  </si>
  <si>
    <t>Metacarpal 8</t>
  </si>
  <si>
    <t>Ln(body mass, kg) = 2.632Ln(MC8, mm) + Ln(-1.299)</t>
  </si>
  <si>
    <t>MC9</t>
  </si>
  <si>
    <t>Metacarpal 9</t>
  </si>
  <si>
    <t>Ln(body mass, kg) = 0.803Ln(MC9, mm) + Ln(4.687)</t>
  </si>
  <si>
    <t>MC10</t>
  </si>
  <si>
    <t>Metacarpal 10</t>
  </si>
  <si>
    <t>Ln(body mass, kg) = 2.818Ln(MC10, mm) + Ln(-4.963)</t>
  </si>
  <si>
    <t>MC11</t>
  </si>
  <si>
    <t>Metacarpal 11</t>
  </si>
  <si>
    <t>Ln(body mass, kg) = 2.738Ln(MC11, mm) + Ln(-4.672)</t>
  </si>
  <si>
    <t>MC12</t>
  </si>
  <si>
    <t>Metacarpal 12</t>
  </si>
  <si>
    <t>Ln(body mass, kg) = 2.916Ln(MC12, mm) + Ln(-4.49)</t>
  </si>
  <si>
    <t>MC13</t>
  </si>
  <si>
    <t>Metacarpal 13</t>
  </si>
  <si>
    <t>Ln(body mass, kg) = 3.056Ln(MC13, mm) + Ln(-4.313)</t>
  </si>
  <si>
    <t>MC14</t>
  </si>
  <si>
    <t>Metacarpal 14</t>
  </si>
  <si>
    <t>Ln(body mass, kg) = 3.103Ln(MC14, mm) + Ln(-4.695)</t>
  </si>
  <si>
    <t>MC16</t>
  </si>
  <si>
    <t>Metacarpal 16</t>
  </si>
  <si>
    <t>Ln(body mass, kg) = 1.24Ln(MC16, mm) + Ln(3.094)</t>
  </si>
  <si>
    <t>Metatarsal 1</t>
  </si>
  <si>
    <t>Ln(body mass, kg) = 3.521Ln(MT1, mm) + Ln(-13.688)</t>
  </si>
  <si>
    <t>Metatarsal 2</t>
  </si>
  <si>
    <t>Ln(body mass, kg) = 3.489Ln(MT2, mm) + Ln(-13.409)</t>
  </si>
  <si>
    <t>Metatarsal 3</t>
  </si>
  <si>
    <t>Ln(body mass, kg) = 2.42Ln(MT3, mm) + Ln(-2.471)</t>
  </si>
  <si>
    <t>Metatarsal 4</t>
  </si>
  <si>
    <t>Ln(body mass, kg) = 2.579Ln(MT4, mm) + Ln(-2.885)</t>
  </si>
  <si>
    <t>Metatarsal 5</t>
  </si>
  <si>
    <t>Ln(body mass, kg) = 2.617Ln(MT5, mm) + Ln(-4.336)</t>
  </si>
  <si>
    <t>Metatarsal 6</t>
  </si>
  <si>
    <t>Ln(body mass, kg) = 2.712Ln(MT6, mm) + Ln(-4.226)</t>
  </si>
  <si>
    <t>Metatarsal 7</t>
  </si>
  <si>
    <t>Ln(body mass, kg) = 2.793Ln(MT7, mm) + Ln(-4.686)</t>
  </si>
  <si>
    <t>MT8</t>
  </si>
  <si>
    <t>Metatarsal 8</t>
  </si>
  <si>
    <t>Ln(body mass, kg) = 2.172Ln(MT8, mm) + Ln(0.429)</t>
  </si>
  <si>
    <t>MT10</t>
  </si>
  <si>
    <t>Metatarsal 10</t>
  </si>
  <si>
    <t>Ln(body mass, kg) = 2.485Ln(MT10, mm) + Ln(-3.702)</t>
  </si>
  <si>
    <t>MT11</t>
  </si>
  <si>
    <t>Metatarsal 11</t>
  </si>
  <si>
    <t>Ln(body mass, kg) = 2.468Ln(MT11, mm) + Ln(-3.626)</t>
  </si>
  <si>
    <t>MT12</t>
  </si>
  <si>
    <t>Metatarsal 12</t>
  </si>
  <si>
    <t>Ln(body mass, kg) = 2.768Ln(MT12, mm) + Ln(-4.061)</t>
  </si>
  <si>
    <t>MT13</t>
  </si>
  <si>
    <t>Metatarsal 13</t>
  </si>
  <si>
    <t>Ln(body mass, kg) = 2.83Ln(MT13, mm) + Ln(-3.521)</t>
  </si>
  <si>
    <t>MT14</t>
  </si>
  <si>
    <t>Metatarsal 14</t>
  </si>
  <si>
    <t>Ln(body mass, kg) = 2.804Ln(MT14, mm) + Ln(-3.721)</t>
  </si>
  <si>
    <t>Phalanx 4</t>
  </si>
  <si>
    <t>Ln(body mass, kg) = 2.491Ln(F4, mm) + Ln(-3.936)</t>
  </si>
  <si>
    <t>Phalanx 5</t>
  </si>
  <si>
    <t>Ln(body mass, kg) = 3.476Ln(F5, mm) + Ln(-6.548)</t>
  </si>
  <si>
    <t>Phalanx 6</t>
  </si>
  <si>
    <t>Ln(body mass, kg) = 2.693Ln(F6, mm) + Ln(-4.285)</t>
  </si>
  <si>
    <t>Cut off was 1100 kg; plus all of Sitter Ranch assigned to B. latifrons/antiquus</t>
  </si>
  <si>
    <t>Astragalus</t>
  </si>
  <si>
    <t xml:space="preserve">Femur </t>
  </si>
  <si>
    <t>log Mass = 3.5526 log (FL) - 2.9997</t>
  </si>
  <si>
    <t>Humerus</t>
  </si>
  <si>
    <t>log Mass = 3.3633(Log FL) -2.4637</t>
  </si>
  <si>
    <t>log Mass = 1.684(log SLMA) + 1.586</t>
  </si>
  <si>
    <t>log Mass = 1.624(log TLMA) + 1.427</t>
  </si>
  <si>
    <t>log Mass = 3.2052 log (RL) - 2.3203</t>
  </si>
  <si>
    <t>log Mass = 3.9842 log (TL) -3.8078</t>
  </si>
  <si>
    <t>Overall length of tibia</t>
  </si>
  <si>
    <t>TTU-A-13-603</t>
  </si>
  <si>
    <t>TTU-A-13-608</t>
  </si>
  <si>
    <t>TTU-A-13-761</t>
  </si>
  <si>
    <t xml:space="preserve">Tibia </t>
  </si>
  <si>
    <t>overall length of tibia</t>
  </si>
  <si>
    <t>TTU-A-14-045</t>
  </si>
  <si>
    <t xml:space="preserve">Tibia   </t>
  </si>
  <si>
    <t xml:space="preserve">Holocene  </t>
  </si>
  <si>
    <t>log Mass = 1.689(log FLMA) + 1.776</t>
  </si>
  <si>
    <t xml:space="preserve">Metatarsal (Mt4) </t>
  </si>
  <si>
    <t>length of distal end of metatarsal</t>
  </si>
  <si>
    <t>log Mass =  2.7421(log MC2)+0.5614</t>
  </si>
  <si>
    <t>with all animals</t>
  </si>
  <si>
    <t>without the 'pleistocene'</t>
  </si>
  <si>
    <t>count</t>
  </si>
  <si>
    <t>mean</t>
  </si>
  <si>
    <t>stdev</t>
  </si>
  <si>
    <t>Log Mass = 1.734(log SUMA) + 1.279</t>
  </si>
  <si>
    <t>Bovids, Table 16.8; Damuth and McFadden 1990; no equations for FUMA or TUMA</t>
  </si>
  <si>
    <t>Humerus (HMC; H7)</t>
  </si>
  <si>
    <t>humerus midshaft circumference</t>
  </si>
  <si>
    <t>Mass (kg)=  0.0009448(HMC)^2.611</t>
  </si>
  <si>
    <t>Table 9.1; Roth 1990 in Damuth and McFadden 1990</t>
  </si>
  <si>
    <t>Table 9.1; Roth 1990 in Damuth and McFadden 1991</t>
  </si>
  <si>
    <t>log Mass = 3.236(log TLML) +0.745</t>
  </si>
  <si>
    <t>log Mass = 3.375*(log SLML) +1.119</t>
  </si>
  <si>
    <t>log Mass = 3.236(log TLML) +0.746</t>
  </si>
  <si>
    <t>log Mass = 3.125(log Li5) -0.463</t>
  </si>
  <si>
    <t>overall length, and width of distal end</t>
  </si>
  <si>
    <t>log Mass = 2.720(log SLPL) + 2.0</t>
  </si>
  <si>
    <t>log Mass = 2.988(log TLPL) + 1.797</t>
  </si>
  <si>
    <t>M1 or 2</t>
  </si>
  <si>
    <t>average (first lower molar, second lower molar, first upper molar, second upper molar)</t>
  </si>
  <si>
    <t>average of (Log Mass = 1.689(log FLMA) + 1.776),  (log Mass = 1.684(log SLMA) + 1.586),  (log Mass = 1.5(log FUMA) + 1.33) and (log Mass =1.48(log SUMA)+1.23)</t>
  </si>
  <si>
    <t>0.942; 0.935; 0.92; 0.931</t>
  </si>
  <si>
    <t>29.2; 30.8; 41.2; 32.4</t>
  </si>
  <si>
    <t>first upper molar</t>
  </si>
  <si>
    <t>log Mass = 1.50(log FUMA) + 1.33</t>
  </si>
  <si>
    <t>all ungulates, Table 16.9; Damuth and McFadden 1990</t>
  </si>
  <si>
    <t>latifrons/antiquus?</t>
  </si>
  <si>
    <t xml:space="preserve">Metacarpal (MC2) </t>
  </si>
  <si>
    <t xml:space="preserve">length of distal end metacarpal </t>
  </si>
  <si>
    <t>log Mass =  2.6495(log MC2)+0.6016</t>
  </si>
  <si>
    <t>LM1 or 2</t>
  </si>
  <si>
    <t>average (first lower molar,second lower molar)</t>
  </si>
  <si>
    <t xml:space="preserve">average of (Log Mass = 1.689(log FLMA) + 1.776) and (log Mass = 1.684(log SLMA) + 1.586) </t>
  </si>
  <si>
    <t>0.942; 0.935</t>
  </si>
  <si>
    <t>29.2; 30.8</t>
  </si>
  <si>
    <t>Bovids, Table 16.8; Damuth and McFadden 1990; no TUMA available</t>
  </si>
  <si>
    <t>average (first lower molar, first upper molar)</t>
  </si>
  <si>
    <t xml:space="preserve">average of (log Mass = 1.689(log FLMA) + 1.776) and (log Mass = 1.5(log FUMA) + 1.33) </t>
  </si>
  <si>
    <t>0.942; 0.92</t>
  </si>
  <si>
    <t>29.2; 41.2</t>
  </si>
  <si>
    <t>first lower molar length</t>
  </si>
  <si>
    <t>log Mass = 3.52(log FLML) + 1.372</t>
  </si>
  <si>
    <t>average</t>
  </si>
  <si>
    <t xml:space="preserve">Tibia (T4) </t>
  </si>
  <si>
    <t>distal end of tibia</t>
  </si>
  <si>
    <t>log Mass = 2.8409(log T4) +0.3222</t>
  </si>
  <si>
    <t>average of (first upper molar, second upper molar)</t>
  </si>
  <si>
    <t>average of (Log Mass = 1.5(log FUMA) + 1.33) and (log Mass = 1.48(log SUMA) + 1.23)</t>
  </si>
  <si>
    <t>0.92; 0.90</t>
  </si>
  <si>
    <t>41.2; 46.2</t>
  </si>
  <si>
    <t>Average (second lower molar, second upper molar)</t>
  </si>
  <si>
    <t xml:space="preserve">average of (Log Mass = 1.734(log SUMA) + 1.279) and (log Mass = 1.684(log SLMA) + 1.586) </t>
  </si>
  <si>
    <t>0.931; 0.935</t>
  </si>
  <si>
    <t>32.4; 30.8</t>
  </si>
  <si>
    <t>UM3?</t>
  </si>
  <si>
    <t>log Mass = 1.47(log TUMA) + 1.26</t>
  </si>
  <si>
    <t>all ungulates, Table 16.9; Damuth and McFadden 2009</t>
  </si>
  <si>
    <t>Astragalus (Li5)</t>
  </si>
  <si>
    <t xml:space="preserve"> width of proximal end of astragalus</t>
  </si>
  <si>
    <t>log Mass = 3.125(log Li5) -0.463; mm and grams</t>
  </si>
  <si>
    <t>Tsubamoto 2014</t>
  </si>
  <si>
    <t>258, 229</t>
  </si>
  <si>
    <t>length of distal end of metacarpal</t>
  </si>
  <si>
    <t>Site.Name</t>
  </si>
  <si>
    <t>County</t>
  </si>
  <si>
    <t>Age.Category</t>
  </si>
  <si>
    <r>
      <rPr>
        <b/>
        <sz val="14"/>
        <color theme="1"/>
        <rFont val="Symbol"/>
        <family val="1"/>
        <charset val="2"/>
      </rPr>
      <t>d</t>
    </r>
    <r>
      <rPr>
        <b/>
        <sz val="14"/>
        <color theme="1"/>
        <rFont val="Adobe Devanagari"/>
      </rPr>
      <t>15N</t>
    </r>
  </si>
  <si>
    <r>
      <rPr>
        <b/>
        <sz val="14"/>
        <color theme="1"/>
        <rFont val="Symbol"/>
        <family val="1"/>
        <charset val="2"/>
      </rPr>
      <t>d</t>
    </r>
    <r>
      <rPr>
        <b/>
        <sz val="14"/>
        <color theme="1"/>
        <rFont val="Adobe Devanagari"/>
      </rPr>
      <t>13C</t>
    </r>
  </si>
  <si>
    <t>unusable d15N</t>
  </si>
  <si>
    <t>unusable d13C</t>
  </si>
  <si>
    <t>d13C.enamel</t>
  </si>
  <si>
    <t>d180.enamel</t>
  </si>
  <si>
    <t>d.180.enamelVPD</t>
  </si>
  <si>
    <t>X.N</t>
  </si>
  <si>
    <t>C.N</t>
  </si>
  <si>
    <t xml:space="preserve">Amino Acid </t>
  </si>
  <si>
    <t xml:space="preserve">Date Analyzed </t>
  </si>
  <si>
    <t>Tray</t>
  </si>
  <si>
    <t>Level.Age</t>
  </si>
  <si>
    <t>age estimate</t>
  </si>
  <si>
    <t>Note.age</t>
  </si>
  <si>
    <t>Latitude</t>
  </si>
  <si>
    <t xml:space="preserve">Longitude </t>
  </si>
  <si>
    <t>Body size</t>
  </si>
  <si>
    <t>April 2017</t>
  </si>
  <si>
    <t>guess on age</t>
  </si>
  <si>
    <t>previously numbered -3</t>
  </si>
  <si>
    <t>April 2018</t>
  </si>
  <si>
    <t>Zone 6, Square E-F, 2-3</t>
  </si>
  <si>
    <t>Zone 6, Square J-K, 3-4</t>
  </si>
  <si>
    <t>Zone 5?6, Square C-D, 5-6</t>
  </si>
  <si>
    <t>Aug 2018</t>
  </si>
  <si>
    <t>Zone 5?6, Square C-D, 1-2, #227</t>
  </si>
  <si>
    <t>Zone 6, Square A-B, 5-6</t>
  </si>
  <si>
    <t>Zone 6, Square C-D, 7-8</t>
  </si>
  <si>
    <t>Zone 5?6, Square C-D, 7-8</t>
  </si>
  <si>
    <t>Zone 6, Square B-C, 7-8</t>
  </si>
  <si>
    <t>Zone 6, Square A-B, 6-7</t>
  </si>
  <si>
    <t>Zone 6, Square A-G, 7-8</t>
  </si>
  <si>
    <t>Zone 6, Square A-B, 8-9</t>
  </si>
  <si>
    <t>Zone 6, Square E-F, 7-8</t>
  </si>
  <si>
    <t>Zone 6, Square A-G, 6-7</t>
  </si>
  <si>
    <t>Zone Unknown, Square G-H, 4-5</t>
  </si>
  <si>
    <t>145-150</t>
  </si>
  <si>
    <t>100-105</t>
  </si>
  <si>
    <t>From Toomey: 21ka</t>
  </si>
  <si>
    <t>Zone 6, Square G-H, 7-8</t>
  </si>
  <si>
    <t>guess because no info and most are Holocene</t>
  </si>
  <si>
    <t>185-190</t>
  </si>
  <si>
    <t>pit 1C</t>
  </si>
  <si>
    <t>X</t>
  </si>
  <si>
    <t>210-215</t>
  </si>
  <si>
    <t>345-350</t>
  </si>
  <si>
    <t>pit 1D, 1E</t>
  </si>
  <si>
    <t>Brackwater draw</t>
  </si>
  <si>
    <t>really rough estimate estimate since it is reported to be Post-LGM</t>
  </si>
  <si>
    <t>latifrans</t>
  </si>
  <si>
    <t>Late Pleistocene</t>
  </si>
  <si>
    <t>assigned 13ka</t>
  </si>
  <si>
    <t>Zone 5</t>
  </si>
  <si>
    <t>Test pit 5</t>
  </si>
  <si>
    <t>question mark removed from antiguus</t>
  </si>
  <si>
    <t>age based on sp</t>
  </si>
  <si>
    <t>no tag information associated with this specimen</t>
  </si>
  <si>
    <t>Zone 6, Square A-G, 9-10</t>
  </si>
  <si>
    <t>Zone 6, Square A-B, 7-8</t>
  </si>
  <si>
    <t>(AC35-30.86)/1.03086</t>
  </si>
  <si>
    <t>Disturbed Fill</t>
  </si>
  <si>
    <t>We estimate that this material is Holocene based on the descriptions of where poached material  from</t>
  </si>
  <si>
    <t>Zone 6, Square G-H, 8-9</t>
  </si>
  <si>
    <t>Test Pit 5</t>
  </si>
  <si>
    <t>Zone 6, Square C-D, 8-9</t>
  </si>
  <si>
    <t>Zone 6, Square A-G, 8-9</t>
  </si>
  <si>
    <t>antiguus</t>
  </si>
  <si>
    <t>170-220</t>
  </si>
  <si>
    <t>w/o level, must assume Holocene</t>
  </si>
  <si>
    <t>Aransas river</t>
  </si>
  <si>
    <t>other taxa from here were Pleistocene sp</t>
  </si>
  <si>
    <t>030-045</t>
  </si>
  <si>
    <t>310-315</t>
  </si>
  <si>
    <t>Koch.2004</t>
  </si>
  <si>
    <t>080-085</t>
  </si>
  <si>
    <t>040-045</t>
  </si>
  <si>
    <t>9816a</t>
  </si>
  <si>
    <t>rough estimate based on the fact that it is Holocene</t>
  </si>
  <si>
    <t>naa</t>
  </si>
  <si>
    <t>814Aa</t>
  </si>
  <si>
    <t>(Level.C1)</t>
  </si>
  <si>
    <t>midpoint from Koch 2004</t>
  </si>
  <si>
    <t>015-030</t>
  </si>
  <si>
    <t>used mid-point age</t>
  </si>
  <si>
    <t>9789a</t>
  </si>
  <si>
    <t>190-195</t>
  </si>
  <si>
    <t>Yann et al 2016</t>
  </si>
  <si>
    <t>lm3</t>
  </si>
  <si>
    <t>July 2019</t>
  </si>
  <si>
    <t>025-030</t>
  </si>
  <si>
    <t>Late Pleistocene (Pit #1)</t>
  </si>
  <si>
    <t>Zone 3, Square B-C, 2-3</t>
  </si>
  <si>
    <t>fragment</t>
  </si>
  <si>
    <t>m1 or m2</t>
  </si>
  <si>
    <t>?LM1</t>
  </si>
  <si>
    <t>RM2</t>
  </si>
  <si>
    <t>?LM</t>
  </si>
  <si>
    <t>Sangamon, Lake Tawakoni</t>
  </si>
  <si>
    <t>loc. 60</t>
  </si>
  <si>
    <t xml:space="preserve">Rancholabrean, Pleistocene </t>
  </si>
  <si>
    <t>Zone 3, Square A-G, 1-2</t>
  </si>
  <si>
    <t>Zone 3, Square A-B, 2-3</t>
  </si>
  <si>
    <t>#370</t>
  </si>
  <si>
    <t>conservative guess</t>
  </si>
  <si>
    <t>estimate material  Holocene based on descriptions of where  poached material  from</t>
  </si>
  <si>
    <t>120-135</t>
  </si>
  <si>
    <t>Disturbed Fill, #287</t>
  </si>
  <si>
    <t xml:space="preserve">familiaris/latrans </t>
  </si>
  <si>
    <t>Zone 5?6, Square C-D, 1-2</t>
  </si>
  <si>
    <t>Lower part excavated summer 1930</t>
  </si>
  <si>
    <t>Zone 5, Square A-B, 0-1, #397</t>
  </si>
  <si>
    <t>150-165</t>
  </si>
  <si>
    <t>Zone 6, Square G-H, 5-6</t>
  </si>
  <si>
    <t>#522</t>
  </si>
  <si>
    <t>no depth, assume Holocene</t>
  </si>
  <si>
    <t>Zone 6, Square A-B, 10-11, #319</t>
  </si>
  <si>
    <t>Disturbed Fill #116</t>
  </si>
  <si>
    <t>material is Holocene based on the descriptions of where poached material from</t>
  </si>
  <si>
    <t>ZONE 6</t>
  </si>
  <si>
    <t>disturbed fill #347</t>
  </si>
  <si>
    <t>Disturbed Fill #1</t>
  </si>
  <si>
    <t>Late Pleistocene (bottom of dump)</t>
  </si>
  <si>
    <t>?Shed 5</t>
  </si>
  <si>
    <t>Zone 6, Square A-B, 5-6, #909</t>
  </si>
  <si>
    <t>Zone 5, Square A-B, 8-9</t>
  </si>
  <si>
    <t>Disturbed Fill #353</t>
  </si>
  <si>
    <t>Zone 6, Square G-H, 6-7</t>
  </si>
  <si>
    <t>Zone 6, Square B-C, 7-8, #913</t>
  </si>
  <si>
    <t>Test Pit 4, #514</t>
  </si>
  <si>
    <t>065-070</t>
  </si>
  <si>
    <t>NW Pit, level 2</t>
  </si>
  <si>
    <t>bear pit</t>
  </si>
  <si>
    <t>045-050</t>
  </si>
  <si>
    <t>#266</t>
  </si>
  <si>
    <t>#518</t>
  </si>
  <si>
    <t>130-135</t>
  </si>
  <si>
    <t>090-095</t>
  </si>
  <si>
    <t>075-080</t>
  </si>
  <si>
    <t>055-060</t>
  </si>
  <si>
    <t>General midden, amature backdirt piles</t>
  </si>
  <si>
    <t>zone 6</t>
  </si>
  <si>
    <t>zone 6, square G-H, 5-6</t>
  </si>
  <si>
    <t>Disturbed fill</t>
  </si>
  <si>
    <t>Disturbed Fill #349</t>
  </si>
  <si>
    <t>Disturbed fill; #288</t>
  </si>
  <si>
    <t>Disturbed Fill #282</t>
  </si>
  <si>
    <t xml:space="preserve">Trench #2, 15" - 52" </t>
  </si>
  <si>
    <t>#195</t>
  </si>
  <si>
    <t>no zone information on tag of specimen</t>
  </si>
  <si>
    <t>105-110</t>
  </si>
  <si>
    <t>010-015</t>
  </si>
  <si>
    <t>005-010</t>
  </si>
  <si>
    <t>215-220</t>
  </si>
  <si>
    <t>171.5?</t>
  </si>
  <si>
    <t>180-185</t>
  </si>
  <si>
    <t>050-055</t>
  </si>
  <si>
    <t>070-075</t>
  </si>
  <si>
    <t>110-115</t>
  </si>
  <si>
    <t>Upper Part, 16" - 36"</t>
  </si>
  <si>
    <t>195-200</t>
  </si>
  <si>
    <t xml:space="preserve"> low peak amplitude or peak amplitude too low for accurate d15N determination, use values with caution</t>
  </si>
  <si>
    <t>7800-11500</t>
  </si>
  <si>
    <t>recent?</t>
  </si>
  <si>
    <t>L-8</t>
  </si>
  <si>
    <t>2000-8770</t>
  </si>
  <si>
    <t xml:space="preserve">submitted for analysis but never got back results </t>
  </si>
  <si>
    <t>40</t>
  </si>
  <si>
    <t>58</t>
  </si>
  <si>
    <t>045-060</t>
  </si>
  <si>
    <t>material previously numbered -3865</t>
  </si>
  <si>
    <t>Pit 1D/E</t>
  </si>
  <si>
    <t>Zone 3, Square A-B, 3-4</t>
  </si>
  <si>
    <t>Zone 3, Square A-B, 1-2</t>
  </si>
  <si>
    <t>Cerling et al., 1999</t>
  </si>
  <si>
    <t>135-150</t>
  </si>
  <si>
    <t>rp</t>
  </si>
  <si>
    <t>LP or M</t>
  </si>
  <si>
    <t>rm3</t>
  </si>
  <si>
    <t>RP4</t>
  </si>
  <si>
    <t>Molar</t>
  </si>
  <si>
    <t xml:space="preserve">weidii/yagouaroundi </t>
  </si>
  <si>
    <t>175-180</t>
  </si>
  <si>
    <t xml:space="preserve">failed during prep </t>
  </si>
  <si>
    <t>used midpoint of age from Koch, 2004</t>
  </si>
  <si>
    <t>21403</t>
  </si>
  <si>
    <t>060-075</t>
  </si>
  <si>
    <t>170-175</t>
  </si>
  <si>
    <t>200-205</t>
  </si>
  <si>
    <t>230-235</t>
  </si>
  <si>
    <t>135-140</t>
  </si>
  <si>
    <t>120-125</t>
  </si>
  <si>
    <t>125-130</t>
  </si>
  <si>
    <t>115-120</t>
  </si>
  <si>
    <t>150-155</t>
  </si>
  <si>
    <t>could  be Pleistocene</t>
  </si>
  <si>
    <t>13000-15002</t>
  </si>
  <si>
    <t>13000-15001</t>
  </si>
  <si>
    <t>13000-15000</t>
  </si>
  <si>
    <t>220-225</t>
  </si>
  <si>
    <t>95-100</t>
  </si>
  <si>
    <t>160-165</t>
  </si>
  <si>
    <t>180-195</t>
  </si>
  <si>
    <t>40-45</t>
  </si>
  <si>
    <t>45-50</t>
  </si>
  <si>
    <t>75-80</t>
  </si>
  <si>
    <t>25-30</t>
  </si>
  <si>
    <t>165-170</t>
  </si>
  <si>
    <t>305-310</t>
  </si>
  <si>
    <t>155-160</t>
  </si>
  <si>
    <t>65-70</t>
  </si>
  <si>
    <t>35-40</t>
  </si>
  <si>
    <t>80-85</t>
  </si>
  <si>
    <t>340-345</t>
  </si>
  <si>
    <t>165-180</t>
  </si>
  <si>
    <t>60-65</t>
  </si>
  <si>
    <t>ZONE 5, SQUARE A-B, 0-1</t>
  </si>
  <si>
    <t>Zone 6, Square A-G, 1-2, #387</t>
  </si>
  <si>
    <t>disturbed fill #173</t>
  </si>
  <si>
    <t xml:space="preserve"> material Holocene based on descriptions of where  poached material  from</t>
  </si>
  <si>
    <t>Disturbed Fill, #174</t>
  </si>
  <si>
    <t>Zone 5, Square H-I, 4-5, #238</t>
  </si>
  <si>
    <t>disturbed fill #170</t>
  </si>
  <si>
    <t>disturbed fill #189</t>
  </si>
  <si>
    <t>disturbed fill #183</t>
  </si>
  <si>
    <t>Pleistocene (disturbed)</t>
  </si>
  <si>
    <t>disturbed fill #169</t>
  </si>
  <si>
    <t>could be Pleistocene</t>
  </si>
  <si>
    <t>lm2</t>
  </si>
  <si>
    <t>rm2</t>
  </si>
  <si>
    <t>Area B</t>
  </si>
  <si>
    <t>Zone 4, Square A-B, 1-2</t>
  </si>
  <si>
    <t>000-015</t>
  </si>
  <si>
    <t xml:space="preserve">Rick's bone room, surface </t>
  </si>
  <si>
    <t>20,176 - 22,631</t>
  </si>
  <si>
    <t>20,176 - 22,630</t>
  </si>
  <si>
    <t>based on sp</t>
  </si>
  <si>
    <t>Level.C2</t>
  </si>
  <si>
    <t>#4a,b</t>
  </si>
  <si>
    <t>uncatb</t>
  </si>
  <si>
    <t>M2 or M3</t>
  </si>
  <si>
    <t xml:space="preserve">fragment </t>
  </si>
  <si>
    <t>Zone 6, Square B-C, 8-9, #208</t>
  </si>
  <si>
    <t>Zone 6, Square D-E, 2-3, #203</t>
  </si>
  <si>
    <t>Zone 6, Square H-I, 4-5, #377</t>
  </si>
  <si>
    <t>Disturbed Fill, #388</t>
  </si>
  <si>
    <t>Disturbed Fill, #54</t>
  </si>
  <si>
    <t>Zone 5, Square C-D, 4-5, #205</t>
  </si>
  <si>
    <t>240-245</t>
  </si>
  <si>
    <t>075-090</t>
  </si>
  <si>
    <t>zone 5?6</t>
  </si>
  <si>
    <t>assume Holocene</t>
  </si>
  <si>
    <t>took mean of interval</t>
  </si>
  <si>
    <t>Pit 1B</t>
  </si>
  <si>
    <t>zone 5, squareH-I, 4- 5</t>
  </si>
  <si>
    <t>Pleistocene - Rancholabrean</t>
  </si>
  <si>
    <t>Pit 1A</t>
  </si>
  <si>
    <t>zone 5, square E-F, 2-3</t>
  </si>
  <si>
    <t>disturbed fill</t>
  </si>
  <si>
    <t>Pit 1</t>
  </si>
  <si>
    <t>prev. numbered 2, undisturbed fill</t>
  </si>
  <si>
    <t>partially charred, previously numbered -3</t>
  </si>
  <si>
    <t>disturbed fill, prev numbered 3</t>
  </si>
  <si>
    <t>Mid-Holocene</t>
  </si>
  <si>
    <t>Zone 5, Square A-G, 1-2</t>
  </si>
  <si>
    <t>Zone 6, Square J-K, 4-5</t>
  </si>
  <si>
    <t xml:space="preserve">question mark removed </t>
  </si>
  <si>
    <t>Zone 6, Square C-D, 8-9, #391</t>
  </si>
  <si>
    <t>Zone unknown, Square G-H, 4-5</t>
  </si>
  <si>
    <t>Zone 2, trench 6, 6" to 15"</t>
  </si>
  <si>
    <t>Zone 1, trench 4, 0" to 8"</t>
  </si>
  <si>
    <t>105-120</t>
  </si>
  <si>
    <t>Toomey -11,555 to 7,846</t>
  </si>
  <si>
    <t>Toomey -11,555 to 7,845</t>
  </si>
  <si>
    <t>20,176 to 22,630</t>
  </si>
  <si>
    <t>Disturbed Fill, #501</t>
  </si>
  <si>
    <t>Zone 6, Square I-J, 4-5</t>
  </si>
  <si>
    <t>Zone 6, Square A-B, 10-11</t>
  </si>
  <si>
    <t>Zone 5, Square G-H, 5-6</t>
  </si>
  <si>
    <t>Zone 6, Square, B-C, 7-8</t>
  </si>
  <si>
    <t>Zone 6, Square E-F, 3-4</t>
  </si>
  <si>
    <t>Zone 6, Square E-F, 8-9</t>
  </si>
  <si>
    <t>Zone 6, Square A-B, 1-2</t>
  </si>
  <si>
    <t>Zone 6, Square B-C, 5-6</t>
  </si>
  <si>
    <t>090-105</t>
  </si>
  <si>
    <t xml:space="preserve">Archaic </t>
  </si>
  <si>
    <t>D-8</t>
  </si>
  <si>
    <t>Zone 6</t>
  </si>
  <si>
    <t>0-2000</t>
  </si>
  <si>
    <t xml:space="preserve">Core Hole Cave. Second Level of Cave. Pleistocene, Wisconson. </t>
  </si>
  <si>
    <t>Zone 4, Square C-D, 1-2</t>
  </si>
  <si>
    <t>Disturbed Fill, #186</t>
  </si>
  <si>
    <t>Zone 5, Square D-E, 1-2, #506</t>
  </si>
  <si>
    <t>Disturbed Fill, #188</t>
  </si>
  <si>
    <t>Disturbed Fill, #396</t>
  </si>
  <si>
    <t>Zone 4, Square A-G, 5-6</t>
  </si>
  <si>
    <t>Archaic</t>
  </si>
  <si>
    <t>bear black dirt</t>
  </si>
  <si>
    <t>Zone 6, Square J-K, 3-4, #314</t>
  </si>
  <si>
    <t>Zone Unknown, Square G-H, 4-5, #515</t>
  </si>
  <si>
    <t>Kern 6</t>
  </si>
  <si>
    <t>020-025</t>
  </si>
  <si>
    <t>060-065</t>
  </si>
  <si>
    <t>035-040</t>
  </si>
  <si>
    <t>015-020</t>
  </si>
  <si>
    <t>095-100</t>
  </si>
  <si>
    <t>030-035</t>
  </si>
  <si>
    <t>225-230</t>
  </si>
  <si>
    <t>085-090</t>
  </si>
  <si>
    <t>265-270</t>
  </si>
  <si>
    <t>290-295</t>
  </si>
  <si>
    <t>235-240</t>
  </si>
  <si>
    <t>10-15</t>
  </si>
  <si>
    <t>245-250</t>
  </si>
  <si>
    <t>THIS SPECIMEN WAS INCORRECTLY ENTERED IN CSI SHEET AS 11625, HERE IT IS THE CORRECT 17625</t>
  </si>
  <si>
    <t>275-280</t>
  </si>
  <si>
    <t>21460</t>
  </si>
  <si>
    <t>20-25</t>
  </si>
  <si>
    <t>350-355</t>
  </si>
  <si>
    <t>255-260</t>
  </si>
  <si>
    <t>315-320</t>
  </si>
  <si>
    <t>360-365</t>
  </si>
  <si>
    <t>280-285</t>
  </si>
  <si>
    <t>270-275</t>
  </si>
  <si>
    <t>300-305</t>
  </si>
  <si>
    <t>THIS SPECIMEN WAS INCORRECTLY ENTERED IN CSI SHEET AS 17348, HERE IT IS THE CORRECT 17548</t>
  </si>
  <si>
    <t>30-35</t>
  </si>
  <si>
    <t>Pleistocene-Rancholabrean</t>
  </si>
  <si>
    <t>Disturbed Fill, #166</t>
  </si>
  <si>
    <t>Disturbed Fill, #505</t>
  </si>
  <si>
    <t>Zone 6, Square H-I, 4-5, #820</t>
  </si>
  <si>
    <t>Zone 5, Square H-I, 4-5, #241</t>
  </si>
  <si>
    <t>Disturbed Fill, #178</t>
  </si>
  <si>
    <t>Disturbed Fill, #172</t>
  </si>
  <si>
    <t>Disturbed Fill, #8</t>
  </si>
  <si>
    <t>Zone Unknown, Square B-C, 1-2, #152</t>
  </si>
  <si>
    <t>assume</t>
  </si>
  <si>
    <t>Tayassu</t>
  </si>
  <si>
    <t xml:space="preserve">tajacu </t>
  </si>
  <si>
    <t>000-005</t>
  </si>
  <si>
    <t>250-255</t>
  </si>
  <si>
    <t>low peak amplitude, use value with caution, bdl = below detection limit, na = not applicable</t>
  </si>
  <si>
    <t>Reported as UR. Changed per Master inventory 7.June.2019.</t>
  </si>
  <si>
    <t>East of Pit 1; approximately 153 cm</t>
  </si>
  <si>
    <t>locality 1</t>
  </si>
  <si>
    <t>Number sampled for Stable Isotope Analysis (3)</t>
  </si>
  <si>
    <t xml:space="preserve">Table S6. RMA relationships and d13Ccarbonate-d13Ccollagen spacing associated with enamel-collagen offsets. Data are from Codron et al. 2018. </t>
  </si>
  <si>
    <t xml:space="preserve">Table 1. Meso-and Mega Mammal Species Summary for Hall's Cave Community. See Tables S2 and S5 for raw morphology and isotope data </t>
  </si>
  <si>
    <t>Table S8. Isotope values by molar position. Data from Codron et al. 2018. Signficance values presented are prior to bonferroni corrections; adjusted α =0.001 ; thus, only one comparison is significant (bolded)</t>
  </si>
  <si>
    <r>
      <t>Table S9. Results of ANOVA tests for isotope values across enamel (δ</t>
    </r>
    <r>
      <rPr>
        <b/>
        <vertAlign val="superscript"/>
        <sz val="14"/>
        <color theme="1"/>
        <rFont val="AdobeDevanagari-Regular"/>
      </rPr>
      <t>13</t>
    </r>
    <r>
      <rPr>
        <b/>
        <sz val="14"/>
        <color theme="1"/>
        <rFont val="AdobeDevanagari-Regular"/>
      </rPr>
      <t>C), collagen (δ13C and δ15N), and enamel versus collagen (corrected δ13C). Bonferroni adjusted signficance values given for multiple comparisons across number of elements.</t>
    </r>
  </si>
  <si>
    <t>present study</t>
  </si>
  <si>
    <t>lower first molar</t>
  </si>
  <si>
    <t>Hall's Cave (Bear Pit)</t>
  </si>
  <si>
    <t>midshaft diameter</t>
  </si>
  <si>
    <t>artiodactyla</t>
  </si>
  <si>
    <t>Tibia?</t>
  </si>
  <si>
    <t>maxillia with upper 3 molars</t>
  </si>
  <si>
    <t>Collins site</t>
  </si>
  <si>
    <t>right lower M1</t>
  </si>
  <si>
    <t>12 or 13</t>
  </si>
  <si>
    <t>probably Left upper M2</t>
  </si>
  <si>
    <t>length of lower third molar</t>
  </si>
  <si>
    <t>Friesenhahn, not kincaid</t>
  </si>
  <si>
    <t>locality or ID appears to be incorrect. We verified in specify that this ID is a tapir. FAS and SKL laid eyes on the Tapir; FAS and SKL found the specimen 40450-121. It is a Lynx. And it's tooth is 12.6 mm long. So, this specimen is cave without a name and needs to be updated.</t>
  </si>
  <si>
    <t>tag now says S. putorius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</si>
</sst>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
    <numFmt numFmtId="165" formatCode="_(* #,##0_);_(* \(#,##0\);_(* &quot;-&quot;??_);_(@_)"/>
    <numFmt numFmtId="166" formatCode="0.000"/>
    <numFmt numFmtId="167" formatCode="_(* #,##0.0_);_(* \(#,##0.0\);_(* &quot;-&quot;??_);_(@_)"/>
    <numFmt numFmtId="168" formatCode="0.0000"/>
    <numFmt numFmtId="169" formatCode="0.0E+00"/>
    <numFmt numFmtId="170" formatCode="0.00000000000000E+00"/>
  </numFmts>
  <fonts count="109">
    <font>
      <sz val="12"/>
      <color theme="1"/>
      <name val="Calibri"/>
      <family val="2"/>
      <scheme val="minor"/>
    </font>
    <font>
      <sz val="12"/>
      <color theme="1"/>
      <name val="Calibri"/>
      <family val="2"/>
      <scheme val="minor"/>
    </font>
    <font>
      <b/>
      <sz val="12"/>
      <color theme="1"/>
      <name val="Calibri"/>
      <family val="2"/>
      <scheme val="minor"/>
    </font>
    <font>
      <sz val="12"/>
      <name val="Calibri"/>
      <family val="2"/>
      <scheme val="minor"/>
    </font>
    <font>
      <sz val="11"/>
      <color theme="1"/>
      <name val="Calibri"/>
      <family val="2"/>
      <scheme val="minor"/>
    </font>
    <font>
      <sz val="9"/>
      <name val="Geneva"/>
      <family val="2"/>
    </font>
    <font>
      <sz val="10"/>
      <name val="MS Sans Serif"/>
      <family val="2"/>
    </font>
    <font>
      <b/>
      <sz val="14"/>
      <color rgb="FFFF0000"/>
      <name val="Calibri"/>
      <family val="2"/>
      <scheme val="minor"/>
    </font>
    <font>
      <sz val="12"/>
      <name val="Adobe Devanagari"/>
    </font>
    <font>
      <sz val="12"/>
      <color theme="1"/>
      <name val="Adobe Devanagari"/>
    </font>
    <font>
      <i/>
      <sz val="12"/>
      <color theme="1"/>
      <name val="Adobe Devanagari"/>
    </font>
    <font>
      <b/>
      <sz val="14"/>
      <color theme="1"/>
      <name val="Adobe Devanagari"/>
    </font>
    <font>
      <b/>
      <sz val="14"/>
      <color theme="1"/>
      <name val="Calibri"/>
      <family val="2"/>
      <scheme val="minor"/>
    </font>
    <font>
      <sz val="12"/>
      <color rgb="FFC00000"/>
      <name val="Adobe Devanagari"/>
    </font>
    <font>
      <i/>
      <sz val="12"/>
      <color rgb="FFC00000"/>
      <name val="Adobe Devanagari"/>
    </font>
    <font>
      <sz val="12"/>
      <color rgb="FFC00000"/>
      <name val="Calibri"/>
      <family val="2"/>
      <scheme val="minor"/>
    </font>
    <font>
      <sz val="12"/>
      <color theme="0" tint="-0.14999847407452621"/>
      <name val="Calibri"/>
      <family val="2"/>
      <scheme val="minor"/>
    </font>
    <font>
      <sz val="9"/>
      <color theme="1"/>
      <name val="Adobe Devanagari"/>
    </font>
    <font>
      <sz val="12"/>
      <color rgb="FFFFFF00"/>
      <name val="Adobe Devanagari"/>
    </font>
    <font>
      <sz val="12"/>
      <color theme="0" tint="-0.14999847407452621"/>
      <name val="Adobe Devanagari"/>
    </font>
    <font>
      <sz val="9"/>
      <color rgb="FF000000"/>
      <name val="Adobe Devanagari"/>
    </font>
    <font>
      <i/>
      <sz val="12"/>
      <name val="Adobe Devanagari"/>
    </font>
    <font>
      <sz val="9"/>
      <name val="Adobe Devanagari"/>
    </font>
    <font>
      <b/>
      <sz val="14"/>
      <color theme="1"/>
      <name val="Symbol"/>
      <family val="1"/>
      <charset val="2"/>
    </font>
    <font>
      <sz val="8"/>
      <name val="Calibri"/>
      <family val="2"/>
      <scheme val="minor"/>
    </font>
    <font>
      <b/>
      <sz val="16"/>
      <color theme="1"/>
      <name val="Calibri"/>
      <family val="2"/>
      <scheme val="minor"/>
    </font>
    <font>
      <b/>
      <sz val="16"/>
      <color rgb="FFFF0000"/>
      <name val="Calibri"/>
      <family val="2"/>
      <scheme val="minor"/>
    </font>
    <font>
      <sz val="12"/>
      <color rgb="FF000000"/>
      <name val="Adobe Devanagari"/>
    </font>
    <font>
      <sz val="16"/>
      <color rgb="FF000000"/>
      <name val="Roboto Slab"/>
    </font>
    <font>
      <sz val="11"/>
      <color theme="1"/>
      <name val="Adobe Devanagari"/>
    </font>
    <font>
      <sz val="11"/>
      <color rgb="FFC00000"/>
      <name val="Adobe Devanagari"/>
    </font>
    <font>
      <b/>
      <sz val="14"/>
      <color theme="1"/>
      <name val="AdobeDevanagari-Regular"/>
    </font>
    <font>
      <sz val="14"/>
      <color theme="1"/>
      <name val="Calibri"/>
      <family val="2"/>
      <scheme val="minor"/>
    </font>
    <font>
      <sz val="12"/>
      <color theme="1"/>
      <name val="AdobeDevanagari-Regular"/>
    </font>
    <font>
      <i/>
      <sz val="12"/>
      <color theme="1"/>
      <name val="AdobeDevanagari-Regular"/>
    </font>
    <font>
      <sz val="12"/>
      <color rgb="FFC00000"/>
      <name val="AdobeDevanagari-Regular"/>
    </font>
    <font>
      <i/>
      <sz val="12"/>
      <color rgb="FFC00000"/>
      <name val="AdobeDevanagari-Regular"/>
    </font>
    <font>
      <sz val="12"/>
      <color rgb="FF000000"/>
      <name val="AdobeDevanagari-Regular"/>
    </font>
    <font>
      <sz val="12"/>
      <color rgb="FF7030A0"/>
      <name val="AdobeDevanagari-Regular"/>
    </font>
    <font>
      <sz val="12"/>
      <name val="AdobeDevanagari-Regular"/>
    </font>
    <font>
      <i/>
      <sz val="12"/>
      <color theme="1"/>
      <name val="Calibri"/>
      <family val="2"/>
      <scheme val="minor"/>
    </font>
    <font>
      <i/>
      <sz val="11"/>
      <color theme="1"/>
      <name val="Calibri"/>
      <family val="2"/>
      <scheme val="minor"/>
    </font>
    <font>
      <b/>
      <sz val="11"/>
      <color theme="1"/>
      <name val="AdobeDevanagari-Regular"/>
    </font>
    <font>
      <sz val="10"/>
      <color theme="1"/>
      <name val="AdobeDevanagari-Regular"/>
    </font>
    <font>
      <sz val="11"/>
      <color theme="1"/>
      <name val="AdobeDevanagari-Regular"/>
    </font>
    <font>
      <i/>
      <sz val="12"/>
      <color rgb="FF000000"/>
      <name val="AdobeDevanagari-Regular"/>
    </font>
    <font>
      <sz val="8"/>
      <color theme="1"/>
      <name val="AdobeDevanagari-Regular"/>
    </font>
    <font>
      <i/>
      <sz val="10"/>
      <color theme="1"/>
      <name val="AdobeDevanagari-Regular"/>
    </font>
    <font>
      <sz val="7"/>
      <color theme="1"/>
      <name val="AdobeDevanagari-Regular"/>
    </font>
    <font>
      <sz val="9"/>
      <color theme="1"/>
      <name val="AdobeDevanagari-Regular"/>
    </font>
    <font>
      <i/>
      <sz val="9"/>
      <color theme="1"/>
      <name val="AdobeDevanagari-Regular"/>
    </font>
    <font>
      <sz val="8"/>
      <color theme="1"/>
      <name val="Calibri"/>
      <family val="2"/>
      <scheme val="minor"/>
    </font>
    <font>
      <sz val="8"/>
      <color rgb="FF000000"/>
      <name val="AdobeDevanagari-Regular"/>
    </font>
    <font>
      <sz val="12"/>
      <color theme="0" tint="-0.14999847407452621"/>
      <name val="AdobeDevanagari-Regular"/>
    </font>
    <font>
      <i/>
      <sz val="12"/>
      <color rgb="FF7030A0"/>
      <name val="AdobeDevanagari-Regular"/>
    </font>
    <font>
      <sz val="14"/>
      <color theme="1"/>
      <name val="AdobeDevanagari-Regular"/>
    </font>
    <font>
      <sz val="10"/>
      <color rgb="FFC00000"/>
      <name val="AdobeDevanagari-Regular"/>
    </font>
    <font>
      <i/>
      <vertAlign val="superscript"/>
      <sz val="12"/>
      <color theme="1"/>
      <name val="AdobeDevanagari-Regular"/>
    </font>
    <font>
      <sz val="10"/>
      <name val="AdobeDevanagari-Regular"/>
    </font>
    <font>
      <i/>
      <sz val="12"/>
      <name val="AdobeDevanagari-Regular"/>
    </font>
    <font>
      <i/>
      <sz val="11"/>
      <color theme="1"/>
      <name val="AdobeDevanagari-Regular"/>
    </font>
    <font>
      <sz val="11"/>
      <name val="AdobeDevanagari-Regular"/>
    </font>
    <font>
      <sz val="11"/>
      <color rgb="FFC00000"/>
      <name val="AdobeDevanagari-Regular"/>
    </font>
    <font>
      <b/>
      <sz val="16"/>
      <color theme="1"/>
      <name val="AdobeDevanagari-Regular"/>
    </font>
    <font>
      <b/>
      <sz val="10"/>
      <color theme="1"/>
      <name val="AdobeDevanagari-Regular"/>
    </font>
    <font>
      <sz val="14"/>
      <name val="AdobeDevanagari-Regular"/>
    </font>
    <font>
      <b/>
      <sz val="14"/>
      <name val="AdobeDevanagari-Regular"/>
    </font>
    <font>
      <b/>
      <sz val="12"/>
      <name val="AdobeDevanagari-Regular"/>
    </font>
    <font>
      <i/>
      <sz val="10"/>
      <name val="AdobeDevanagari-Regular"/>
    </font>
    <font>
      <sz val="12"/>
      <color rgb="FF00B050"/>
      <name val="AdobeDevanagari-Regular"/>
    </font>
    <font>
      <b/>
      <sz val="12"/>
      <color rgb="FF00B050"/>
      <name val="AdobeDevanagari-Regular"/>
    </font>
    <font>
      <b/>
      <sz val="10"/>
      <color rgb="FF00B050"/>
      <name val="AdobeDevanagari-Regular"/>
    </font>
    <font>
      <b/>
      <i/>
      <sz val="12"/>
      <color rgb="FF00B050"/>
      <name val="AdobeDevanagari-Regular"/>
    </font>
    <font>
      <b/>
      <sz val="12"/>
      <color theme="7" tint="-0.249977111117893"/>
      <name val="AdobeDevanagari-Regular"/>
    </font>
    <font>
      <b/>
      <sz val="10"/>
      <color theme="7" tint="-0.249977111117893"/>
      <name val="AdobeDevanagari-Regular"/>
    </font>
    <font>
      <b/>
      <i/>
      <sz val="12"/>
      <color theme="7" tint="-0.249977111117893"/>
      <name val="AdobeDevanagari-Regular"/>
    </font>
    <font>
      <sz val="11"/>
      <color rgb="FF000000"/>
      <name val="AdobeDevanagari-Regular"/>
    </font>
    <font>
      <b/>
      <sz val="14"/>
      <color theme="1"/>
      <name val="Calibri (Body)"/>
    </font>
    <font>
      <b/>
      <i/>
      <sz val="14"/>
      <color theme="1"/>
      <name val="AdobeDevanagari-Regular"/>
    </font>
    <font>
      <i/>
      <sz val="14"/>
      <name val="AdobeDevanagari-Regular"/>
    </font>
    <font>
      <vertAlign val="superscript"/>
      <sz val="14"/>
      <name val="AdobeDevanagari-Regular"/>
    </font>
    <font>
      <b/>
      <sz val="12"/>
      <color theme="1"/>
      <name val="AdobeDevanagari-Regular"/>
    </font>
    <font>
      <b/>
      <vertAlign val="superscript"/>
      <sz val="12"/>
      <name val="AdobeDevanagari-Regular"/>
    </font>
    <font>
      <strike/>
      <sz val="11"/>
      <color theme="1"/>
      <name val="AdobeDevanagari-Regular"/>
    </font>
    <font>
      <sz val="12"/>
      <color theme="8" tint="-0.249977111117893"/>
      <name val="AdobeDevanagari-Regular"/>
    </font>
    <font>
      <b/>
      <i/>
      <sz val="12"/>
      <color theme="1"/>
      <name val="AdobeDevanagari-Regular"/>
    </font>
    <font>
      <sz val="12"/>
      <color rgb="FF9C0006"/>
      <name val="Calibri"/>
      <family val="2"/>
      <scheme val="minor"/>
    </font>
    <font>
      <b/>
      <sz val="14"/>
      <color theme="1"/>
      <name val="Symbol"/>
      <charset val="2"/>
    </font>
    <font>
      <b/>
      <sz val="14"/>
      <color theme="1"/>
      <name val="AdobeDevanagari-Regular"/>
      <charset val="2"/>
    </font>
    <font>
      <i/>
      <sz val="14"/>
      <color theme="1"/>
      <name val="AdobeDevanagari-Regular"/>
    </font>
    <font>
      <i/>
      <sz val="12"/>
      <color indexed="8"/>
      <name val="AdobeDevanagari-Regular"/>
    </font>
    <font>
      <sz val="12"/>
      <color rgb="FFFF0000"/>
      <name val="Calibri"/>
      <family val="2"/>
      <scheme val="minor"/>
    </font>
    <font>
      <sz val="12"/>
      <color rgb="FFFF0000"/>
      <name val="AdobeDevanagari-Regular"/>
    </font>
    <font>
      <i/>
      <sz val="12"/>
      <color rgb="FFFF0000"/>
      <name val="AdobeDevanagari-Regular"/>
    </font>
    <font>
      <sz val="12"/>
      <color rgb="FF9C5700"/>
      <name val="Calibri"/>
      <family val="2"/>
      <scheme val="minor"/>
    </font>
    <font>
      <sz val="12"/>
      <color theme="1"/>
      <name val="Times New Roman"/>
      <family val="1"/>
    </font>
    <font>
      <b/>
      <sz val="12"/>
      <color theme="1"/>
      <name val="Times New Roman"/>
      <family val="1"/>
    </font>
    <font>
      <b/>
      <i/>
      <sz val="12"/>
      <color theme="1"/>
      <name val="Times New Roman"/>
      <family val="1"/>
    </font>
    <font>
      <i/>
      <sz val="12"/>
      <color theme="1"/>
      <name val="Times New Roman"/>
      <family val="1"/>
    </font>
    <font>
      <b/>
      <vertAlign val="superscript"/>
      <sz val="14"/>
      <color theme="1"/>
      <name val="AdobeDevanagari-Regular"/>
    </font>
    <font>
      <sz val="14"/>
      <color rgb="FF000000"/>
      <name val="Adobe Devanagari"/>
    </font>
    <font>
      <sz val="16"/>
      <name val="AdobeDevanagari-Regular"/>
    </font>
    <font>
      <vertAlign val="superscript"/>
      <sz val="16"/>
      <name val="AdobeDevanagari-Regular"/>
    </font>
    <font>
      <sz val="16"/>
      <color theme="1"/>
      <name val="AdobeDevanagari-Regular"/>
    </font>
    <font>
      <sz val="14"/>
      <color theme="1"/>
      <name val="Symbol"/>
      <charset val="2"/>
    </font>
    <font>
      <sz val="12"/>
      <color theme="4"/>
      <name val="AdobeDevanagari-Regular"/>
    </font>
    <font>
      <i/>
      <sz val="12"/>
      <color theme="4"/>
      <name val="AdobeDevanagari-Regular"/>
    </font>
    <font>
      <sz val="12"/>
      <color rgb="FFFF0000"/>
      <name val="Adobe Devanagari"/>
    </font>
    <font>
      <b/>
      <sz val="12"/>
      <color rgb="FFFF0000"/>
      <name val="AdobeDevanagari-Regular"/>
    </font>
  </fonts>
  <fills count="19">
    <fill>
      <patternFill patternType="none"/>
    </fill>
    <fill>
      <patternFill patternType="gray125"/>
    </fill>
    <fill>
      <patternFill patternType="solid">
        <fgColor theme="0" tint="-4.9989318521683403E-2"/>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2"/>
        <bgColor indexed="64"/>
      </patternFill>
    </fill>
    <fill>
      <patternFill patternType="solid">
        <fgColor rgb="FFFFC7CE"/>
      </patternFill>
    </fill>
    <fill>
      <patternFill patternType="solid">
        <fgColor theme="0"/>
        <bgColor indexed="64"/>
      </patternFill>
    </fill>
    <fill>
      <patternFill patternType="solid">
        <fgColor rgb="FFFFEB9C"/>
      </patternFill>
    </fill>
    <fill>
      <patternFill patternType="solid">
        <fgColor theme="0" tint="-0.34998626667073579"/>
        <bgColor indexed="64"/>
      </patternFill>
    </fill>
    <fill>
      <patternFill patternType="solid">
        <fgColor theme="0" tint="-0.249977111117893"/>
        <bgColor indexed="64"/>
      </patternFill>
    </fill>
    <fill>
      <patternFill patternType="solid">
        <fgColor rgb="FFFFFFFF"/>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right/>
      <top style="thin">
        <color indexed="64"/>
      </top>
      <bottom style="medium">
        <color indexed="64"/>
      </bottom>
      <diagonal/>
    </border>
    <border>
      <left style="thin">
        <color indexed="64"/>
      </left>
      <right/>
      <top/>
      <bottom/>
      <diagonal/>
    </border>
    <border>
      <left/>
      <right style="thin">
        <color indexed="64"/>
      </right>
      <top/>
      <bottom/>
      <diagonal/>
    </border>
    <border>
      <left/>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s>
  <cellStyleXfs count="11">
    <xf numFmtId="0" fontId="0" fillId="0" borderId="0"/>
    <xf numFmtId="43" fontId="1" fillId="0" borderId="0" applyFont="0" applyFill="0" applyBorder="0" applyAlignment="0" applyProtection="0"/>
    <xf numFmtId="0" fontId="5" fillId="0" borderId="0"/>
    <xf numFmtId="0" fontId="6" fillId="0" borderId="0"/>
    <xf numFmtId="43" fontId="1" fillId="0" borderId="0" applyFont="0" applyFill="0" applyBorder="0" applyAlignment="0" applyProtection="0"/>
    <xf numFmtId="0" fontId="4" fillId="0" borderId="0"/>
    <xf numFmtId="0" fontId="1" fillId="0" borderId="0"/>
    <xf numFmtId="43" fontId="4" fillId="0" borderId="0" applyFont="0" applyFill="0" applyBorder="0" applyAlignment="0" applyProtection="0"/>
    <xf numFmtId="9" fontId="1" fillId="0" borderId="0" applyFont="0" applyFill="0" applyBorder="0" applyAlignment="0" applyProtection="0"/>
    <xf numFmtId="0" fontId="86" fillId="13" borderId="0" applyNumberFormat="0" applyBorder="0" applyAlignment="0" applyProtection="0"/>
    <xf numFmtId="0" fontId="94" fillId="15" borderId="0" applyNumberFormat="0" applyBorder="0" applyAlignment="0" applyProtection="0"/>
  </cellStyleXfs>
  <cellXfs count="696">
    <xf numFmtId="0" fontId="0" fillId="0" borderId="0" xfId="0"/>
    <xf numFmtId="0" fontId="0" fillId="0" borderId="0" xfId="0" applyAlignment="1">
      <alignment horizontal="center"/>
    </xf>
    <xf numFmtId="0" fontId="0" fillId="0" borderId="0" xfId="0" applyAlignment="1">
      <alignment horizontal="center" vertical="center"/>
    </xf>
    <xf numFmtId="2" fontId="0" fillId="0" borderId="0" xfId="0" applyNumberFormat="1" applyAlignment="1">
      <alignment horizontal="center"/>
    </xf>
    <xf numFmtId="165" fontId="0" fillId="0" borderId="0" xfId="4" applyNumberFormat="1" applyFont="1" applyAlignment="1">
      <alignment horizontal="center"/>
    </xf>
    <xf numFmtId="0" fontId="9" fillId="0" borderId="0" xfId="0" applyFont="1" applyAlignment="1">
      <alignment horizontal="center" vertical="center"/>
    </xf>
    <xf numFmtId="0" fontId="9" fillId="0" borderId="0" xfId="0" applyFont="1" applyAlignment="1">
      <alignment horizontal="left" vertical="center"/>
    </xf>
    <xf numFmtId="0" fontId="15" fillId="0" borderId="0" xfId="0" applyFont="1" applyBorder="1"/>
    <xf numFmtId="0" fontId="3" fillId="0" borderId="0" xfId="0" applyFont="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16" fillId="0" borderId="0" xfId="0" applyFont="1"/>
    <xf numFmtId="0" fontId="11" fillId="0" borderId="0" xfId="0" applyFont="1" applyAlignment="1">
      <alignment horizontal="center" vertical="center" wrapText="1"/>
    </xf>
    <xf numFmtId="0" fontId="0" fillId="0" borderId="0" xfId="0" applyFill="1"/>
    <xf numFmtId="0" fontId="9" fillId="0" borderId="0" xfId="0" applyFont="1" applyFill="1" applyAlignment="1">
      <alignment horizontal="center" vertical="center"/>
    </xf>
    <xf numFmtId="0" fontId="10" fillId="0" borderId="0" xfId="0" applyFont="1" applyFill="1" applyAlignment="1">
      <alignment horizontal="center" vertical="center"/>
    </xf>
    <xf numFmtId="0" fontId="9" fillId="0" borderId="0" xfId="0" applyFont="1" applyFill="1" applyAlignment="1">
      <alignment horizontal="center" vertical="center" wrapText="1"/>
    </xf>
    <xf numFmtId="2" fontId="9" fillId="0" borderId="0" xfId="0" applyNumberFormat="1" applyFont="1" applyFill="1" applyAlignment="1">
      <alignment horizontal="center" vertical="center"/>
    </xf>
    <xf numFmtId="2" fontId="9" fillId="0" borderId="0" xfId="0" applyNumberFormat="1" applyFont="1" applyFill="1" applyAlignment="1">
      <alignment horizontal="center" vertical="center" wrapText="1"/>
    </xf>
    <xf numFmtId="0" fontId="10" fillId="0" borderId="0" xfId="0" applyFont="1" applyAlignment="1">
      <alignment horizontal="center" vertical="center"/>
    </xf>
    <xf numFmtId="0" fontId="9" fillId="0" borderId="0" xfId="0" applyFont="1" applyAlignment="1">
      <alignment horizontal="center" vertical="center" wrapText="1"/>
    </xf>
    <xf numFmtId="0" fontId="9" fillId="0" borderId="0" xfId="0" applyFont="1"/>
    <xf numFmtId="0" fontId="9" fillId="6" borderId="0" xfId="0" applyFont="1" applyFill="1" applyAlignment="1">
      <alignment horizontal="center" vertical="center"/>
    </xf>
    <xf numFmtId="0" fontId="9" fillId="6" borderId="0" xfId="0" applyFont="1" applyFill="1"/>
    <xf numFmtId="2" fontId="9" fillId="0" borderId="0" xfId="0" applyNumberFormat="1" applyFont="1" applyAlignment="1">
      <alignment horizontal="center" vertical="center"/>
    </xf>
    <xf numFmtId="0" fontId="9" fillId="4" borderId="0" xfId="0" applyFont="1" applyFill="1" applyAlignment="1">
      <alignment horizontal="center" vertical="center"/>
    </xf>
    <xf numFmtId="0" fontId="10" fillId="4" borderId="0" xfId="0" applyFont="1" applyFill="1" applyAlignment="1">
      <alignment horizontal="center" vertical="center"/>
    </xf>
    <xf numFmtId="0" fontId="9" fillId="4" borderId="0" xfId="0" applyFont="1" applyFill="1"/>
    <xf numFmtId="0" fontId="17" fillId="8" borderId="0" xfId="0" applyFont="1" applyFill="1" applyAlignment="1">
      <alignment horizontal="center" vertical="center" wrapText="1"/>
    </xf>
    <xf numFmtId="0" fontId="9" fillId="8" borderId="0" xfId="0" applyFont="1" applyFill="1" applyAlignment="1">
      <alignment horizontal="center" vertical="center"/>
    </xf>
    <xf numFmtId="0" fontId="9" fillId="8" borderId="0" xfId="0" applyFont="1" applyFill="1" applyAlignment="1">
      <alignment horizontal="left" vertical="center" wrapText="1"/>
    </xf>
    <xf numFmtId="0" fontId="8" fillId="0" borderId="0" xfId="0" applyFont="1"/>
    <xf numFmtId="0" fontId="9" fillId="3" borderId="0" xfId="0" applyFont="1" applyFill="1" applyAlignment="1">
      <alignment horizontal="center" vertical="center"/>
    </xf>
    <xf numFmtId="0" fontId="10" fillId="3" borderId="0" xfId="0" applyFont="1" applyFill="1" applyAlignment="1">
      <alignment horizontal="center" vertical="center"/>
    </xf>
    <xf numFmtId="0" fontId="9" fillId="3" borderId="0" xfId="0" applyFont="1" applyFill="1" applyAlignment="1">
      <alignment horizontal="left" vertical="center"/>
    </xf>
    <xf numFmtId="0" fontId="18" fillId="3" borderId="0" xfId="0" applyFont="1" applyFill="1" applyAlignment="1">
      <alignment horizontal="center" vertical="center"/>
    </xf>
    <xf numFmtId="2" fontId="9" fillId="3" borderId="0" xfId="0" applyNumberFormat="1" applyFont="1" applyFill="1" applyAlignment="1">
      <alignment horizontal="center" vertical="center"/>
    </xf>
    <xf numFmtId="0" fontId="9" fillId="3" borderId="0" xfId="0" applyFont="1" applyFill="1"/>
    <xf numFmtId="0" fontId="9" fillId="4" borderId="0" xfId="0" applyFont="1" applyFill="1" applyAlignment="1">
      <alignment horizontal="left" vertical="center"/>
    </xf>
    <xf numFmtId="2" fontId="9" fillId="4" borderId="0" xfId="0" applyNumberFormat="1" applyFont="1" applyFill="1" applyAlignment="1">
      <alignment horizontal="center" vertical="center"/>
    </xf>
    <xf numFmtId="0" fontId="9" fillId="5" borderId="0" xfId="0" applyFont="1" applyFill="1"/>
    <xf numFmtId="0" fontId="9" fillId="7" borderId="0" xfId="0" applyFont="1" applyFill="1"/>
    <xf numFmtId="0" fontId="19" fillId="0" borderId="0" xfId="0" applyFont="1"/>
    <xf numFmtId="0" fontId="20" fillId="8" borderId="0" xfId="0" applyFont="1" applyFill="1" applyAlignment="1">
      <alignment horizontal="center" vertical="center" wrapText="1"/>
    </xf>
    <xf numFmtId="0" fontId="8" fillId="0" borderId="0" xfId="0" applyFont="1" applyAlignment="1">
      <alignment horizontal="center" vertical="center"/>
    </xf>
    <xf numFmtId="0" fontId="21" fillId="0" borderId="0" xfId="0" applyFont="1" applyAlignment="1">
      <alignment horizontal="center" vertical="center"/>
    </xf>
    <xf numFmtId="0" fontId="8" fillId="4" borderId="0" xfId="0" applyFont="1" applyFill="1" applyAlignment="1">
      <alignment horizontal="center" vertical="center"/>
    </xf>
    <xf numFmtId="0" fontId="8" fillId="0" borderId="0" xfId="0" applyFont="1" applyAlignment="1">
      <alignment horizontal="left" vertical="center"/>
    </xf>
    <xf numFmtId="2" fontId="8" fillId="0" borderId="0" xfId="0" applyNumberFormat="1" applyFont="1" applyAlignment="1">
      <alignment horizontal="center" vertical="center"/>
    </xf>
    <xf numFmtId="0" fontId="8" fillId="8" borderId="0" xfId="0" applyFont="1" applyFill="1" applyAlignment="1">
      <alignment horizontal="center" vertical="center"/>
    </xf>
    <xf numFmtId="0" fontId="8" fillId="8" borderId="0" xfId="0" applyFont="1" applyFill="1" applyAlignment="1">
      <alignment horizontal="left" vertical="center" wrapText="1"/>
    </xf>
    <xf numFmtId="0" fontId="22" fillId="8" borderId="0" xfId="0" applyFont="1" applyFill="1" applyAlignment="1">
      <alignment horizontal="center" vertical="center" wrapText="1"/>
    </xf>
    <xf numFmtId="49" fontId="9" fillId="8" borderId="0" xfId="0" applyNumberFormat="1" applyFont="1" applyFill="1" applyAlignment="1">
      <alignment horizontal="center" vertical="center"/>
    </xf>
    <xf numFmtId="2" fontId="9" fillId="8" borderId="0" xfId="0" applyNumberFormat="1" applyFont="1" applyFill="1" applyAlignment="1">
      <alignment horizontal="center" vertical="center"/>
    </xf>
    <xf numFmtId="0" fontId="11" fillId="4" borderId="0" xfId="0" applyFont="1" applyFill="1" applyAlignment="1">
      <alignment horizontal="center" vertical="center" wrapText="1"/>
    </xf>
    <xf numFmtId="2" fontId="11" fillId="0" borderId="0" xfId="0" applyNumberFormat="1" applyFont="1" applyAlignment="1">
      <alignment horizontal="center" vertical="center" wrapText="1"/>
    </xf>
    <xf numFmtId="0" fontId="11" fillId="0" borderId="0" xfId="0" applyFont="1" applyAlignment="1">
      <alignment horizontal="center" wrapText="1"/>
    </xf>
    <xf numFmtId="0" fontId="11" fillId="8" borderId="0" xfId="0" applyFont="1" applyFill="1" applyAlignment="1">
      <alignment horizontal="center" vertical="center" wrapText="1"/>
    </xf>
    <xf numFmtId="0" fontId="12" fillId="0" borderId="0" xfId="0" applyFont="1" applyAlignment="1">
      <alignment horizontal="center" wrapText="1"/>
    </xf>
    <xf numFmtId="2" fontId="11" fillId="8" borderId="0" xfId="0" applyNumberFormat="1" applyFont="1" applyFill="1" applyAlignment="1">
      <alignment horizontal="center" vertical="center" wrapText="1"/>
    </xf>
    <xf numFmtId="2" fontId="8" fillId="8" borderId="0" xfId="0" applyNumberFormat="1" applyFont="1" applyFill="1" applyAlignment="1">
      <alignment horizontal="center" vertical="center"/>
    </xf>
    <xf numFmtId="164" fontId="9" fillId="0" borderId="0" xfId="4" applyNumberFormat="1" applyFont="1" applyFill="1" applyAlignment="1">
      <alignment horizontal="center" vertical="center"/>
    </xf>
    <xf numFmtId="164" fontId="9" fillId="0" borderId="0" xfId="0" applyNumberFormat="1" applyFont="1" applyAlignment="1">
      <alignment horizontal="center" vertical="center"/>
    </xf>
    <xf numFmtId="164" fontId="9" fillId="0" borderId="0" xfId="0" applyNumberFormat="1" applyFont="1" applyFill="1" applyAlignment="1">
      <alignment horizontal="center" vertical="center"/>
    </xf>
    <xf numFmtId="1" fontId="9" fillId="0" borderId="0" xfId="0" applyNumberFormat="1" applyFont="1" applyAlignment="1">
      <alignment horizontal="center" vertical="center"/>
    </xf>
    <xf numFmtId="1" fontId="9" fillId="0" borderId="0" xfId="0" applyNumberFormat="1" applyFont="1" applyFill="1" applyAlignment="1">
      <alignment horizontal="center" vertical="center"/>
    </xf>
    <xf numFmtId="0" fontId="0" fillId="0" borderId="0" xfId="0" applyAlignment="1"/>
    <xf numFmtId="0" fontId="7" fillId="0" borderId="0" xfId="0" applyFont="1" applyAlignment="1"/>
    <xf numFmtId="0" fontId="13" fillId="0" borderId="0" xfId="0" applyFont="1" applyAlignment="1">
      <alignment horizontal="center" vertical="center"/>
    </xf>
    <xf numFmtId="0" fontId="13" fillId="0" borderId="0" xfId="0" applyFont="1" applyFill="1" applyAlignment="1">
      <alignment horizontal="center" vertical="center"/>
    </xf>
    <xf numFmtId="0" fontId="14" fillId="0" borderId="0" xfId="0" applyFont="1" applyFill="1" applyAlignment="1">
      <alignment horizontal="center" vertical="center"/>
    </xf>
    <xf numFmtId="0" fontId="15" fillId="0" borderId="0" xfId="0" applyFont="1"/>
    <xf numFmtId="0" fontId="25" fillId="0" borderId="0" xfId="0" applyFont="1"/>
    <xf numFmtId="0" fontId="26" fillId="0" borderId="0" xfId="0" applyFont="1"/>
    <xf numFmtId="164" fontId="9" fillId="0" borderId="0" xfId="4" applyNumberFormat="1" applyFont="1" applyAlignment="1">
      <alignment horizontal="center" vertical="center"/>
    </xf>
    <xf numFmtId="0" fontId="13" fillId="0" borderId="0" xfId="0" applyFont="1" applyBorder="1" applyAlignment="1">
      <alignment horizontal="center" vertical="center"/>
    </xf>
    <xf numFmtId="0" fontId="13" fillId="0" borderId="0" xfId="0" applyFont="1" applyFill="1" applyBorder="1" applyAlignment="1">
      <alignment horizontal="center" vertical="center"/>
    </xf>
    <xf numFmtId="0" fontId="15" fillId="0" borderId="0" xfId="0" applyFont="1" applyFill="1"/>
    <xf numFmtId="0" fontId="9" fillId="0" borderId="0" xfId="0" applyNumberFormat="1" applyFont="1" applyFill="1" applyAlignment="1">
      <alignment horizontal="center" vertical="center" wrapText="1"/>
    </xf>
    <xf numFmtId="0" fontId="9" fillId="10" borderId="0" xfId="0" applyFont="1" applyFill="1" applyAlignment="1">
      <alignment horizontal="center" vertical="center"/>
    </xf>
    <xf numFmtId="0" fontId="0" fillId="10" borderId="0" xfId="0" applyFill="1"/>
    <xf numFmtId="0" fontId="28" fillId="0" borderId="0" xfId="0" applyFont="1"/>
    <xf numFmtId="0" fontId="0" fillId="8" borderId="0" xfId="0" applyFill="1"/>
    <xf numFmtId="164" fontId="9" fillId="0" borderId="0" xfId="0" applyNumberFormat="1" applyFont="1" applyFill="1" applyAlignment="1">
      <alignment horizontal="center" vertical="center" wrapText="1"/>
    </xf>
    <xf numFmtId="0" fontId="13" fillId="0" borderId="0" xfId="0" applyFont="1" applyFill="1" applyAlignment="1">
      <alignment horizontal="center" vertical="center" wrapText="1"/>
    </xf>
    <xf numFmtId="2" fontId="29" fillId="0" borderId="0" xfId="0" applyNumberFormat="1" applyFont="1" applyFill="1" applyAlignment="1">
      <alignment horizontal="center" vertical="center"/>
    </xf>
    <xf numFmtId="0" fontId="29" fillId="0" borderId="0" xfId="0" applyFont="1" applyFill="1" applyAlignment="1">
      <alignment horizontal="center" vertical="center"/>
    </xf>
    <xf numFmtId="43" fontId="9" fillId="0" borderId="0" xfId="4" applyFont="1" applyFill="1" applyAlignment="1">
      <alignment horizontal="center" vertical="center"/>
    </xf>
    <xf numFmtId="0" fontId="27" fillId="0" borderId="0" xfId="0" applyFont="1" applyFill="1" applyAlignment="1">
      <alignment horizontal="center" vertical="center" wrapText="1"/>
    </xf>
    <xf numFmtId="0" fontId="27" fillId="0" borderId="0" xfId="0" applyFont="1" applyFill="1" applyAlignment="1">
      <alignment horizontal="center" vertical="center"/>
    </xf>
    <xf numFmtId="2" fontId="30" fillId="0" borderId="0" xfId="0" applyNumberFormat="1" applyFont="1" applyFill="1" applyAlignment="1">
      <alignment horizontal="center" vertical="center"/>
    </xf>
    <xf numFmtId="164" fontId="13" fillId="0" borderId="0" xfId="0" applyNumberFormat="1" applyFont="1" applyFill="1" applyAlignment="1">
      <alignment horizontal="center" vertical="center"/>
    </xf>
    <xf numFmtId="2" fontId="13" fillId="0" borderId="0" xfId="0" applyNumberFormat="1" applyFont="1" applyFill="1" applyAlignment="1">
      <alignment horizontal="center" vertical="center" wrapText="1"/>
    </xf>
    <xf numFmtId="164" fontId="13" fillId="0" borderId="0" xfId="0" applyNumberFormat="1" applyFont="1" applyFill="1" applyAlignment="1">
      <alignment horizontal="center" vertical="center" wrapText="1"/>
    </xf>
    <xf numFmtId="0" fontId="13" fillId="0" borderId="0" xfId="0" applyNumberFormat="1" applyFont="1" applyFill="1" applyAlignment="1">
      <alignment horizontal="center" vertical="center" wrapText="1"/>
    </xf>
    <xf numFmtId="164" fontId="0" fillId="0" borderId="0" xfId="0" applyNumberFormat="1" applyFill="1"/>
    <xf numFmtId="0" fontId="0" fillId="0" borderId="0" xfId="0" applyFill="1" applyAlignment="1">
      <alignment horizontal="center" vertical="center"/>
    </xf>
    <xf numFmtId="17" fontId="0" fillId="0" borderId="0" xfId="0" applyNumberFormat="1" applyAlignment="1">
      <alignment horizontal="center" vertical="center"/>
    </xf>
    <xf numFmtId="15" fontId="0" fillId="0" borderId="0" xfId="0" applyNumberFormat="1" applyAlignment="1">
      <alignment horizontal="center" vertical="center"/>
    </xf>
    <xf numFmtId="16" fontId="0" fillId="0" borderId="0" xfId="0" applyNumberFormat="1" applyAlignment="1">
      <alignment horizontal="center" vertical="center"/>
    </xf>
    <xf numFmtId="0" fontId="33" fillId="0" borderId="0" xfId="0" applyFont="1" applyAlignment="1">
      <alignment horizontal="center" vertical="center"/>
    </xf>
    <xf numFmtId="0" fontId="33" fillId="0" borderId="0" xfId="0" applyFont="1" applyFill="1" applyAlignment="1">
      <alignment horizontal="center" vertical="center"/>
    </xf>
    <xf numFmtId="0" fontId="34" fillId="0" borderId="0" xfId="0" applyFont="1" applyFill="1" applyAlignment="1">
      <alignment horizontal="center" vertical="center"/>
    </xf>
    <xf numFmtId="0" fontId="33" fillId="0" borderId="0" xfId="0" applyFont="1" applyFill="1" applyAlignment="1">
      <alignment horizontal="center" vertical="center" wrapText="1"/>
    </xf>
    <xf numFmtId="164" fontId="33" fillId="0" borderId="0" xfId="0" applyNumberFormat="1" applyFont="1" applyFill="1" applyAlignment="1">
      <alignment horizontal="center" vertical="center"/>
    </xf>
    <xf numFmtId="2" fontId="33" fillId="0" borderId="0" xfId="0" applyNumberFormat="1" applyFont="1" applyFill="1" applyAlignment="1">
      <alignment horizontal="center" vertical="center"/>
    </xf>
    <xf numFmtId="0" fontId="33" fillId="6" borderId="0" xfId="0" applyFont="1" applyFill="1" applyAlignment="1">
      <alignment horizontal="center" vertical="center"/>
    </xf>
    <xf numFmtId="0" fontId="33" fillId="8" borderId="0" xfId="0" applyFont="1" applyFill="1" applyAlignment="1">
      <alignment horizontal="center" vertical="center"/>
    </xf>
    <xf numFmtId="0" fontId="33" fillId="0" borderId="0" xfId="0" applyFont="1" applyFill="1" applyAlignment="1">
      <alignment horizontal="center" vertical="center" shrinkToFit="1"/>
    </xf>
    <xf numFmtId="0" fontId="38" fillId="0" borderId="0" xfId="0" applyFont="1" applyFill="1" applyAlignment="1">
      <alignment horizontal="center" vertical="center"/>
    </xf>
    <xf numFmtId="2" fontId="33" fillId="0" borderId="0" xfId="4" applyNumberFormat="1" applyFont="1" applyFill="1" applyAlignment="1">
      <alignment horizontal="center" vertical="center"/>
    </xf>
    <xf numFmtId="0" fontId="33" fillId="0" borderId="0" xfId="0" applyNumberFormat="1" applyFont="1" applyFill="1" applyAlignment="1">
      <alignment horizontal="center" vertical="center" wrapText="1"/>
    </xf>
    <xf numFmtId="0" fontId="38" fillId="6" borderId="0" xfId="0" applyFont="1" applyFill="1" applyAlignment="1">
      <alignment horizontal="center" vertical="center"/>
    </xf>
    <xf numFmtId="2" fontId="33" fillId="6" borderId="0" xfId="0" applyNumberFormat="1" applyFont="1" applyFill="1" applyAlignment="1">
      <alignment horizontal="center" vertical="center"/>
    </xf>
    <xf numFmtId="0" fontId="33" fillId="6" borderId="0" xfId="0" applyFont="1" applyFill="1" applyAlignment="1">
      <alignment horizontal="center" vertical="center" wrapText="1"/>
    </xf>
    <xf numFmtId="0" fontId="4" fillId="0" borderId="0" xfId="5"/>
    <xf numFmtId="164" fontId="33" fillId="3" borderId="0" xfId="0" applyNumberFormat="1" applyFont="1" applyFill="1" applyAlignment="1">
      <alignment horizontal="center" vertical="center"/>
    </xf>
    <xf numFmtId="164" fontId="33" fillId="3" borderId="0" xfId="4" applyNumberFormat="1" applyFont="1" applyFill="1" applyAlignment="1">
      <alignment horizontal="center" vertical="center"/>
    </xf>
    <xf numFmtId="0" fontId="0" fillId="11" borderId="1" xfId="0" applyFill="1" applyBorder="1" applyAlignment="1">
      <alignment horizontal="center" wrapText="1"/>
    </xf>
    <xf numFmtId="0" fontId="0" fillId="11" borderId="1" xfId="0" applyFill="1" applyBorder="1" applyAlignment="1">
      <alignment horizontal="center" vertical="center" wrapText="1"/>
    </xf>
    <xf numFmtId="0" fontId="4" fillId="0" borderId="0" xfId="5" applyAlignment="1">
      <alignment horizontal="center" vertical="center"/>
    </xf>
    <xf numFmtId="0" fontId="40" fillId="0" borderId="0" xfId="0" applyFont="1" applyAlignment="1">
      <alignment horizontal="center" vertical="center"/>
    </xf>
    <xf numFmtId="0" fontId="41" fillId="0" borderId="0" xfId="5" applyFont="1" applyAlignment="1">
      <alignment horizontal="center" vertical="center"/>
    </xf>
    <xf numFmtId="0" fontId="34" fillId="0" borderId="0" xfId="0" applyFont="1"/>
    <xf numFmtId="0" fontId="33" fillId="0" borderId="0" xfId="0" applyFont="1"/>
    <xf numFmtId="166" fontId="33" fillId="0" borderId="0" xfId="0" applyNumberFormat="1" applyFont="1"/>
    <xf numFmtId="166" fontId="0" fillId="0" borderId="0" xfId="0" applyNumberFormat="1"/>
    <xf numFmtId="0" fontId="42" fillId="0" borderId="2" xfId="0" applyFont="1" applyBorder="1" applyAlignment="1">
      <alignment horizontal="center" vertical="center" wrapText="1"/>
    </xf>
    <xf numFmtId="166" fontId="42" fillId="0" borderId="2" xfId="0" applyNumberFormat="1" applyFont="1" applyBorder="1" applyAlignment="1">
      <alignment horizontal="center" vertical="center" wrapText="1"/>
    </xf>
    <xf numFmtId="0" fontId="43" fillId="0" borderId="0" xfId="0" applyFont="1" applyAlignment="1">
      <alignment horizontal="center" vertical="center"/>
    </xf>
    <xf numFmtId="166" fontId="43" fillId="0" borderId="0" xfId="0" applyNumberFormat="1" applyFont="1" applyAlignment="1">
      <alignment horizontal="center" vertical="center"/>
    </xf>
    <xf numFmtId="0" fontId="42" fillId="0" borderId="0" xfId="0" applyFont="1" applyFill="1" applyBorder="1" applyAlignment="1">
      <alignment horizontal="center" vertical="center" wrapText="1"/>
    </xf>
    <xf numFmtId="0" fontId="44" fillId="0" borderId="0" xfId="0" applyFont="1" applyAlignment="1">
      <alignment horizontal="center" vertical="center"/>
    </xf>
    <xf numFmtId="0" fontId="44" fillId="0" borderId="0" xfId="0" applyFont="1"/>
    <xf numFmtId="0" fontId="43" fillId="0" borderId="0" xfId="0" applyFont="1" applyAlignment="1">
      <alignment horizontal="left" vertical="center"/>
    </xf>
    <xf numFmtId="0" fontId="4" fillId="0" borderId="0" xfId="0" applyFont="1"/>
    <xf numFmtId="165" fontId="0" fillId="0" borderId="0" xfId="4" applyNumberFormat="1" applyFont="1" applyAlignment="1">
      <alignment horizontal="center" vertical="center"/>
    </xf>
    <xf numFmtId="165" fontId="4" fillId="0" borderId="0" xfId="4" applyNumberFormat="1" applyFont="1" applyAlignment="1">
      <alignment horizontal="center" vertical="center"/>
    </xf>
    <xf numFmtId="0" fontId="31" fillId="2" borderId="0" xfId="0" applyFont="1" applyFill="1" applyAlignment="1">
      <alignment horizontal="center" vertical="center"/>
    </xf>
    <xf numFmtId="0" fontId="31" fillId="2" borderId="0" xfId="0" applyFont="1" applyFill="1" applyAlignment="1">
      <alignment horizontal="center"/>
    </xf>
    <xf numFmtId="0" fontId="34" fillId="6" borderId="0" xfId="0" applyFont="1" applyFill="1" applyAlignment="1">
      <alignment horizontal="center" vertical="center"/>
    </xf>
    <xf numFmtId="164" fontId="33" fillId="6" borderId="0" xfId="0" applyNumberFormat="1" applyFont="1" applyFill="1" applyAlignment="1">
      <alignment horizontal="center" vertical="center"/>
    </xf>
    <xf numFmtId="0" fontId="33" fillId="6" borderId="0" xfId="0" applyNumberFormat="1" applyFont="1" applyFill="1" applyAlignment="1">
      <alignment horizontal="center" vertical="center" wrapText="1"/>
    </xf>
    <xf numFmtId="164" fontId="33" fillId="6" borderId="0" xfId="4" applyNumberFormat="1" applyFont="1" applyFill="1" applyAlignment="1">
      <alignment horizontal="center" vertical="center"/>
    </xf>
    <xf numFmtId="0" fontId="45" fillId="0" borderId="0" xfId="0" applyFont="1" applyAlignment="1">
      <alignment horizontal="center" vertical="center"/>
    </xf>
    <xf numFmtId="0" fontId="37" fillId="0" borderId="0" xfId="0" applyFont="1" applyAlignment="1">
      <alignment horizontal="center" vertical="center"/>
    </xf>
    <xf numFmtId="0" fontId="46" fillId="6" borderId="0" xfId="0" applyFont="1" applyFill="1" applyAlignment="1">
      <alignment horizontal="center" vertical="center" wrapText="1"/>
    </xf>
    <xf numFmtId="0" fontId="43" fillId="6" borderId="0" xfId="0" applyFont="1" applyFill="1" applyAlignment="1">
      <alignment horizontal="center" vertical="center"/>
    </xf>
    <xf numFmtId="0" fontId="47" fillId="6" borderId="0" xfId="0" applyFont="1" applyFill="1" applyAlignment="1">
      <alignment horizontal="center" vertical="center"/>
    </xf>
    <xf numFmtId="2" fontId="43" fillId="6" borderId="0" xfId="0" applyNumberFormat="1" applyFont="1" applyFill="1" applyAlignment="1">
      <alignment horizontal="center" vertical="center"/>
    </xf>
    <xf numFmtId="164" fontId="43" fillId="6" borderId="0" xfId="4" applyNumberFormat="1" applyFont="1" applyFill="1" applyAlignment="1">
      <alignment horizontal="center" vertical="center" textRotation="90"/>
    </xf>
    <xf numFmtId="0" fontId="43" fillId="6" borderId="0" xfId="0" applyFont="1" applyFill="1" applyAlignment="1">
      <alignment horizontal="center" vertical="center" textRotation="90" wrapText="1"/>
    </xf>
    <xf numFmtId="164" fontId="43" fillId="6" borderId="0" xfId="0" applyNumberFormat="1" applyFont="1" applyFill="1" applyAlignment="1">
      <alignment horizontal="center" vertical="center"/>
    </xf>
    <xf numFmtId="0" fontId="43" fillId="6" borderId="0" xfId="0" applyNumberFormat="1" applyFont="1" applyFill="1" applyAlignment="1">
      <alignment horizontal="center" vertical="center" wrapText="1"/>
    </xf>
    <xf numFmtId="0" fontId="48" fillId="6" borderId="0" xfId="0" applyFont="1" applyFill="1" applyAlignment="1">
      <alignment horizontal="center" vertical="center" wrapText="1"/>
    </xf>
    <xf numFmtId="0" fontId="0" fillId="0" borderId="0" xfId="0" applyAlignment="1">
      <alignment horizontal="left" vertical="center"/>
    </xf>
    <xf numFmtId="0" fontId="49" fillId="6" borderId="0" xfId="0" applyFont="1" applyFill="1" applyAlignment="1">
      <alignment horizontal="center" vertical="center"/>
    </xf>
    <xf numFmtId="0" fontId="50" fillId="6" borderId="0" xfId="0" applyFont="1" applyFill="1" applyAlignment="1">
      <alignment horizontal="center" vertical="center"/>
    </xf>
    <xf numFmtId="0" fontId="49" fillId="6" borderId="0" xfId="0" applyFont="1" applyFill="1" applyAlignment="1">
      <alignment horizontal="center" vertical="center" wrapText="1"/>
    </xf>
    <xf numFmtId="2" fontId="49" fillId="6" borderId="0" xfId="4" applyNumberFormat="1" applyFont="1" applyFill="1" applyAlignment="1">
      <alignment horizontal="center" vertical="center"/>
    </xf>
    <xf numFmtId="164" fontId="49" fillId="6" borderId="0" xfId="4" applyNumberFormat="1" applyFont="1" applyFill="1" applyAlignment="1">
      <alignment horizontal="center" vertical="center"/>
    </xf>
    <xf numFmtId="2" fontId="49" fillId="6" borderId="0" xfId="0" applyNumberFormat="1" applyFont="1" applyFill="1" applyAlignment="1">
      <alignment horizontal="center" vertical="center"/>
    </xf>
    <xf numFmtId="164" fontId="49" fillId="6" borderId="0" xfId="0" applyNumberFormat="1" applyFont="1" applyFill="1" applyAlignment="1">
      <alignment horizontal="center" vertical="center"/>
    </xf>
    <xf numFmtId="0" fontId="49" fillId="6" borderId="0" xfId="0" applyNumberFormat="1" applyFont="1" applyFill="1" applyAlignment="1">
      <alignment horizontal="center" vertical="center" wrapText="1"/>
    </xf>
    <xf numFmtId="0" fontId="37" fillId="0" borderId="0" xfId="0" applyFont="1" applyAlignment="1">
      <alignment horizontal="center" vertical="center" wrapText="1"/>
    </xf>
    <xf numFmtId="2" fontId="37" fillId="0" borderId="0" xfId="0" applyNumberFormat="1" applyFont="1" applyAlignment="1">
      <alignment horizontal="center" vertical="center"/>
    </xf>
    <xf numFmtId="164" fontId="37" fillId="0" borderId="0" xfId="0" applyNumberFormat="1" applyFont="1" applyAlignment="1">
      <alignment horizontal="center" vertical="center"/>
    </xf>
    <xf numFmtId="0" fontId="37" fillId="0" borderId="0" xfId="0" applyFont="1" applyAlignment="1">
      <alignment horizontal="left" vertical="center"/>
    </xf>
    <xf numFmtId="0" fontId="0" fillId="0" borderId="0" xfId="0" applyAlignment="1">
      <alignment horizontal="left"/>
    </xf>
    <xf numFmtId="0" fontId="42" fillId="0" borderId="0" xfId="0" applyFont="1" applyFill="1" applyBorder="1" applyAlignment="1">
      <alignment horizontal="left" vertical="center" wrapText="1"/>
    </xf>
    <xf numFmtId="0" fontId="44" fillId="0" borderId="0" xfId="0" applyFont="1" applyAlignment="1">
      <alignment horizontal="left" vertical="center"/>
    </xf>
    <xf numFmtId="0" fontId="46" fillId="6" borderId="0" xfId="0" applyFont="1" applyFill="1" applyAlignment="1">
      <alignment horizontal="left" vertical="center" wrapText="1"/>
    </xf>
    <xf numFmtId="0" fontId="43" fillId="6" borderId="0" xfId="0" applyFont="1" applyFill="1" applyAlignment="1">
      <alignment horizontal="left" vertical="center" wrapText="1"/>
    </xf>
    <xf numFmtId="0" fontId="49" fillId="6" borderId="0" xfId="0" applyFont="1" applyFill="1" applyAlignment="1">
      <alignment horizontal="left" vertical="center" wrapText="1"/>
    </xf>
    <xf numFmtId="0" fontId="33" fillId="0" borderId="0" xfId="0" applyFont="1" applyFill="1" applyAlignment="1">
      <alignment horizontal="left" vertical="center"/>
    </xf>
    <xf numFmtId="0" fontId="46" fillId="6" borderId="0" xfId="0" applyFont="1" applyFill="1" applyAlignment="1">
      <alignment horizontal="center" vertical="center"/>
    </xf>
    <xf numFmtId="0" fontId="51" fillId="0" borderId="0" xfId="0" applyFont="1"/>
    <xf numFmtId="0" fontId="51" fillId="0" borderId="0" xfId="0" applyFont="1" applyAlignment="1">
      <alignment horizontal="center"/>
    </xf>
    <xf numFmtId="0" fontId="52" fillId="0" borderId="0" xfId="0" applyFont="1" applyAlignment="1">
      <alignment horizontal="center" vertical="center" wrapText="1"/>
    </xf>
    <xf numFmtId="0" fontId="46" fillId="0" borderId="0" xfId="0" applyFont="1" applyFill="1" applyAlignment="1">
      <alignment horizontal="center" vertical="center" wrapText="1"/>
    </xf>
    <xf numFmtId="0" fontId="46" fillId="0" borderId="0" xfId="0" applyFont="1" applyFill="1" applyAlignment="1">
      <alignment horizontal="center" vertical="center"/>
    </xf>
    <xf numFmtId="0" fontId="37" fillId="6" borderId="0" xfId="0" applyFont="1" applyFill="1" applyAlignment="1">
      <alignment horizontal="center" vertical="center" wrapText="1"/>
    </xf>
    <xf numFmtId="2" fontId="37" fillId="6" borderId="0" xfId="0" applyNumberFormat="1" applyFont="1" applyFill="1" applyAlignment="1">
      <alignment horizontal="center" vertical="center"/>
    </xf>
    <xf numFmtId="164" fontId="37" fillId="6" borderId="0" xfId="0" applyNumberFormat="1" applyFont="1" applyFill="1" applyAlignment="1">
      <alignment horizontal="center" vertical="center"/>
    </xf>
    <xf numFmtId="15" fontId="0" fillId="8" borderId="0" xfId="0" applyNumberFormat="1" applyFont="1" applyFill="1" applyAlignment="1">
      <alignment horizontal="center" vertical="center"/>
    </xf>
    <xf numFmtId="0" fontId="0" fillId="8" borderId="0" xfId="0" applyFont="1" applyFill="1" applyAlignment="1">
      <alignment horizontal="center" vertical="center"/>
    </xf>
    <xf numFmtId="0" fontId="0" fillId="8" borderId="0" xfId="0" applyFont="1" applyFill="1"/>
    <xf numFmtId="0" fontId="51" fillId="8" borderId="0" xfId="0" applyFont="1" applyFill="1"/>
    <xf numFmtId="0" fontId="0" fillId="8" borderId="0" xfId="0" applyFont="1" applyFill="1" applyAlignment="1">
      <alignment horizontal="left"/>
    </xf>
    <xf numFmtId="15" fontId="0" fillId="8" borderId="0" xfId="0" applyNumberFormat="1" applyFill="1" applyAlignment="1">
      <alignment horizontal="center" vertical="center"/>
    </xf>
    <xf numFmtId="0" fontId="0" fillId="8" borderId="0" xfId="0" applyFill="1" applyAlignment="1">
      <alignment horizontal="center" vertical="center"/>
    </xf>
    <xf numFmtId="0" fontId="0" fillId="8" borderId="0" xfId="0" applyFill="1" applyAlignment="1">
      <alignment horizontal="left"/>
    </xf>
    <xf numFmtId="0" fontId="43" fillId="8" borderId="0" xfId="0" applyFont="1" applyFill="1" applyAlignment="1">
      <alignment horizontal="left" vertical="center"/>
    </xf>
    <xf numFmtId="16" fontId="0" fillId="8" borderId="0" xfId="0" applyNumberFormat="1" applyFill="1" applyAlignment="1">
      <alignment horizontal="center" vertical="center"/>
    </xf>
    <xf numFmtId="17" fontId="0" fillId="8" borderId="0" xfId="0" applyNumberFormat="1" applyFill="1" applyAlignment="1">
      <alignment horizontal="center" vertical="center"/>
    </xf>
    <xf numFmtId="2" fontId="33" fillId="6" borderId="0" xfId="4" applyNumberFormat="1" applyFont="1" applyFill="1" applyAlignment="1">
      <alignment horizontal="center" vertical="center"/>
    </xf>
    <xf numFmtId="165" fontId="33" fillId="6" borderId="0" xfId="4" applyNumberFormat="1" applyFont="1" applyFill="1" applyAlignment="1">
      <alignment horizontal="center" vertical="center"/>
    </xf>
    <xf numFmtId="164" fontId="38" fillId="6" borderId="0" xfId="0" applyNumberFormat="1" applyFont="1" applyFill="1" applyAlignment="1">
      <alignment horizontal="center" vertical="center"/>
    </xf>
    <xf numFmtId="0" fontId="38" fillId="6" borderId="0" xfId="0" applyNumberFormat="1" applyFont="1" applyFill="1" applyAlignment="1">
      <alignment horizontal="center" vertical="center" wrapText="1"/>
    </xf>
    <xf numFmtId="0" fontId="0" fillId="0" borderId="0" xfId="0" applyFill="1" applyAlignment="1">
      <alignment horizontal="center"/>
    </xf>
    <xf numFmtId="0" fontId="0" fillId="4" borderId="0" xfId="0" applyFill="1" applyAlignment="1">
      <alignment horizontal="center"/>
    </xf>
    <xf numFmtId="0" fontId="16" fillId="0" borderId="0" xfId="0" applyFont="1" applyFill="1" applyAlignment="1">
      <alignment horizontal="center"/>
    </xf>
    <xf numFmtId="0" fontId="0" fillId="7" borderId="0" xfId="0" applyFill="1" applyAlignment="1">
      <alignment horizontal="center"/>
    </xf>
    <xf numFmtId="0" fontId="8" fillId="0" borderId="0" xfId="0" applyFont="1" applyAlignment="1">
      <alignment horizontal="center"/>
    </xf>
    <xf numFmtId="0" fontId="15" fillId="0" borderId="0" xfId="0" applyFont="1" applyAlignment="1">
      <alignment horizontal="center"/>
    </xf>
    <xf numFmtId="0" fontId="15" fillId="0" borderId="0" xfId="0" applyFont="1" applyFill="1" applyAlignment="1">
      <alignment horizontal="center"/>
    </xf>
    <xf numFmtId="0" fontId="8" fillId="0" borderId="0" xfId="0" applyFont="1" applyFill="1" applyAlignment="1">
      <alignment horizontal="center"/>
    </xf>
    <xf numFmtId="0" fontId="16" fillId="0" borderId="0" xfId="0" applyFont="1" applyAlignment="1">
      <alignment horizontal="center"/>
    </xf>
    <xf numFmtId="164" fontId="33" fillId="0" borderId="0" xfId="0" applyNumberFormat="1" applyFont="1" applyFill="1" applyAlignment="1">
      <alignment horizontal="center"/>
    </xf>
    <xf numFmtId="0" fontId="33" fillId="0" borderId="0" xfId="0" applyFont="1" applyFill="1" applyAlignment="1">
      <alignment horizontal="center"/>
    </xf>
    <xf numFmtId="0" fontId="39" fillId="0" borderId="0" xfId="0" applyFont="1" applyFill="1" applyAlignment="1">
      <alignment horizontal="center"/>
    </xf>
    <xf numFmtId="164" fontId="33" fillId="0" borderId="0" xfId="0" quotePrefix="1" applyNumberFormat="1" applyFont="1" applyFill="1" applyAlignment="1">
      <alignment horizontal="center"/>
    </xf>
    <xf numFmtId="0" fontId="53" fillId="0" borderId="0" xfId="0" applyFont="1" applyFill="1" applyAlignment="1">
      <alignment horizontal="center"/>
    </xf>
    <xf numFmtId="0" fontId="35" fillId="0" borderId="0" xfId="0" applyFont="1" applyFill="1" applyAlignment="1">
      <alignment horizontal="center"/>
    </xf>
    <xf numFmtId="164" fontId="35" fillId="0" borderId="0" xfId="0" applyNumberFormat="1" applyFont="1" applyFill="1" applyAlignment="1">
      <alignment horizontal="center"/>
    </xf>
    <xf numFmtId="2" fontId="33" fillId="0" borderId="0" xfId="0" applyNumberFormat="1" applyFont="1" applyFill="1" applyAlignment="1">
      <alignment horizontal="center"/>
    </xf>
    <xf numFmtId="0" fontId="0" fillId="10" borderId="0" xfId="0" applyFill="1" applyAlignment="1">
      <alignment horizontal="center" vertical="center"/>
    </xf>
    <xf numFmtId="0" fontId="0" fillId="10" borderId="0" xfId="0" applyFill="1" applyAlignment="1">
      <alignment horizontal="left" vertical="center"/>
    </xf>
    <xf numFmtId="0" fontId="51" fillId="10" borderId="0" xfId="0" applyFont="1" applyFill="1"/>
    <xf numFmtId="0" fontId="0" fillId="10" borderId="0" xfId="0" applyFill="1" applyAlignment="1">
      <alignment horizontal="left"/>
    </xf>
    <xf numFmtId="15" fontId="0" fillId="10" borderId="0" xfId="0" applyNumberFormat="1" applyFill="1" applyAlignment="1">
      <alignment horizontal="center" vertical="center"/>
    </xf>
    <xf numFmtId="0" fontId="0" fillId="10" borderId="0" xfId="0" applyFont="1" applyFill="1" applyAlignment="1">
      <alignment horizontal="left" vertical="center"/>
    </xf>
    <xf numFmtId="0" fontId="51" fillId="0" borderId="0" xfId="0" applyFont="1" applyAlignment="1">
      <alignment wrapText="1"/>
    </xf>
    <xf numFmtId="0" fontId="0" fillId="0" borderId="0" xfId="0" applyAlignment="1">
      <alignment vertical="center"/>
    </xf>
    <xf numFmtId="0" fontId="37" fillId="0" borderId="0" xfId="0" applyFont="1" applyFill="1" applyAlignment="1">
      <alignment horizontal="center"/>
    </xf>
    <xf numFmtId="15" fontId="0" fillId="0" borderId="0" xfId="0" applyNumberFormat="1" applyFill="1" applyAlignment="1">
      <alignment horizontal="center" vertical="center"/>
    </xf>
    <xf numFmtId="0" fontId="0" fillId="0" borderId="0" xfId="0" applyFont="1" applyFill="1" applyAlignment="1">
      <alignment horizontal="left" vertical="center"/>
    </xf>
    <xf numFmtId="0" fontId="51" fillId="0" borderId="0" xfId="0" applyFont="1" applyFill="1"/>
    <xf numFmtId="0" fontId="0" fillId="0" borderId="0" xfId="0" applyFill="1" applyAlignment="1">
      <alignment horizontal="left"/>
    </xf>
    <xf numFmtId="0" fontId="43" fillId="0" borderId="0" xfId="0" applyFont="1" applyFill="1" applyAlignment="1">
      <alignment horizontal="center" vertical="center" wrapText="1"/>
    </xf>
    <xf numFmtId="0" fontId="34" fillId="0" borderId="0" xfId="0" applyFont="1" applyFill="1" applyAlignment="1">
      <alignment horizontal="center"/>
    </xf>
    <xf numFmtId="0" fontId="34" fillId="0" borderId="0" xfId="0" applyFont="1" applyFill="1" applyAlignment="1">
      <alignment horizontal="center" wrapText="1"/>
    </xf>
    <xf numFmtId="0" fontId="34" fillId="0" borderId="0" xfId="0" quotePrefix="1" applyFont="1" applyFill="1" applyAlignment="1">
      <alignment horizontal="center"/>
    </xf>
    <xf numFmtId="0" fontId="33" fillId="0" borderId="0" xfId="0" quotePrefix="1" applyFont="1" applyFill="1" applyAlignment="1">
      <alignment horizontal="center"/>
    </xf>
    <xf numFmtId="0" fontId="54" fillId="0" borderId="0" xfId="0" applyFont="1" applyFill="1" applyAlignment="1">
      <alignment horizontal="center"/>
    </xf>
    <xf numFmtId="0" fontId="36" fillId="0" borderId="0" xfId="0" applyFont="1" applyFill="1" applyAlignment="1">
      <alignment horizontal="center" wrapText="1"/>
    </xf>
    <xf numFmtId="0" fontId="36" fillId="0" borderId="0" xfId="0" applyFont="1" applyFill="1" applyAlignment="1">
      <alignment horizontal="center"/>
    </xf>
    <xf numFmtId="0" fontId="35" fillId="0" borderId="0" xfId="0" quotePrefix="1" applyFont="1" applyFill="1" applyAlignment="1">
      <alignment horizontal="center"/>
    </xf>
    <xf numFmtId="0" fontId="33" fillId="0" borderId="0" xfId="0" applyFont="1" applyFill="1" applyAlignment="1">
      <alignment horizontal="center" wrapText="1"/>
    </xf>
    <xf numFmtId="0" fontId="31" fillId="11" borderId="0" xfId="0" applyFont="1" applyFill="1" applyAlignment="1">
      <alignment horizontal="center" vertical="center"/>
    </xf>
    <xf numFmtId="0" fontId="31" fillId="11" borderId="0" xfId="0" applyFont="1" applyFill="1" applyAlignment="1">
      <alignment horizontal="center" vertical="center" wrapText="1"/>
    </xf>
    <xf numFmtId="0" fontId="43" fillId="0" borderId="0" xfId="0" applyFont="1" applyAlignment="1">
      <alignment horizontal="center" vertical="center" wrapText="1"/>
    </xf>
    <xf numFmtId="164" fontId="13" fillId="0" borderId="0" xfId="4" applyNumberFormat="1" applyFont="1" applyBorder="1" applyAlignment="1">
      <alignment horizontal="center" vertical="center" wrapText="1"/>
    </xf>
    <xf numFmtId="0" fontId="14" fillId="0" borderId="0" xfId="0" applyFont="1" applyFill="1" applyBorder="1" applyAlignment="1">
      <alignment horizontal="center" vertical="center"/>
    </xf>
    <xf numFmtId="0" fontId="13" fillId="0" borderId="0" xfId="0" applyFont="1" applyFill="1" applyBorder="1" applyAlignment="1">
      <alignment horizontal="center" vertical="center" wrapText="1"/>
    </xf>
    <xf numFmtId="2" fontId="13" fillId="0" borderId="0" xfId="0" applyNumberFormat="1" applyFont="1" applyFill="1" applyBorder="1" applyAlignment="1">
      <alignment horizontal="center" vertical="center" wrapText="1"/>
    </xf>
    <xf numFmtId="1" fontId="13" fillId="0" borderId="0" xfId="0" applyNumberFormat="1" applyFont="1" applyFill="1" applyBorder="1" applyAlignment="1">
      <alignment horizontal="center" vertical="center" wrapText="1"/>
    </xf>
    <xf numFmtId="164" fontId="13" fillId="0" borderId="0" xfId="0" applyNumberFormat="1" applyFont="1" applyFill="1" applyBorder="1" applyAlignment="1">
      <alignment horizontal="center" vertical="center" wrapText="1"/>
    </xf>
    <xf numFmtId="0" fontId="44" fillId="0" borderId="0" xfId="0" applyFont="1" applyFill="1" applyAlignment="1">
      <alignment horizontal="center" vertical="center" wrapText="1"/>
    </xf>
    <xf numFmtId="167" fontId="55" fillId="0" borderId="0" xfId="4" applyNumberFormat="1" applyFont="1" applyFill="1" applyAlignment="1">
      <alignment horizontal="center" vertical="center"/>
    </xf>
    <xf numFmtId="167" fontId="33" fillId="0" borderId="0" xfId="4" applyNumberFormat="1" applyFont="1" applyFill="1" applyAlignment="1">
      <alignment horizontal="center" vertical="center"/>
    </xf>
    <xf numFmtId="2" fontId="33" fillId="0" borderId="0" xfId="0" applyNumberFormat="1" applyFont="1" applyAlignment="1">
      <alignment horizontal="center" vertical="center"/>
    </xf>
    <xf numFmtId="0" fontId="0" fillId="0" borderId="0" xfId="0" applyAlignment="1">
      <alignment wrapText="1"/>
    </xf>
    <xf numFmtId="0" fontId="33" fillId="0" borderId="0" xfId="0" applyFont="1" applyBorder="1" applyAlignment="1">
      <alignment horizontal="center" vertical="center"/>
    </xf>
    <xf numFmtId="0" fontId="34" fillId="0" borderId="0" xfId="0" applyFont="1" applyBorder="1" applyAlignment="1">
      <alignment horizontal="center" vertical="center"/>
    </xf>
    <xf numFmtId="0" fontId="33" fillId="0" borderId="0" xfId="0" applyFont="1" applyBorder="1" applyAlignment="1">
      <alignment horizontal="center" vertical="center" wrapText="1"/>
    </xf>
    <xf numFmtId="164" fontId="33" fillId="0" borderId="0" xfId="4" applyNumberFormat="1" applyFont="1" applyBorder="1" applyAlignment="1">
      <alignment horizontal="center" vertical="center" wrapText="1"/>
    </xf>
    <xf numFmtId="2" fontId="33" fillId="0" borderId="0" xfId="0" applyNumberFormat="1" applyFont="1" applyBorder="1" applyAlignment="1">
      <alignment horizontal="center" vertical="center" wrapText="1"/>
    </xf>
    <xf numFmtId="0" fontId="34" fillId="0" borderId="0" xfId="0" applyFont="1" applyBorder="1" applyAlignment="1">
      <alignment horizontal="center" vertical="center" wrapText="1"/>
    </xf>
    <xf numFmtId="2" fontId="33" fillId="0" borderId="0" xfId="0" applyNumberFormat="1" applyFont="1" applyBorder="1" applyAlignment="1">
      <alignment horizontal="center" vertical="center"/>
    </xf>
    <xf numFmtId="0" fontId="33" fillId="0" borderId="0" xfId="2" applyFont="1" applyBorder="1" applyAlignment="1">
      <alignment horizontal="center" vertical="center"/>
    </xf>
    <xf numFmtId="0" fontId="34" fillId="0" borderId="0" xfId="2" applyFont="1" applyBorder="1" applyAlignment="1">
      <alignment horizontal="center" vertical="center"/>
    </xf>
    <xf numFmtId="0" fontId="33" fillId="0" borderId="0" xfId="2" applyFont="1" applyBorder="1" applyAlignment="1">
      <alignment horizontal="center" vertical="center" wrapText="1"/>
    </xf>
    <xf numFmtId="2" fontId="33" fillId="0" borderId="0" xfId="0" applyNumberFormat="1" applyFont="1" applyFill="1" applyBorder="1" applyAlignment="1">
      <alignment horizontal="center" vertical="center"/>
    </xf>
    <xf numFmtId="2" fontId="33" fillId="0" borderId="0" xfId="1" applyNumberFormat="1" applyFont="1" applyFill="1" applyBorder="1" applyAlignment="1">
      <alignment horizontal="center" vertical="center" wrapText="1"/>
    </xf>
    <xf numFmtId="0" fontId="35" fillId="0" borderId="0" xfId="0" applyFont="1" applyBorder="1" applyAlignment="1">
      <alignment horizontal="center" vertical="center"/>
    </xf>
    <xf numFmtId="0" fontId="35" fillId="0" borderId="0" xfId="2" applyFont="1" applyBorder="1" applyAlignment="1">
      <alignment horizontal="center" vertical="center"/>
    </xf>
    <xf numFmtId="0" fontId="36" fillId="0" borderId="0" xfId="3" applyFont="1" applyBorder="1" applyAlignment="1">
      <alignment horizontal="center" vertical="center" wrapText="1"/>
    </xf>
    <xf numFmtId="164" fontId="35" fillId="0" borderId="0" xfId="4" applyNumberFormat="1" applyFont="1" applyBorder="1" applyAlignment="1">
      <alignment horizontal="center" vertical="center" wrapText="1"/>
    </xf>
    <xf numFmtId="2" fontId="35" fillId="0" borderId="0" xfId="0" applyNumberFormat="1" applyFont="1" applyBorder="1" applyAlignment="1">
      <alignment horizontal="center" vertical="center"/>
    </xf>
    <xf numFmtId="0" fontId="35" fillId="0" borderId="0" xfId="0" applyFont="1" applyAlignment="1">
      <alignment horizontal="center" vertical="center"/>
    </xf>
    <xf numFmtId="0" fontId="34" fillId="0" borderId="0" xfId="3" applyFont="1" applyBorder="1" applyAlignment="1">
      <alignment horizontal="center" vertical="center" wrapText="1"/>
    </xf>
    <xf numFmtId="0" fontId="33" fillId="0" borderId="0" xfId="3" applyFont="1" applyBorder="1" applyAlignment="1">
      <alignment horizontal="center" vertical="center" wrapText="1"/>
    </xf>
    <xf numFmtId="2" fontId="33" fillId="0" borderId="0" xfId="1" applyNumberFormat="1" applyFont="1" applyFill="1" applyBorder="1" applyAlignment="1">
      <alignment horizontal="center" vertical="center"/>
    </xf>
    <xf numFmtId="167" fontId="39" fillId="0" borderId="0" xfId="4" applyNumberFormat="1" applyFont="1" applyFill="1" applyAlignment="1">
      <alignment horizontal="center" vertical="center"/>
    </xf>
    <xf numFmtId="0" fontId="39" fillId="0" borderId="0" xfId="0" applyFont="1" applyFill="1" applyAlignment="1">
      <alignment horizontal="center" vertical="center" wrapText="1"/>
    </xf>
    <xf numFmtId="2" fontId="39" fillId="0" borderId="0" xfId="0" applyNumberFormat="1" applyFont="1" applyFill="1" applyAlignment="1">
      <alignment horizontal="center" vertical="center"/>
    </xf>
    <xf numFmtId="0" fontId="39" fillId="0" borderId="0" xfId="0" applyFont="1" applyFill="1" applyAlignment="1">
      <alignment horizontal="center" vertical="center"/>
    </xf>
    <xf numFmtId="0" fontId="58" fillId="0" borderId="0" xfId="0" applyFont="1" applyFill="1" applyAlignment="1">
      <alignment horizontal="center" vertical="center" wrapText="1"/>
    </xf>
    <xf numFmtId="0" fontId="59" fillId="0" borderId="0" xfId="0" applyFont="1" applyFill="1" applyAlignment="1">
      <alignment horizontal="center" vertical="center"/>
    </xf>
    <xf numFmtId="164" fontId="39" fillId="0" borderId="0" xfId="0" applyNumberFormat="1" applyFont="1" applyFill="1" applyAlignment="1">
      <alignment horizontal="center" vertical="center"/>
    </xf>
    <xf numFmtId="0" fontId="39" fillId="0" borderId="0" xfId="0" applyNumberFormat="1" applyFont="1" applyFill="1" applyAlignment="1">
      <alignment horizontal="center" vertical="center" wrapText="1"/>
    </xf>
    <xf numFmtId="2" fontId="39" fillId="0" borderId="0" xfId="4" applyNumberFormat="1" applyFont="1" applyFill="1" applyAlignment="1">
      <alignment horizontal="center" vertical="center"/>
    </xf>
    <xf numFmtId="0" fontId="39" fillId="0" borderId="0" xfId="0" applyFont="1" applyBorder="1" applyAlignment="1">
      <alignment horizontal="center" vertical="center"/>
    </xf>
    <xf numFmtId="0" fontId="59" fillId="0" borderId="0" xfId="0" applyFont="1" applyBorder="1" applyAlignment="1">
      <alignment horizontal="center" vertical="center"/>
    </xf>
    <xf numFmtId="0" fontId="39" fillId="0" borderId="0" xfId="0" applyFont="1" applyBorder="1" applyAlignment="1">
      <alignment horizontal="center" vertical="center" wrapText="1"/>
    </xf>
    <xf numFmtId="2" fontId="39" fillId="0" borderId="0" xfId="0" applyNumberFormat="1" applyFont="1" applyAlignment="1">
      <alignment horizontal="center" vertical="center"/>
    </xf>
    <xf numFmtId="0" fontId="39" fillId="0" borderId="0" xfId="0" applyFont="1" applyAlignment="1">
      <alignment horizontal="center" vertical="center"/>
    </xf>
    <xf numFmtId="0" fontId="35" fillId="0" borderId="0" xfId="0" applyFont="1" applyBorder="1" applyAlignment="1">
      <alignment horizontal="center" vertical="center" wrapText="1"/>
    </xf>
    <xf numFmtId="0" fontId="33" fillId="0" borderId="3" xfId="0" applyFont="1" applyBorder="1" applyAlignment="1">
      <alignment horizontal="center" vertical="center"/>
    </xf>
    <xf numFmtId="0" fontId="33" fillId="0" borderId="3" xfId="2" applyFont="1" applyBorder="1" applyAlignment="1">
      <alignment horizontal="center" vertical="center"/>
    </xf>
    <xf numFmtId="2" fontId="33" fillId="0" borderId="3" xfId="0" applyNumberFormat="1" applyFont="1" applyBorder="1" applyAlignment="1">
      <alignment horizontal="center" vertical="center"/>
    </xf>
    <xf numFmtId="0" fontId="35" fillId="0" borderId="3" xfId="0" applyFont="1" applyBorder="1" applyAlignment="1">
      <alignment horizontal="center" vertical="center"/>
    </xf>
    <xf numFmtId="1" fontId="33" fillId="0" borderId="0" xfId="4" applyNumberFormat="1" applyFont="1" applyBorder="1" applyAlignment="1">
      <alignment horizontal="center" vertical="center" wrapText="1"/>
    </xf>
    <xf numFmtId="0" fontId="44" fillId="0" borderId="0" xfId="0" applyFont="1" applyBorder="1" applyAlignment="1">
      <alignment horizontal="center" vertical="center" wrapText="1"/>
    </xf>
    <xf numFmtId="0" fontId="44" fillId="0" borderId="0" xfId="2" applyFont="1" applyBorder="1" applyAlignment="1">
      <alignment horizontal="center" vertical="center" wrapText="1"/>
    </xf>
    <xf numFmtId="0" fontId="61" fillId="0" borderId="0" xfId="0" applyFont="1" applyBorder="1" applyAlignment="1">
      <alignment horizontal="center" vertical="center" wrapText="1"/>
    </xf>
    <xf numFmtId="0" fontId="62" fillId="0" borderId="0" xfId="3" applyFont="1" applyBorder="1" applyAlignment="1">
      <alignment horizontal="center" vertical="center" wrapText="1"/>
    </xf>
    <xf numFmtId="0" fontId="44" fillId="0" borderId="0" xfId="3" applyFont="1" applyBorder="1" applyAlignment="1">
      <alignment horizontal="center" vertical="center" wrapText="1"/>
    </xf>
    <xf numFmtId="0" fontId="29" fillId="0" borderId="0" xfId="0" applyFont="1" applyFill="1" applyAlignment="1">
      <alignment horizontal="center" vertical="center" wrapText="1"/>
    </xf>
    <xf numFmtId="0" fontId="29" fillId="0" borderId="0" xfId="0" applyFont="1" applyAlignment="1">
      <alignment horizontal="center" vertical="center" wrapText="1"/>
    </xf>
    <xf numFmtId="0" fontId="63" fillId="0" borderId="0" xfId="0" applyFont="1" applyAlignment="1">
      <alignment horizontal="center" vertical="center"/>
    </xf>
    <xf numFmtId="0" fontId="42" fillId="0" borderId="0" xfId="0" applyFont="1" applyAlignment="1">
      <alignment horizontal="center" vertical="center" wrapText="1"/>
    </xf>
    <xf numFmtId="0" fontId="63" fillId="0" borderId="0" xfId="0" applyFont="1" applyAlignment="1">
      <alignment horizontal="center" vertical="center" wrapText="1"/>
    </xf>
    <xf numFmtId="164" fontId="63" fillId="0" borderId="0" xfId="4" applyNumberFormat="1" applyFont="1" applyAlignment="1">
      <alignment horizontal="center" vertical="center"/>
    </xf>
    <xf numFmtId="2" fontId="43" fillId="0" borderId="0" xfId="0" applyNumberFormat="1" applyFont="1" applyBorder="1" applyAlignment="1">
      <alignment horizontal="center" vertical="center" wrapText="1"/>
    </xf>
    <xf numFmtId="2" fontId="58" fillId="0" borderId="0" xfId="0" applyNumberFormat="1" applyFont="1" applyBorder="1" applyAlignment="1">
      <alignment horizontal="center" vertical="center" wrapText="1"/>
    </xf>
    <xf numFmtId="0" fontId="55" fillId="2" borderId="2" xfId="0" applyFont="1" applyFill="1" applyBorder="1" applyAlignment="1">
      <alignment horizontal="center" vertical="center" wrapText="1"/>
    </xf>
    <xf numFmtId="0" fontId="32" fillId="0" borderId="2" xfId="0" applyFont="1" applyBorder="1"/>
    <xf numFmtId="0" fontId="32" fillId="2" borderId="2" xfId="0" applyFont="1" applyFill="1" applyBorder="1" applyAlignment="1">
      <alignment horizontal="center" vertical="center" wrapText="1"/>
    </xf>
    <xf numFmtId="1" fontId="8" fillId="0" borderId="0" xfId="0" applyNumberFormat="1" applyFont="1" applyFill="1" applyAlignment="1">
      <alignment horizontal="center" vertical="center"/>
    </xf>
    <xf numFmtId="164" fontId="8" fillId="0" borderId="0" xfId="0" applyNumberFormat="1" applyFont="1" applyFill="1" applyAlignment="1">
      <alignment horizontal="center" vertical="center"/>
    </xf>
    <xf numFmtId="164" fontId="8" fillId="0" borderId="0" xfId="0" applyNumberFormat="1" applyFont="1" applyAlignment="1">
      <alignment horizontal="center" vertical="center"/>
    </xf>
    <xf numFmtId="2" fontId="61" fillId="0" borderId="0" xfId="0" applyNumberFormat="1" applyFont="1" applyAlignment="1">
      <alignment horizontal="center" vertical="center"/>
    </xf>
    <xf numFmtId="0" fontId="61" fillId="0" borderId="0" xfId="0" applyFont="1" applyAlignment="1">
      <alignment horizontal="center" vertical="center"/>
    </xf>
    <xf numFmtId="164" fontId="61" fillId="0" borderId="0" xfId="0" applyNumberFormat="1" applyFont="1" applyAlignment="1">
      <alignment horizontal="center" vertical="center"/>
    </xf>
    <xf numFmtId="1" fontId="61" fillId="0" borderId="0" xfId="0" applyNumberFormat="1" applyFont="1" applyBorder="1" applyAlignment="1">
      <alignment horizontal="center" vertical="center" wrapText="1"/>
    </xf>
    <xf numFmtId="2" fontId="61" fillId="0" borderId="0" xfId="0" applyNumberFormat="1" applyFont="1" applyBorder="1" applyAlignment="1">
      <alignment horizontal="center" vertical="center"/>
    </xf>
    <xf numFmtId="1" fontId="44" fillId="0" borderId="0" xfId="0" applyNumberFormat="1" applyFont="1" applyFill="1" applyBorder="1" applyAlignment="1">
      <alignment horizontal="center" vertical="center"/>
    </xf>
    <xf numFmtId="1" fontId="61" fillId="0" borderId="0" xfId="0" applyNumberFormat="1" applyFont="1" applyBorder="1" applyAlignment="1">
      <alignment horizontal="center" vertical="center"/>
    </xf>
    <xf numFmtId="1" fontId="61" fillId="0" borderId="0" xfId="0" applyNumberFormat="1" applyFont="1" applyFill="1" applyBorder="1" applyAlignment="1">
      <alignment horizontal="center" vertical="center" wrapText="1"/>
    </xf>
    <xf numFmtId="1" fontId="61" fillId="0" borderId="0" xfId="0" applyNumberFormat="1" applyFont="1" applyFill="1" applyBorder="1" applyAlignment="1">
      <alignment horizontal="center" vertical="center"/>
    </xf>
    <xf numFmtId="1" fontId="61" fillId="0" borderId="3" xfId="0" applyNumberFormat="1" applyFont="1" applyFill="1" applyBorder="1" applyAlignment="1">
      <alignment horizontal="center" vertical="center"/>
    </xf>
    <xf numFmtId="0" fontId="61" fillId="0" borderId="3" xfId="0" applyFont="1" applyBorder="1" applyAlignment="1">
      <alignment horizontal="center" vertical="center"/>
    </xf>
    <xf numFmtId="0" fontId="9" fillId="0" borderId="0" xfId="0" applyFont="1" applyFill="1" applyAlignment="1">
      <alignment vertical="center"/>
    </xf>
    <xf numFmtId="0" fontId="66" fillId="0" borderId="0" xfId="0" applyFont="1" applyFill="1" applyAlignment="1">
      <alignment horizontal="center" vertical="center"/>
    </xf>
    <xf numFmtId="0" fontId="67" fillId="0" borderId="0" xfId="0" applyFont="1" applyFill="1" applyAlignment="1">
      <alignment horizontal="center" vertical="center"/>
    </xf>
    <xf numFmtId="0" fontId="59" fillId="0" borderId="0" xfId="0" applyFont="1" applyAlignment="1">
      <alignment horizontal="center" vertical="center"/>
    </xf>
    <xf numFmtId="0" fontId="59" fillId="0" borderId="0" xfId="0" applyFont="1" applyFill="1" applyAlignment="1">
      <alignment horizontal="center" vertical="center" wrapText="1"/>
    </xf>
    <xf numFmtId="0" fontId="69" fillId="0" borderId="0" xfId="0" applyFont="1" applyFill="1" applyAlignment="1">
      <alignment horizontal="center" vertical="center"/>
    </xf>
    <xf numFmtId="0" fontId="70" fillId="0" borderId="0" xfId="0" applyFont="1" applyFill="1" applyAlignment="1">
      <alignment horizontal="center" vertical="center"/>
    </xf>
    <xf numFmtId="0" fontId="71" fillId="0" borderId="0" xfId="0" applyFont="1" applyFill="1" applyAlignment="1">
      <alignment horizontal="center" vertical="center" wrapText="1"/>
    </xf>
    <xf numFmtId="0" fontId="72" fillId="0" borderId="0" xfId="0" applyFont="1" applyFill="1" applyAlignment="1">
      <alignment horizontal="center" vertical="center"/>
    </xf>
    <xf numFmtId="0" fontId="70" fillId="0" borderId="0" xfId="0" applyFont="1" applyFill="1" applyAlignment="1">
      <alignment horizontal="center" vertical="center" wrapText="1"/>
    </xf>
    <xf numFmtId="2" fontId="70" fillId="0" borderId="0" xfId="0" applyNumberFormat="1" applyFont="1" applyFill="1" applyAlignment="1">
      <alignment horizontal="center" vertical="center"/>
    </xf>
    <xf numFmtId="167" fontId="70" fillId="0" borderId="0" xfId="4" applyNumberFormat="1" applyFont="1" applyFill="1" applyAlignment="1">
      <alignment horizontal="center" vertical="center"/>
    </xf>
    <xf numFmtId="164" fontId="70" fillId="0" borderId="0" xfId="0" applyNumberFormat="1" applyFont="1" applyFill="1" applyAlignment="1">
      <alignment horizontal="center" vertical="center"/>
    </xf>
    <xf numFmtId="0" fontId="70" fillId="0" borderId="0" xfId="0" applyNumberFormat="1" applyFont="1" applyFill="1" applyAlignment="1">
      <alignment horizontal="center" vertical="center" wrapText="1"/>
    </xf>
    <xf numFmtId="167" fontId="73" fillId="0" borderId="0" xfId="4" applyNumberFormat="1" applyFont="1" applyFill="1" applyAlignment="1">
      <alignment horizontal="center" vertical="center"/>
    </xf>
    <xf numFmtId="0" fontId="73" fillId="0" borderId="0" xfId="0" applyFont="1" applyFill="1" applyAlignment="1">
      <alignment horizontal="center" vertical="center"/>
    </xf>
    <xf numFmtId="0" fontId="74" fillId="0" borderId="0" xfId="0" applyFont="1" applyFill="1" applyAlignment="1">
      <alignment horizontal="center" vertical="center" wrapText="1" shrinkToFit="1"/>
    </xf>
    <xf numFmtId="0" fontId="75" fillId="0" borderId="0" xfId="0" applyFont="1" applyFill="1" applyAlignment="1">
      <alignment horizontal="center" vertical="center"/>
    </xf>
    <xf numFmtId="0" fontId="73" fillId="0" borderId="0" xfId="0" applyFont="1" applyFill="1" applyAlignment="1">
      <alignment horizontal="center" vertical="center" wrapText="1"/>
    </xf>
    <xf numFmtId="2" fontId="73" fillId="0" borderId="0" xfId="0" applyNumberFormat="1" applyFont="1" applyFill="1" applyAlignment="1">
      <alignment horizontal="center" vertical="center"/>
    </xf>
    <xf numFmtId="164" fontId="73" fillId="0" borderId="0" xfId="0" applyNumberFormat="1" applyFont="1" applyFill="1" applyAlignment="1">
      <alignment horizontal="center" vertical="center"/>
    </xf>
    <xf numFmtId="0" fontId="73" fillId="0" borderId="0" xfId="0" applyNumberFormat="1" applyFont="1" applyFill="1" applyAlignment="1">
      <alignment horizontal="center" vertical="center" wrapText="1"/>
    </xf>
    <xf numFmtId="0" fontId="74" fillId="0" borderId="0" xfId="0" applyFont="1" applyFill="1" applyAlignment="1">
      <alignment horizontal="center" vertical="center" wrapText="1"/>
    </xf>
    <xf numFmtId="2" fontId="73" fillId="0" borderId="0" xfId="4" applyNumberFormat="1" applyFont="1" applyFill="1" applyAlignment="1">
      <alignment horizontal="center" vertical="center"/>
    </xf>
    <xf numFmtId="164" fontId="61" fillId="0" borderId="0" xfId="0" applyNumberFormat="1" applyFont="1" applyBorder="1" applyAlignment="1">
      <alignment horizontal="center" vertical="center"/>
    </xf>
    <xf numFmtId="0" fontId="61" fillId="0" borderId="0" xfId="0" applyFont="1" applyBorder="1" applyAlignment="1">
      <alignment horizontal="center" vertical="center"/>
    </xf>
    <xf numFmtId="0" fontId="44" fillId="0" borderId="0" xfId="0" applyFont="1" applyBorder="1" applyAlignment="1">
      <alignment horizontal="center" vertical="center"/>
    </xf>
    <xf numFmtId="164" fontId="61" fillId="0" borderId="0" xfId="0" applyNumberFormat="1" applyFont="1" applyFill="1" applyBorder="1" applyAlignment="1">
      <alignment horizontal="center" vertical="center" wrapText="1"/>
    </xf>
    <xf numFmtId="164" fontId="61" fillId="0" borderId="0" xfId="0" applyNumberFormat="1" applyFont="1" applyFill="1" applyAlignment="1">
      <alignment horizontal="center" vertical="center"/>
    </xf>
    <xf numFmtId="164" fontId="61" fillId="0" borderId="0" xfId="0" applyNumberFormat="1" applyFont="1" applyFill="1" applyBorder="1" applyAlignment="1">
      <alignment horizontal="center" vertical="center"/>
    </xf>
    <xf numFmtId="164" fontId="61" fillId="0" borderId="3" xfId="0" applyNumberFormat="1" applyFont="1" applyFill="1" applyBorder="1" applyAlignment="1">
      <alignment horizontal="center" vertical="center"/>
    </xf>
    <xf numFmtId="164" fontId="44" fillId="0" borderId="0" xfId="0" applyNumberFormat="1" applyFont="1" applyFill="1" applyAlignment="1">
      <alignment horizontal="center" vertical="center"/>
    </xf>
    <xf numFmtId="1" fontId="61" fillId="0" borderId="0" xfId="0" applyNumberFormat="1" applyFont="1" applyFill="1" applyAlignment="1">
      <alignment horizontal="center" vertical="center"/>
    </xf>
    <xf numFmtId="1" fontId="44" fillId="0" borderId="0" xfId="0" applyNumberFormat="1" applyFont="1" applyFill="1" applyAlignment="1">
      <alignment horizontal="center" vertical="center"/>
    </xf>
    <xf numFmtId="0" fontId="34" fillId="0" borderId="0" xfId="0" applyFont="1" applyFill="1" applyBorder="1" applyAlignment="1">
      <alignment horizontal="center" vertical="center"/>
    </xf>
    <xf numFmtId="0" fontId="44" fillId="0" borderId="3" xfId="2" applyFont="1" applyBorder="1" applyAlignment="1">
      <alignment horizontal="center" vertical="center" wrapText="1"/>
    </xf>
    <xf numFmtId="0" fontId="33" fillId="0" borderId="3" xfId="2" applyFont="1" applyBorder="1" applyAlignment="1">
      <alignment horizontal="center" vertical="center" wrapText="1"/>
    </xf>
    <xf numFmtId="1" fontId="44" fillId="0" borderId="3" xfId="0" applyNumberFormat="1" applyFont="1" applyFill="1" applyBorder="1" applyAlignment="1">
      <alignment horizontal="center" vertical="center"/>
    </xf>
    <xf numFmtId="164" fontId="44" fillId="0" borderId="3" xfId="0" applyNumberFormat="1" applyFont="1" applyFill="1" applyBorder="1" applyAlignment="1">
      <alignment horizontal="center" vertical="center"/>
    </xf>
    <xf numFmtId="0" fontId="43" fillId="0" borderId="0" xfId="0" applyFont="1" applyBorder="1" applyAlignment="1">
      <alignment horizontal="center" vertical="center" wrapText="1"/>
    </xf>
    <xf numFmtId="2" fontId="44" fillId="0" borderId="0" xfId="0" applyNumberFormat="1" applyFont="1" applyFill="1" applyAlignment="1">
      <alignment horizontal="center" vertical="center"/>
    </xf>
    <xf numFmtId="2" fontId="76" fillId="0" borderId="0" xfId="0" applyNumberFormat="1" applyFont="1" applyAlignment="1">
      <alignment vertical="center"/>
    </xf>
    <xf numFmtId="164" fontId="44" fillId="0" borderId="0" xfId="0" applyNumberFormat="1" applyFont="1" applyFill="1" applyBorder="1" applyAlignment="1">
      <alignment horizontal="center" vertical="center"/>
    </xf>
    <xf numFmtId="0" fontId="66" fillId="0" borderId="0" xfId="0" applyFont="1" applyFill="1" applyAlignment="1">
      <alignment horizontal="left" vertical="center"/>
    </xf>
    <xf numFmtId="0" fontId="2" fillId="0" borderId="0" xfId="0" applyFont="1" applyAlignment="1"/>
    <xf numFmtId="0" fontId="12" fillId="0" borderId="0" xfId="5" applyFont="1" applyAlignment="1">
      <alignment horizontal="left" vertical="center"/>
    </xf>
    <xf numFmtId="0" fontId="12" fillId="0" borderId="0" xfId="5" applyFont="1" applyAlignment="1">
      <alignment horizontal="left"/>
    </xf>
    <xf numFmtId="0" fontId="12" fillId="0" borderId="0" xfId="0" applyFont="1" applyAlignment="1">
      <alignment horizontal="left" vertical="center"/>
    </xf>
    <xf numFmtId="0" fontId="31" fillId="0" borderId="0" xfId="0" applyFont="1" applyFill="1" applyAlignment="1">
      <alignment horizontal="left" vertical="center"/>
    </xf>
    <xf numFmtId="0" fontId="78" fillId="0" borderId="0" xfId="0" applyFont="1" applyFill="1" applyAlignment="1">
      <alignment horizontal="left" vertical="center"/>
    </xf>
    <xf numFmtId="0" fontId="78" fillId="0" borderId="0" xfId="0" applyFont="1" applyFill="1" applyAlignment="1">
      <alignment horizontal="left" vertical="center" wrapText="1"/>
    </xf>
    <xf numFmtId="2" fontId="31" fillId="0" borderId="0" xfId="0" applyNumberFormat="1" applyFont="1" applyFill="1" applyAlignment="1">
      <alignment horizontal="left" vertical="center"/>
    </xf>
    <xf numFmtId="164" fontId="31" fillId="0" borderId="0" xfId="0" applyNumberFormat="1" applyFont="1" applyFill="1" applyAlignment="1">
      <alignment horizontal="left" vertical="center"/>
    </xf>
    <xf numFmtId="0" fontId="12" fillId="0" borderId="0" xfId="0" applyFont="1" applyFill="1" applyAlignment="1">
      <alignment horizontal="left" vertical="center"/>
    </xf>
    <xf numFmtId="0" fontId="44" fillId="0" borderId="0" xfId="0" applyFont="1" applyFill="1" applyAlignment="1">
      <alignment horizontal="center" vertical="center"/>
    </xf>
    <xf numFmtId="0" fontId="66" fillId="0" borderId="0" xfId="5" applyFont="1" applyAlignment="1">
      <alignment horizontal="left" vertical="center"/>
    </xf>
    <xf numFmtId="0" fontId="79" fillId="0" borderId="0" xfId="5" applyFont="1" applyAlignment="1">
      <alignment horizontal="left" vertical="center"/>
    </xf>
    <xf numFmtId="0" fontId="58" fillId="0" borderId="0" xfId="5" applyFont="1" applyAlignment="1">
      <alignment horizontal="center" vertical="center"/>
    </xf>
    <xf numFmtId="0" fontId="68" fillId="0" borderId="0" xfId="5" applyFont="1" applyAlignment="1">
      <alignment horizontal="center" vertical="center"/>
    </xf>
    <xf numFmtId="164" fontId="33" fillId="0" borderId="0" xfId="0" applyNumberFormat="1" applyFont="1" applyAlignment="1">
      <alignment horizontal="center" vertical="center"/>
    </xf>
    <xf numFmtId="0" fontId="79" fillId="0" borderId="0" xfId="5" applyFont="1" applyAlignment="1">
      <alignment horizontal="center" vertical="center"/>
    </xf>
    <xf numFmtId="166" fontId="39" fillId="0" borderId="0" xfId="0" applyNumberFormat="1" applyFont="1" applyAlignment="1">
      <alignment horizontal="center" vertical="center"/>
    </xf>
    <xf numFmtId="0" fontId="81" fillId="0" borderId="0" xfId="0" applyFont="1" applyAlignment="1">
      <alignment horizontal="center" vertical="center" wrapText="1"/>
    </xf>
    <xf numFmtId="0" fontId="81" fillId="0" borderId="0" xfId="0" applyFont="1" applyAlignment="1">
      <alignment horizontal="center" vertical="center"/>
    </xf>
    <xf numFmtId="0" fontId="31" fillId="0" borderId="0" xfId="5" applyFont="1" applyAlignment="1">
      <alignment horizontal="left" vertical="center"/>
    </xf>
    <xf numFmtId="0" fontId="78" fillId="0" borderId="0" xfId="5" applyFont="1" applyAlignment="1">
      <alignment horizontal="left" vertical="center"/>
    </xf>
    <xf numFmtId="165" fontId="31" fillId="0" borderId="0" xfId="4" applyNumberFormat="1" applyFont="1" applyAlignment="1">
      <alignment horizontal="left" vertical="center"/>
    </xf>
    <xf numFmtId="0" fontId="33" fillId="11" borderId="1" xfId="0" applyFont="1" applyFill="1" applyBorder="1" applyAlignment="1">
      <alignment horizontal="center" vertical="center" wrapText="1"/>
    </xf>
    <xf numFmtId="0" fontId="34" fillId="11" borderId="1" xfId="0" applyFont="1" applyFill="1" applyBorder="1" applyAlignment="1">
      <alignment horizontal="center" vertical="center" wrapText="1"/>
    </xf>
    <xf numFmtId="0" fontId="34" fillId="0" borderId="0" xfId="0" applyFont="1" applyAlignment="1">
      <alignment horizontal="center" vertical="center"/>
    </xf>
    <xf numFmtId="165" fontId="33" fillId="0" borderId="0" xfId="4" applyNumberFormat="1" applyFont="1" applyAlignment="1">
      <alignment horizontal="center" vertical="center"/>
    </xf>
    <xf numFmtId="165" fontId="33" fillId="0" borderId="0" xfId="4" applyNumberFormat="1" applyFont="1" applyFill="1" applyAlignment="1">
      <alignment horizontal="center" vertical="center"/>
    </xf>
    <xf numFmtId="0" fontId="81" fillId="0" borderId="0" xfId="0" applyFont="1"/>
    <xf numFmtId="0" fontId="84" fillId="0" borderId="0" xfId="0" applyFont="1"/>
    <xf numFmtId="0" fontId="33" fillId="0" borderId="0" xfId="0" quotePrefix="1" applyFont="1"/>
    <xf numFmtId="0" fontId="0" fillId="0" borderId="0" xfId="0" applyAlignment="1">
      <alignment horizontal="center" vertical="center" wrapText="1"/>
    </xf>
    <xf numFmtId="0" fontId="31" fillId="0" borderId="0" xfId="0" applyFont="1" applyAlignment="1">
      <alignment horizontal="center" vertical="center" wrapText="1"/>
    </xf>
    <xf numFmtId="0" fontId="33" fillId="0" borderId="0" xfId="0" applyFont="1" applyAlignment="1">
      <alignment horizontal="center" wrapText="1"/>
    </xf>
    <xf numFmtId="0" fontId="81" fillId="0" borderId="0" xfId="0" applyFont="1" applyAlignment="1">
      <alignment horizontal="center" wrapText="1"/>
    </xf>
    <xf numFmtId="0" fontId="84" fillId="0" borderId="0" xfId="0" applyFont="1" applyAlignment="1">
      <alignment horizontal="center" wrapText="1"/>
    </xf>
    <xf numFmtId="0" fontId="33" fillId="0" borderId="0" xfId="0" quotePrefix="1" applyFont="1" applyAlignment="1">
      <alignment horizontal="center" wrapText="1"/>
    </xf>
    <xf numFmtId="0" fontId="0" fillId="0" borderId="0" xfId="0" applyAlignment="1">
      <alignment horizontal="center" wrapText="1"/>
    </xf>
    <xf numFmtId="0" fontId="81" fillId="12" borderId="0" xfId="0" applyFont="1" applyFill="1" applyAlignment="1">
      <alignment horizontal="center" vertical="center" wrapText="1"/>
    </xf>
    <xf numFmtId="0" fontId="65" fillId="0" borderId="0" xfId="5" applyFont="1" applyAlignment="1">
      <alignment horizontal="center" vertical="center"/>
    </xf>
    <xf numFmtId="0" fontId="12" fillId="12" borderId="0" xfId="0" applyFont="1" applyFill="1" applyAlignment="1">
      <alignment horizontal="center" vertical="center"/>
    </xf>
    <xf numFmtId="0" fontId="31" fillId="0" borderId="0" xfId="0" applyFont="1" applyAlignment="1">
      <alignment vertical="center"/>
    </xf>
    <xf numFmtId="0" fontId="33" fillId="12" borderId="0" xfId="0" applyFont="1" applyFill="1"/>
    <xf numFmtId="0" fontId="33" fillId="0" borderId="0" xfId="0" applyFont="1" applyAlignment="1">
      <alignment horizontal="center" vertical="center" wrapText="1"/>
    </xf>
    <xf numFmtId="0" fontId="33" fillId="0" borderId="0" xfId="0" applyFont="1" applyAlignment="1">
      <alignment vertical="center"/>
    </xf>
    <xf numFmtId="0" fontId="81" fillId="0" borderId="0" xfId="0" applyFont="1" applyFill="1" applyAlignment="1">
      <alignment horizontal="center" vertical="center"/>
    </xf>
    <xf numFmtId="0" fontId="31" fillId="0" borderId="0" xfId="0" applyFont="1" applyFill="1" applyAlignment="1">
      <alignment vertical="center"/>
    </xf>
    <xf numFmtId="0" fontId="31" fillId="0" borderId="0" xfId="0" applyFont="1" applyAlignment="1">
      <alignment vertical="center" wrapText="1"/>
    </xf>
    <xf numFmtId="0" fontId="33" fillId="0" borderId="0" xfId="0" applyFont="1" applyAlignment="1">
      <alignment wrapText="1"/>
    </xf>
    <xf numFmtId="0" fontId="31" fillId="0" borderId="0" xfId="0" applyFont="1" applyFill="1" applyAlignment="1">
      <alignment vertical="center" wrapText="1"/>
    </xf>
    <xf numFmtId="0" fontId="34" fillId="0" borderId="0" xfId="0" applyFont="1" applyAlignment="1">
      <alignment horizontal="center" vertical="center" wrapText="1"/>
    </xf>
    <xf numFmtId="0" fontId="33" fillId="0" borderId="0" xfId="0" quotePrefix="1" applyFont="1" applyAlignment="1">
      <alignment horizontal="center" vertical="center" wrapText="1"/>
    </xf>
    <xf numFmtId="0" fontId="85" fillId="0" borderId="0" xfId="0" applyFont="1" applyAlignment="1">
      <alignment horizontal="center" vertical="center" wrapText="1"/>
    </xf>
    <xf numFmtId="0" fontId="40" fillId="0" borderId="0" xfId="0" applyFont="1" applyAlignment="1">
      <alignment horizontal="center" vertical="center" wrapText="1"/>
    </xf>
    <xf numFmtId="0" fontId="12" fillId="12" borderId="0" xfId="0" applyFont="1" applyFill="1" applyAlignment="1">
      <alignment horizontal="center" vertical="center" wrapText="1"/>
    </xf>
    <xf numFmtId="0" fontId="64" fillId="0" borderId="0" xfId="0" applyFont="1" applyAlignment="1">
      <alignment horizontal="center" vertical="center" wrapText="1"/>
    </xf>
    <xf numFmtId="2" fontId="56" fillId="0" borderId="0" xfId="0" applyNumberFormat="1" applyFont="1" applyBorder="1" applyAlignment="1">
      <alignment horizontal="center" vertical="center" wrapText="1"/>
    </xf>
    <xf numFmtId="2" fontId="43" fillId="0" borderId="0" xfId="1" applyNumberFormat="1" applyFont="1" applyFill="1" applyBorder="1" applyAlignment="1">
      <alignment horizontal="center" vertical="center" wrapText="1"/>
    </xf>
    <xf numFmtId="2" fontId="43" fillId="0" borderId="3" xfId="0" applyNumberFormat="1" applyFont="1" applyBorder="1" applyAlignment="1">
      <alignment horizontal="center" vertical="center" wrapText="1"/>
    </xf>
    <xf numFmtId="164" fontId="55" fillId="2" borderId="2" xfId="4" applyNumberFormat="1" applyFont="1" applyFill="1" applyBorder="1" applyAlignment="1">
      <alignment horizontal="center" vertical="center" textRotation="90" wrapText="1"/>
    </xf>
    <xf numFmtId="2" fontId="55" fillId="2" borderId="2" xfId="0" applyNumberFormat="1" applyFont="1" applyFill="1" applyBorder="1" applyAlignment="1">
      <alignment horizontal="center" vertical="center" textRotation="90" wrapText="1"/>
    </xf>
    <xf numFmtId="1" fontId="55" fillId="8" borderId="2" xfId="0" applyNumberFormat="1" applyFont="1" applyFill="1" applyBorder="1" applyAlignment="1">
      <alignment horizontal="center" vertical="center" textRotation="90" wrapText="1"/>
    </xf>
    <xf numFmtId="164" fontId="55" fillId="8" borderId="2" xfId="0" applyNumberFormat="1" applyFont="1" applyFill="1" applyBorder="1" applyAlignment="1">
      <alignment horizontal="center" vertical="center" textRotation="90" wrapText="1"/>
    </xf>
    <xf numFmtId="1" fontId="55" fillId="0" borderId="2" xfId="0" applyNumberFormat="1" applyFont="1" applyFill="1" applyBorder="1" applyAlignment="1">
      <alignment horizontal="center" vertical="center" textRotation="90" wrapText="1"/>
    </xf>
    <xf numFmtId="1" fontId="65" fillId="9" borderId="2" xfId="0" applyNumberFormat="1" applyFont="1" applyFill="1" applyBorder="1" applyAlignment="1">
      <alignment horizontal="center" vertical="center" textRotation="90" wrapText="1"/>
    </xf>
    <xf numFmtId="164" fontId="65" fillId="9" borderId="2" xfId="0" applyNumberFormat="1" applyFont="1" applyFill="1" applyBorder="1" applyAlignment="1">
      <alignment horizontal="center" vertical="center" textRotation="90" wrapText="1"/>
    </xf>
    <xf numFmtId="2" fontId="55" fillId="9" borderId="2" xfId="0" applyNumberFormat="1" applyFont="1" applyFill="1" applyBorder="1" applyAlignment="1">
      <alignment horizontal="center" vertical="center" textRotation="90" wrapText="1"/>
    </xf>
    <xf numFmtId="1" fontId="55" fillId="9" borderId="2" xfId="0" applyNumberFormat="1" applyFont="1" applyFill="1" applyBorder="1" applyAlignment="1">
      <alignment horizontal="center" vertical="center" textRotation="90" wrapText="1"/>
    </xf>
    <xf numFmtId="0" fontId="55" fillId="2" borderId="2" xfId="0" applyFont="1" applyFill="1" applyBorder="1" applyAlignment="1">
      <alignment horizontal="center" vertical="center" textRotation="90" wrapText="1"/>
    </xf>
    <xf numFmtId="1" fontId="33" fillId="0" borderId="0" xfId="4" applyNumberFormat="1" applyFont="1" applyBorder="1" applyAlignment="1">
      <alignment horizontal="center" vertical="center"/>
    </xf>
    <xf numFmtId="1" fontId="33" fillId="0" borderId="3" xfId="4" applyNumberFormat="1" applyFont="1" applyBorder="1" applyAlignment="1">
      <alignment horizontal="center" vertical="center" wrapText="1"/>
    </xf>
    <xf numFmtId="1" fontId="39" fillId="0" borderId="0" xfId="0" applyNumberFormat="1" applyFont="1" applyBorder="1" applyAlignment="1">
      <alignment horizontal="center" vertical="center"/>
    </xf>
    <xf numFmtId="0" fontId="33" fillId="14" borderId="0" xfId="0" applyFont="1" applyFill="1"/>
    <xf numFmtId="0" fontId="33" fillId="14" borderId="0" xfId="0" applyFont="1" applyFill="1" applyAlignment="1">
      <alignment wrapText="1"/>
    </xf>
    <xf numFmtId="2" fontId="31" fillId="0" borderId="0" xfId="4" applyNumberFormat="1" applyFont="1" applyFill="1" applyAlignment="1">
      <alignment horizontal="left" vertical="center"/>
    </xf>
    <xf numFmtId="167" fontId="31" fillId="0" borderId="0" xfId="4" applyNumberFormat="1" applyFont="1" applyFill="1" applyAlignment="1">
      <alignment horizontal="left" vertical="center"/>
    </xf>
    <xf numFmtId="0" fontId="31" fillId="0" borderId="0" xfId="0" applyNumberFormat="1" applyFont="1" applyFill="1" applyAlignment="1">
      <alignment horizontal="center" vertical="center" wrapText="1"/>
    </xf>
    <xf numFmtId="2" fontId="31" fillId="11" borderId="0" xfId="0" applyNumberFormat="1" applyFont="1" applyFill="1" applyAlignment="1">
      <alignment horizontal="center" vertical="center" textRotation="90"/>
    </xf>
    <xf numFmtId="0" fontId="31" fillId="11" borderId="0" xfId="0" applyFont="1" applyFill="1" applyAlignment="1">
      <alignment horizontal="center" vertical="center" textRotation="90"/>
    </xf>
    <xf numFmtId="2" fontId="31" fillId="11" borderId="0" xfId="4" applyNumberFormat="1" applyFont="1" applyFill="1" applyAlignment="1">
      <alignment horizontal="center" vertical="center" textRotation="90"/>
    </xf>
    <xf numFmtId="167" fontId="31" fillId="11" borderId="0" xfId="4" applyNumberFormat="1" applyFont="1" applyFill="1" applyAlignment="1">
      <alignment horizontal="center" vertical="center" textRotation="90"/>
    </xf>
    <xf numFmtId="2" fontId="31" fillId="11" borderId="0" xfId="0" applyNumberFormat="1" applyFont="1" applyFill="1" applyAlignment="1">
      <alignment horizontal="center" vertical="center"/>
    </xf>
    <xf numFmtId="164" fontId="31" fillId="11" borderId="0" xfId="0" applyNumberFormat="1" applyFont="1" applyFill="1" applyAlignment="1">
      <alignment horizontal="center" vertical="center"/>
    </xf>
    <xf numFmtId="0" fontId="34" fillId="0" borderId="0" xfId="0" applyFont="1" applyFill="1" applyAlignment="1">
      <alignment horizontal="center" vertical="center" wrapText="1"/>
    </xf>
    <xf numFmtId="0" fontId="85" fillId="0" borderId="0" xfId="0" applyFont="1" applyFill="1" applyAlignment="1">
      <alignment horizontal="center" vertical="center" wrapText="1"/>
    </xf>
    <xf numFmtId="0" fontId="81" fillId="0" borderId="0" xfId="0" applyFont="1" applyFill="1" applyAlignment="1">
      <alignment horizontal="center" vertical="center" wrapText="1"/>
    </xf>
    <xf numFmtId="2" fontId="81" fillId="0" borderId="0" xfId="4" applyNumberFormat="1" applyFont="1" applyFill="1" applyAlignment="1">
      <alignment horizontal="center" vertical="center"/>
    </xf>
    <xf numFmtId="2" fontId="81" fillId="0" borderId="0" xfId="0" applyNumberFormat="1" applyFont="1" applyFill="1" applyAlignment="1">
      <alignment horizontal="center" vertical="center"/>
    </xf>
    <xf numFmtId="167" fontId="81" fillId="0" borderId="0" xfId="4" applyNumberFormat="1" applyFont="1" applyFill="1" applyAlignment="1">
      <alignment horizontal="center" vertical="center"/>
    </xf>
    <xf numFmtId="164" fontId="81" fillId="0" borderId="0" xfId="0" applyNumberFormat="1" applyFont="1" applyFill="1" applyAlignment="1">
      <alignment horizontal="center" vertical="center"/>
    </xf>
    <xf numFmtId="0" fontId="85" fillId="0" borderId="0" xfId="0" applyFont="1" applyFill="1" applyAlignment="1">
      <alignment horizontal="center" vertical="center"/>
    </xf>
    <xf numFmtId="167" fontId="33" fillId="0" borderId="0" xfId="0" applyNumberFormat="1" applyFont="1" applyFill="1" applyAlignment="1">
      <alignment horizontal="center" vertical="center"/>
    </xf>
    <xf numFmtId="167" fontId="33" fillId="0" borderId="0" xfId="4" applyNumberFormat="1" applyFont="1" applyFill="1" applyAlignment="1">
      <alignment horizontal="center" vertical="center" wrapText="1"/>
    </xf>
    <xf numFmtId="167" fontId="33" fillId="0" borderId="0" xfId="0" applyNumberFormat="1" applyFont="1" applyFill="1" applyAlignment="1">
      <alignment horizontal="center" vertical="center" wrapText="1"/>
    </xf>
    <xf numFmtId="0" fontId="81" fillId="0" borderId="0" xfId="0" applyFont="1" applyFill="1" applyAlignment="1">
      <alignment horizontal="center" vertical="center" shrinkToFit="1"/>
    </xf>
    <xf numFmtId="0" fontId="81" fillId="0" borderId="0" xfId="0" applyNumberFormat="1" applyFont="1" applyFill="1" applyAlignment="1">
      <alignment horizontal="center" vertical="center" wrapText="1"/>
    </xf>
    <xf numFmtId="2" fontId="81" fillId="0" borderId="0" xfId="0" applyNumberFormat="1" applyFont="1" applyFill="1" applyAlignment="1">
      <alignment horizontal="center" vertical="center" wrapText="1"/>
    </xf>
    <xf numFmtId="167" fontId="81" fillId="0" borderId="0" xfId="4" applyNumberFormat="1" applyFont="1" applyFill="1" applyAlignment="1">
      <alignment horizontal="center" vertical="center" wrapText="1"/>
    </xf>
    <xf numFmtId="164" fontId="81" fillId="0" borderId="0" xfId="0" applyNumberFormat="1" applyFont="1" applyFill="1" applyAlignment="1">
      <alignment horizontal="center" vertical="center" wrapText="1"/>
    </xf>
    <xf numFmtId="167" fontId="33" fillId="0" borderId="0" xfId="4" applyNumberFormat="1" applyFont="1" applyFill="1" applyAlignment="1">
      <alignment horizontal="center" vertical="center" textRotation="90"/>
    </xf>
    <xf numFmtId="0" fontId="33" fillId="0" borderId="0" xfId="0" applyFont="1" applyFill="1" applyAlignment="1">
      <alignment horizontal="center" vertical="center" textRotation="90"/>
    </xf>
    <xf numFmtId="167" fontId="81" fillId="0" borderId="0" xfId="0" applyNumberFormat="1" applyFont="1" applyFill="1" applyAlignment="1">
      <alignment horizontal="center" vertical="center"/>
    </xf>
    <xf numFmtId="2" fontId="81" fillId="0" borderId="0" xfId="0" applyNumberFormat="1" applyFont="1" applyAlignment="1">
      <alignment horizontal="center" vertical="center"/>
    </xf>
    <xf numFmtId="2" fontId="33" fillId="0" borderId="0" xfId="0" applyNumberFormat="1" applyFont="1" applyFill="1" applyAlignment="1">
      <alignment horizontal="center" vertical="center" wrapText="1"/>
    </xf>
    <xf numFmtId="0" fontId="33" fillId="0" borderId="0" xfId="0" quotePrefix="1" applyFont="1" applyFill="1" applyAlignment="1">
      <alignment horizontal="center" vertical="center"/>
    </xf>
    <xf numFmtId="167" fontId="33" fillId="0" borderId="0" xfId="4" applyNumberFormat="1" applyFont="1" applyAlignment="1">
      <alignment horizontal="center" vertical="center"/>
    </xf>
    <xf numFmtId="167" fontId="81" fillId="0" borderId="0" xfId="4" applyNumberFormat="1" applyFont="1" applyAlignment="1">
      <alignment horizontal="center" vertical="center"/>
    </xf>
    <xf numFmtId="0" fontId="33" fillId="11" borderId="1" xfId="0" applyFont="1" applyFill="1" applyBorder="1" applyAlignment="1">
      <alignment horizontal="center" vertical="center" textRotation="90" wrapText="1"/>
    </xf>
    <xf numFmtId="165" fontId="33" fillId="11" borderId="1" xfId="4" applyNumberFormat="1" applyFont="1" applyFill="1" applyBorder="1" applyAlignment="1">
      <alignment horizontal="center" vertical="center" textRotation="90" wrapText="1"/>
    </xf>
    <xf numFmtId="164" fontId="31" fillId="0" borderId="0" xfId="5" applyNumberFormat="1" applyFont="1" applyAlignment="1">
      <alignment horizontal="left" vertical="center"/>
    </xf>
    <xf numFmtId="164" fontId="33" fillId="11" borderId="1" xfId="0" applyNumberFormat="1" applyFont="1" applyFill="1" applyBorder="1" applyAlignment="1">
      <alignment horizontal="center" vertical="center" textRotation="90" wrapText="1"/>
    </xf>
    <xf numFmtId="164" fontId="83" fillId="0" borderId="0" xfId="0" applyNumberFormat="1" applyFont="1" applyAlignment="1">
      <alignment horizontal="center" vertical="center"/>
    </xf>
    <xf numFmtId="164" fontId="0" fillId="0" borderId="0" xfId="0" applyNumberFormat="1" applyAlignment="1">
      <alignment horizontal="center" vertical="center"/>
    </xf>
    <xf numFmtId="164" fontId="0" fillId="0" borderId="0" xfId="0" applyNumberFormat="1" applyFont="1" applyAlignment="1">
      <alignment horizontal="center" vertical="center"/>
    </xf>
    <xf numFmtId="164" fontId="4" fillId="0" borderId="0" xfId="5" applyNumberFormat="1" applyAlignment="1">
      <alignment horizontal="center" vertical="center"/>
    </xf>
    <xf numFmtId="164" fontId="4" fillId="0" borderId="0" xfId="5" applyNumberFormat="1" applyFont="1" applyAlignment="1">
      <alignment horizontal="center" vertical="center"/>
    </xf>
    <xf numFmtId="164" fontId="31" fillId="11" borderId="0" xfId="0" applyNumberFormat="1" applyFont="1" applyFill="1" applyAlignment="1">
      <alignment horizontal="center" vertical="center" textRotation="90" wrapText="1"/>
    </xf>
    <xf numFmtId="164" fontId="88" fillId="11" borderId="0" xfId="0" applyNumberFormat="1" applyFont="1" applyFill="1" applyAlignment="1">
      <alignment horizontal="center" vertical="center" textRotation="90" wrapText="1"/>
    </xf>
    <xf numFmtId="0" fontId="55" fillId="12" borderId="0" xfId="0" applyFont="1" applyFill="1" applyAlignment="1">
      <alignment horizontal="center" vertical="center" wrapText="1"/>
    </xf>
    <xf numFmtId="0" fontId="67" fillId="12" borderId="0" xfId="5" applyFont="1" applyFill="1" applyAlignment="1">
      <alignment horizontal="center" vertical="center"/>
    </xf>
    <xf numFmtId="0" fontId="39" fillId="12" borderId="0" xfId="5" applyFont="1" applyFill="1" applyAlignment="1">
      <alignment horizontal="center" vertical="center"/>
    </xf>
    <xf numFmtId="164" fontId="33" fillId="0" borderId="0" xfId="0" applyNumberFormat="1" applyFont="1" applyFill="1" applyBorder="1" applyAlignment="1">
      <alignment horizontal="center" vertical="center"/>
    </xf>
    <xf numFmtId="0" fontId="66" fillId="0" borderId="0" xfId="5" applyFont="1" applyBorder="1" applyAlignment="1">
      <alignment horizontal="left" vertical="center"/>
    </xf>
    <xf numFmtId="166" fontId="66" fillId="0" borderId="0" xfId="5" applyNumberFormat="1" applyFont="1" applyFill="1" applyBorder="1" applyAlignment="1">
      <alignment horizontal="left" vertical="center"/>
    </xf>
    <xf numFmtId="2" fontId="66" fillId="0" borderId="0" xfId="5" applyNumberFormat="1" applyFont="1" applyFill="1" applyBorder="1" applyAlignment="1">
      <alignment horizontal="left" vertical="center"/>
    </xf>
    <xf numFmtId="0" fontId="65" fillId="0" borderId="0" xfId="5" applyFont="1" applyBorder="1" applyAlignment="1">
      <alignment horizontal="center" vertical="center"/>
    </xf>
    <xf numFmtId="0" fontId="67" fillId="12" borderId="0" xfId="5" applyFont="1" applyFill="1" applyBorder="1" applyAlignment="1">
      <alignment horizontal="center" vertical="center"/>
    </xf>
    <xf numFmtId="166" fontId="67" fillId="12" borderId="0" xfId="5" applyNumberFormat="1" applyFont="1" applyFill="1" applyBorder="1" applyAlignment="1">
      <alignment horizontal="center" vertical="center" wrapText="1"/>
    </xf>
    <xf numFmtId="2" fontId="67" fillId="12" borderId="0" xfId="5" applyNumberFormat="1" applyFont="1" applyFill="1" applyBorder="1" applyAlignment="1">
      <alignment horizontal="center" vertical="center" wrapText="1"/>
    </xf>
    <xf numFmtId="2" fontId="67" fillId="12" borderId="0" xfId="5" applyNumberFormat="1" applyFont="1" applyFill="1" applyBorder="1" applyAlignment="1">
      <alignment horizontal="center" vertical="center"/>
    </xf>
    <xf numFmtId="166" fontId="67" fillId="12" borderId="0" xfId="5" applyNumberFormat="1" applyFont="1" applyFill="1" applyBorder="1" applyAlignment="1">
      <alignment horizontal="center" vertical="center"/>
    </xf>
    <xf numFmtId="2" fontId="81" fillId="12" borderId="0" xfId="5" applyNumberFormat="1" applyFont="1" applyFill="1" applyBorder="1" applyAlignment="1">
      <alignment horizontal="center" vertical="center" wrapText="1"/>
    </xf>
    <xf numFmtId="166" fontId="33" fillId="0" borderId="0" xfId="0" applyNumberFormat="1" applyFont="1" applyFill="1" applyBorder="1" applyAlignment="1">
      <alignment horizontal="center" vertical="center"/>
    </xf>
    <xf numFmtId="168" fontId="33" fillId="0" borderId="0" xfId="0" applyNumberFormat="1" applyFont="1" applyFill="1" applyBorder="1" applyAlignment="1">
      <alignment horizontal="center" vertical="center"/>
    </xf>
    <xf numFmtId="166" fontId="39" fillId="0" borderId="0" xfId="0" applyNumberFormat="1" applyFont="1" applyFill="1" applyBorder="1" applyAlignment="1">
      <alignment horizontal="center" vertical="center"/>
    </xf>
    <xf numFmtId="164" fontId="39" fillId="0" borderId="0" xfId="0" applyNumberFormat="1" applyFont="1" applyFill="1" applyBorder="1" applyAlignment="1">
      <alignment horizontal="center" vertical="center"/>
    </xf>
    <xf numFmtId="2" fontId="39" fillId="0" borderId="0" xfId="0" applyNumberFormat="1" applyFont="1" applyFill="1" applyBorder="1" applyAlignment="1">
      <alignment horizontal="center" vertical="center"/>
    </xf>
    <xf numFmtId="166" fontId="81" fillId="12" borderId="0" xfId="5" applyNumberFormat="1" applyFont="1" applyFill="1" applyBorder="1" applyAlignment="1">
      <alignment horizontal="center" vertical="center" wrapText="1"/>
    </xf>
    <xf numFmtId="0" fontId="33" fillId="0" borderId="0" xfId="0" applyFont="1" applyFill="1" applyBorder="1" applyAlignment="1">
      <alignment horizontal="center" vertical="center"/>
    </xf>
    <xf numFmtId="0" fontId="39" fillId="0" borderId="0" xfId="0" applyFont="1" applyFill="1" applyBorder="1" applyAlignment="1">
      <alignment horizontal="center" vertical="center"/>
    </xf>
    <xf numFmtId="0" fontId="58" fillId="0" borderId="0" xfId="5" applyFont="1" applyBorder="1" applyAlignment="1">
      <alignment horizontal="center" vertical="center"/>
    </xf>
    <xf numFmtId="166" fontId="58" fillId="0" borderId="0" xfId="5" applyNumberFormat="1" applyFont="1" applyFill="1" applyBorder="1" applyAlignment="1">
      <alignment horizontal="center" vertical="center"/>
    </xf>
    <xf numFmtId="2" fontId="58" fillId="0" borderId="0" xfId="5" applyNumberFormat="1" applyFont="1" applyFill="1" applyBorder="1" applyAlignment="1">
      <alignment horizontal="center" vertical="center"/>
    </xf>
    <xf numFmtId="168" fontId="39" fillId="0" borderId="0" xfId="0" applyNumberFormat="1" applyFont="1" applyFill="1" applyBorder="1" applyAlignment="1">
      <alignment horizontal="center" vertical="center"/>
    </xf>
    <xf numFmtId="0" fontId="33" fillId="0" borderId="0" xfId="0" applyFont="1" applyFill="1" applyBorder="1"/>
    <xf numFmtId="0" fontId="81" fillId="12" borderId="0" xfId="0" applyFont="1" applyFill="1" applyAlignment="1">
      <alignment horizontal="center" vertical="center"/>
    </xf>
    <xf numFmtId="0" fontId="81" fillId="12" borderId="0" xfId="0" applyFont="1" applyFill="1" applyAlignment="1">
      <alignment horizontal="center" vertical="center" textRotation="90" wrapText="1"/>
    </xf>
    <xf numFmtId="2" fontId="31" fillId="14" borderId="0" xfId="8" applyNumberFormat="1" applyFont="1" applyFill="1" applyAlignment="1">
      <alignment horizontal="center" vertical="center"/>
    </xf>
    <xf numFmtId="2" fontId="81" fillId="12" borderId="0" xfId="8" applyNumberFormat="1" applyFont="1" applyFill="1" applyAlignment="1">
      <alignment horizontal="center" vertical="center"/>
    </xf>
    <xf numFmtId="2" fontId="33" fillId="0" borderId="0" xfId="8" applyNumberFormat="1" applyFont="1" applyFill="1" applyAlignment="1">
      <alignment horizontal="center" vertical="center"/>
    </xf>
    <xf numFmtId="2" fontId="31" fillId="0" borderId="0" xfId="8" applyNumberFormat="1" applyFont="1" applyFill="1" applyAlignment="1">
      <alignment horizontal="center" vertical="center"/>
    </xf>
    <xf numFmtId="2" fontId="81" fillId="12" borderId="0" xfId="0" applyNumberFormat="1" applyFont="1" applyFill="1" applyAlignment="1">
      <alignment horizontal="center" vertical="center" textRotation="90" wrapText="1"/>
    </xf>
    <xf numFmtId="2" fontId="0" fillId="0" borderId="0" xfId="8" applyNumberFormat="1" applyFont="1" applyFill="1" applyAlignment="1">
      <alignment horizontal="center" vertical="center"/>
    </xf>
    <xf numFmtId="2" fontId="12" fillId="0" borderId="0" xfId="8" applyNumberFormat="1" applyFont="1" applyFill="1" applyAlignment="1">
      <alignment horizontal="center" vertical="center"/>
    </xf>
    <xf numFmtId="2" fontId="12" fillId="12" borderId="0" xfId="8" applyNumberFormat="1" applyFont="1" applyFill="1" applyAlignment="1">
      <alignment horizontal="center" vertical="center"/>
    </xf>
    <xf numFmtId="2" fontId="31" fillId="0" borderId="0" xfId="8" applyNumberFormat="1" applyFont="1" applyAlignment="1">
      <alignment vertical="center"/>
    </xf>
    <xf numFmtId="2" fontId="33" fillId="0" borderId="0" xfId="8" applyNumberFormat="1" applyFont="1" applyAlignment="1">
      <alignment vertical="center"/>
    </xf>
    <xf numFmtId="2" fontId="81" fillId="0" borderId="0" xfId="8" applyNumberFormat="1" applyFont="1" applyAlignment="1">
      <alignment vertical="center"/>
    </xf>
    <xf numFmtId="2" fontId="31" fillId="0" borderId="0" xfId="8" applyNumberFormat="1" applyFont="1" applyFill="1" applyAlignment="1">
      <alignment vertical="center"/>
    </xf>
    <xf numFmtId="2" fontId="81" fillId="12" borderId="0" xfId="0" applyNumberFormat="1" applyFont="1" applyFill="1" applyAlignment="1">
      <alignment horizontal="center" vertical="center" wrapText="1"/>
    </xf>
    <xf numFmtId="2" fontId="33" fillId="0" borderId="0" xfId="0" applyNumberFormat="1" applyFont="1" applyAlignment="1">
      <alignment horizontal="center" vertical="center" wrapText="1"/>
    </xf>
    <xf numFmtId="2" fontId="33" fillId="0" borderId="0" xfId="0" quotePrefix="1" applyNumberFormat="1" applyFont="1" applyAlignment="1">
      <alignment horizontal="center" vertical="center"/>
    </xf>
    <xf numFmtId="2" fontId="81" fillId="0" borderId="0" xfId="0" applyNumberFormat="1" applyFont="1" applyAlignment="1">
      <alignment horizontal="center" vertical="center" wrapText="1"/>
    </xf>
    <xf numFmtId="2" fontId="33" fillId="0" borderId="0" xfId="8" applyNumberFormat="1" applyFont="1" applyAlignment="1">
      <alignment horizontal="center" vertical="center" wrapText="1"/>
    </xf>
    <xf numFmtId="2" fontId="33" fillId="0" borderId="0" xfId="8" applyNumberFormat="1" applyFont="1" applyAlignment="1">
      <alignment horizontal="center" vertical="center"/>
    </xf>
    <xf numFmtId="2" fontId="0" fillId="0" borderId="0" xfId="8" applyNumberFormat="1" applyFont="1" applyAlignment="1">
      <alignment horizontal="center" vertical="center"/>
    </xf>
    <xf numFmtId="2" fontId="2" fillId="0" borderId="0" xfId="8" applyNumberFormat="1" applyFont="1" applyAlignment="1">
      <alignment horizontal="center" vertical="center"/>
    </xf>
    <xf numFmtId="2" fontId="0" fillId="0" borderId="0" xfId="8" applyNumberFormat="1" applyFont="1" applyAlignment="1">
      <alignment vertical="center"/>
    </xf>
    <xf numFmtId="2" fontId="2" fillId="0" borderId="0" xfId="8" applyNumberFormat="1" applyFont="1" applyAlignment="1">
      <alignment vertical="center"/>
    </xf>
    <xf numFmtId="2" fontId="31" fillId="0" borderId="0" xfId="8" applyNumberFormat="1" applyFont="1" applyFill="1" applyAlignment="1">
      <alignment horizontal="center" vertical="center" wrapText="1"/>
    </xf>
    <xf numFmtId="0" fontId="81" fillId="12" borderId="0" xfId="0" applyFont="1" applyFill="1" applyAlignment="1">
      <alignment horizontal="center"/>
    </xf>
    <xf numFmtId="0" fontId="81" fillId="0" borderId="0" xfId="0" applyFont="1" applyAlignment="1">
      <alignment horizontal="center"/>
    </xf>
    <xf numFmtId="0" fontId="81" fillId="12" borderId="0" xfId="0" applyFont="1" applyFill="1" applyAlignment="1">
      <alignment horizontal="center" wrapText="1"/>
    </xf>
    <xf numFmtId="2" fontId="31" fillId="0" borderId="0" xfId="0" applyNumberFormat="1" applyFont="1" applyAlignment="1">
      <alignment vertical="center" wrapText="1"/>
    </xf>
    <xf numFmtId="1" fontId="61" fillId="0" borderId="0" xfId="0" applyNumberFormat="1" applyFont="1" applyAlignment="1">
      <alignment horizontal="center" vertical="center"/>
    </xf>
    <xf numFmtId="0" fontId="59" fillId="0" borderId="0" xfId="0" applyFont="1" applyFill="1" applyBorder="1" applyAlignment="1">
      <alignment horizontal="center" vertical="center"/>
    </xf>
    <xf numFmtId="0" fontId="34" fillId="0" borderId="3" xfId="2" applyFont="1" applyBorder="1" applyAlignment="1">
      <alignment horizontal="center" vertical="center"/>
    </xf>
    <xf numFmtId="0" fontId="44" fillId="0" borderId="3" xfId="0" applyFont="1" applyBorder="1" applyAlignment="1">
      <alignment horizontal="center" vertical="center"/>
    </xf>
    <xf numFmtId="0" fontId="90" fillId="0" borderId="0" xfId="0" applyFont="1" applyAlignment="1">
      <alignment horizontal="center" vertical="center"/>
    </xf>
    <xf numFmtId="0" fontId="31" fillId="0" borderId="0" xfId="0" applyFont="1" applyAlignment="1">
      <alignment horizontal="left" vertical="center"/>
    </xf>
    <xf numFmtId="0" fontId="31" fillId="0" borderId="0" xfId="5" applyFont="1" applyAlignment="1">
      <alignment vertical="center"/>
    </xf>
    <xf numFmtId="0" fontId="44" fillId="0" borderId="0" xfId="5" applyFont="1"/>
    <xf numFmtId="0" fontId="44" fillId="12" borderId="0" xfId="5" applyFont="1" applyFill="1" applyAlignment="1">
      <alignment horizontal="center" vertical="center" wrapText="1"/>
    </xf>
    <xf numFmtId="0" fontId="92" fillId="0" borderId="0" xfId="0" applyFont="1" applyFill="1" applyAlignment="1">
      <alignment horizontal="center"/>
    </xf>
    <xf numFmtId="0" fontId="93" fillId="0" borderId="0" xfId="0" applyFont="1" applyFill="1" applyAlignment="1">
      <alignment horizontal="center"/>
    </xf>
    <xf numFmtId="0" fontId="93" fillId="0" borderId="0" xfId="0" applyFont="1" applyFill="1" applyAlignment="1">
      <alignment horizontal="center" wrapText="1"/>
    </xf>
    <xf numFmtId="0" fontId="91" fillId="0" borderId="0" xfId="0" applyFont="1"/>
    <xf numFmtId="164" fontId="92" fillId="0" borderId="0" xfId="0" applyNumberFormat="1" applyFont="1" applyFill="1" applyAlignment="1">
      <alignment horizontal="center"/>
    </xf>
    <xf numFmtId="0" fontId="91" fillId="0" borderId="0" xfId="0" applyFont="1" applyFill="1" applyAlignment="1">
      <alignment horizontal="center"/>
    </xf>
    <xf numFmtId="0" fontId="0" fillId="0" borderId="0" xfId="0" applyFont="1" applyFill="1" applyBorder="1"/>
    <xf numFmtId="0" fontId="0" fillId="0" borderId="0" xfId="0" applyFont="1" applyFill="1"/>
    <xf numFmtId="0" fontId="33" fillId="0" borderId="0" xfId="0" quotePrefix="1" applyFont="1" applyAlignment="1">
      <alignment horizontal="center" vertical="center"/>
    </xf>
    <xf numFmtId="0" fontId="33" fillId="0" borderId="0" xfId="0" applyFont="1" applyFill="1" applyBorder="1" applyAlignment="1">
      <alignment horizontal="center" vertical="center" wrapText="1"/>
    </xf>
    <xf numFmtId="0" fontId="0" fillId="0" borderId="0" xfId="0" applyFill="1" applyBorder="1"/>
    <xf numFmtId="166" fontId="33" fillId="0" borderId="0" xfId="0" applyNumberFormat="1" applyFont="1" applyBorder="1" applyAlignment="1">
      <alignment horizontal="center" vertical="center"/>
    </xf>
    <xf numFmtId="166" fontId="81" fillId="0" borderId="0" xfId="0" applyNumberFormat="1" applyFont="1" applyBorder="1" applyAlignment="1">
      <alignment horizontal="center" vertical="center"/>
    </xf>
    <xf numFmtId="1" fontId="44" fillId="0" borderId="0" xfId="0" applyNumberFormat="1" applyFont="1" applyAlignment="1">
      <alignment horizontal="center" vertical="center"/>
    </xf>
    <xf numFmtId="166" fontId="66" fillId="0" borderId="0" xfId="5" applyNumberFormat="1" applyFont="1" applyFill="1" applyBorder="1" applyAlignment="1">
      <alignment horizontal="center" vertical="center"/>
    </xf>
    <xf numFmtId="164" fontId="33" fillId="0" borderId="0" xfId="0" applyNumberFormat="1" applyFont="1" applyBorder="1" applyAlignment="1">
      <alignment horizontal="center" vertical="center"/>
    </xf>
    <xf numFmtId="170" fontId="33" fillId="0" borderId="0" xfId="0" applyNumberFormat="1" applyFont="1" applyBorder="1" applyAlignment="1">
      <alignment horizontal="center" vertical="center"/>
    </xf>
    <xf numFmtId="164" fontId="33" fillId="0" borderId="0" xfId="0" applyNumberFormat="1" applyFont="1" applyBorder="1" applyAlignment="1">
      <alignment horizontal="center" vertical="top"/>
    </xf>
    <xf numFmtId="2" fontId="33" fillId="0" borderId="0" xfId="0" applyNumberFormat="1" applyFont="1" applyBorder="1" applyAlignment="1">
      <alignment horizontal="center" vertical="top"/>
    </xf>
    <xf numFmtId="0" fontId="33" fillId="0" borderId="0" xfId="0" applyFont="1" applyBorder="1" applyAlignment="1">
      <alignment horizontal="center" vertical="top"/>
    </xf>
    <xf numFmtId="166" fontId="33" fillId="0" borderId="0" xfId="0" applyNumberFormat="1" applyFont="1" applyBorder="1" applyAlignment="1">
      <alignment horizontal="center" vertical="top"/>
    </xf>
    <xf numFmtId="0" fontId="55" fillId="12" borderId="4" xfId="0" applyFont="1" applyFill="1" applyBorder="1" applyAlignment="1">
      <alignment horizontal="center" vertical="center" wrapText="1"/>
    </xf>
    <xf numFmtId="164" fontId="55" fillId="12" borderId="2" xfId="0" applyNumberFormat="1" applyFont="1" applyFill="1" applyBorder="1" applyAlignment="1">
      <alignment horizontal="center" vertical="center" textRotation="90" wrapText="1"/>
    </xf>
    <xf numFmtId="164" fontId="55" fillId="12" borderId="2" xfId="0" applyNumberFormat="1" applyFont="1" applyFill="1" applyBorder="1" applyAlignment="1">
      <alignment horizontal="center" vertical="center" wrapText="1"/>
    </xf>
    <xf numFmtId="0" fontId="55" fillId="12" borderId="0" xfId="0" applyFont="1" applyFill="1" applyBorder="1" applyAlignment="1">
      <alignment horizontal="center" vertical="center" wrapText="1"/>
    </xf>
    <xf numFmtId="0" fontId="0" fillId="0" borderId="0" xfId="0" applyFont="1"/>
    <xf numFmtId="0" fontId="65" fillId="0" borderId="7" xfId="0" applyFont="1" applyBorder="1" applyAlignment="1">
      <alignment horizontal="center" vertical="center"/>
    </xf>
    <xf numFmtId="0" fontId="65" fillId="0" borderId="8" xfId="0" applyFont="1" applyBorder="1" applyAlignment="1">
      <alignment horizontal="center" vertical="center" wrapText="1"/>
    </xf>
    <xf numFmtId="0" fontId="65" fillId="0" borderId="7" xfId="0" applyFont="1" applyBorder="1" applyAlignment="1">
      <alignment horizontal="center" vertical="center" wrapText="1"/>
    </xf>
    <xf numFmtId="0" fontId="65" fillId="0" borderId="9" xfId="0" applyFont="1" applyBorder="1" applyAlignment="1">
      <alignment horizontal="center" vertical="center" wrapText="1"/>
    </xf>
    <xf numFmtId="0" fontId="66" fillId="0" borderId="0" xfId="0" applyFont="1" applyAlignment="1">
      <alignment horizontal="center" vertical="center"/>
    </xf>
    <xf numFmtId="0" fontId="65" fillId="0" borderId="0" xfId="0" applyFont="1" applyAlignment="1">
      <alignment horizontal="center" vertical="center"/>
    </xf>
    <xf numFmtId="0" fontId="100" fillId="0" borderId="0" xfId="0" applyFont="1"/>
    <xf numFmtId="0" fontId="39" fillId="0" borderId="5" xfId="0" applyFont="1" applyBorder="1" applyAlignment="1">
      <alignment horizontal="center" vertical="center"/>
    </xf>
    <xf numFmtId="49" fontId="39" fillId="0" borderId="0" xfId="0" applyNumberFormat="1" applyFont="1" applyAlignment="1">
      <alignment horizontal="center" vertical="center"/>
    </xf>
    <xf numFmtId="166" fontId="39" fillId="0" borderId="6" xfId="0" applyNumberFormat="1" applyFont="1" applyBorder="1" applyAlignment="1">
      <alignment horizontal="center" vertical="center"/>
    </xf>
    <xf numFmtId="166" fontId="39" fillId="0" borderId="5" xfId="0" applyNumberFormat="1" applyFont="1" applyBorder="1" applyAlignment="1">
      <alignment horizontal="center" vertical="center"/>
    </xf>
    <xf numFmtId="0" fontId="101" fillId="0" borderId="0" xfId="0" applyFont="1" applyAlignment="1">
      <alignment horizontal="center" vertical="center"/>
    </xf>
    <xf numFmtId="0" fontId="101" fillId="16" borderId="6" xfId="0" applyFont="1" applyFill="1" applyBorder="1" applyAlignment="1">
      <alignment horizontal="center" vertical="center"/>
    </xf>
    <xf numFmtId="0" fontId="101" fillId="11" borderId="6" xfId="0" applyFont="1" applyFill="1" applyBorder="1" applyAlignment="1">
      <alignment horizontal="center" vertical="center"/>
    </xf>
    <xf numFmtId="0" fontId="101" fillId="17" borderId="6" xfId="0" applyFont="1" applyFill="1" applyBorder="1" applyAlignment="1">
      <alignment horizontal="center" vertical="center"/>
    </xf>
    <xf numFmtId="2" fontId="55" fillId="12" borderId="0" xfId="0" applyNumberFormat="1" applyFont="1" applyFill="1" applyAlignment="1">
      <alignment horizontal="center" vertical="center" wrapText="1"/>
    </xf>
    <xf numFmtId="2" fontId="55" fillId="12" borderId="0" xfId="10" applyNumberFormat="1" applyFont="1" applyFill="1" applyAlignment="1">
      <alignment horizontal="center" vertical="center" wrapText="1"/>
    </xf>
    <xf numFmtId="164" fontId="55" fillId="12" borderId="0" xfId="0" applyNumberFormat="1" applyFont="1" applyFill="1" applyAlignment="1">
      <alignment horizontal="center" vertical="center" wrapText="1"/>
    </xf>
    <xf numFmtId="0" fontId="31" fillId="0" borderId="0" xfId="0" applyFont="1" applyAlignment="1">
      <alignment horizontal="center" vertical="center"/>
    </xf>
    <xf numFmtId="0" fontId="78" fillId="0" borderId="0" xfId="0" applyFont="1" applyBorder="1" applyAlignment="1">
      <alignment horizontal="center" vertical="center"/>
    </xf>
    <xf numFmtId="0" fontId="31" fillId="0" borderId="0" xfId="0" applyFont="1" applyBorder="1" applyAlignment="1">
      <alignment horizontal="center" vertical="center"/>
    </xf>
    <xf numFmtId="0" fontId="31" fillId="0" borderId="0" xfId="0" applyFont="1" applyFill="1" applyBorder="1"/>
    <xf numFmtId="0" fontId="12" fillId="0" borderId="0" xfId="0" applyFont="1" applyFill="1" applyBorder="1"/>
    <xf numFmtId="0" fontId="12" fillId="0" borderId="0" xfId="0" applyFont="1" applyFill="1"/>
    <xf numFmtId="0" fontId="12" fillId="0" borderId="0" xfId="0" applyFont="1"/>
    <xf numFmtId="164" fontId="66" fillId="0" borderId="0" xfId="5" applyNumberFormat="1" applyFont="1" applyFill="1" applyBorder="1" applyAlignment="1">
      <alignment horizontal="left" vertical="center"/>
    </xf>
    <xf numFmtId="164" fontId="81" fillId="12" borderId="0" xfId="5" applyNumberFormat="1" applyFont="1" applyFill="1" applyBorder="1" applyAlignment="1">
      <alignment horizontal="center" vertical="center"/>
    </xf>
    <xf numFmtId="164" fontId="58" fillId="0" borderId="0" xfId="5" applyNumberFormat="1" applyFont="1" applyFill="1" applyBorder="1" applyAlignment="1">
      <alignment horizontal="center" vertical="center"/>
    </xf>
    <xf numFmtId="2" fontId="33" fillId="0" borderId="0" xfId="8" applyNumberFormat="1" applyFont="1" applyBorder="1" applyAlignment="1">
      <alignment horizontal="center" vertical="center"/>
    </xf>
    <xf numFmtId="164" fontId="67" fillId="12" borderId="0" xfId="5" applyNumberFormat="1" applyFont="1" applyFill="1" applyBorder="1" applyAlignment="1">
      <alignment horizontal="center" vertical="center"/>
    </xf>
    <xf numFmtId="164" fontId="33" fillId="0" borderId="0" xfId="0" applyNumberFormat="1" applyFont="1" applyBorder="1" applyAlignment="1">
      <alignment horizontal="center" vertical="center" wrapText="1"/>
    </xf>
    <xf numFmtId="169" fontId="33" fillId="0" borderId="0" xfId="0" applyNumberFormat="1" applyFont="1" applyBorder="1" applyAlignment="1">
      <alignment horizontal="center" vertical="center"/>
    </xf>
    <xf numFmtId="169" fontId="33" fillId="0" borderId="0" xfId="0" applyNumberFormat="1" applyFont="1" applyFill="1" applyBorder="1" applyAlignment="1">
      <alignment horizontal="center" vertical="center"/>
    </xf>
    <xf numFmtId="169" fontId="39" fillId="0" borderId="0" xfId="0" applyNumberFormat="1" applyFont="1" applyFill="1" applyBorder="1" applyAlignment="1">
      <alignment horizontal="center" vertical="center"/>
    </xf>
    <xf numFmtId="0" fontId="66" fillId="0" borderId="0" xfId="5" applyFont="1" applyFill="1" applyAlignment="1">
      <alignment horizontal="left" vertical="center"/>
    </xf>
    <xf numFmtId="0" fontId="65" fillId="0" borderId="0" xfId="5" applyFont="1" applyFill="1" applyAlignment="1">
      <alignment horizontal="center" vertical="center"/>
    </xf>
    <xf numFmtId="0" fontId="39" fillId="0" borderId="0" xfId="5" applyFont="1" applyFill="1" applyAlignment="1">
      <alignment horizontal="center" vertical="center"/>
    </xf>
    <xf numFmtId="169" fontId="33" fillId="0" borderId="0" xfId="0" applyNumberFormat="1" applyFont="1" applyFill="1" applyAlignment="1">
      <alignment horizontal="center" vertical="center"/>
    </xf>
    <xf numFmtId="166" fontId="39" fillId="0" borderId="0" xfId="0" applyNumberFormat="1" applyFont="1" applyFill="1" applyAlignment="1">
      <alignment horizontal="center" vertical="center"/>
    </xf>
    <xf numFmtId="168" fontId="39" fillId="0" borderId="0" xfId="0" applyNumberFormat="1" applyFont="1" applyFill="1" applyAlignment="1">
      <alignment horizontal="center" vertical="center"/>
    </xf>
    <xf numFmtId="166" fontId="33" fillId="0" borderId="0" xfId="0" applyNumberFormat="1" applyFont="1" applyFill="1" applyAlignment="1">
      <alignment horizontal="center" vertical="center"/>
    </xf>
    <xf numFmtId="0" fontId="33" fillId="0" borderId="0" xfId="0" applyFont="1" applyFill="1" applyBorder="1" applyAlignment="1">
      <alignment horizontal="center"/>
    </xf>
    <xf numFmtId="166" fontId="58" fillId="0" borderId="0" xfId="5" applyNumberFormat="1" applyFont="1" applyFill="1" applyAlignment="1">
      <alignment horizontal="center" vertical="center"/>
    </xf>
    <xf numFmtId="0" fontId="58" fillId="0" borderId="0" xfId="5" applyFont="1" applyFill="1" applyAlignment="1">
      <alignment horizontal="center" vertical="center"/>
    </xf>
    <xf numFmtId="0" fontId="39" fillId="0" borderId="0" xfId="5" applyFont="1" applyFill="1" applyBorder="1" applyAlignment="1">
      <alignment horizontal="center" vertical="center"/>
    </xf>
    <xf numFmtId="1" fontId="58" fillId="0" borderId="0" xfId="5" applyNumberFormat="1" applyFont="1" applyFill="1" applyAlignment="1">
      <alignment horizontal="center" vertical="center"/>
    </xf>
    <xf numFmtId="169" fontId="33" fillId="0" borderId="0" xfId="0" applyNumberFormat="1" applyFont="1" applyBorder="1" applyAlignment="1">
      <alignment horizontal="center" vertical="top"/>
    </xf>
    <xf numFmtId="164" fontId="33" fillId="0" borderId="0" xfId="10" applyNumberFormat="1" applyFont="1" applyFill="1" applyAlignment="1">
      <alignment horizontal="center" vertical="center"/>
    </xf>
    <xf numFmtId="0" fontId="96" fillId="0" borderId="0" xfId="0" applyFont="1" applyAlignment="1">
      <alignment horizontal="center"/>
    </xf>
    <xf numFmtId="0" fontId="97" fillId="0" borderId="0" xfId="0" applyFont="1" applyAlignment="1">
      <alignment horizontal="center"/>
    </xf>
    <xf numFmtId="0" fontId="98" fillId="0" borderId="0" xfId="0" applyFont="1" applyAlignment="1">
      <alignment horizontal="center"/>
    </xf>
    <xf numFmtId="0" fontId="95" fillId="0" borderId="0" xfId="0" applyFont="1" applyAlignment="1">
      <alignment horizontal="center"/>
    </xf>
    <xf numFmtId="2" fontId="95" fillId="0" borderId="0" xfId="0" applyNumberFormat="1" applyFont="1" applyAlignment="1">
      <alignment horizontal="center"/>
    </xf>
    <xf numFmtId="166" fontId="95" fillId="0" borderId="0" xfId="0" applyNumberFormat="1" applyFont="1" applyAlignment="1">
      <alignment horizontal="center"/>
    </xf>
    <xf numFmtId="0" fontId="12" fillId="0" borderId="0" xfId="0" applyFont="1" applyFill="1" applyAlignment="1">
      <alignment horizontal="center" vertical="center" wrapText="1"/>
    </xf>
    <xf numFmtId="0" fontId="31" fillId="0" borderId="0" xfId="0" applyFont="1" applyAlignment="1">
      <alignment horizontal="left" vertical="center"/>
    </xf>
    <xf numFmtId="2" fontId="63" fillId="0" borderId="0" xfId="0" applyNumberFormat="1" applyFont="1" applyBorder="1" applyAlignment="1">
      <alignment horizontal="center" vertical="center"/>
    </xf>
    <xf numFmtId="0" fontId="101" fillId="16" borderId="0" xfId="0" applyFont="1" applyFill="1" applyAlignment="1">
      <alignment horizontal="center" vertical="center"/>
    </xf>
    <xf numFmtId="0" fontId="101" fillId="17" borderId="0" xfId="0" applyFont="1" applyFill="1" applyAlignment="1">
      <alignment horizontal="center" vertical="center"/>
    </xf>
    <xf numFmtId="0" fontId="33" fillId="18" borderId="0" xfId="0" applyFont="1" applyFill="1" applyBorder="1" applyAlignment="1">
      <alignment horizontal="center" vertical="center"/>
    </xf>
    <xf numFmtId="0" fontId="34" fillId="18" borderId="0" xfId="0" applyFont="1" applyFill="1" applyBorder="1" applyAlignment="1">
      <alignment horizontal="center" vertical="center"/>
    </xf>
    <xf numFmtId="0" fontId="44" fillId="18" borderId="0" xfId="0" applyFont="1" applyFill="1" applyBorder="1" applyAlignment="1">
      <alignment horizontal="center" vertical="center" wrapText="1"/>
    </xf>
    <xf numFmtId="0" fontId="33" fillId="18" borderId="0" xfId="0" applyFont="1" applyFill="1" applyBorder="1" applyAlignment="1">
      <alignment horizontal="center" vertical="center" wrapText="1"/>
    </xf>
    <xf numFmtId="164" fontId="33" fillId="18" borderId="0" xfId="4" applyNumberFormat="1" applyFont="1" applyFill="1" applyBorder="1" applyAlignment="1">
      <alignment horizontal="center" vertical="center" wrapText="1"/>
    </xf>
    <xf numFmtId="2" fontId="33" fillId="18" borderId="0" xfId="0" applyNumberFormat="1" applyFont="1" applyFill="1" applyBorder="1" applyAlignment="1">
      <alignment horizontal="center" vertical="center" wrapText="1"/>
    </xf>
    <xf numFmtId="1" fontId="61" fillId="18" borderId="0" xfId="0" applyNumberFormat="1" applyFont="1" applyFill="1" applyAlignment="1">
      <alignment horizontal="center" vertical="center"/>
    </xf>
    <xf numFmtId="164" fontId="61" fillId="18" borderId="0" xfId="0" applyNumberFormat="1" applyFont="1" applyFill="1" applyAlignment="1">
      <alignment horizontal="center" vertical="center"/>
    </xf>
    <xf numFmtId="1" fontId="44" fillId="18" borderId="0" xfId="0" applyNumberFormat="1" applyFont="1" applyFill="1" applyAlignment="1">
      <alignment horizontal="center" vertical="center"/>
    </xf>
    <xf numFmtId="0" fontId="61" fillId="18" borderId="0" xfId="0" applyFont="1" applyFill="1" applyAlignment="1">
      <alignment horizontal="center" vertical="center"/>
    </xf>
    <xf numFmtId="2" fontId="61" fillId="18" borderId="0" xfId="0" applyNumberFormat="1" applyFont="1" applyFill="1" applyAlignment="1">
      <alignment horizontal="center" vertical="center"/>
    </xf>
    <xf numFmtId="1" fontId="61" fillId="18" borderId="0" xfId="0" applyNumberFormat="1" applyFont="1" applyFill="1" applyBorder="1" applyAlignment="1">
      <alignment horizontal="center" vertical="center"/>
    </xf>
    <xf numFmtId="164" fontId="61" fillId="18" borderId="0" xfId="0" applyNumberFormat="1" applyFont="1" applyFill="1" applyBorder="1" applyAlignment="1">
      <alignment horizontal="center" vertical="center"/>
    </xf>
    <xf numFmtId="1" fontId="61" fillId="18" borderId="0" xfId="0" applyNumberFormat="1" applyFont="1" applyFill="1" applyBorder="1" applyAlignment="1">
      <alignment horizontal="center" vertical="center" wrapText="1"/>
    </xf>
    <xf numFmtId="2" fontId="43" fillId="18" borderId="0" xfId="0" applyNumberFormat="1" applyFont="1" applyFill="1" applyBorder="1" applyAlignment="1">
      <alignment horizontal="center" vertical="center" wrapText="1"/>
    </xf>
    <xf numFmtId="0" fontId="0" fillId="18" borderId="0" xfId="0" applyFill="1"/>
    <xf numFmtId="0" fontId="33" fillId="18" borderId="0" xfId="0" applyFont="1" applyFill="1" applyAlignment="1">
      <alignment horizontal="center" vertical="center"/>
    </xf>
    <xf numFmtId="1" fontId="44" fillId="0" borderId="3" xfId="0" applyNumberFormat="1" applyFont="1" applyBorder="1" applyAlignment="1">
      <alignment horizontal="center" vertical="center"/>
    </xf>
    <xf numFmtId="1" fontId="61" fillId="0" borderId="3" xfId="0" applyNumberFormat="1" applyFont="1" applyFill="1" applyBorder="1" applyAlignment="1">
      <alignment horizontal="center" vertical="center" wrapText="1"/>
    </xf>
    <xf numFmtId="0" fontId="32" fillId="0" borderId="0" xfId="0" applyFont="1" applyFill="1" applyAlignment="1">
      <alignment horizontal="center" vertical="center"/>
    </xf>
    <xf numFmtId="169" fontId="81" fillId="0" borderId="0" xfId="0" applyNumberFormat="1" applyFont="1" applyFill="1" applyBorder="1" applyAlignment="1">
      <alignment horizontal="center" vertical="center"/>
    </xf>
    <xf numFmtId="166" fontId="81" fillId="0" borderId="0" xfId="0" applyNumberFormat="1" applyFont="1" applyFill="1" applyBorder="1" applyAlignment="1">
      <alignment horizontal="center" vertical="center"/>
    </xf>
    <xf numFmtId="169" fontId="81" fillId="0" borderId="0" xfId="0" applyNumberFormat="1" applyFont="1" applyBorder="1" applyAlignment="1">
      <alignment horizontal="center" vertical="center"/>
    </xf>
    <xf numFmtId="166" fontId="81" fillId="0" borderId="0" xfId="0" applyNumberFormat="1" applyFont="1" applyBorder="1" applyAlignment="1">
      <alignment horizontal="center" vertical="top"/>
    </xf>
    <xf numFmtId="0" fontId="105" fillId="0" borderId="0" xfId="0" applyFont="1" applyFill="1" applyAlignment="1">
      <alignment horizontal="center" vertical="center"/>
    </xf>
    <xf numFmtId="0" fontId="106" fillId="0" borderId="0" xfId="0" applyFont="1" applyFill="1" applyAlignment="1">
      <alignment horizontal="center" vertical="center" wrapText="1"/>
    </xf>
    <xf numFmtId="0" fontId="106" fillId="0" borderId="0" xfId="0" applyFont="1" applyFill="1" applyAlignment="1">
      <alignment horizontal="center" vertical="center"/>
    </xf>
    <xf numFmtId="0" fontId="105" fillId="0" borderId="0" xfId="0" applyFont="1" applyFill="1" applyAlignment="1">
      <alignment horizontal="center" vertical="center" wrapText="1"/>
    </xf>
    <xf numFmtId="2" fontId="105" fillId="0" borderId="0" xfId="0" applyNumberFormat="1" applyFont="1" applyFill="1" applyAlignment="1">
      <alignment horizontal="center" vertical="center"/>
    </xf>
    <xf numFmtId="167" fontId="105" fillId="0" borderId="0" xfId="4" applyNumberFormat="1" applyFont="1" applyFill="1" applyAlignment="1">
      <alignment horizontal="center" vertical="center"/>
    </xf>
    <xf numFmtId="164" fontId="105" fillId="0" borderId="0" xfId="0" applyNumberFormat="1" applyFont="1" applyFill="1" applyAlignment="1">
      <alignment horizontal="center" vertical="center"/>
    </xf>
    <xf numFmtId="2" fontId="105" fillId="0" borderId="0" xfId="4" applyNumberFormat="1" applyFont="1" applyFill="1" applyAlignment="1">
      <alignment horizontal="center" vertical="center"/>
    </xf>
    <xf numFmtId="0" fontId="105" fillId="0" borderId="0" xfId="0" applyNumberFormat="1" applyFont="1" applyFill="1" applyAlignment="1">
      <alignment horizontal="center" vertical="center" wrapText="1"/>
    </xf>
    <xf numFmtId="0" fontId="107" fillId="0" borderId="0" xfId="0" applyFont="1" applyAlignment="1">
      <alignment horizontal="center"/>
    </xf>
    <xf numFmtId="0" fontId="107" fillId="0" borderId="0" xfId="0" applyFont="1" applyFill="1" applyAlignment="1">
      <alignment horizontal="center"/>
    </xf>
    <xf numFmtId="0" fontId="92" fillId="0" borderId="0" xfId="0" applyFont="1" applyFill="1" applyAlignment="1">
      <alignment horizontal="center" vertical="center"/>
    </xf>
    <xf numFmtId="0" fontId="93" fillId="0" borderId="0" xfId="0" applyFont="1" applyFill="1" applyAlignment="1">
      <alignment horizontal="center" vertical="center" wrapText="1"/>
    </xf>
    <xf numFmtId="0" fontId="93" fillId="0" borderId="0" xfId="0" applyFont="1" applyFill="1" applyAlignment="1">
      <alignment horizontal="center" vertical="center"/>
    </xf>
    <xf numFmtId="0" fontId="92" fillId="0" borderId="0" xfId="0" applyFont="1" applyFill="1" applyAlignment="1">
      <alignment horizontal="center" vertical="center" wrapText="1"/>
    </xf>
    <xf numFmtId="2" fontId="92" fillId="0" borderId="0" xfId="0" applyNumberFormat="1" applyFont="1" applyFill="1" applyAlignment="1">
      <alignment horizontal="center" vertical="center"/>
    </xf>
    <xf numFmtId="167" fontId="92" fillId="0" borderId="0" xfId="4" applyNumberFormat="1" applyFont="1" applyFill="1" applyAlignment="1">
      <alignment horizontal="center" vertical="center"/>
    </xf>
    <xf numFmtId="164" fontId="92" fillId="0" borderId="0" xfId="0" applyNumberFormat="1" applyFont="1" applyFill="1" applyAlignment="1">
      <alignment horizontal="center" vertical="center"/>
    </xf>
    <xf numFmtId="0" fontId="92" fillId="0" borderId="0" xfId="0" applyNumberFormat="1" applyFont="1" applyFill="1" applyAlignment="1">
      <alignment horizontal="center" vertical="center" wrapText="1"/>
    </xf>
    <xf numFmtId="2" fontId="92" fillId="0" borderId="0" xfId="4" applyNumberFormat="1" applyFont="1" applyFill="1" applyAlignment="1">
      <alignment horizontal="center" vertical="center"/>
    </xf>
    <xf numFmtId="0" fontId="108" fillId="0" borderId="0" xfId="0" applyFont="1" applyFill="1" applyAlignment="1">
      <alignment horizontal="center" vertical="center"/>
    </xf>
    <xf numFmtId="0" fontId="31" fillId="0" borderId="0" xfId="0" applyFont="1" applyAlignment="1">
      <alignment horizontal="left" vertical="center"/>
    </xf>
    <xf numFmtId="2" fontId="63" fillId="0" borderId="0" xfId="0" applyNumberFormat="1" applyFont="1" applyBorder="1" applyAlignment="1">
      <alignment horizontal="center" vertical="center"/>
    </xf>
    <xf numFmtId="166" fontId="65" fillId="0" borderId="0" xfId="5" applyNumberFormat="1" applyFont="1" applyFill="1" applyBorder="1" applyAlignment="1">
      <alignment horizontal="center" vertical="center"/>
    </xf>
    <xf numFmtId="166" fontId="32" fillId="0" borderId="0" xfId="9" applyNumberFormat="1" applyFont="1" applyFill="1" applyBorder="1" applyAlignment="1">
      <alignment horizontal="center" vertical="center"/>
    </xf>
    <xf numFmtId="0" fontId="65" fillId="0" borderId="0" xfId="5" applyFont="1" applyFill="1" applyBorder="1" applyAlignment="1">
      <alignment horizontal="center" vertical="center"/>
    </xf>
    <xf numFmtId="0" fontId="34" fillId="0" borderId="3" xfId="0" applyFont="1" applyFill="1" applyBorder="1" applyAlignment="1">
      <alignment horizontal="center" vertical="center" wrapText="1"/>
    </xf>
    <xf numFmtId="0" fontId="101" fillId="11" borderId="5" xfId="0" applyFont="1" applyFill="1" applyBorder="1" applyAlignment="1">
      <alignment horizontal="center" vertical="center"/>
    </xf>
    <xf numFmtId="0" fontId="101" fillId="11" borderId="0" xfId="0" applyFont="1" applyFill="1" applyAlignment="1">
      <alignment horizontal="center" vertical="center"/>
    </xf>
    <xf numFmtId="0" fontId="101" fillId="16" borderId="0" xfId="0" applyFont="1" applyFill="1" applyAlignment="1">
      <alignment horizontal="center" vertical="center"/>
    </xf>
    <xf numFmtId="0" fontId="101" fillId="17" borderId="5" xfId="0" applyFont="1" applyFill="1" applyBorder="1" applyAlignment="1">
      <alignment horizontal="center" vertical="center"/>
    </xf>
    <xf numFmtId="0" fontId="101" fillId="17" borderId="0" xfId="0" applyFont="1" applyFill="1" applyAlignment="1">
      <alignment horizontal="center" vertical="center"/>
    </xf>
    <xf numFmtId="0" fontId="101" fillId="16" borderId="5" xfId="0" applyFont="1" applyFill="1" applyBorder="1" applyAlignment="1">
      <alignment horizontal="center" vertical="center"/>
    </xf>
  </cellXfs>
  <cellStyles count="11">
    <cellStyle name="Bad" xfId="9" builtinId="27"/>
    <cellStyle name="Comma" xfId="4" builtinId="3"/>
    <cellStyle name="Comma 2" xfId="1" xr:uid="{DD037181-C4E3-6E41-B515-25E38347939E}"/>
    <cellStyle name="Comma 3" xfId="7" xr:uid="{52DF3F83-49B7-9640-B5CA-DF98B5B75831}"/>
    <cellStyle name="Neutral" xfId="10" builtinId="28"/>
    <cellStyle name="Normal" xfId="0" builtinId="0"/>
    <cellStyle name="Normal 2" xfId="3" xr:uid="{B07DCA68-EA31-5844-9888-60DE49D202F0}"/>
    <cellStyle name="Normal 2 3 2 2" xfId="6" xr:uid="{0CAF15AA-C49F-9F44-903E-B46B1A0DDEE3}"/>
    <cellStyle name="Normal 3" xfId="5" xr:uid="{D9EEF920-C27E-514B-8A2D-D29A24578F26}"/>
    <cellStyle name="Normal_Sheet1" xfId="2" xr:uid="{92930DB4-EAFB-964C-8EDD-C58BFF3FE534}"/>
    <cellStyle name="Percent" xfId="8" builtinId="5"/>
  </cellStyles>
  <dxfs count="10">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22</xdr:col>
      <xdr:colOff>114300</xdr:colOff>
      <xdr:row>2</xdr:row>
      <xdr:rowOff>165100</xdr:rowOff>
    </xdr:from>
    <xdr:to>
      <xdr:col>27</xdr:col>
      <xdr:colOff>504825</xdr:colOff>
      <xdr:row>32</xdr:row>
      <xdr:rowOff>38100</xdr:rowOff>
    </xdr:to>
    <xdr:pic>
      <xdr:nvPicPr>
        <xdr:cNvPr id="2" name="Picture 1" descr="page16image1323589952">
          <a:extLst>
            <a:ext uri="{FF2B5EF4-FFF2-40B4-BE49-F238E27FC236}">
              <a16:creationId xmlns:a16="http://schemas.microsoft.com/office/drawing/2014/main" id="{51CB9763-0639-1343-AF88-18753AFA84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186400" y="571500"/>
          <a:ext cx="4457700" cy="601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16</xdr:col>
      <xdr:colOff>0</xdr:colOff>
      <xdr:row>20</xdr:row>
      <xdr:rowOff>0</xdr:rowOff>
    </xdr:from>
    <xdr:to>
      <xdr:col>16</xdr:col>
      <xdr:colOff>304800</xdr:colOff>
      <xdr:row>21</xdr:row>
      <xdr:rowOff>76200</xdr:rowOff>
    </xdr:to>
    <xdr:sp macro="" textlink="">
      <xdr:nvSpPr>
        <xdr:cNvPr id="9217" name="&lt;6e8e51ac-94de-42a5-81cd-9d47e97b6df0@namprd07.prod.outlook.com&gt;" descr="isospace_plot_1_2.pdf">
          <a:extLst>
            <a:ext uri="{FF2B5EF4-FFF2-40B4-BE49-F238E27FC236}">
              <a16:creationId xmlns:a16="http://schemas.microsoft.com/office/drawing/2014/main" id="{FB9C1882-C2E7-974B-B76D-1D81100C53A8}"/>
            </a:ext>
          </a:extLst>
        </xdr:cNvPr>
        <xdr:cNvSpPr>
          <a:spLocks noChangeAspect="1" noChangeArrowheads="1"/>
        </xdr:cNvSpPr>
      </xdr:nvSpPr>
      <xdr:spPr bwMode="auto">
        <a:xfrm>
          <a:off x="11709400" y="293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20</xdr:row>
      <xdr:rowOff>0</xdr:rowOff>
    </xdr:from>
    <xdr:to>
      <xdr:col>16</xdr:col>
      <xdr:colOff>304800</xdr:colOff>
      <xdr:row>21</xdr:row>
      <xdr:rowOff>76200</xdr:rowOff>
    </xdr:to>
    <xdr:sp macro="" textlink="">
      <xdr:nvSpPr>
        <xdr:cNvPr id="9218" name="&lt;6e8e51ac-94de-42a5-81cd-9d47e97b6df0@namprd07.prod.outlook.com&gt;" descr="isospace_plot_1_2.pdf">
          <a:extLst>
            <a:ext uri="{FF2B5EF4-FFF2-40B4-BE49-F238E27FC236}">
              <a16:creationId xmlns:a16="http://schemas.microsoft.com/office/drawing/2014/main" id="{761C6E96-D9C8-564D-9643-AB37D6298940}"/>
            </a:ext>
          </a:extLst>
        </xdr:cNvPr>
        <xdr:cNvSpPr>
          <a:spLocks noChangeAspect="1" noChangeArrowheads="1"/>
        </xdr:cNvSpPr>
      </xdr:nvSpPr>
      <xdr:spPr bwMode="auto">
        <a:xfrm>
          <a:off x="11709400" y="293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meliavillasenor/Dropbox/UNM%20postdoc/Large%20mammal%20isotopes/Enamel%20sampling_10_7_201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st"/>
      <sheetName val="Sheet1"/>
    </sheetNames>
    <sheetDataSet>
      <sheetData sheetId="0" refreshError="1">
        <row r="1">
          <cell r="A1" t="str">
            <v>TMM ID</v>
          </cell>
          <cell r="B1" t="str">
            <v>Date</v>
          </cell>
          <cell r="C1" t="str">
            <v>Genus</v>
          </cell>
          <cell r="D1" t="str">
            <v xml:space="preserve">Species </v>
          </cell>
          <cell r="E1" t="str">
            <v>Museum ID</v>
          </cell>
          <cell r="F1" t="str">
            <v>d13C</v>
          </cell>
          <cell r="G1" t="str">
            <v>d18O</v>
          </cell>
          <cell r="H1" t="str">
            <v>Site Name</v>
          </cell>
          <cell r="I1" t="str">
            <v>County</v>
          </cell>
          <cell r="J1" t="str">
            <v>Level/Age</v>
          </cell>
          <cell r="K1" t="str">
            <v>Element</v>
          </cell>
          <cell r="L1" t="str">
            <v>Measured by</v>
          </cell>
          <cell r="M1" t="str">
            <v>Collagen Sample?</v>
          </cell>
          <cell r="N1" t="str">
            <v>Collagen sampled by</v>
          </cell>
          <cell r="O1" t="str">
            <v>Enamel Sampled?</v>
          </cell>
          <cell r="P1" t="str">
            <v>Enamel processed?</v>
          </cell>
        </row>
        <row r="2">
          <cell r="A2" t="str">
            <v>1295-33</v>
          </cell>
          <cell r="B2">
            <v>43238</v>
          </cell>
          <cell r="C2" t="str">
            <v>Equus</v>
          </cell>
          <cell r="D2" t="str">
            <v>large species</v>
          </cell>
          <cell r="E2" t="str">
            <v>TMM</v>
          </cell>
          <cell r="F2">
            <v>-5.5530666666666679</v>
          </cell>
          <cell r="G2">
            <v>-3.7584667072831053</v>
          </cell>
          <cell r="H2" t="str">
            <v>Clamp Cave</v>
          </cell>
          <cell r="I2" t="str">
            <v>San Saba</v>
          </cell>
          <cell r="K2" t="str">
            <v>Molar or premolar, rt upper frag</v>
          </cell>
          <cell r="O2" t="str">
            <v>yes</v>
          </cell>
          <cell r="P2">
            <v>43402</v>
          </cell>
        </row>
        <row r="3">
          <cell r="A3" t="str">
            <v>30967-1214</v>
          </cell>
          <cell r="B3">
            <v>43118</v>
          </cell>
          <cell r="C3" t="str">
            <v>Mammuthus</v>
          </cell>
          <cell r="E3" t="str">
            <v>TMM</v>
          </cell>
          <cell r="F3">
            <v>-1.5494000000000008</v>
          </cell>
          <cell r="G3">
            <v>-2.1523310131962035</v>
          </cell>
          <cell r="H3" t="str">
            <v>Ingleside</v>
          </cell>
          <cell r="I3" t="str">
            <v>San Patricio</v>
          </cell>
          <cell r="K3" t="str">
            <v>molar</v>
          </cell>
          <cell r="M3" t="str">
            <v>n</v>
          </cell>
          <cell r="O3" t="str">
            <v>y</v>
          </cell>
          <cell r="P3">
            <v>43403</v>
          </cell>
        </row>
        <row r="4">
          <cell r="A4" t="str">
            <v>30967-165</v>
          </cell>
          <cell r="B4">
            <v>43118</v>
          </cell>
          <cell r="C4" t="str">
            <v>Mammuthus</v>
          </cell>
          <cell r="E4" t="str">
            <v>TMM</v>
          </cell>
          <cell r="F4">
            <v>-1.9357333333333342</v>
          </cell>
          <cell r="G4">
            <v>-1.4326254612759612</v>
          </cell>
          <cell r="H4" t="str">
            <v>Ingleside</v>
          </cell>
          <cell r="I4" t="str">
            <v>San Patricio</v>
          </cell>
          <cell r="K4" t="str">
            <v>molar</v>
          </cell>
          <cell r="M4" t="str">
            <v>n</v>
          </cell>
          <cell r="O4" t="str">
            <v>y</v>
          </cell>
          <cell r="P4">
            <v>43403</v>
          </cell>
        </row>
        <row r="5">
          <cell r="A5" t="str">
            <v>30967-205</v>
          </cell>
          <cell r="B5">
            <v>43118</v>
          </cell>
          <cell r="C5" t="str">
            <v>Mammut</v>
          </cell>
          <cell r="E5" t="str">
            <v>TMM</v>
          </cell>
          <cell r="F5">
            <v>-9.420399999999999</v>
          </cell>
          <cell r="G5">
            <v>-3.7684303282140945</v>
          </cell>
          <cell r="H5" t="str">
            <v>Ingleside</v>
          </cell>
          <cell r="I5" t="str">
            <v>San Patricio</v>
          </cell>
          <cell r="K5" t="str">
            <v>molar</v>
          </cell>
          <cell r="M5" t="str">
            <v>n</v>
          </cell>
          <cell r="O5" t="str">
            <v>y</v>
          </cell>
          <cell r="P5">
            <v>43403</v>
          </cell>
        </row>
        <row r="6">
          <cell r="A6" t="str">
            <v>30967-2238</v>
          </cell>
          <cell r="B6">
            <v>43238</v>
          </cell>
          <cell r="C6" t="str">
            <v>Camelops</v>
          </cell>
          <cell r="E6" t="str">
            <v>TMM</v>
          </cell>
          <cell r="F6">
            <v>-11.1234</v>
          </cell>
          <cell r="G6">
            <v>-3.0839295702502341</v>
          </cell>
          <cell r="H6" t="str">
            <v>Ingleside</v>
          </cell>
          <cell r="I6" t="str">
            <v>San Patricio</v>
          </cell>
          <cell r="K6" t="str">
            <v>UM1</v>
          </cell>
          <cell r="O6" t="str">
            <v>yes</v>
          </cell>
          <cell r="P6">
            <v>43403</v>
          </cell>
        </row>
        <row r="7">
          <cell r="A7" t="str">
            <v>31141-34</v>
          </cell>
          <cell r="B7">
            <v>43238</v>
          </cell>
          <cell r="C7" t="str">
            <v>Antilocapridae</v>
          </cell>
          <cell r="E7" t="str">
            <v>TMM</v>
          </cell>
          <cell r="F7">
            <v>-2.4614000000000007</v>
          </cell>
          <cell r="G7">
            <v>1.0327064777659416</v>
          </cell>
          <cell r="H7" t="str">
            <v>Aransas river</v>
          </cell>
          <cell r="I7" t="str">
            <v>San Patricio</v>
          </cell>
          <cell r="K7" t="str">
            <v>UM1 or 2</v>
          </cell>
          <cell r="O7" t="str">
            <v>yes</v>
          </cell>
          <cell r="P7">
            <v>43398</v>
          </cell>
        </row>
        <row r="8">
          <cell r="A8" t="str">
            <v>40449-127</v>
          </cell>
          <cell r="B8">
            <v>43238</v>
          </cell>
          <cell r="C8" t="str">
            <v>Odocoileus</v>
          </cell>
          <cell r="E8" t="str">
            <v>TMM</v>
          </cell>
          <cell r="F8">
            <v>-14.025066666666666</v>
          </cell>
          <cell r="G8">
            <v>-4.7066712992223074</v>
          </cell>
          <cell r="H8" t="str">
            <v>Levi Shelter</v>
          </cell>
          <cell r="I8" t="str">
            <v>Travis County</v>
          </cell>
          <cell r="J8" t="str">
            <v>Zone 4, 36</v>
          </cell>
          <cell r="K8" t="str">
            <v>dentary with tooth (i/1-m/3) left (1)</v>
          </cell>
          <cell r="M8" t="str">
            <v>yes</v>
          </cell>
          <cell r="N8" t="str">
            <v>CPT</v>
          </cell>
          <cell r="O8" t="str">
            <v>yes</v>
          </cell>
          <cell r="P8">
            <v>43402</v>
          </cell>
        </row>
        <row r="9">
          <cell r="A9" t="str">
            <v>40449-133</v>
          </cell>
          <cell r="B9">
            <v>43238</v>
          </cell>
          <cell r="C9" t="str">
            <v>Odocoileus</v>
          </cell>
          <cell r="E9" t="str">
            <v>TMM</v>
          </cell>
          <cell r="F9">
            <v>-11.4274</v>
          </cell>
          <cell r="G9">
            <v>-2.1426995129628494</v>
          </cell>
          <cell r="H9" t="str">
            <v>Levi Shelter</v>
          </cell>
          <cell r="I9" t="str">
            <v>Travis County</v>
          </cell>
          <cell r="J9" t="str">
            <v>Zone 5, Sq 12</v>
          </cell>
          <cell r="K9" t="str">
            <v>dentary with tooth (m/1, m/2, m/3) left, fragmentary (1)</v>
          </cell>
          <cell r="M9" t="str">
            <v>yes</v>
          </cell>
          <cell r="N9" t="str">
            <v>CPT</v>
          </cell>
          <cell r="O9" t="str">
            <v>yes</v>
          </cell>
          <cell r="P9" t="str">
            <v>?</v>
          </cell>
        </row>
        <row r="10">
          <cell r="A10" t="str">
            <v>40529-9</v>
          </cell>
          <cell r="B10">
            <v>43118</v>
          </cell>
          <cell r="C10" t="str">
            <v>Mammuthus</v>
          </cell>
          <cell r="E10" t="str">
            <v>TMM</v>
          </cell>
          <cell r="F10">
            <v>-1.1507333333333341</v>
          </cell>
          <cell r="G10">
            <v>-3.333020093526784</v>
          </cell>
          <cell r="H10" t="str">
            <v>E &amp; A Gravel Pit</v>
          </cell>
          <cell r="K10" t="str">
            <v>molar</v>
          </cell>
          <cell r="M10" t="str">
            <v>n</v>
          </cell>
          <cell r="O10" t="str">
            <v>y</v>
          </cell>
          <cell r="P10">
            <v>43403</v>
          </cell>
        </row>
        <row r="11">
          <cell r="A11" t="str">
            <v>40685-2260</v>
          </cell>
          <cell r="B11">
            <v>43118</v>
          </cell>
          <cell r="C11" t="str">
            <v>Equus</v>
          </cell>
          <cell r="D11" t="str">
            <v>niobrarensis</v>
          </cell>
          <cell r="E11" t="str">
            <v>TMM</v>
          </cell>
          <cell r="F11">
            <v>-5.8474000000000004</v>
          </cell>
          <cell r="G11">
            <v>-2.8195614948795082</v>
          </cell>
          <cell r="H11" t="str">
            <v>Zesch Cave</v>
          </cell>
          <cell r="I11" t="str">
            <v>Kerr</v>
          </cell>
          <cell r="K11" t="str">
            <v>tooth (M1 upper left)</v>
          </cell>
          <cell r="M11" t="str">
            <v>y</v>
          </cell>
          <cell r="N11" t="str">
            <v>EES</v>
          </cell>
          <cell r="O11" t="str">
            <v>y</v>
          </cell>
          <cell r="P11">
            <v>43403</v>
          </cell>
        </row>
        <row r="12">
          <cell r="A12" t="str">
            <v>43067-29</v>
          </cell>
          <cell r="B12">
            <v>43238</v>
          </cell>
          <cell r="C12" t="str">
            <v>Equus</v>
          </cell>
          <cell r="E12" t="str">
            <v>TMM</v>
          </cell>
          <cell r="F12">
            <v>-2.9227333333333343</v>
          </cell>
          <cell r="G12">
            <v>-1.2247179045145913</v>
          </cell>
          <cell r="H12" t="str">
            <v>Avenue Site</v>
          </cell>
          <cell r="I12" t="str">
            <v>Travis</v>
          </cell>
          <cell r="K12" t="str">
            <v>LM or LPM, lt.</v>
          </cell>
          <cell r="O12" t="str">
            <v>yes</v>
          </cell>
          <cell r="P12">
            <v>43398</v>
          </cell>
        </row>
        <row r="13">
          <cell r="A13" t="str">
            <v>43067-62</v>
          </cell>
          <cell r="B13">
            <v>43238</v>
          </cell>
          <cell r="C13" t="str">
            <v>Equus</v>
          </cell>
          <cell r="E13" t="str">
            <v>TMM</v>
          </cell>
          <cell r="F13">
            <v>-3.8817333333333339</v>
          </cell>
          <cell r="G13">
            <v>-3.5562052023825572</v>
          </cell>
          <cell r="H13" t="str">
            <v>Avenue Site</v>
          </cell>
          <cell r="I13" t="str">
            <v>Travis</v>
          </cell>
          <cell r="K13" t="str">
            <v>UM or PM, lt</v>
          </cell>
          <cell r="O13" t="str">
            <v>yes</v>
          </cell>
          <cell r="P13">
            <v>43398</v>
          </cell>
        </row>
        <row r="14">
          <cell r="A14" t="str">
            <v>892-2E</v>
          </cell>
          <cell r="B14">
            <v>43118</v>
          </cell>
          <cell r="C14" t="str">
            <v>Bison</v>
          </cell>
          <cell r="D14" t="str">
            <v>antiguus</v>
          </cell>
          <cell r="E14" t="str">
            <v>TMM</v>
          </cell>
          <cell r="F14">
            <v>-1.1700666666666675</v>
          </cell>
          <cell r="G14">
            <v>-5.0261714104116209</v>
          </cell>
          <cell r="H14" t="str">
            <v>Lubbock Lake</v>
          </cell>
          <cell r="K14" t="str">
            <v>tooth fragments</v>
          </cell>
          <cell r="O14" t="str">
            <v>yes</v>
          </cell>
          <cell r="P14">
            <v>43403</v>
          </cell>
        </row>
        <row r="15">
          <cell r="A15" t="str">
            <v>908-1755</v>
          </cell>
          <cell r="B15">
            <v>43118</v>
          </cell>
          <cell r="C15" t="str">
            <v>Antilocapra</v>
          </cell>
          <cell r="D15" t="str">
            <v>americana</v>
          </cell>
          <cell r="E15" t="str">
            <v>TMM</v>
          </cell>
          <cell r="F15">
            <v>-10.607066666666666</v>
          </cell>
          <cell r="G15">
            <v>1.3757871584921304</v>
          </cell>
          <cell r="H15" t="str">
            <v>Kincaid Shelter</v>
          </cell>
          <cell r="I15" t="str">
            <v>Uvalde</v>
          </cell>
          <cell r="J15" t="str">
            <v>Zone 6, Square A-G, 5-6</v>
          </cell>
          <cell r="K15" t="str">
            <v>Rt LM3, frag</v>
          </cell>
          <cell r="M15" t="str">
            <v>n</v>
          </cell>
          <cell r="O15" t="str">
            <v>y</v>
          </cell>
          <cell r="P15">
            <v>43380</v>
          </cell>
        </row>
        <row r="16">
          <cell r="A16" t="str">
            <v>908-2462</v>
          </cell>
          <cell r="B16">
            <v>43238</v>
          </cell>
          <cell r="C16" t="str">
            <v>Equus</v>
          </cell>
          <cell r="E16" t="str">
            <v>TMM</v>
          </cell>
          <cell r="F16">
            <v>-0.48806666666666743</v>
          </cell>
          <cell r="G16">
            <v>-0.80458522192157034</v>
          </cell>
          <cell r="H16" t="str">
            <v>Kincaid Shelter</v>
          </cell>
          <cell r="I16" t="str">
            <v>Uvalde County</v>
          </cell>
          <cell r="J16" t="str">
            <v>Zone 4, Square C-D, 2-3</v>
          </cell>
          <cell r="K16" t="str">
            <v>incisor, d-frag</v>
          </cell>
          <cell r="M16" t="str">
            <v>no</v>
          </cell>
          <cell r="O16" t="str">
            <v>yes</v>
          </cell>
          <cell r="P16">
            <v>43398</v>
          </cell>
        </row>
        <row r="17">
          <cell r="A17" t="str">
            <v>908-2471</v>
          </cell>
          <cell r="B17">
            <v>43118</v>
          </cell>
          <cell r="C17" t="str">
            <v>Equus</v>
          </cell>
          <cell r="E17" t="str">
            <v>TMM</v>
          </cell>
          <cell r="F17">
            <v>-2.0160666666666676</v>
          </cell>
          <cell r="G17">
            <v>-6.3623945348354027E-2</v>
          </cell>
          <cell r="H17" t="str">
            <v>Kincaid Shelter</v>
          </cell>
          <cell r="I17" t="str">
            <v>Uvalde</v>
          </cell>
          <cell r="J17" t="str">
            <v>Zone 3, Square D-E, 2-3</v>
          </cell>
          <cell r="K17" t="str">
            <v>M or PM, lt lower</v>
          </cell>
          <cell r="M17" t="str">
            <v>n</v>
          </cell>
          <cell r="O17" t="str">
            <v>y</v>
          </cell>
          <cell r="P17">
            <v>43402</v>
          </cell>
        </row>
        <row r="18">
          <cell r="A18" t="str">
            <v>933-973</v>
          </cell>
          <cell r="B18">
            <v>43118</v>
          </cell>
          <cell r="C18" t="str">
            <v>Tapirus</v>
          </cell>
          <cell r="E18" t="str">
            <v>TMM</v>
          </cell>
          <cell r="F18">
            <v>-10.479066666666666</v>
          </cell>
          <cell r="G18">
            <v>-6.0215371414244601</v>
          </cell>
          <cell r="H18" t="str">
            <v>Friesenhahn cave</v>
          </cell>
          <cell r="I18" t="str">
            <v>Bexar County</v>
          </cell>
          <cell r="J18" t="str">
            <v>Late Pleistocene</v>
          </cell>
          <cell r="K18" t="str">
            <v>Lt. upper P2</v>
          </cell>
          <cell r="M18" t="str">
            <v>y</v>
          </cell>
          <cell r="N18" t="str">
            <v>x</v>
          </cell>
          <cell r="O18" t="str">
            <v>?</v>
          </cell>
          <cell r="P18">
            <v>43403</v>
          </cell>
        </row>
        <row r="19">
          <cell r="A19" t="str">
            <v>uncatalougedA</v>
          </cell>
          <cell r="B19">
            <v>43118</v>
          </cell>
          <cell r="C19" t="str">
            <v>Mammuthus</v>
          </cell>
          <cell r="E19" t="str">
            <v>TMM</v>
          </cell>
          <cell r="F19">
            <v>-0.68406666666666738</v>
          </cell>
          <cell r="G19">
            <v>-2.1669443238952226</v>
          </cell>
          <cell r="H19" t="str">
            <v>Ingleside</v>
          </cell>
          <cell r="I19" t="str">
            <v>San Patricio</v>
          </cell>
          <cell r="K19" t="str">
            <v>molar</v>
          </cell>
          <cell r="M19" t="str">
            <v>y?</v>
          </cell>
          <cell r="N19" t="str">
            <v>EES</v>
          </cell>
          <cell r="O19" t="str">
            <v>y</v>
          </cell>
          <cell r="P19">
            <v>43403</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115EA-B4B7-F940-AF69-9E9BF7D38713}">
  <dimension ref="A2:EH334"/>
  <sheetViews>
    <sheetView topLeftCell="A310" zoomScale="124" zoomScaleNormal="124" workbookViewId="0">
      <selection activeCell="C109" sqref="C109"/>
    </sheetView>
  </sheetViews>
  <sheetFormatPr baseColWidth="10" defaultColWidth="10.5" defaultRowHeight="16"/>
  <cols>
    <col min="1" max="1" width="13" style="2" customWidth="1"/>
    <col min="2" max="2" width="10.5" style="2"/>
    <col min="3" max="3" width="18.5" customWidth="1"/>
    <col min="4" max="4" width="13.5" customWidth="1"/>
    <col min="12" max="12" width="10.5" style="179"/>
    <col min="13" max="13" width="10.5" style="171"/>
  </cols>
  <sheetData>
    <row r="2" spans="1:3">
      <c r="B2" s="2" t="s">
        <v>0</v>
      </c>
    </row>
    <row r="5" spans="1:3">
      <c r="A5" s="2" t="s">
        <v>1</v>
      </c>
      <c r="B5" s="2" t="s">
        <v>2</v>
      </c>
      <c r="C5" t="s">
        <v>3</v>
      </c>
    </row>
    <row r="6" spans="1:3">
      <c r="A6" s="2" t="s">
        <v>4</v>
      </c>
      <c r="B6" s="2" t="s">
        <v>2</v>
      </c>
      <c r="C6" t="s">
        <v>5</v>
      </c>
    </row>
    <row r="7" spans="1:3">
      <c r="B7" s="2" t="s">
        <v>2</v>
      </c>
      <c r="C7" t="s">
        <v>6</v>
      </c>
    </row>
    <row r="9" spans="1:3">
      <c r="A9" s="100">
        <v>44013</v>
      </c>
      <c r="B9" s="2" t="s">
        <v>2</v>
      </c>
      <c r="C9" t="s">
        <v>7</v>
      </c>
    </row>
    <row r="10" spans="1:3">
      <c r="B10" s="2" t="s">
        <v>2</v>
      </c>
      <c r="C10" t="s">
        <v>8</v>
      </c>
    </row>
    <row r="12" spans="1:3">
      <c r="A12" s="101">
        <v>44022</v>
      </c>
      <c r="B12" s="2" t="s">
        <v>9</v>
      </c>
      <c r="C12" t="s">
        <v>10</v>
      </c>
    </row>
    <row r="13" spans="1:3">
      <c r="A13" s="102">
        <v>44023</v>
      </c>
      <c r="B13" s="2" t="s">
        <v>2</v>
      </c>
      <c r="C13" t="s">
        <v>11</v>
      </c>
    </row>
    <row r="14" spans="1:3">
      <c r="B14" s="2" t="s">
        <v>2</v>
      </c>
      <c r="C14" t="s">
        <v>12</v>
      </c>
    </row>
    <row r="15" spans="1:3">
      <c r="B15" s="2" t="s">
        <v>2</v>
      </c>
      <c r="C15" t="s">
        <v>13</v>
      </c>
    </row>
    <row r="16" spans="1:3">
      <c r="B16" s="2" t="s">
        <v>2</v>
      </c>
      <c r="C16" t="s">
        <v>14</v>
      </c>
    </row>
    <row r="17" spans="1:3">
      <c r="A17" s="102">
        <v>44043</v>
      </c>
      <c r="B17" s="2" t="s">
        <v>2</v>
      </c>
      <c r="C17" t="s">
        <v>15</v>
      </c>
    </row>
    <row r="18" spans="1:3">
      <c r="C18" t="s">
        <v>16</v>
      </c>
    </row>
    <row r="19" spans="1:3">
      <c r="A19" s="2" t="s">
        <v>17</v>
      </c>
      <c r="C19" t="s">
        <v>18</v>
      </c>
    </row>
    <row r="20" spans="1:3">
      <c r="C20" t="s">
        <v>19</v>
      </c>
    </row>
    <row r="21" spans="1:3">
      <c r="C21" t="s">
        <v>20</v>
      </c>
    </row>
    <row r="22" spans="1:3">
      <c r="C22" t="s">
        <v>21</v>
      </c>
    </row>
    <row r="23" spans="1:3">
      <c r="A23" s="102">
        <v>44062</v>
      </c>
      <c r="B23" s="2" t="s">
        <v>2</v>
      </c>
      <c r="C23" t="s">
        <v>22</v>
      </c>
    </row>
    <row r="24" spans="1:3">
      <c r="A24" s="102">
        <v>44063</v>
      </c>
      <c r="B24" s="2" t="s">
        <v>2</v>
      </c>
      <c r="C24" t="s">
        <v>23</v>
      </c>
    </row>
    <row r="25" spans="1:3">
      <c r="A25" s="102">
        <v>44067</v>
      </c>
      <c r="B25" s="2" t="s">
        <v>2</v>
      </c>
      <c r="C25" t="s">
        <v>24</v>
      </c>
    </row>
    <row r="26" spans="1:3">
      <c r="B26" s="2" t="s">
        <v>2</v>
      </c>
      <c r="C26" t="s">
        <v>25</v>
      </c>
    </row>
    <row r="27" spans="1:3">
      <c r="C27" t="s">
        <v>26</v>
      </c>
    </row>
    <row r="28" spans="1:3">
      <c r="A28" s="102">
        <v>44085</v>
      </c>
      <c r="B28" s="2" t="s">
        <v>2</v>
      </c>
      <c r="C28" t="s">
        <v>27</v>
      </c>
    </row>
    <row r="29" spans="1:3">
      <c r="C29" t="s">
        <v>28</v>
      </c>
    </row>
    <row r="30" spans="1:3" ht="20">
      <c r="C30" s="84" t="s">
        <v>29</v>
      </c>
    </row>
    <row r="32" spans="1:3">
      <c r="A32" s="102">
        <v>44088</v>
      </c>
      <c r="B32" s="2" t="s">
        <v>2</v>
      </c>
      <c r="C32" t="s">
        <v>30</v>
      </c>
    </row>
    <row r="33" spans="1:13">
      <c r="A33" s="2" t="s">
        <v>31</v>
      </c>
      <c r="C33" t="s">
        <v>32</v>
      </c>
    </row>
    <row r="34" spans="1:13">
      <c r="C34" t="s">
        <v>33</v>
      </c>
    </row>
    <row r="35" spans="1:13">
      <c r="C35" t="s">
        <v>34</v>
      </c>
    </row>
    <row r="37" spans="1:13">
      <c r="C37" t="s">
        <v>35</v>
      </c>
    </row>
    <row r="39" spans="1:13">
      <c r="A39" s="102">
        <v>44089</v>
      </c>
      <c r="B39" s="2" t="s">
        <v>2</v>
      </c>
      <c r="C39" t="s">
        <v>36</v>
      </c>
    </row>
    <row r="40" spans="1:13">
      <c r="C40" t="s">
        <v>37</v>
      </c>
    </row>
    <row r="41" spans="1:13">
      <c r="C41" t="s">
        <v>38</v>
      </c>
    </row>
    <row r="43" spans="1:13" s="85" customFormat="1">
      <c r="A43" s="196">
        <v>44090</v>
      </c>
      <c r="B43" s="193" t="s">
        <v>2</v>
      </c>
      <c r="C43" s="85" t="s">
        <v>39</v>
      </c>
      <c r="L43" s="190"/>
      <c r="M43" s="194"/>
    </row>
    <row r="44" spans="1:13">
      <c r="C44" t="s">
        <v>40</v>
      </c>
    </row>
    <row r="45" spans="1:13">
      <c r="C45" t="s">
        <v>41</v>
      </c>
    </row>
    <row r="46" spans="1:13">
      <c r="C46" t="s">
        <v>42</v>
      </c>
    </row>
    <row r="47" spans="1:13">
      <c r="C47" t="s">
        <v>43</v>
      </c>
    </row>
    <row r="48" spans="1:13">
      <c r="C48" t="s">
        <v>44</v>
      </c>
    </row>
    <row r="49" spans="1:17">
      <c r="C49" t="s">
        <v>45</v>
      </c>
    </row>
    <row r="50" spans="1:17" s="85" customFormat="1">
      <c r="A50" s="196">
        <v>44091</v>
      </c>
      <c r="B50" s="193" t="s">
        <v>2</v>
      </c>
      <c r="C50" s="85" t="s">
        <v>46</v>
      </c>
      <c r="L50" s="190"/>
      <c r="M50" s="194"/>
    </row>
    <row r="51" spans="1:17">
      <c r="C51" t="s">
        <v>47</v>
      </c>
    </row>
    <row r="53" spans="1:17">
      <c r="A53" s="2" t="s">
        <v>48</v>
      </c>
      <c r="B53" s="2" t="s">
        <v>49</v>
      </c>
      <c r="C53" t="s">
        <v>50</v>
      </c>
    </row>
    <row r="55" spans="1:17" s="85" customFormat="1">
      <c r="A55" s="197">
        <v>44197</v>
      </c>
      <c r="B55" s="193" t="s">
        <v>51</v>
      </c>
      <c r="C55" s="85" t="s">
        <v>52</v>
      </c>
      <c r="L55" s="190"/>
      <c r="M55" s="194"/>
    </row>
    <row r="56" spans="1:17">
      <c r="C56" t="s">
        <v>53</v>
      </c>
    </row>
    <row r="57" spans="1:17">
      <c r="C57" t="s">
        <v>54</v>
      </c>
    </row>
    <row r="58" spans="1:17" s="85" customFormat="1">
      <c r="A58" s="196">
        <v>44222</v>
      </c>
      <c r="B58" s="193" t="s">
        <v>2</v>
      </c>
      <c r="C58" s="85" t="s">
        <v>55</v>
      </c>
      <c r="L58" s="190"/>
      <c r="M58" s="194"/>
    </row>
    <row r="59" spans="1:17">
      <c r="C59" t="s">
        <v>56</v>
      </c>
    </row>
    <row r="60" spans="1:17" ht="18">
      <c r="C60" s="126" t="s">
        <v>57</v>
      </c>
      <c r="D60" s="127"/>
      <c r="E60" s="128"/>
      <c r="F60" s="128"/>
      <c r="G60" s="128"/>
      <c r="H60" s="128"/>
      <c r="I60" s="127"/>
      <c r="J60" s="127"/>
      <c r="K60" s="127"/>
    </row>
    <row r="61" spans="1:17">
      <c r="E61" s="129"/>
      <c r="F61" s="129"/>
      <c r="G61" s="129"/>
      <c r="H61" s="129"/>
      <c r="M61" s="171" t="s">
        <v>58</v>
      </c>
    </row>
    <row r="62" spans="1:17" ht="36">
      <c r="C62" s="130" t="s">
        <v>59</v>
      </c>
      <c r="D62" s="130" t="s">
        <v>60</v>
      </c>
      <c r="E62" s="131" t="s">
        <v>61</v>
      </c>
      <c r="F62" s="131" t="s">
        <v>62</v>
      </c>
      <c r="G62" s="131" t="s">
        <v>63</v>
      </c>
      <c r="H62" s="131" t="s">
        <v>64</v>
      </c>
      <c r="I62" s="130" t="s">
        <v>65</v>
      </c>
      <c r="J62" s="130" t="s">
        <v>66</v>
      </c>
      <c r="K62" s="130" t="s">
        <v>67</v>
      </c>
      <c r="M62" s="172" t="s">
        <v>68</v>
      </c>
      <c r="N62" s="134" t="s">
        <v>63</v>
      </c>
      <c r="O62" s="134" t="s">
        <v>61</v>
      </c>
      <c r="P62" s="134" t="s">
        <v>69</v>
      </c>
      <c r="Q62" s="134" t="s">
        <v>70</v>
      </c>
    </row>
    <row r="63" spans="1:17">
      <c r="C63" s="132" t="s">
        <v>71</v>
      </c>
      <c r="D63" s="132" t="s">
        <v>72</v>
      </c>
      <c r="E63" s="133">
        <v>-5.85975</v>
      </c>
      <c r="F63" s="133">
        <v>0.37330999999999998</v>
      </c>
      <c r="G63" s="133">
        <v>3.20356</v>
      </c>
      <c r="H63" s="133">
        <v>0.12071</v>
      </c>
      <c r="I63" s="132">
        <v>0.92700000000000005</v>
      </c>
      <c r="J63" s="132">
        <v>106</v>
      </c>
      <c r="K63" s="132" t="s">
        <v>73</v>
      </c>
    </row>
    <row r="64" spans="1:17">
      <c r="C64" s="132" t="s">
        <v>74</v>
      </c>
      <c r="D64" s="132" t="s">
        <v>75</v>
      </c>
      <c r="E64" s="133">
        <v>-7.4002999999999997</v>
      </c>
      <c r="F64" s="133">
        <v>0.71499999999999997</v>
      </c>
      <c r="G64" s="133">
        <v>3.7042000000000002</v>
      </c>
      <c r="H64" s="133">
        <v>0.23230000000000001</v>
      </c>
      <c r="I64" s="132">
        <v>0.87860000000000005</v>
      </c>
      <c r="J64" s="132">
        <v>34</v>
      </c>
      <c r="K64" s="132" t="s">
        <v>73</v>
      </c>
    </row>
    <row r="65" spans="1:18">
      <c r="C65" s="132" t="s">
        <v>76</v>
      </c>
      <c r="D65" s="132" t="s">
        <v>75</v>
      </c>
      <c r="E65" s="133">
        <v>-5.375</v>
      </c>
      <c r="F65" s="133">
        <v>1.1080000000000001</v>
      </c>
      <c r="G65" s="133">
        <v>3.105</v>
      </c>
      <c r="H65" s="133">
        <v>0.373</v>
      </c>
      <c r="I65" s="132">
        <v>0.74809999999999999</v>
      </c>
      <c r="J65" s="132">
        <v>22</v>
      </c>
      <c r="K65" s="132" t="s">
        <v>73</v>
      </c>
    </row>
    <row r="66" spans="1:18">
      <c r="C66" s="132" t="s">
        <v>77</v>
      </c>
      <c r="D66" s="132" t="s">
        <v>75</v>
      </c>
      <c r="E66" s="133">
        <v>-5.6432000000000002</v>
      </c>
      <c r="F66" s="133">
        <v>0.4279</v>
      </c>
      <c r="G66" s="133">
        <v>3.1438000000000001</v>
      </c>
      <c r="H66" s="133">
        <v>0.15859999999999999</v>
      </c>
      <c r="I66" s="132">
        <v>0.88890000000000002</v>
      </c>
      <c r="J66" s="132">
        <v>48</v>
      </c>
      <c r="K66" s="132" t="s">
        <v>73</v>
      </c>
    </row>
    <row r="67" spans="1:18">
      <c r="C67" s="132"/>
      <c r="D67" s="132"/>
      <c r="E67" s="133"/>
      <c r="F67" s="133"/>
      <c r="G67" s="133"/>
      <c r="H67" s="133"/>
      <c r="I67" s="132"/>
      <c r="J67" s="132"/>
      <c r="K67" s="132"/>
    </row>
    <row r="68" spans="1:18">
      <c r="C68" s="132" t="s">
        <v>71</v>
      </c>
      <c r="D68" s="132" t="s">
        <v>78</v>
      </c>
      <c r="E68" s="133">
        <v>-3.6305000000000001</v>
      </c>
      <c r="F68" s="133">
        <v>0.20821999999999999</v>
      </c>
      <c r="G68" s="133">
        <v>3.46035</v>
      </c>
      <c r="H68" s="133">
        <v>9.3170000000000003E-2</v>
      </c>
      <c r="I68" s="132">
        <v>0.96140000000000003</v>
      </c>
      <c r="J68" s="132">
        <v>104</v>
      </c>
      <c r="K68" s="132" t="s">
        <v>73</v>
      </c>
      <c r="M68" s="137">
        <v>63</v>
      </c>
    </row>
    <row r="69" spans="1:18">
      <c r="C69" s="132" t="s">
        <v>74</v>
      </c>
      <c r="D69" s="132" t="s">
        <v>79</v>
      </c>
      <c r="E69" s="133">
        <v>-3.5112999999999999</v>
      </c>
      <c r="F69" s="133">
        <v>0.30840000000000001</v>
      </c>
      <c r="G69" s="133">
        <v>3.4066000000000001</v>
      </c>
      <c r="H69" s="133">
        <v>0.13900000000000001</v>
      </c>
      <c r="I69" s="132">
        <v>0.94189999999999996</v>
      </c>
      <c r="J69" s="132">
        <v>36</v>
      </c>
      <c r="K69" s="132" t="s">
        <v>73</v>
      </c>
      <c r="M69" s="137">
        <v>27</v>
      </c>
    </row>
    <row r="70" spans="1:18">
      <c r="C70" s="132" t="s">
        <v>76</v>
      </c>
      <c r="D70" s="132" t="s">
        <v>79</v>
      </c>
      <c r="E70" s="133">
        <v>-2.4394999999999998</v>
      </c>
      <c r="F70" s="133">
        <v>0.57310000000000005</v>
      </c>
      <c r="G70" s="133">
        <v>3.1417999999999999</v>
      </c>
      <c r="H70" s="133">
        <v>0.28420000000000001</v>
      </c>
      <c r="I70" s="132">
        <v>0.85840000000000005</v>
      </c>
      <c r="J70" s="132">
        <v>19</v>
      </c>
      <c r="K70" s="132" t="s">
        <v>73</v>
      </c>
      <c r="M70" s="137">
        <v>3</v>
      </c>
    </row>
    <row r="71" spans="1:18">
      <c r="C71" s="132" t="s">
        <v>77</v>
      </c>
      <c r="D71" s="132" t="s">
        <v>79</v>
      </c>
      <c r="E71" s="133">
        <v>-3.4836999999999998</v>
      </c>
      <c r="F71" s="133">
        <v>0.2387</v>
      </c>
      <c r="G71" s="133">
        <v>3.5261</v>
      </c>
      <c r="H71" s="133">
        <v>0.13239999999999999</v>
      </c>
      <c r="I71" s="132">
        <v>0.9365</v>
      </c>
      <c r="J71" s="132">
        <v>47</v>
      </c>
      <c r="K71" s="132" t="s">
        <v>73</v>
      </c>
      <c r="M71" s="137">
        <v>37</v>
      </c>
    </row>
    <row r="72" spans="1:18" ht="17">
      <c r="C72" s="132" t="s">
        <v>80</v>
      </c>
      <c r="J72" s="132">
        <v>1</v>
      </c>
      <c r="K72" s="132" t="s">
        <v>81</v>
      </c>
      <c r="M72" s="173">
        <v>15</v>
      </c>
      <c r="N72" s="136">
        <v>2.02</v>
      </c>
      <c r="O72" s="135">
        <v>-2.8</v>
      </c>
      <c r="P72" s="136">
        <f>0.7*0.7</f>
        <v>0.48999999999999994</v>
      </c>
      <c r="Q72" s="135">
        <v>39</v>
      </c>
      <c r="R72" s="138" t="s">
        <v>82</v>
      </c>
    </row>
    <row r="73" spans="1:18">
      <c r="C73" s="137" t="s">
        <v>83</v>
      </c>
    </row>
    <row r="74" spans="1:18">
      <c r="C74" s="137" t="s">
        <v>84</v>
      </c>
    </row>
    <row r="75" spans="1:18" s="85" customFormat="1">
      <c r="A75" s="196">
        <v>44223</v>
      </c>
      <c r="B75" s="193" t="s">
        <v>51</v>
      </c>
      <c r="C75" s="195" t="s">
        <v>85</v>
      </c>
      <c r="L75" s="190"/>
      <c r="M75" s="194"/>
    </row>
    <row r="76" spans="1:18">
      <c r="C76" s="137" t="s">
        <v>86</v>
      </c>
    </row>
    <row r="77" spans="1:18" s="85" customFormat="1">
      <c r="A77" s="192">
        <v>44230</v>
      </c>
      <c r="B77" s="193" t="s">
        <v>51</v>
      </c>
      <c r="C77" s="195" t="s">
        <v>87</v>
      </c>
      <c r="L77" s="190"/>
      <c r="M77" s="194"/>
    </row>
    <row r="78" spans="1:18">
      <c r="C78" s="137" t="s">
        <v>88</v>
      </c>
    </row>
    <row r="79" spans="1:18">
      <c r="C79" s="137" t="s">
        <v>89</v>
      </c>
    </row>
    <row r="81" spans="1:30">
      <c r="C81" t="s">
        <v>90</v>
      </c>
    </row>
    <row r="82" spans="1:30">
      <c r="C82" t="s">
        <v>91</v>
      </c>
    </row>
    <row r="83" spans="1:30">
      <c r="C83" t="s">
        <v>92</v>
      </c>
    </row>
    <row r="86" spans="1:30" s="85" customFormat="1">
      <c r="A86" s="192">
        <v>44236</v>
      </c>
      <c r="B86" s="193" t="s">
        <v>2</v>
      </c>
      <c r="C86" s="85" t="s">
        <v>93</v>
      </c>
      <c r="E86" s="85" t="s">
        <v>94</v>
      </c>
      <c r="L86" s="190"/>
      <c r="M86" s="194"/>
    </row>
    <row r="87" spans="1:30" ht="18">
      <c r="C87" s="147" t="s">
        <v>95</v>
      </c>
      <c r="D87" s="147" t="s">
        <v>96</v>
      </c>
      <c r="E87" s="148">
        <v>933</v>
      </c>
      <c r="F87" s="148">
        <v>373</v>
      </c>
      <c r="G87" t="s">
        <v>97</v>
      </c>
    </row>
    <row r="88" spans="1:30" ht="18">
      <c r="C88" s="104">
        <v>933</v>
      </c>
      <c r="D88" s="104">
        <v>73</v>
      </c>
      <c r="E88" t="s">
        <v>98</v>
      </c>
    </row>
    <row r="89" spans="1:30" ht="18">
      <c r="C89" s="104">
        <v>933</v>
      </c>
      <c r="D89" s="104">
        <v>545</v>
      </c>
      <c r="E89" t="s">
        <v>98</v>
      </c>
    </row>
    <row r="90" spans="1:30" s="150" customFormat="1" ht="21" customHeight="1">
      <c r="C90" s="157" t="s">
        <v>99</v>
      </c>
      <c r="D90" s="151" t="s">
        <v>100</v>
      </c>
      <c r="E90" s="151" t="s">
        <v>101</v>
      </c>
      <c r="F90" s="150">
        <v>933</v>
      </c>
      <c r="G90" s="150">
        <v>545</v>
      </c>
      <c r="H90" s="149" t="s">
        <v>102</v>
      </c>
      <c r="I90" s="150" t="s">
        <v>103</v>
      </c>
      <c r="J90" s="150" t="s">
        <v>104</v>
      </c>
      <c r="K90" s="150" t="s">
        <v>105</v>
      </c>
      <c r="L90" s="178" t="s">
        <v>106</v>
      </c>
      <c r="M90" s="174" t="s">
        <v>107</v>
      </c>
      <c r="N90" s="150" t="s">
        <v>108</v>
      </c>
      <c r="O90" s="150">
        <v>0</v>
      </c>
      <c r="P90" s="150">
        <v>0</v>
      </c>
      <c r="Q90" s="152">
        <v>7.5439999999999996</v>
      </c>
      <c r="R90" s="152">
        <v>4.9740000000000002</v>
      </c>
      <c r="S90" s="150">
        <v>0</v>
      </c>
      <c r="T90" s="153"/>
      <c r="U90" s="154"/>
      <c r="V90" s="152"/>
      <c r="W90" s="155"/>
      <c r="X90" s="156"/>
      <c r="AD90" s="150" t="str">
        <f>"r2s: "&amp;V90&amp;"; %Pes: "&amp;W90</f>
        <v xml:space="preserve">r2s: ; %Pes: </v>
      </c>
    </row>
    <row r="91" spans="1:30" ht="18">
      <c r="C91" s="104">
        <v>933</v>
      </c>
      <c r="D91" s="104">
        <v>2292</v>
      </c>
      <c r="E91" t="s">
        <v>98</v>
      </c>
    </row>
    <row r="92" spans="1:30" ht="18">
      <c r="C92" s="104">
        <v>933</v>
      </c>
      <c r="D92" s="104">
        <v>2661</v>
      </c>
      <c r="E92" t="s">
        <v>98</v>
      </c>
    </row>
    <row r="93" spans="1:30" ht="18">
      <c r="C93" s="104">
        <v>933</v>
      </c>
      <c r="D93" s="104">
        <v>3392</v>
      </c>
      <c r="E93" t="s">
        <v>98</v>
      </c>
    </row>
    <row r="94" spans="1:30" s="150" customFormat="1" ht="21" customHeight="1">
      <c r="C94" s="157" t="s">
        <v>99</v>
      </c>
      <c r="D94" s="151" t="s">
        <v>100</v>
      </c>
      <c r="E94" s="151" t="s">
        <v>101</v>
      </c>
      <c r="F94" s="150">
        <v>933</v>
      </c>
      <c r="G94" s="150">
        <v>3498</v>
      </c>
      <c r="H94" s="149" t="s">
        <v>102</v>
      </c>
      <c r="I94" s="150" t="s">
        <v>103</v>
      </c>
      <c r="J94" s="150" t="s">
        <v>104</v>
      </c>
      <c r="K94" s="150" t="s">
        <v>105</v>
      </c>
      <c r="L94" s="178" t="s">
        <v>106</v>
      </c>
      <c r="M94" s="175" t="s">
        <v>107</v>
      </c>
      <c r="N94" s="150" t="s">
        <v>108</v>
      </c>
      <c r="O94" s="150">
        <v>0</v>
      </c>
      <c r="P94" s="150">
        <v>0</v>
      </c>
      <c r="Q94" s="152">
        <v>7.0640000000000001</v>
      </c>
      <c r="R94" s="152">
        <v>6.8620000000000001</v>
      </c>
      <c r="S94" s="150">
        <v>0</v>
      </c>
      <c r="T94" s="153"/>
      <c r="U94" s="154"/>
      <c r="V94" s="152"/>
      <c r="W94" s="155"/>
      <c r="X94" s="156"/>
      <c r="AD94" s="150" t="str">
        <f>"r2s: "&amp;V94&amp;"; %Pes: "&amp;W94</f>
        <v xml:space="preserve">r2s: ; %Pes: </v>
      </c>
    </row>
    <row r="95" spans="1:30" ht="18">
      <c r="C95" s="104">
        <v>933</v>
      </c>
      <c r="D95" s="104">
        <v>65</v>
      </c>
      <c r="E95" s="158" t="s">
        <v>109</v>
      </c>
      <c r="F95" s="4"/>
      <c r="G95" s="3"/>
      <c r="H95" s="1"/>
      <c r="I95" s="1"/>
      <c r="J95" s="1"/>
      <c r="K95" s="1"/>
      <c r="L95" s="180"/>
      <c r="N95" s="1"/>
      <c r="O95" s="1"/>
      <c r="P95" s="1"/>
      <c r="Q95" s="1"/>
      <c r="R95" s="1"/>
      <c r="S95" s="1"/>
      <c r="T95" s="1"/>
    </row>
    <row r="96" spans="1:30" ht="18">
      <c r="C96" s="104">
        <v>933</v>
      </c>
      <c r="D96" s="104">
        <v>896</v>
      </c>
      <c r="E96" s="158" t="s">
        <v>109</v>
      </c>
    </row>
    <row r="97" spans="1:30" ht="18">
      <c r="C97" s="104">
        <v>933</v>
      </c>
      <c r="D97" s="104">
        <v>3269</v>
      </c>
      <c r="E97" s="158" t="s">
        <v>109</v>
      </c>
    </row>
    <row r="98" spans="1:30" s="159" customFormat="1" ht="21" customHeight="1">
      <c r="C98" s="157" t="s">
        <v>99</v>
      </c>
      <c r="D98" s="160" t="s">
        <v>95</v>
      </c>
      <c r="E98" s="160" t="s">
        <v>96</v>
      </c>
      <c r="F98" s="159">
        <v>30967</v>
      </c>
      <c r="G98" s="159">
        <v>198</v>
      </c>
      <c r="H98" s="161" t="s">
        <v>110</v>
      </c>
      <c r="I98" s="159" t="s">
        <v>111</v>
      </c>
      <c r="J98" s="159" t="s">
        <v>104</v>
      </c>
      <c r="K98" s="159" t="s">
        <v>105</v>
      </c>
      <c r="L98" s="178" t="s">
        <v>112</v>
      </c>
      <c r="M98" s="176" t="s">
        <v>113</v>
      </c>
      <c r="N98" s="159" t="s">
        <v>114</v>
      </c>
      <c r="O98" s="159">
        <v>0</v>
      </c>
      <c r="P98" s="159">
        <v>0</v>
      </c>
      <c r="Q98" s="162">
        <v>2.7010000000000001</v>
      </c>
      <c r="R98" s="162">
        <v>1.274</v>
      </c>
      <c r="S98" s="159">
        <v>0</v>
      </c>
      <c r="T98" s="163">
        <f>10^(((LOG(Q98*10))*3.05)+-2.15)</f>
        <v>164.49396981379226</v>
      </c>
      <c r="U98" s="161"/>
      <c r="V98" s="164"/>
      <c r="W98" s="165"/>
      <c r="X98" s="166"/>
      <c r="AD98" s="159" t="str">
        <f>"r2s: "&amp;V98&amp;"; %Pes: "&amp;W98</f>
        <v xml:space="preserve">r2s: ; %Pes: </v>
      </c>
    </row>
    <row r="99" spans="1:30" ht="18">
      <c r="C99" s="104">
        <v>908</v>
      </c>
      <c r="D99" s="104">
        <v>2691</v>
      </c>
      <c r="E99" s="158" t="s">
        <v>115</v>
      </c>
    </row>
    <row r="100" spans="1:30" s="189" customFormat="1">
      <c r="A100" s="187">
        <v>44244</v>
      </c>
      <c r="B100" s="188" t="s">
        <v>2</v>
      </c>
      <c r="C100" s="189" t="s">
        <v>116</v>
      </c>
      <c r="L100" s="190"/>
      <c r="M100" s="191"/>
    </row>
    <row r="101" spans="1:30" ht="38">
      <c r="C101" s="147" t="s">
        <v>117</v>
      </c>
      <c r="D101" s="147" t="s">
        <v>118</v>
      </c>
      <c r="E101" s="148">
        <v>40279</v>
      </c>
      <c r="F101" s="148">
        <v>135</v>
      </c>
      <c r="G101" s="167" t="s">
        <v>119</v>
      </c>
      <c r="H101" s="148" t="s">
        <v>120</v>
      </c>
      <c r="I101" s="148" t="s">
        <v>104</v>
      </c>
      <c r="J101" s="148" t="s">
        <v>105</v>
      </c>
      <c r="K101" s="148" t="s">
        <v>121</v>
      </c>
      <c r="L101" s="181" t="s">
        <v>122</v>
      </c>
      <c r="M101" s="170" t="s">
        <v>123</v>
      </c>
    </row>
    <row r="102" spans="1:30" ht="19">
      <c r="C102" s="105" t="s">
        <v>124</v>
      </c>
      <c r="D102" s="105" t="s">
        <v>125</v>
      </c>
      <c r="E102" s="104">
        <v>30967</v>
      </c>
      <c r="F102" s="104">
        <v>1880</v>
      </c>
      <c r="G102" s="106" t="s">
        <v>110</v>
      </c>
      <c r="H102" s="104" t="s">
        <v>111</v>
      </c>
      <c r="I102" s="104" t="s">
        <v>104</v>
      </c>
      <c r="J102" s="104" t="s">
        <v>105</v>
      </c>
      <c r="K102" s="104" t="s">
        <v>126</v>
      </c>
      <c r="L102" s="182" t="s">
        <v>127</v>
      </c>
      <c r="M102" s="177" t="s">
        <v>128</v>
      </c>
    </row>
    <row r="103" spans="1:30" ht="19">
      <c r="C103" s="105" t="s">
        <v>124</v>
      </c>
      <c r="D103" s="105" t="s">
        <v>125</v>
      </c>
      <c r="E103" s="104">
        <v>30967</v>
      </c>
      <c r="F103" s="104">
        <v>1031</v>
      </c>
      <c r="G103" s="106" t="s">
        <v>110</v>
      </c>
      <c r="H103" s="104" t="s">
        <v>111</v>
      </c>
      <c r="I103" s="104" t="s">
        <v>104</v>
      </c>
      <c r="J103" s="104" t="s">
        <v>105</v>
      </c>
      <c r="K103" s="104" t="s">
        <v>129</v>
      </c>
      <c r="L103" s="183" t="s">
        <v>130</v>
      </c>
      <c r="M103" s="171" t="s">
        <v>131</v>
      </c>
    </row>
    <row r="104" spans="1:30" ht="19">
      <c r="C104" s="105" t="s">
        <v>132</v>
      </c>
      <c r="D104" s="105" t="s">
        <v>133</v>
      </c>
      <c r="E104" s="104">
        <v>40685</v>
      </c>
      <c r="F104" s="104">
        <v>107</v>
      </c>
      <c r="G104" s="106" t="s">
        <v>134</v>
      </c>
      <c r="H104" s="104" t="s">
        <v>135</v>
      </c>
      <c r="I104" s="104" t="s">
        <v>104</v>
      </c>
      <c r="J104" s="104" t="s">
        <v>105</v>
      </c>
      <c r="K104" s="104" t="s">
        <v>136</v>
      </c>
      <c r="L104" s="182" t="s">
        <v>107</v>
      </c>
      <c r="M104" s="171" t="s">
        <v>137</v>
      </c>
    </row>
    <row r="105" spans="1:30" s="104" customFormat="1" ht="21" customHeight="1">
      <c r="A105" s="149" t="s">
        <v>138</v>
      </c>
      <c r="B105" s="178" t="s">
        <v>139</v>
      </c>
      <c r="C105" s="109" t="s">
        <v>80</v>
      </c>
      <c r="D105" s="143" t="s">
        <v>132</v>
      </c>
      <c r="E105" s="143" t="s">
        <v>133</v>
      </c>
      <c r="F105" s="109">
        <v>43365</v>
      </c>
      <c r="G105" s="109">
        <v>1</v>
      </c>
      <c r="H105" s="149" t="s">
        <v>140</v>
      </c>
      <c r="I105" s="109" t="s">
        <v>141</v>
      </c>
      <c r="J105" s="109" t="s">
        <v>142</v>
      </c>
      <c r="K105" s="109" t="s">
        <v>105</v>
      </c>
      <c r="L105" s="178" t="s">
        <v>143</v>
      </c>
      <c r="M105" s="149"/>
      <c r="N105" s="109" t="s">
        <v>114</v>
      </c>
      <c r="O105" s="109">
        <v>0</v>
      </c>
      <c r="P105" s="109">
        <v>0</v>
      </c>
      <c r="Q105" s="116">
        <v>2.3980000000000001</v>
      </c>
      <c r="R105" s="116">
        <v>1.3119999999999998</v>
      </c>
      <c r="S105" s="109">
        <v>0</v>
      </c>
      <c r="T105" s="119">
        <f>(10^((LOG(Q105*10)*1.0449)+3.71))/1000</f>
        <v>141.84185649579774</v>
      </c>
      <c r="U105" s="167"/>
      <c r="V105" s="168"/>
      <c r="W105" s="169"/>
      <c r="X105" s="145"/>
      <c r="Y105" s="109"/>
      <c r="Z105" s="109"/>
      <c r="AD105" s="103" t="str">
        <f>"r2s: "&amp;V105&amp;"; %Pes: "&amp;W105</f>
        <v xml:space="preserve">r2s: ; %Pes: </v>
      </c>
    </row>
    <row r="106" spans="1:30" ht="38">
      <c r="C106" s="105" t="s">
        <v>132</v>
      </c>
      <c r="D106" s="105" t="s">
        <v>133</v>
      </c>
      <c r="E106" s="104">
        <v>40540</v>
      </c>
      <c r="F106" s="104">
        <v>60</v>
      </c>
      <c r="G106" s="106" t="s">
        <v>144</v>
      </c>
      <c r="H106" s="104" t="s">
        <v>145</v>
      </c>
      <c r="I106" s="104" t="s">
        <v>104</v>
      </c>
      <c r="J106" s="104" t="s">
        <v>105</v>
      </c>
      <c r="K106" s="104" t="s">
        <v>112</v>
      </c>
      <c r="L106" s="182" t="s">
        <v>146</v>
      </c>
      <c r="M106" s="158" t="s">
        <v>147</v>
      </c>
    </row>
    <row r="107" spans="1:30" s="109" customFormat="1" ht="21" customHeight="1">
      <c r="A107" s="149" t="s">
        <v>138</v>
      </c>
      <c r="B107" s="178" t="s">
        <v>139</v>
      </c>
      <c r="C107" s="109" t="s">
        <v>80</v>
      </c>
      <c r="D107" s="143" t="s">
        <v>132</v>
      </c>
      <c r="E107" s="143" t="s">
        <v>133</v>
      </c>
      <c r="F107" s="109">
        <v>40685</v>
      </c>
      <c r="G107" s="109">
        <v>2</v>
      </c>
      <c r="H107" s="117" t="s">
        <v>134</v>
      </c>
      <c r="I107" s="109" t="s">
        <v>135</v>
      </c>
      <c r="J107" s="109" t="s">
        <v>104</v>
      </c>
      <c r="K107" s="109" t="s">
        <v>105</v>
      </c>
      <c r="L107" s="178" t="s">
        <v>143</v>
      </c>
      <c r="M107" s="117"/>
      <c r="N107" s="109" t="s">
        <v>114</v>
      </c>
      <c r="O107" s="109">
        <v>0</v>
      </c>
      <c r="P107" s="109">
        <v>0</v>
      </c>
      <c r="Q107" s="116">
        <v>3.1109999999999998</v>
      </c>
      <c r="R107" s="116">
        <v>1.7749999999999999</v>
      </c>
      <c r="S107" s="109">
        <v>0</v>
      </c>
      <c r="T107" s="144">
        <f>(10^((LOG(Q107*10)*1.0449)+3.71))/1000</f>
        <v>186.17922648082933</v>
      </c>
      <c r="U107" s="184"/>
      <c r="V107" s="185"/>
      <c r="W107" s="186"/>
      <c r="X107" s="184"/>
      <c r="AD107" s="109" t="str">
        <f>"r2s: "&amp;V107&amp;"; %Pes: "&amp;W107</f>
        <v xml:space="preserve">r2s: ; %Pes: </v>
      </c>
    </row>
    <row r="112" spans="1:30" s="189" customFormat="1">
      <c r="A112" s="187">
        <v>44244</v>
      </c>
      <c r="B112" s="188" t="s">
        <v>2</v>
      </c>
      <c r="C112" s="189" t="s">
        <v>148</v>
      </c>
      <c r="L112" s="190"/>
      <c r="M112" s="191"/>
    </row>
    <row r="114" spans="1:30" s="109" customFormat="1" ht="21" customHeight="1">
      <c r="A114" s="149" t="s">
        <v>138</v>
      </c>
      <c r="B114" s="178" t="s">
        <v>139</v>
      </c>
      <c r="C114" s="109" t="s">
        <v>149</v>
      </c>
      <c r="D114" s="143" t="s">
        <v>150</v>
      </c>
      <c r="E114" s="143" t="s">
        <v>151</v>
      </c>
      <c r="F114" s="109">
        <v>42491</v>
      </c>
      <c r="G114" s="109">
        <v>1</v>
      </c>
      <c r="H114" s="117" t="s">
        <v>152</v>
      </c>
      <c r="J114" s="109" t="s">
        <v>104</v>
      </c>
      <c r="K114" s="109" t="s">
        <v>105</v>
      </c>
      <c r="L114" s="109" t="s">
        <v>153</v>
      </c>
      <c r="M114" s="117" t="s">
        <v>154</v>
      </c>
      <c r="O114" s="109">
        <v>0</v>
      </c>
      <c r="P114" s="109">
        <v>0</v>
      </c>
      <c r="Q114" s="198">
        <v>3.851</v>
      </c>
      <c r="R114" s="198">
        <v>2.597</v>
      </c>
      <c r="S114" s="109">
        <v>0</v>
      </c>
      <c r="T114" s="146"/>
      <c r="U114" s="117"/>
      <c r="V114" s="116"/>
      <c r="W114" s="144"/>
      <c r="X114" s="145"/>
      <c r="AD114" s="109" t="str">
        <f t="shared" ref="AD114:AD124" si="0">"r2s: "&amp;V114&amp;"; %Pes: "&amp;W114</f>
        <v xml:space="preserve">r2s: ; %Pes: </v>
      </c>
    </row>
    <row r="115" spans="1:30" s="109" customFormat="1" ht="21" customHeight="1">
      <c r="A115" s="149" t="s">
        <v>138</v>
      </c>
      <c r="B115" s="178" t="s">
        <v>139</v>
      </c>
      <c r="C115" s="109" t="s">
        <v>149</v>
      </c>
      <c r="D115" s="143" t="s">
        <v>150</v>
      </c>
      <c r="E115" s="143" t="s">
        <v>151</v>
      </c>
      <c r="F115" s="109">
        <v>42491</v>
      </c>
      <c r="G115" s="109">
        <v>1</v>
      </c>
      <c r="H115" s="117" t="s">
        <v>152</v>
      </c>
      <c r="J115" s="109" t="s">
        <v>104</v>
      </c>
      <c r="K115" s="109" t="s">
        <v>105</v>
      </c>
      <c r="L115" s="109" t="s">
        <v>153</v>
      </c>
      <c r="M115" s="117" t="s">
        <v>154</v>
      </c>
      <c r="O115" s="109">
        <v>0</v>
      </c>
      <c r="P115" s="109">
        <v>0</v>
      </c>
      <c r="Q115" s="198">
        <v>3.806</v>
      </c>
      <c r="R115" s="198">
        <v>2.5780000000000003</v>
      </c>
      <c r="S115" s="109">
        <v>0</v>
      </c>
      <c r="T115" s="146"/>
      <c r="U115" s="117"/>
      <c r="V115" s="116"/>
      <c r="W115" s="144"/>
      <c r="X115" s="145"/>
      <c r="AD115" s="109" t="str">
        <f t="shared" si="0"/>
        <v xml:space="preserve">r2s: ; %Pes: </v>
      </c>
    </row>
    <row r="116" spans="1:30" s="109" customFormat="1" ht="21" customHeight="1">
      <c r="A116" s="149" t="s">
        <v>138</v>
      </c>
      <c r="B116" s="178" t="s">
        <v>139</v>
      </c>
      <c r="C116" s="109" t="s">
        <v>149</v>
      </c>
      <c r="D116" s="143" t="s">
        <v>150</v>
      </c>
      <c r="E116" s="143" t="s">
        <v>151</v>
      </c>
      <c r="F116" s="109">
        <v>42491</v>
      </c>
      <c r="G116" s="109">
        <v>1</v>
      </c>
      <c r="H116" s="117" t="s">
        <v>152</v>
      </c>
      <c r="J116" s="109" t="s">
        <v>104</v>
      </c>
      <c r="K116" s="109" t="s">
        <v>105</v>
      </c>
      <c r="L116" s="109" t="s">
        <v>155</v>
      </c>
      <c r="M116" s="117" t="s">
        <v>156</v>
      </c>
      <c r="O116" s="109">
        <v>0</v>
      </c>
      <c r="P116" s="109">
        <v>0</v>
      </c>
      <c r="Q116" s="198">
        <v>2.5179999999999998</v>
      </c>
      <c r="R116" s="198">
        <v>2.653</v>
      </c>
      <c r="S116" s="109">
        <v>0</v>
      </c>
      <c r="T116" s="146"/>
      <c r="U116" s="117"/>
      <c r="V116" s="116"/>
      <c r="W116" s="144"/>
      <c r="X116" s="145"/>
      <c r="AD116" s="109" t="str">
        <f t="shared" si="0"/>
        <v xml:space="preserve">r2s: ; %Pes: </v>
      </c>
    </row>
    <row r="117" spans="1:30" s="109" customFormat="1" ht="21" customHeight="1">
      <c r="A117" s="149" t="s">
        <v>138</v>
      </c>
      <c r="B117" s="178" t="s">
        <v>139</v>
      </c>
      <c r="C117" s="109" t="s">
        <v>149</v>
      </c>
      <c r="D117" s="143" t="s">
        <v>150</v>
      </c>
      <c r="E117" s="143" t="s">
        <v>151</v>
      </c>
      <c r="F117" s="109">
        <v>42491</v>
      </c>
      <c r="G117" s="109">
        <v>1</v>
      </c>
      <c r="H117" s="117" t="s">
        <v>152</v>
      </c>
      <c r="J117" s="109" t="s">
        <v>104</v>
      </c>
      <c r="K117" s="109" t="s">
        <v>105</v>
      </c>
      <c r="L117" s="109" t="s">
        <v>143</v>
      </c>
      <c r="M117" s="117" t="s">
        <v>157</v>
      </c>
      <c r="O117" s="109">
        <v>0</v>
      </c>
      <c r="P117" s="109">
        <v>0</v>
      </c>
      <c r="Q117" s="198">
        <v>2.6109999999999998</v>
      </c>
      <c r="R117" s="198">
        <v>2.5350000000000001</v>
      </c>
      <c r="S117" s="109">
        <v>0</v>
      </c>
      <c r="T117" s="146"/>
      <c r="U117" s="117"/>
      <c r="V117" s="116"/>
      <c r="W117" s="144"/>
      <c r="X117" s="145"/>
      <c r="AD117" s="109" t="str">
        <f t="shared" si="0"/>
        <v xml:space="preserve">r2s: ; %Pes: </v>
      </c>
    </row>
    <row r="118" spans="1:30" s="109" customFormat="1" ht="21" customHeight="1">
      <c r="A118" s="149" t="s">
        <v>138</v>
      </c>
      <c r="B118" s="178" t="s">
        <v>139</v>
      </c>
      <c r="C118" s="109" t="s">
        <v>149</v>
      </c>
      <c r="D118" s="143" t="s">
        <v>150</v>
      </c>
      <c r="E118" s="143" t="s">
        <v>151</v>
      </c>
      <c r="F118" s="109">
        <v>42491</v>
      </c>
      <c r="G118" s="109">
        <v>1</v>
      </c>
      <c r="H118" s="117" t="s">
        <v>152</v>
      </c>
      <c r="J118" s="109" t="s">
        <v>104</v>
      </c>
      <c r="K118" s="109" t="s">
        <v>105</v>
      </c>
      <c r="L118" s="109" t="s">
        <v>143</v>
      </c>
      <c r="M118" s="117" t="s">
        <v>157</v>
      </c>
      <c r="O118" s="109">
        <v>0</v>
      </c>
      <c r="P118" s="109">
        <v>0</v>
      </c>
      <c r="Q118" s="198">
        <v>2.5300000000000002</v>
      </c>
      <c r="R118" s="198">
        <v>2.653</v>
      </c>
      <c r="S118" s="109">
        <v>0</v>
      </c>
      <c r="T118" s="146"/>
      <c r="U118" s="117"/>
      <c r="V118" s="116"/>
      <c r="W118" s="144"/>
      <c r="X118" s="145"/>
      <c r="AD118" s="109" t="str">
        <f t="shared" si="0"/>
        <v xml:space="preserve">r2s: ; %Pes: </v>
      </c>
    </row>
    <row r="119" spans="1:30" s="109" customFormat="1" ht="21" customHeight="1">
      <c r="A119" s="149" t="s">
        <v>138</v>
      </c>
      <c r="B119" s="178" t="s">
        <v>139</v>
      </c>
      <c r="C119" s="109" t="s">
        <v>149</v>
      </c>
      <c r="D119" s="143" t="s">
        <v>150</v>
      </c>
      <c r="E119" s="143" t="s">
        <v>151</v>
      </c>
      <c r="F119" s="109">
        <v>42491</v>
      </c>
      <c r="G119" s="109">
        <v>1</v>
      </c>
      <c r="H119" s="117" t="s">
        <v>152</v>
      </c>
      <c r="J119" s="109" t="s">
        <v>104</v>
      </c>
      <c r="K119" s="109" t="s">
        <v>105</v>
      </c>
      <c r="L119" s="109" t="s">
        <v>158</v>
      </c>
      <c r="M119" s="117" t="s">
        <v>159</v>
      </c>
      <c r="O119" s="109">
        <v>0</v>
      </c>
      <c r="P119" s="109">
        <v>0</v>
      </c>
      <c r="Q119" s="198">
        <v>2.6510000000000002</v>
      </c>
      <c r="R119" s="198">
        <v>2.5309999999999997</v>
      </c>
      <c r="S119" s="109">
        <v>0</v>
      </c>
      <c r="T119" s="146"/>
      <c r="U119" s="117"/>
      <c r="V119" s="116"/>
      <c r="W119" s="144"/>
      <c r="X119" s="145"/>
      <c r="AD119" s="109" t="str">
        <f t="shared" si="0"/>
        <v xml:space="preserve">r2s: ; %Pes: </v>
      </c>
    </row>
    <row r="120" spans="1:30" s="109" customFormat="1" ht="21" customHeight="1">
      <c r="A120" s="149" t="s">
        <v>138</v>
      </c>
      <c r="B120" s="178" t="s">
        <v>139</v>
      </c>
      <c r="C120" s="109" t="s">
        <v>149</v>
      </c>
      <c r="D120" s="143" t="s">
        <v>150</v>
      </c>
      <c r="E120" s="143" t="s">
        <v>151</v>
      </c>
      <c r="F120" s="109">
        <v>42491</v>
      </c>
      <c r="G120" s="109">
        <v>1</v>
      </c>
      <c r="H120" s="117" t="s">
        <v>152</v>
      </c>
      <c r="J120" s="109" t="s">
        <v>104</v>
      </c>
      <c r="K120" s="109" t="s">
        <v>105</v>
      </c>
      <c r="L120" s="109" t="s">
        <v>158</v>
      </c>
      <c r="M120" s="117" t="s">
        <v>159</v>
      </c>
      <c r="O120" s="109">
        <v>0</v>
      </c>
      <c r="P120" s="109">
        <v>0</v>
      </c>
      <c r="Q120" s="198">
        <v>2.6100000000000003</v>
      </c>
      <c r="R120" s="198">
        <v>2.4319999999999999</v>
      </c>
      <c r="S120" s="109">
        <v>0</v>
      </c>
      <c r="T120" s="146"/>
      <c r="U120" s="117"/>
      <c r="V120" s="116"/>
      <c r="W120" s="144"/>
      <c r="X120" s="145"/>
      <c r="AD120" s="109" t="str">
        <f t="shared" si="0"/>
        <v xml:space="preserve">r2s: ; %Pes: </v>
      </c>
    </row>
    <row r="121" spans="1:30" s="109" customFormat="1" ht="21" customHeight="1">
      <c r="A121" s="149" t="s">
        <v>138</v>
      </c>
      <c r="B121" s="178" t="s">
        <v>139</v>
      </c>
      <c r="C121" s="109" t="s">
        <v>149</v>
      </c>
      <c r="D121" s="143" t="s">
        <v>150</v>
      </c>
      <c r="E121" s="143" t="s">
        <v>151</v>
      </c>
      <c r="F121" s="109">
        <v>42491</v>
      </c>
      <c r="G121" s="109">
        <v>1</v>
      </c>
      <c r="H121" s="117" t="s">
        <v>152</v>
      </c>
      <c r="J121" s="109" t="s">
        <v>104</v>
      </c>
      <c r="K121" s="109" t="s">
        <v>105</v>
      </c>
      <c r="L121" s="109" t="s">
        <v>160</v>
      </c>
      <c r="M121" s="117" t="s">
        <v>161</v>
      </c>
      <c r="O121" s="109">
        <v>0</v>
      </c>
      <c r="P121" s="109">
        <v>0</v>
      </c>
      <c r="Q121" s="198">
        <v>2.8129999999999997</v>
      </c>
      <c r="R121" s="198">
        <v>2.8050000000000002</v>
      </c>
      <c r="S121" s="109">
        <v>0</v>
      </c>
      <c r="T121" s="146"/>
      <c r="U121" s="117"/>
      <c r="V121" s="116"/>
      <c r="W121" s="144"/>
      <c r="X121" s="145"/>
      <c r="AD121" s="109" t="str">
        <f t="shared" si="0"/>
        <v xml:space="preserve">r2s: ; %Pes: </v>
      </c>
    </row>
    <row r="122" spans="1:30" s="109" customFormat="1" ht="21" customHeight="1">
      <c r="A122" s="149" t="s">
        <v>138</v>
      </c>
      <c r="B122" s="178" t="s">
        <v>139</v>
      </c>
      <c r="C122" s="109" t="s">
        <v>149</v>
      </c>
      <c r="D122" s="143" t="s">
        <v>150</v>
      </c>
      <c r="E122" s="143" t="s">
        <v>151</v>
      </c>
      <c r="F122" s="109">
        <v>42491</v>
      </c>
      <c r="G122" s="109">
        <v>1</v>
      </c>
      <c r="H122" s="117" t="s">
        <v>152</v>
      </c>
      <c r="J122" s="109" t="s">
        <v>104</v>
      </c>
      <c r="K122" s="109" t="s">
        <v>105</v>
      </c>
      <c r="L122" s="109" t="s">
        <v>160</v>
      </c>
      <c r="M122" s="117" t="s">
        <v>161</v>
      </c>
      <c r="O122" s="109">
        <v>0</v>
      </c>
      <c r="P122" s="109">
        <v>0</v>
      </c>
      <c r="Q122" s="198">
        <v>2.8069999999999999</v>
      </c>
      <c r="R122" s="198">
        <v>2.863</v>
      </c>
      <c r="S122" s="109">
        <v>0</v>
      </c>
      <c r="T122" s="146"/>
      <c r="U122" s="117"/>
      <c r="V122" s="116"/>
      <c r="W122" s="144"/>
      <c r="X122" s="145"/>
      <c r="AD122" s="109" t="str">
        <f t="shared" si="0"/>
        <v xml:space="preserve">r2s: ; %Pes: </v>
      </c>
    </row>
    <row r="123" spans="1:30" s="109" customFormat="1" ht="21" customHeight="1">
      <c r="A123" s="149" t="s">
        <v>138</v>
      </c>
      <c r="B123" s="178" t="s">
        <v>139</v>
      </c>
      <c r="C123" s="109" t="s">
        <v>149</v>
      </c>
      <c r="D123" s="143" t="s">
        <v>150</v>
      </c>
      <c r="E123" s="143" t="s">
        <v>151</v>
      </c>
      <c r="F123" s="109">
        <v>42491</v>
      </c>
      <c r="G123" s="109">
        <v>1</v>
      </c>
      <c r="H123" s="117" t="s">
        <v>152</v>
      </c>
      <c r="J123" s="109" t="s">
        <v>104</v>
      </c>
      <c r="K123" s="109" t="s">
        <v>105</v>
      </c>
      <c r="L123" s="109" t="s">
        <v>162</v>
      </c>
      <c r="M123" s="117" t="s">
        <v>163</v>
      </c>
      <c r="O123" s="109">
        <v>0</v>
      </c>
      <c r="P123" s="109">
        <v>0</v>
      </c>
      <c r="Q123" s="198">
        <v>2.8609999999999998</v>
      </c>
      <c r="R123" s="198">
        <v>2.8679999999999999</v>
      </c>
      <c r="S123" s="109">
        <v>0</v>
      </c>
      <c r="T123" s="146"/>
      <c r="U123" s="117"/>
      <c r="V123" s="116"/>
      <c r="W123" s="144"/>
      <c r="X123" s="145"/>
      <c r="AD123" s="109" t="str">
        <f t="shared" si="0"/>
        <v xml:space="preserve">r2s: ; %Pes: </v>
      </c>
    </row>
    <row r="124" spans="1:30" s="109" customFormat="1" ht="21" customHeight="1">
      <c r="A124" s="149" t="s">
        <v>138</v>
      </c>
      <c r="B124" s="178" t="s">
        <v>139</v>
      </c>
      <c r="C124" s="109" t="s">
        <v>149</v>
      </c>
      <c r="D124" s="143" t="s">
        <v>150</v>
      </c>
      <c r="E124" s="143" t="s">
        <v>151</v>
      </c>
      <c r="F124" s="109">
        <v>42491</v>
      </c>
      <c r="G124" s="109">
        <v>1</v>
      </c>
      <c r="H124" s="117" t="s">
        <v>152</v>
      </c>
      <c r="J124" s="109" t="s">
        <v>104</v>
      </c>
      <c r="K124" s="109" t="s">
        <v>105</v>
      </c>
      <c r="L124" s="109" t="s">
        <v>162</v>
      </c>
      <c r="M124" s="117" t="s">
        <v>163</v>
      </c>
      <c r="O124" s="109">
        <v>0</v>
      </c>
      <c r="P124" s="109">
        <v>0</v>
      </c>
      <c r="Q124" s="198">
        <v>2.7930000000000001</v>
      </c>
      <c r="R124" s="198">
        <v>2.6360000000000001</v>
      </c>
      <c r="S124" s="109">
        <v>0</v>
      </c>
      <c r="T124" s="146"/>
      <c r="U124" s="117"/>
      <c r="V124" s="116"/>
      <c r="W124" s="144"/>
      <c r="X124" s="145"/>
      <c r="AD124" s="109" t="str">
        <f t="shared" si="0"/>
        <v xml:space="preserve">r2s: ; %Pes: </v>
      </c>
    </row>
    <row r="126" spans="1:30" s="109" customFormat="1" ht="21" customHeight="1">
      <c r="A126" s="149" t="s">
        <v>138</v>
      </c>
      <c r="B126" s="178" t="s">
        <v>139</v>
      </c>
      <c r="C126" s="109" t="s">
        <v>149</v>
      </c>
      <c r="D126" s="143" t="s">
        <v>150</v>
      </c>
      <c r="E126" s="143" t="s">
        <v>151</v>
      </c>
      <c r="F126" s="109">
        <v>31058</v>
      </c>
      <c r="G126" s="109">
        <v>2</v>
      </c>
      <c r="H126" s="117" t="s">
        <v>164</v>
      </c>
      <c r="I126" s="109" t="s">
        <v>165</v>
      </c>
      <c r="J126" s="109" t="s">
        <v>104</v>
      </c>
      <c r="K126" s="109" t="s">
        <v>105</v>
      </c>
      <c r="L126" s="109" t="s">
        <v>155</v>
      </c>
      <c r="M126" s="117" t="s">
        <v>156</v>
      </c>
      <c r="N126" s="109" t="s">
        <v>114</v>
      </c>
      <c r="O126" s="109">
        <v>0</v>
      </c>
      <c r="P126" s="109">
        <v>0</v>
      </c>
      <c r="Q126" s="198">
        <v>2.5720000000000001</v>
      </c>
      <c r="R126" s="198">
        <v>2.8340000000000001</v>
      </c>
      <c r="S126" s="109">
        <v>0</v>
      </c>
      <c r="T126" s="146"/>
      <c r="U126" s="117"/>
      <c r="V126" s="116"/>
      <c r="W126" s="144"/>
      <c r="X126" s="145"/>
      <c r="AD126" s="109" t="str">
        <f t="shared" ref="AD126:AD146" si="1">"r2s: "&amp;V126&amp;"; %Pes: "&amp;W126</f>
        <v xml:space="preserve">r2s: ; %Pes: </v>
      </c>
    </row>
    <row r="127" spans="1:30" s="109" customFormat="1" ht="21" customHeight="1">
      <c r="A127" s="149" t="s">
        <v>138</v>
      </c>
      <c r="B127" s="178" t="s">
        <v>139</v>
      </c>
      <c r="C127" s="109" t="s">
        <v>149</v>
      </c>
      <c r="D127" s="143" t="s">
        <v>150</v>
      </c>
      <c r="E127" s="143" t="s">
        <v>151</v>
      </c>
      <c r="F127" s="109">
        <v>31058</v>
      </c>
      <c r="G127" s="109">
        <v>2</v>
      </c>
      <c r="H127" s="117" t="s">
        <v>164</v>
      </c>
      <c r="I127" s="109" t="s">
        <v>165</v>
      </c>
      <c r="J127" s="109" t="s">
        <v>104</v>
      </c>
      <c r="K127" s="109" t="s">
        <v>105</v>
      </c>
      <c r="L127" s="109" t="s">
        <v>158</v>
      </c>
      <c r="M127" s="117" t="s">
        <v>159</v>
      </c>
      <c r="N127" s="109" t="s">
        <v>114</v>
      </c>
      <c r="O127" s="109">
        <v>0</v>
      </c>
      <c r="P127" s="109">
        <v>0</v>
      </c>
      <c r="Q127" s="198">
        <v>2.8</v>
      </c>
      <c r="R127" s="198">
        <v>2.4319999999999999</v>
      </c>
      <c r="S127" s="109">
        <v>0</v>
      </c>
      <c r="T127" s="146"/>
      <c r="U127" s="117"/>
      <c r="V127" s="116"/>
      <c r="W127" s="144"/>
      <c r="X127" s="145"/>
      <c r="AD127" s="109" t="str">
        <f t="shared" si="1"/>
        <v xml:space="preserve">r2s: ; %Pes: </v>
      </c>
    </row>
    <row r="128" spans="1:30" s="109" customFormat="1" ht="21" customHeight="1">
      <c r="A128" s="149" t="s">
        <v>138</v>
      </c>
      <c r="B128" s="178" t="s">
        <v>139</v>
      </c>
      <c r="C128" s="109" t="s">
        <v>149</v>
      </c>
      <c r="D128" s="143" t="s">
        <v>150</v>
      </c>
      <c r="E128" s="143" t="s">
        <v>151</v>
      </c>
      <c r="F128" s="109">
        <v>31058</v>
      </c>
      <c r="G128" s="109">
        <v>2</v>
      </c>
      <c r="H128" s="117" t="s">
        <v>164</v>
      </c>
      <c r="I128" s="109" t="s">
        <v>165</v>
      </c>
      <c r="J128" s="109" t="s">
        <v>104</v>
      </c>
      <c r="K128" s="109" t="s">
        <v>105</v>
      </c>
      <c r="L128" s="109" t="s">
        <v>158</v>
      </c>
      <c r="M128" s="117" t="s">
        <v>159</v>
      </c>
      <c r="N128" s="109" t="s">
        <v>108</v>
      </c>
      <c r="O128" s="109">
        <v>0</v>
      </c>
      <c r="P128" s="109">
        <v>0</v>
      </c>
      <c r="Q128" s="198">
        <v>2.5499999999999998</v>
      </c>
      <c r="R128" s="198">
        <v>2.4699999999999998</v>
      </c>
      <c r="S128" s="109">
        <v>0</v>
      </c>
      <c r="T128" s="146"/>
      <c r="U128" s="117"/>
      <c r="V128" s="116"/>
      <c r="W128" s="144"/>
      <c r="X128" s="145"/>
      <c r="AD128" s="109" t="str">
        <f t="shared" si="1"/>
        <v xml:space="preserve">r2s: ; %Pes: </v>
      </c>
    </row>
    <row r="129" spans="1:138" s="109" customFormat="1" ht="21" customHeight="1">
      <c r="A129" s="149" t="s">
        <v>138</v>
      </c>
      <c r="B129" s="178" t="s">
        <v>139</v>
      </c>
      <c r="C129" s="109" t="s">
        <v>149</v>
      </c>
      <c r="D129" s="143" t="s">
        <v>150</v>
      </c>
      <c r="E129" s="143" t="s">
        <v>151</v>
      </c>
      <c r="F129" s="109">
        <v>31058</v>
      </c>
      <c r="G129" s="109">
        <v>2</v>
      </c>
      <c r="H129" s="117" t="s">
        <v>164</v>
      </c>
      <c r="I129" s="109" t="s">
        <v>165</v>
      </c>
      <c r="J129" s="109" t="s">
        <v>104</v>
      </c>
      <c r="K129" s="109" t="s">
        <v>105</v>
      </c>
      <c r="L129" s="109" t="s">
        <v>160</v>
      </c>
      <c r="M129" s="117" t="s">
        <v>161</v>
      </c>
      <c r="N129" s="109" t="s">
        <v>114</v>
      </c>
      <c r="O129" s="109">
        <v>0</v>
      </c>
      <c r="P129" s="109">
        <v>0</v>
      </c>
      <c r="Q129" s="198">
        <v>3.048</v>
      </c>
      <c r="R129" s="198">
        <v>3.12</v>
      </c>
      <c r="S129" s="109">
        <v>0</v>
      </c>
      <c r="T129" s="146"/>
      <c r="U129" s="117"/>
      <c r="V129" s="116"/>
      <c r="W129" s="144"/>
      <c r="X129" s="145"/>
      <c r="AD129" s="109" t="str">
        <f t="shared" si="1"/>
        <v xml:space="preserve">r2s: ; %Pes: </v>
      </c>
    </row>
    <row r="130" spans="1:138" s="109" customFormat="1" ht="21" customHeight="1">
      <c r="A130" s="149" t="s">
        <v>138</v>
      </c>
      <c r="B130" s="178" t="s">
        <v>139</v>
      </c>
      <c r="C130" s="109" t="s">
        <v>149</v>
      </c>
      <c r="D130" s="143" t="s">
        <v>150</v>
      </c>
      <c r="E130" s="143" t="s">
        <v>151</v>
      </c>
      <c r="F130" s="109">
        <v>31058</v>
      </c>
      <c r="G130" s="109">
        <v>2</v>
      </c>
      <c r="H130" s="117" t="s">
        <v>164</v>
      </c>
      <c r="I130" s="109" t="s">
        <v>165</v>
      </c>
      <c r="J130" s="109" t="s">
        <v>104</v>
      </c>
      <c r="K130" s="109" t="s">
        <v>105</v>
      </c>
      <c r="L130" s="109" t="s">
        <v>160</v>
      </c>
      <c r="M130" s="117" t="s">
        <v>161</v>
      </c>
      <c r="N130" s="109" t="s">
        <v>108</v>
      </c>
      <c r="O130" s="109">
        <v>0</v>
      </c>
      <c r="P130" s="109">
        <v>0</v>
      </c>
      <c r="Q130" s="198">
        <v>2.8090000000000002</v>
      </c>
      <c r="R130" s="198">
        <v>3.173</v>
      </c>
      <c r="S130" s="109">
        <v>0</v>
      </c>
      <c r="T130" s="146"/>
      <c r="U130" s="117"/>
      <c r="V130" s="116"/>
      <c r="W130" s="144"/>
      <c r="X130" s="145"/>
      <c r="AD130" s="109" t="str">
        <f t="shared" si="1"/>
        <v xml:space="preserve">r2s: ; %Pes: </v>
      </c>
    </row>
    <row r="131" spans="1:138" s="109" customFormat="1" ht="21" customHeight="1">
      <c r="A131" s="149" t="s">
        <v>138</v>
      </c>
      <c r="B131" s="178" t="s">
        <v>139</v>
      </c>
      <c r="C131" s="109" t="s">
        <v>149</v>
      </c>
      <c r="D131" s="143" t="s">
        <v>150</v>
      </c>
      <c r="E131" s="143" t="s">
        <v>151</v>
      </c>
      <c r="F131" s="109">
        <v>31058</v>
      </c>
      <c r="G131" s="109">
        <v>2</v>
      </c>
      <c r="H131" s="117" t="s">
        <v>164</v>
      </c>
      <c r="I131" s="109" t="s">
        <v>165</v>
      </c>
      <c r="J131" s="109" t="s">
        <v>104</v>
      </c>
      <c r="K131" s="109" t="s">
        <v>105</v>
      </c>
      <c r="L131" s="109" t="s">
        <v>162</v>
      </c>
      <c r="M131" s="117" t="s">
        <v>163</v>
      </c>
      <c r="N131" s="109" t="s">
        <v>108</v>
      </c>
      <c r="O131" s="109">
        <v>0</v>
      </c>
      <c r="P131" s="109">
        <v>0</v>
      </c>
      <c r="Q131" s="198">
        <v>2.9319999999999999</v>
      </c>
      <c r="R131" s="198">
        <v>2.875</v>
      </c>
      <c r="S131" s="109">
        <v>0</v>
      </c>
      <c r="T131" s="146"/>
      <c r="U131" s="117"/>
      <c r="V131" s="116"/>
      <c r="W131" s="144"/>
      <c r="X131" s="145"/>
      <c r="AD131" s="109" t="str">
        <f t="shared" si="1"/>
        <v xml:space="preserve">r2s: ; %Pes: </v>
      </c>
    </row>
    <row r="132" spans="1:138" s="109" customFormat="1" ht="21" customHeight="1">
      <c r="A132" s="149" t="s">
        <v>138</v>
      </c>
      <c r="B132" s="178" t="s">
        <v>139</v>
      </c>
      <c r="C132" s="109" t="s">
        <v>149</v>
      </c>
      <c r="D132" s="143" t="s">
        <v>150</v>
      </c>
      <c r="E132" s="143" t="s">
        <v>151</v>
      </c>
      <c r="F132" s="109">
        <v>31058</v>
      </c>
      <c r="G132" s="109">
        <v>2</v>
      </c>
      <c r="H132" s="117" t="s">
        <v>164</v>
      </c>
      <c r="I132" s="109" t="s">
        <v>165</v>
      </c>
      <c r="J132" s="109" t="s">
        <v>104</v>
      </c>
      <c r="K132" s="109" t="s">
        <v>105</v>
      </c>
      <c r="L132" s="109" t="s">
        <v>162</v>
      </c>
      <c r="M132" s="117" t="s">
        <v>163</v>
      </c>
      <c r="N132" s="109" t="s">
        <v>114</v>
      </c>
      <c r="O132" s="109">
        <v>0</v>
      </c>
      <c r="P132" s="109">
        <v>0</v>
      </c>
      <c r="Q132" s="198">
        <v>2.8600000000000003</v>
      </c>
      <c r="R132" s="198">
        <v>2.9769999999999999</v>
      </c>
      <c r="S132" s="109">
        <v>0</v>
      </c>
      <c r="T132" s="146"/>
      <c r="U132" s="117"/>
      <c r="V132" s="116"/>
      <c r="W132" s="144"/>
      <c r="X132" s="145"/>
      <c r="AD132" s="109" t="str">
        <f t="shared" si="1"/>
        <v xml:space="preserve">r2s: ; %Pes: </v>
      </c>
    </row>
    <row r="133" spans="1:138" s="109" customFormat="1" ht="21" customHeight="1">
      <c r="A133" s="149" t="s">
        <v>138</v>
      </c>
      <c r="B133" s="178" t="s">
        <v>139</v>
      </c>
      <c r="C133" s="109" t="s">
        <v>149</v>
      </c>
      <c r="D133" s="143" t="s">
        <v>150</v>
      </c>
      <c r="E133" s="143" t="s">
        <v>151</v>
      </c>
      <c r="F133" s="109">
        <v>31058</v>
      </c>
      <c r="G133" s="109">
        <v>2</v>
      </c>
      <c r="H133" s="117" t="s">
        <v>164</v>
      </c>
      <c r="I133" s="109" t="s">
        <v>165</v>
      </c>
      <c r="J133" s="109" t="s">
        <v>104</v>
      </c>
      <c r="K133" s="109" t="s">
        <v>105</v>
      </c>
      <c r="L133" s="109" t="s">
        <v>166</v>
      </c>
      <c r="M133" s="117" t="s">
        <v>167</v>
      </c>
      <c r="N133" s="109" t="s">
        <v>108</v>
      </c>
      <c r="O133" s="109">
        <v>0</v>
      </c>
      <c r="P133" s="109">
        <v>0</v>
      </c>
      <c r="Q133" s="198">
        <v>2.5</v>
      </c>
      <c r="R133" s="198">
        <v>2.698</v>
      </c>
      <c r="S133" s="109">
        <v>0</v>
      </c>
      <c r="T133" s="146"/>
      <c r="U133" s="117"/>
      <c r="V133" s="116"/>
      <c r="W133" s="144"/>
      <c r="X133" s="145"/>
      <c r="AD133" s="109" t="str">
        <f t="shared" si="1"/>
        <v xml:space="preserve">r2s: ; %Pes: </v>
      </c>
    </row>
    <row r="134" spans="1:138" s="109" customFormat="1" ht="21" customHeight="1">
      <c r="A134" s="149" t="s">
        <v>138</v>
      </c>
      <c r="B134" s="178" t="s">
        <v>139</v>
      </c>
      <c r="C134" s="109" t="s">
        <v>149</v>
      </c>
      <c r="D134" s="143" t="s">
        <v>150</v>
      </c>
      <c r="E134" s="143" t="s">
        <v>151</v>
      </c>
      <c r="F134" s="109">
        <v>31058</v>
      </c>
      <c r="G134" s="109">
        <v>2</v>
      </c>
      <c r="H134" s="117" t="s">
        <v>164</v>
      </c>
      <c r="I134" s="109" t="s">
        <v>165</v>
      </c>
      <c r="J134" s="109" t="s">
        <v>104</v>
      </c>
      <c r="K134" s="109" t="s">
        <v>105</v>
      </c>
      <c r="L134" s="109" t="s">
        <v>153</v>
      </c>
      <c r="M134" s="117" t="s">
        <v>154</v>
      </c>
      <c r="N134" s="109" t="s">
        <v>114</v>
      </c>
      <c r="O134" s="109">
        <v>0</v>
      </c>
      <c r="P134" s="109">
        <v>0</v>
      </c>
      <c r="Q134" s="198">
        <v>3.69</v>
      </c>
      <c r="R134" s="198">
        <v>2.7010000000000001</v>
      </c>
      <c r="S134" s="109">
        <v>0</v>
      </c>
      <c r="T134" s="146"/>
      <c r="U134" s="117"/>
      <c r="V134" s="116"/>
      <c r="W134" s="144"/>
      <c r="X134" s="145"/>
      <c r="AD134" s="109" t="str">
        <f t="shared" si="1"/>
        <v xml:space="preserve">r2s: ; %Pes: </v>
      </c>
    </row>
    <row r="135" spans="1:138" s="109" customFormat="1" ht="21" customHeight="1">
      <c r="A135" s="149" t="s">
        <v>138</v>
      </c>
      <c r="B135" s="178" t="s">
        <v>139</v>
      </c>
      <c r="C135" s="109" t="s">
        <v>149</v>
      </c>
      <c r="D135" s="143" t="s">
        <v>150</v>
      </c>
      <c r="E135" s="143" t="s">
        <v>151</v>
      </c>
      <c r="F135" s="109">
        <v>31058</v>
      </c>
      <c r="G135" s="109">
        <v>2</v>
      </c>
      <c r="H135" s="117" t="s">
        <v>164</v>
      </c>
      <c r="I135" s="109" t="s">
        <v>165</v>
      </c>
      <c r="J135" s="109" t="s">
        <v>104</v>
      </c>
      <c r="K135" s="109" t="s">
        <v>105</v>
      </c>
      <c r="L135" s="109" t="s">
        <v>153</v>
      </c>
      <c r="M135" s="117" t="s">
        <v>154</v>
      </c>
      <c r="N135" s="109" t="s">
        <v>108</v>
      </c>
      <c r="O135" s="109">
        <v>0</v>
      </c>
      <c r="P135" s="109">
        <v>0</v>
      </c>
      <c r="Q135" s="198">
        <v>3.6509999999999998</v>
      </c>
      <c r="R135" s="198">
        <v>2.8149999999999999</v>
      </c>
      <c r="S135" s="109">
        <v>0</v>
      </c>
      <c r="T135" s="146"/>
      <c r="U135" s="117"/>
      <c r="V135" s="116"/>
      <c r="W135" s="144"/>
      <c r="X135" s="145"/>
      <c r="AD135" s="109" t="str">
        <f t="shared" si="1"/>
        <v xml:space="preserve">r2s: ; %Pes: </v>
      </c>
    </row>
    <row r="136" spans="1:138" s="110" customFormat="1" ht="21" customHeight="1">
      <c r="A136" s="104" t="s">
        <v>168</v>
      </c>
      <c r="B136" s="104" t="s">
        <v>169</v>
      </c>
      <c r="C136" s="104" t="s">
        <v>149</v>
      </c>
      <c r="D136" s="105" t="s">
        <v>150</v>
      </c>
      <c r="E136" s="105" t="s">
        <v>151</v>
      </c>
      <c r="F136" s="104">
        <v>31058</v>
      </c>
      <c r="G136" s="104">
        <v>2</v>
      </c>
      <c r="H136" s="106" t="s">
        <v>164</v>
      </c>
      <c r="I136" s="104" t="s">
        <v>165</v>
      </c>
      <c r="J136" s="104" t="s">
        <v>104</v>
      </c>
      <c r="K136" s="104" t="s">
        <v>105</v>
      </c>
      <c r="L136" s="104" t="s">
        <v>166</v>
      </c>
      <c r="M136" s="106" t="s">
        <v>167</v>
      </c>
      <c r="N136" s="104" t="s">
        <v>114</v>
      </c>
      <c r="O136" s="104">
        <v>0</v>
      </c>
      <c r="P136" s="104">
        <v>0</v>
      </c>
      <c r="Q136" s="113">
        <v>2.5409999999999999</v>
      </c>
      <c r="R136" s="113">
        <v>2.62</v>
      </c>
      <c r="S136" s="104">
        <v>0</v>
      </c>
      <c r="T136" s="120"/>
      <c r="U136" s="106"/>
      <c r="V136" s="108"/>
      <c r="W136" s="107"/>
      <c r="X136" s="114"/>
      <c r="Y136" s="104"/>
      <c r="Z136" s="104"/>
      <c r="AA136" s="104"/>
      <c r="AB136" s="104"/>
      <c r="AC136" s="104"/>
      <c r="AD136" s="103" t="str">
        <f t="shared" si="1"/>
        <v xml:space="preserve">r2s: ; %Pes: </v>
      </c>
      <c r="AE136" s="104"/>
      <c r="AF136" s="104"/>
      <c r="AH136" s="104"/>
      <c r="AI136" s="104"/>
      <c r="AJ136" s="104"/>
      <c r="AK136" s="104"/>
      <c r="AL136" s="104"/>
      <c r="AM136" s="104"/>
      <c r="AN136" s="104"/>
      <c r="AO136" s="104"/>
      <c r="AP136" s="104"/>
      <c r="AQ136" s="104"/>
      <c r="AR136" s="104"/>
      <c r="AS136" s="104"/>
      <c r="AT136" s="104"/>
      <c r="AU136" s="104"/>
      <c r="AV136" s="104"/>
      <c r="AW136" s="104"/>
      <c r="AX136" s="104"/>
      <c r="AY136" s="104"/>
      <c r="AZ136" s="104"/>
      <c r="BA136" s="104"/>
      <c r="BB136" s="104"/>
      <c r="BC136" s="104"/>
      <c r="BD136" s="104"/>
      <c r="BE136" s="104"/>
      <c r="BF136" s="104"/>
      <c r="BG136" s="104"/>
      <c r="BH136" s="104"/>
      <c r="BI136" s="104"/>
      <c r="BJ136" s="104"/>
      <c r="BK136" s="104"/>
      <c r="BL136" s="104"/>
      <c r="BM136" s="104"/>
      <c r="BN136" s="104"/>
      <c r="BO136" s="104"/>
      <c r="BP136" s="104"/>
      <c r="BQ136" s="103"/>
      <c r="BR136" s="103"/>
      <c r="BS136" s="103"/>
      <c r="BT136" s="103"/>
      <c r="BU136" s="103"/>
      <c r="BV136" s="103"/>
      <c r="BW136" s="103"/>
      <c r="BX136" s="103"/>
      <c r="BY136" s="103"/>
      <c r="BZ136" s="103"/>
      <c r="CA136" s="103"/>
      <c r="CB136" s="103"/>
      <c r="CC136" s="103"/>
      <c r="CD136" s="103"/>
      <c r="CE136" s="103"/>
      <c r="CF136" s="103"/>
      <c r="CG136" s="103"/>
      <c r="CH136" s="103"/>
      <c r="CI136" s="103"/>
      <c r="CJ136" s="103"/>
      <c r="CK136" s="103"/>
      <c r="CL136" s="103"/>
      <c r="CM136" s="103"/>
      <c r="CN136" s="103"/>
      <c r="CO136" s="103"/>
      <c r="CP136" s="103"/>
      <c r="CQ136" s="103"/>
      <c r="CR136" s="103"/>
      <c r="CS136" s="103"/>
      <c r="CT136" s="103"/>
      <c r="CU136" s="103"/>
      <c r="CV136" s="103"/>
      <c r="CW136" s="103"/>
      <c r="CX136" s="103"/>
      <c r="CY136" s="103"/>
      <c r="CZ136" s="103"/>
      <c r="DA136" s="103"/>
      <c r="DB136" s="103"/>
      <c r="DC136" s="103"/>
      <c r="DD136" s="103"/>
      <c r="DE136" s="103"/>
      <c r="DF136" s="103"/>
      <c r="DG136" s="103"/>
      <c r="DH136" s="103"/>
      <c r="DI136" s="103"/>
      <c r="DJ136" s="103"/>
      <c r="DK136" s="103"/>
      <c r="DL136" s="103"/>
      <c r="DM136" s="103"/>
      <c r="DN136" s="103"/>
      <c r="DO136" s="103"/>
      <c r="DP136" s="103"/>
      <c r="DQ136" s="103"/>
      <c r="DR136" s="103"/>
      <c r="DS136" s="103"/>
      <c r="DT136" s="103"/>
      <c r="DU136" s="103"/>
      <c r="DV136" s="103"/>
      <c r="DW136" s="103"/>
      <c r="DX136" s="103"/>
      <c r="DY136" s="103"/>
      <c r="DZ136" s="103"/>
      <c r="EA136" s="103"/>
      <c r="EB136" s="103"/>
      <c r="EC136" s="103"/>
      <c r="ED136" s="103"/>
      <c r="EE136" s="103"/>
      <c r="EF136" s="103"/>
      <c r="EG136" s="103"/>
      <c r="EH136" s="103"/>
    </row>
    <row r="137" spans="1:138" s="109" customFormat="1" ht="21" customHeight="1">
      <c r="A137" s="149" t="s">
        <v>138</v>
      </c>
      <c r="B137" s="178" t="s">
        <v>139</v>
      </c>
      <c r="C137" s="109" t="s">
        <v>149</v>
      </c>
      <c r="D137" s="143" t="s">
        <v>150</v>
      </c>
      <c r="E137" s="143" t="s">
        <v>151</v>
      </c>
      <c r="F137" s="109">
        <v>31041</v>
      </c>
      <c r="G137" s="109">
        <v>33</v>
      </c>
      <c r="H137" s="117" t="s">
        <v>170</v>
      </c>
      <c r="I137" s="109" t="s">
        <v>171</v>
      </c>
      <c r="J137" s="109" t="s">
        <v>104</v>
      </c>
      <c r="K137" s="109" t="s">
        <v>105</v>
      </c>
      <c r="L137" s="109" t="s">
        <v>172</v>
      </c>
      <c r="M137" s="117" t="s">
        <v>173</v>
      </c>
      <c r="N137" s="109" t="s">
        <v>108</v>
      </c>
      <c r="O137" s="109">
        <v>0</v>
      </c>
      <c r="P137" s="109">
        <v>0</v>
      </c>
      <c r="Q137" s="198">
        <v>2.1800000000000002</v>
      </c>
      <c r="R137" s="198">
        <v>1.9969999999999999</v>
      </c>
      <c r="S137" s="109">
        <v>0</v>
      </c>
      <c r="T137" s="146"/>
      <c r="U137" s="117"/>
      <c r="V137" s="116"/>
      <c r="W137" s="144"/>
      <c r="X137" s="145"/>
      <c r="AD137" s="109" t="str">
        <f t="shared" si="1"/>
        <v xml:space="preserve">r2s: ; %Pes: </v>
      </c>
    </row>
    <row r="138" spans="1:138" s="109" customFormat="1" ht="21" customHeight="1">
      <c r="A138" s="149" t="s">
        <v>138</v>
      </c>
      <c r="B138" s="178" t="s">
        <v>139</v>
      </c>
      <c r="C138" s="109" t="s">
        <v>149</v>
      </c>
      <c r="D138" s="143" t="s">
        <v>150</v>
      </c>
      <c r="E138" s="143" t="s">
        <v>151</v>
      </c>
      <c r="F138" s="109">
        <v>31041</v>
      </c>
      <c r="G138" s="109">
        <v>33</v>
      </c>
      <c r="H138" s="117" t="s">
        <v>170</v>
      </c>
      <c r="I138" s="109" t="s">
        <v>171</v>
      </c>
      <c r="J138" s="109" t="s">
        <v>104</v>
      </c>
      <c r="K138" s="109" t="s">
        <v>105</v>
      </c>
      <c r="L138" s="109" t="s">
        <v>166</v>
      </c>
      <c r="M138" s="117" t="s">
        <v>167</v>
      </c>
      <c r="N138" s="109" t="s">
        <v>114</v>
      </c>
      <c r="O138" s="109">
        <v>0</v>
      </c>
      <c r="P138" s="109">
        <v>0</v>
      </c>
      <c r="Q138" s="198">
        <v>2.7749999999999999</v>
      </c>
      <c r="R138" s="198">
        <v>2.0209999999999999</v>
      </c>
      <c r="S138" s="109">
        <v>0</v>
      </c>
      <c r="T138" s="146"/>
      <c r="U138" s="117"/>
      <c r="V138" s="116"/>
      <c r="W138" s="144"/>
      <c r="X138" s="145"/>
      <c r="AD138" s="109" t="str">
        <f t="shared" si="1"/>
        <v xml:space="preserve">r2s: ; %Pes: </v>
      </c>
    </row>
    <row r="139" spans="1:138" s="109" customFormat="1" ht="21" customHeight="1">
      <c r="A139" s="149" t="s">
        <v>138</v>
      </c>
      <c r="B139" s="178" t="s">
        <v>139</v>
      </c>
      <c r="C139" s="109" t="s">
        <v>149</v>
      </c>
      <c r="D139" s="143" t="s">
        <v>150</v>
      </c>
      <c r="E139" s="143" t="s">
        <v>151</v>
      </c>
      <c r="F139" s="109">
        <v>31041</v>
      </c>
      <c r="G139" s="109">
        <v>33</v>
      </c>
      <c r="H139" s="117" t="s">
        <v>170</v>
      </c>
      <c r="I139" s="109" t="s">
        <v>171</v>
      </c>
      <c r="J139" s="109" t="s">
        <v>104</v>
      </c>
      <c r="K139" s="109" t="s">
        <v>105</v>
      </c>
      <c r="L139" s="109" t="s">
        <v>166</v>
      </c>
      <c r="M139" s="117" t="s">
        <v>167</v>
      </c>
      <c r="N139" s="109" t="s">
        <v>108</v>
      </c>
      <c r="O139" s="109">
        <v>0</v>
      </c>
      <c r="P139" s="109">
        <v>0</v>
      </c>
      <c r="Q139" s="198">
        <v>2.7170000000000001</v>
      </c>
      <c r="R139" s="198">
        <v>1.9670000000000001</v>
      </c>
      <c r="S139" s="109">
        <v>0</v>
      </c>
      <c r="T139" s="146"/>
      <c r="U139" s="117"/>
      <c r="V139" s="116"/>
      <c r="W139" s="144"/>
      <c r="X139" s="145"/>
      <c r="AD139" s="109" t="str">
        <f t="shared" si="1"/>
        <v xml:space="preserve">r2s: ; %Pes: </v>
      </c>
    </row>
    <row r="140" spans="1:138" s="109" customFormat="1" ht="21" customHeight="1">
      <c r="A140" s="149" t="s">
        <v>138</v>
      </c>
      <c r="B140" s="178" t="s">
        <v>139</v>
      </c>
      <c r="C140" s="109" t="s">
        <v>149</v>
      </c>
      <c r="D140" s="143" t="s">
        <v>150</v>
      </c>
      <c r="E140" s="143" t="s">
        <v>151</v>
      </c>
      <c r="F140" s="109">
        <v>31041</v>
      </c>
      <c r="G140" s="109">
        <v>33</v>
      </c>
      <c r="H140" s="117" t="s">
        <v>170</v>
      </c>
      <c r="I140" s="109" t="s">
        <v>171</v>
      </c>
      <c r="J140" s="109" t="s">
        <v>104</v>
      </c>
      <c r="K140" s="109" t="s">
        <v>105</v>
      </c>
      <c r="L140" s="109" t="s">
        <v>174</v>
      </c>
      <c r="M140" s="117" t="s">
        <v>175</v>
      </c>
      <c r="N140" s="109" t="s">
        <v>114</v>
      </c>
      <c r="O140" s="109">
        <v>0</v>
      </c>
      <c r="P140" s="109">
        <v>0</v>
      </c>
      <c r="Q140" s="198">
        <v>3.9090000000000003</v>
      </c>
      <c r="R140" s="198">
        <v>1.8359999999999999</v>
      </c>
      <c r="S140" s="109">
        <v>0</v>
      </c>
      <c r="T140" s="146"/>
      <c r="U140" s="117"/>
      <c r="V140" s="116"/>
      <c r="W140" s="144"/>
      <c r="X140" s="145"/>
      <c r="AD140" s="109" t="str">
        <f t="shared" si="1"/>
        <v xml:space="preserve">r2s: ; %Pes: </v>
      </c>
    </row>
    <row r="141" spans="1:138" s="109" customFormat="1" ht="21" customHeight="1">
      <c r="A141" s="149" t="s">
        <v>138</v>
      </c>
      <c r="B141" s="178" t="s">
        <v>139</v>
      </c>
      <c r="C141" s="109" t="s">
        <v>149</v>
      </c>
      <c r="D141" s="143" t="s">
        <v>150</v>
      </c>
      <c r="E141" s="143" t="s">
        <v>151</v>
      </c>
      <c r="F141" s="109">
        <v>31041</v>
      </c>
      <c r="G141" s="109">
        <v>33</v>
      </c>
      <c r="H141" s="117" t="s">
        <v>170</v>
      </c>
      <c r="I141" s="109" t="s">
        <v>171</v>
      </c>
      <c r="J141" s="109" t="s">
        <v>104</v>
      </c>
      <c r="K141" s="109" t="s">
        <v>105</v>
      </c>
      <c r="L141" s="109" t="s">
        <v>174</v>
      </c>
      <c r="M141" s="117" t="s">
        <v>175</v>
      </c>
      <c r="N141" s="109" t="s">
        <v>108</v>
      </c>
      <c r="O141" s="109">
        <v>0</v>
      </c>
      <c r="P141" s="109">
        <v>0</v>
      </c>
      <c r="Q141" s="198">
        <v>3.7810000000000001</v>
      </c>
      <c r="R141" s="198">
        <v>1.5</v>
      </c>
      <c r="S141" s="109">
        <v>0</v>
      </c>
      <c r="T141" s="146"/>
      <c r="U141" s="117"/>
      <c r="V141" s="116"/>
      <c r="W141" s="144"/>
      <c r="X141" s="145"/>
      <c r="AD141" s="109" t="str">
        <f t="shared" si="1"/>
        <v xml:space="preserve">r2s: ; %Pes: </v>
      </c>
    </row>
    <row r="142" spans="1:138" s="109" customFormat="1" ht="21" customHeight="1">
      <c r="A142" s="149" t="s">
        <v>138</v>
      </c>
      <c r="B142" s="178" t="s">
        <v>139</v>
      </c>
      <c r="C142" s="109" t="s">
        <v>149</v>
      </c>
      <c r="D142" s="143" t="s">
        <v>150</v>
      </c>
      <c r="E142" s="143" t="s">
        <v>151</v>
      </c>
      <c r="F142" s="109">
        <v>31041</v>
      </c>
      <c r="G142" s="109">
        <v>33</v>
      </c>
      <c r="H142" s="117" t="s">
        <v>170</v>
      </c>
      <c r="I142" s="109" t="s">
        <v>171</v>
      </c>
      <c r="J142" s="109" t="s">
        <v>104</v>
      </c>
      <c r="K142" s="109" t="s">
        <v>105</v>
      </c>
      <c r="L142" s="109" t="s">
        <v>153</v>
      </c>
      <c r="M142" s="117" t="s">
        <v>154</v>
      </c>
      <c r="N142" s="109" t="s">
        <v>114</v>
      </c>
      <c r="O142" s="109">
        <v>0</v>
      </c>
      <c r="P142" s="109">
        <v>0</v>
      </c>
      <c r="Q142" s="198">
        <v>3.2189999999999999</v>
      </c>
      <c r="R142" s="198">
        <v>1.9739999999999998</v>
      </c>
      <c r="S142" s="109">
        <v>0</v>
      </c>
      <c r="T142" s="146"/>
      <c r="U142" s="117"/>
      <c r="V142" s="116"/>
      <c r="W142" s="144"/>
      <c r="X142" s="145"/>
      <c r="AD142" s="109" t="str">
        <f t="shared" si="1"/>
        <v xml:space="preserve">r2s: ; %Pes: </v>
      </c>
    </row>
    <row r="143" spans="1:138" s="109" customFormat="1" ht="21" customHeight="1">
      <c r="A143" s="149" t="s">
        <v>138</v>
      </c>
      <c r="B143" s="178" t="s">
        <v>139</v>
      </c>
      <c r="C143" s="109" t="s">
        <v>149</v>
      </c>
      <c r="D143" s="143" t="s">
        <v>150</v>
      </c>
      <c r="E143" s="143" t="s">
        <v>151</v>
      </c>
      <c r="F143" s="109">
        <v>31041</v>
      </c>
      <c r="G143" s="109">
        <v>33</v>
      </c>
      <c r="H143" s="117" t="s">
        <v>170</v>
      </c>
      <c r="I143" s="109" t="s">
        <v>171</v>
      </c>
      <c r="J143" s="109" t="s">
        <v>104</v>
      </c>
      <c r="K143" s="109" t="s">
        <v>105</v>
      </c>
      <c r="L143" s="109" t="s">
        <v>176</v>
      </c>
      <c r="M143" s="117" t="s">
        <v>177</v>
      </c>
      <c r="N143" s="109" t="s">
        <v>114</v>
      </c>
      <c r="O143" s="109">
        <v>0</v>
      </c>
      <c r="P143" s="109">
        <v>0</v>
      </c>
      <c r="Q143" s="198">
        <v>2.5760000000000001</v>
      </c>
      <c r="R143" s="198">
        <v>2.0499999999999998</v>
      </c>
      <c r="S143" s="109">
        <v>0</v>
      </c>
      <c r="T143" s="146"/>
      <c r="U143" s="117"/>
      <c r="V143" s="116"/>
      <c r="W143" s="144"/>
      <c r="X143" s="145"/>
      <c r="AD143" s="109" t="str">
        <f t="shared" si="1"/>
        <v xml:space="preserve">r2s: ; %Pes: </v>
      </c>
    </row>
    <row r="144" spans="1:138" s="109" customFormat="1" ht="21" customHeight="1">
      <c r="A144" s="149" t="s">
        <v>138</v>
      </c>
      <c r="B144" s="178" t="s">
        <v>139</v>
      </c>
      <c r="C144" s="109" t="s">
        <v>149</v>
      </c>
      <c r="D144" s="143" t="s">
        <v>150</v>
      </c>
      <c r="E144" s="143" t="s">
        <v>151</v>
      </c>
      <c r="F144" s="109">
        <v>31041</v>
      </c>
      <c r="G144" s="109">
        <v>33</v>
      </c>
      <c r="H144" s="117" t="s">
        <v>170</v>
      </c>
      <c r="I144" s="109" t="s">
        <v>171</v>
      </c>
      <c r="J144" s="109" t="s">
        <v>104</v>
      </c>
      <c r="K144" s="109" t="s">
        <v>105</v>
      </c>
      <c r="L144" s="109" t="s">
        <v>176</v>
      </c>
      <c r="M144" s="117" t="s">
        <v>177</v>
      </c>
      <c r="N144" s="109" t="s">
        <v>108</v>
      </c>
      <c r="O144" s="109">
        <v>0</v>
      </c>
      <c r="P144" s="109">
        <v>0</v>
      </c>
      <c r="Q144" s="198">
        <v>2.4929999999999999</v>
      </c>
      <c r="R144" s="198">
        <v>1.8640000000000001</v>
      </c>
      <c r="S144" s="109">
        <v>0</v>
      </c>
      <c r="T144" s="146"/>
      <c r="U144" s="117"/>
      <c r="V144" s="116"/>
      <c r="W144" s="144"/>
      <c r="X144" s="145"/>
      <c r="AD144" s="109" t="str">
        <f t="shared" si="1"/>
        <v xml:space="preserve">r2s: ; %Pes: </v>
      </c>
    </row>
    <row r="145" spans="1:68" s="109" customFormat="1" ht="21" customHeight="1">
      <c r="A145" s="149" t="s">
        <v>138</v>
      </c>
      <c r="B145" s="178" t="s">
        <v>139</v>
      </c>
      <c r="C145" s="109" t="s">
        <v>149</v>
      </c>
      <c r="D145" s="143" t="s">
        <v>150</v>
      </c>
      <c r="E145" s="143" t="s">
        <v>151</v>
      </c>
      <c r="F145" s="109">
        <v>31041</v>
      </c>
      <c r="G145" s="109">
        <v>33</v>
      </c>
      <c r="H145" s="117" t="s">
        <v>170</v>
      </c>
      <c r="I145" s="109" t="s">
        <v>171</v>
      </c>
      <c r="J145" s="109" t="s">
        <v>104</v>
      </c>
      <c r="K145" s="109" t="s">
        <v>105</v>
      </c>
      <c r="L145" s="109" t="s">
        <v>178</v>
      </c>
      <c r="M145" s="117" t="s">
        <v>179</v>
      </c>
      <c r="N145" s="109" t="s">
        <v>108</v>
      </c>
      <c r="O145" s="109">
        <v>0</v>
      </c>
      <c r="P145" s="109">
        <v>0</v>
      </c>
      <c r="Q145" s="198">
        <v>2.67</v>
      </c>
      <c r="R145" s="198">
        <v>1.8460000000000001</v>
      </c>
      <c r="S145" s="109">
        <v>0</v>
      </c>
      <c r="T145" s="146"/>
      <c r="U145" s="117"/>
      <c r="V145" s="116"/>
      <c r="W145" s="144"/>
      <c r="X145" s="145"/>
      <c r="AD145" s="109" t="str">
        <f t="shared" si="1"/>
        <v xml:space="preserve">r2s: ; %Pes: </v>
      </c>
    </row>
    <row r="146" spans="1:68" s="109" customFormat="1" ht="21" customHeight="1">
      <c r="A146" s="149" t="s">
        <v>138</v>
      </c>
      <c r="B146" s="178" t="s">
        <v>139</v>
      </c>
      <c r="C146" s="109" t="s">
        <v>149</v>
      </c>
      <c r="D146" s="143" t="s">
        <v>150</v>
      </c>
      <c r="E146" s="143" t="s">
        <v>151</v>
      </c>
      <c r="F146" s="109">
        <v>31041</v>
      </c>
      <c r="G146" s="109">
        <v>33</v>
      </c>
      <c r="H146" s="117" t="s">
        <v>170</v>
      </c>
      <c r="I146" s="109" t="s">
        <v>171</v>
      </c>
      <c r="J146" s="109" t="s">
        <v>104</v>
      </c>
      <c r="K146" s="109" t="s">
        <v>105</v>
      </c>
      <c r="L146" s="109" t="s">
        <v>178</v>
      </c>
      <c r="M146" s="117" t="s">
        <v>179</v>
      </c>
      <c r="N146" s="109" t="s">
        <v>114</v>
      </c>
      <c r="O146" s="109">
        <v>0</v>
      </c>
      <c r="P146" s="109">
        <v>0</v>
      </c>
      <c r="Q146" s="198">
        <v>2.6459999999999999</v>
      </c>
      <c r="R146" s="198">
        <v>1.9750000000000001</v>
      </c>
      <c r="S146" s="109">
        <v>0</v>
      </c>
      <c r="T146" s="146"/>
      <c r="U146" s="117"/>
      <c r="V146" s="116"/>
      <c r="W146" s="144"/>
      <c r="X146" s="145"/>
      <c r="AD146" s="109" t="str">
        <f t="shared" si="1"/>
        <v xml:space="preserve">r2s: ; %Pes: </v>
      </c>
    </row>
    <row r="148" spans="1:68" s="103" customFormat="1" ht="21" customHeight="1">
      <c r="A148" s="149" t="s">
        <v>138</v>
      </c>
      <c r="B148" s="178" t="s">
        <v>139</v>
      </c>
      <c r="C148" s="109" t="s">
        <v>180</v>
      </c>
      <c r="D148" s="143" t="s">
        <v>181</v>
      </c>
      <c r="E148" s="143" t="s">
        <v>182</v>
      </c>
      <c r="F148" s="109">
        <v>31034</v>
      </c>
      <c r="G148" s="109">
        <v>31</v>
      </c>
      <c r="H148" s="117" t="s">
        <v>183</v>
      </c>
      <c r="I148" s="109" t="s">
        <v>184</v>
      </c>
      <c r="J148" s="109" t="s">
        <v>104</v>
      </c>
      <c r="K148" s="109" t="s">
        <v>105</v>
      </c>
      <c r="L148" s="109" t="s">
        <v>185</v>
      </c>
      <c r="M148" s="117" t="s">
        <v>186</v>
      </c>
      <c r="N148" s="109"/>
      <c r="O148" s="109">
        <v>0</v>
      </c>
      <c r="P148" s="109">
        <v>0</v>
      </c>
      <c r="Q148" s="116">
        <v>1.988</v>
      </c>
      <c r="R148" s="116">
        <v>1.246</v>
      </c>
      <c r="S148" s="109">
        <v>0</v>
      </c>
      <c r="T148" s="146"/>
      <c r="U148" s="117"/>
      <c r="V148" s="116"/>
      <c r="W148" s="144"/>
      <c r="X148" s="145"/>
      <c r="Y148" s="109"/>
      <c r="Z148" s="109"/>
      <c r="AA148" s="104"/>
      <c r="AB148" s="104"/>
      <c r="AC148" s="104"/>
      <c r="AD148" s="103" t="str">
        <f>"r2s: "&amp;V148&amp;"; %Pes: "&amp;W148</f>
        <v xml:space="preserve">r2s: ; %Pes: </v>
      </c>
      <c r="AE148" s="104"/>
      <c r="AF148" s="104"/>
      <c r="AH148" s="104"/>
      <c r="AI148" s="104"/>
      <c r="AJ148" s="104"/>
      <c r="AK148" s="104"/>
      <c r="AL148" s="104"/>
      <c r="AM148" s="104"/>
      <c r="AN148" s="104"/>
      <c r="AO148" s="104"/>
      <c r="AP148" s="104"/>
      <c r="AQ148" s="104"/>
      <c r="AR148" s="104"/>
      <c r="AS148" s="104"/>
      <c r="AT148" s="104"/>
      <c r="AU148" s="104"/>
      <c r="AV148" s="104"/>
      <c r="AW148" s="104"/>
      <c r="AX148" s="104"/>
      <c r="AY148" s="104"/>
      <c r="AZ148" s="104"/>
      <c r="BA148" s="104"/>
      <c r="BB148" s="104"/>
      <c r="BC148" s="104"/>
      <c r="BD148" s="104"/>
      <c r="BE148" s="104"/>
      <c r="BF148" s="104"/>
      <c r="BG148" s="104"/>
      <c r="BH148" s="104"/>
      <c r="BI148" s="104"/>
      <c r="BJ148" s="104"/>
      <c r="BK148" s="104"/>
      <c r="BL148" s="104"/>
      <c r="BM148" s="104"/>
      <c r="BN148" s="104"/>
      <c r="BO148" s="104"/>
      <c r="BP148" s="104"/>
    </row>
    <row r="150" spans="1:68" s="109" customFormat="1" ht="21" customHeight="1">
      <c r="A150" s="149" t="s">
        <v>138</v>
      </c>
      <c r="B150" s="178" t="s">
        <v>139</v>
      </c>
      <c r="C150" s="109" t="s">
        <v>187</v>
      </c>
      <c r="D150" s="143" t="s">
        <v>188</v>
      </c>
      <c r="E150" s="143" t="s">
        <v>189</v>
      </c>
      <c r="F150" s="109">
        <v>998</v>
      </c>
      <c r="G150" s="109">
        <v>31</v>
      </c>
      <c r="H150" s="117" t="s">
        <v>190</v>
      </c>
      <c r="I150" s="109" t="s">
        <v>191</v>
      </c>
      <c r="J150" s="109" t="s">
        <v>104</v>
      </c>
      <c r="K150" s="109" t="s">
        <v>105</v>
      </c>
      <c r="L150" s="109" t="s">
        <v>158</v>
      </c>
      <c r="M150" s="117" t="s">
        <v>192</v>
      </c>
      <c r="N150" s="109" t="s">
        <v>114</v>
      </c>
      <c r="O150" s="109">
        <v>0</v>
      </c>
      <c r="P150" s="109">
        <v>0</v>
      </c>
      <c r="Q150" s="198">
        <v>2.294</v>
      </c>
      <c r="R150" s="198">
        <v>1.405</v>
      </c>
      <c r="S150" s="109">
        <v>0</v>
      </c>
      <c r="T150" s="146"/>
      <c r="U150" s="117"/>
      <c r="V150" s="116"/>
      <c r="W150" s="144"/>
      <c r="X150" s="145"/>
      <c r="AD150" s="109" t="str">
        <f>"r2s: "&amp;V150&amp;"; %Pes: "&amp;W150</f>
        <v xml:space="preserve">r2s: ; %Pes: </v>
      </c>
    </row>
    <row r="151" spans="1:68" s="109" customFormat="1" ht="21" customHeight="1">
      <c r="A151" s="149" t="s">
        <v>138</v>
      </c>
      <c r="B151" s="178" t="s">
        <v>139</v>
      </c>
      <c r="C151" s="109" t="s">
        <v>187</v>
      </c>
      <c r="D151" s="143" t="s">
        <v>188</v>
      </c>
      <c r="E151" s="143" t="s">
        <v>189</v>
      </c>
      <c r="F151" s="109">
        <v>998</v>
      </c>
      <c r="G151" s="109">
        <v>31</v>
      </c>
      <c r="H151" s="117" t="s">
        <v>190</v>
      </c>
      <c r="I151" s="109" t="s">
        <v>191</v>
      </c>
      <c r="J151" s="109" t="s">
        <v>104</v>
      </c>
      <c r="K151" s="109" t="s">
        <v>105</v>
      </c>
      <c r="L151" s="109" t="s">
        <v>143</v>
      </c>
      <c r="M151" s="117" t="s">
        <v>157</v>
      </c>
      <c r="N151" s="109" t="s">
        <v>114</v>
      </c>
      <c r="O151" s="109">
        <v>0</v>
      </c>
      <c r="P151" s="109">
        <v>0</v>
      </c>
      <c r="Q151" s="198">
        <v>1.556</v>
      </c>
      <c r="R151" s="198">
        <v>1.17</v>
      </c>
      <c r="S151" s="109">
        <v>0</v>
      </c>
      <c r="T151" s="146"/>
      <c r="U151" s="117"/>
      <c r="V151" s="116"/>
      <c r="W151" s="144"/>
      <c r="X151" s="145"/>
      <c r="AD151" s="109" t="str">
        <f>"r2s: "&amp;V151&amp;"; %Pes: "&amp;W151</f>
        <v xml:space="preserve">r2s: ; %Pes: </v>
      </c>
    </row>
    <row r="153" spans="1:68" s="109" customFormat="1" ht="21" customHeight="1">
      <c r="A153" s="149" t="s">
        <v>138</v>
      </c>
      <c r="B153" s="178" t="s">
        <v>139</v>
      </c>
      <c r="C153" s="109" t="s">
        <v>193</v>
      </c>
      <c r="D153" s="143" t="s">
        <v>194</v>
      </c>
      <c r="E153" s="143" t="s">
        <v>195</v>
      </c>
      <c r="F153" s="109">
        <v>30839</v>
      </c>
      <c r="G153" s="109">
        <v>27</v>
      </c>
      <c r="H153" s="117" t="s">
        <v>196</v>
      </c>
      <c r="I153" s="109" t="s">
        <v>197</v>
      </c>
      <c r="J153" s="109" t="s">
        <v>104</v>
      </c>
      <c r="K153" s="109" t="s">
        <v>105</v>
      </c>
      <c r="L153" s="109" t="s">
        <v>198</v>
      </c>
      <c r="M153" s="117" t="s">
        <v>199</v>
      </c>
      <c r="N153" s="109" t="s">
        <v>108</v>
      </c>
      <c r="O153" s="199">
        <v>0</v>
      </c>
      <c r="P153" s="109">
        <v>0</v>
      </c>
      <c r="Q153" s="109">
        <v>3.02</v>
      </c>
      <c r="R153" s="109">
        <v>2.2649999999999997</v>
      </c>
      <c r="S153" s="109">
        <v>0</v>
      </c>
      <c r="T153" s="144">
        <v>35.535699776411697</v>
      </c>
      <c r="U153" s="117" t="s">
        <v>200</v>
      </c>
      <c r="V153" s="116">
        <v>0.95599999999999996</v>
      </c>
      <c r="W153" s="144">
        <v>19</v>
      </c>
      <c r="X153" s="117" t="s">
        <v>201</v>
      </c>
      <c r="AD153" s="109" t="str">
        <f>"r2s: "&amp;V153&amp;"; %Pes: "&amp;W153</f>
        <v>r2s: 0.956; %Pes: 19</v>
      </c>
    </row>
    <row r="155" spans="1:68" s="109" customFormat="1" ht="21" customHeight="1">
      <c r="A155" s="149" t="s">
        <v>138</v>
      </c>
      <c r="B155" s="178" t="s">
        <v>139</v>
      </c>
      <c r="C155" s="109" t="s">
        <v>202</v>
      </c>
      <c r="D155" s="143" t="s">
        <v>203</v>
      </c>
      <c r="E155" s="143" t="s">
        <v>204</v>
      </c>
      <c r="F155" s="109">
        <v>42263</v>
      </c>
      <c r="G155" s="109">
        <v>1</v>
      </c>
      <c r="H155" s="117" t="s">
        <v>205</v>
      </c>
      <c r="I155" s="109" t="s">
        <v>206</v>
      </c>
      <c r="J155" s="109" t="s">
        <v>104</v>
      </c>
      <c r="K155" s="109" t="s">
        <v>105</v>
      </c>
      <c r="L155" s="109" t="s">
        <v>155</v>
      </c>
      <c r="M155" s="117" t="s">
        <v>156</v>
      </c>
      <c r="N155" s="109" t="s">
        <v>108</v>
      </c>
      <c r="O155" s="109">
        <v>0</v>
      </c>
      <c r="P155" s="109">
        <v>0</v>
      </c>
      <c r="Q155" s="198">
        <v>4.5289999999999999</v>
      </c>
      <c r="R155" s="198">
        <v>2.8719999999999999</v>
      </c>
      <c r="S155" s="109">
        <v>0</v>
      </c>
      <c r="T155" s="146"/>
      <c r="U155" s="117"/>
      <c r="V155" s="116"/>
      <c r="W155" s="144"/>
      <c r="X155" s="145"/>
      <c r="AD155" s="109" t="str">
        <f>"r2s: "&amp;V155&amp;"; %Pes: "&amp;W155</f>
        <v xml:space="preserve">r2s: ; %Pes: </v>
      </c>
    </row>
    <row r="156" spans="1:68" s="109" customFormat="1" ht="21" customHeight="1">
      <c r="A156" s="149" t="s">
        <v>138</v>
      </c>
      <c r="B156" s="178" t="s">
        <v>139</v>
      </c>
      <c r="C156" s="109" t="s">
        <v>202</v>
      </c>
      <c r="D156" s="143" t="s">
        <v>203</v>
      </c>
      <c r="E156" s="143" t="s">
        <v>204</v>
      </c>
      <c r="F156" s="109">
        <v>42263</v>
      </c>
      <c r="G156" s="109">
        <v>1</v>
      </c>
      <c r="H156" s="117" t="s">
        <v>205</v>
      </c>
      <c r="I156" s="109" t="s">
        <v>206</v>
      </c>
      <c r="J156" s="109" t="s">
        <v>104</v>
      </c>
      <c r="K156" s="109" t="s">
        <v>105</v>
      </c>
      <c r="L156" s="109" t="s">
        <v>143</v>
      </c>
      <c r="M156" s="117" t="s">
        <v>157</v>
      </c>
      <c r="N156" s="109" t="s">
        <v>114</v>
      </c>
      <c r="O156" s="109">
        <v>0</v>
      </c>
      <c r="P156" s="109">
        <v>0</v>
      </c>
      <c r="Q156" s="198">
        <v>5.24</v>
      </c>
      <c r="R156" s="198">
        <v>2.536</v>
      </c>
      <c r="S156" s="109">
        <v>0</v>
      </c>
      <c r="T156" s="146"/>
      <c r="U156" s="117"/>
      <c r="V156" s="116"/>
      <c r="W156" s="144"/>
      <c r="X156" s="145"/>
      <c r="AD156" s="109" t="str">
        <f>"r2s: "&amp;V156&amp;"; %Pes: "&amp;W156</f>
        <v xml:space="preserve">r2s: ; %Pes: </v>
      </c>
    </row>
    <row r="157" spans="1:68" s="109" customFormat="1" ht="21" customHeight="1">
      <c r="A157" s="149" t="s">
        <v>138</v>
      </c>
      <c r="B157" s="178" t="s">
        <v>139</v>
      </c>
      <c r="C157" s="109" t="s">
        <v>202</v>
      </c>
      <c r="D157" s="143" t="s">
        <v>203</v>
      </c>
      <c r="E157" s="143" t="s">
        <v>204</v>
      </c>
      <c r="F157" s="109">
        <v>42263</v>
      </c>
      <c r="G157" s="109">
        <v>1</v>
      </c>
      <c r="H157" s="117" t="s">
        <v>205</v>
      </c>
      <c r="I157" s="109" t="s">
        <v>206</v>
      </c>
      <c r="J157" s="109" t="s">
        <v>104</v>
      </c>
      <c r="K157" s="109" t="s">
        <v>105</v>
      </c>
      <c r="L157" s="109" t="s">
        <v>143</v>
      </c>
      <c r="M157" s="117" t="s">
        <v>157</v>
      </c>
      <c r="N157" s="109" t="s">
        <v>108</v>
      </c>
      <c r="O157" s="109">
        <v>0</v>
      </c>
      <c r="P157" s="109">
        <v>0</v>
      </c>
      <c r="Q157" s="198">
        <v>4.8460000000000001</v>
      </c>
      <c r="R157" s="198">
        <v>2.5750000000000002</v>
      </c>
      <c r="S157" s="109">
        <v>0</v>
      </c>
      <c r="T157" s="146"/>
      <c r="U157" s="117"/>
      <c r="V157" s="116"/>
      <c r="W157" s="144"/>
      <c r="X157" s="145"/>
      <c r="AD157" s="109" t="str">
        <f>"r2s: "&amp;V157&amp;"; %Pes: "&amp;W157</f>
        <v xml:space="preserve">r2s: ; %Pes: </v>
      </c>
    </row>
    <row r="159" spans="1:68" s="109" customFormat="1" ht="21" customHeight="1">
      <c r="A159" s="149" t="s">
        <v>138</v>
      </c>
      <c r="B159" s="178" t="s">
        <v>139</v>
      </c>
      <c r="C159" s="109" t="s">
        <v>202</v>
      </c>
      <c r="D159" s="143" t="s">
        <v>203</v>
      </c>
      <c r="E159" s="143" t="s">
        <v>204</v>
      </c>
      <c r="F159" s="109">
        <v>31034</v>
      </c>
      <c r="G159" s="109">
        <v>1</v>
      </c>
      <c r="H159" s="117" t="s">
        <v>183</v>
      </c>
      <c r="I159" s="109" t="s">
        <v>184</v>
      </c>
      <c r="J159" s="109" t="s">
        <v>104</v>
      </c>
      <c r="K159" s="109" t="s">
        <v>105</v>
      </c>
      <c r="L159" s="109" t="s">
        <v>126</v>
      </c>
      <c r="M159" s="117" t="s">
        <v>127</v>
      </c>
      <c r="N159" s="109" t="s">
        <v>114</v>
      </c>
      <c r="O159" s="109">
        <v>0</v>
      </c>
      <c r="P159" s="109">
        <v>0</v>
      </c>
      <c r="Q159" s="116">
        <v>4.1880000000000006</v>
      </c>
      <c r="R159" s="116">
        <v>2.077</v>
      </c>
      <c r="S159" s="109">
        <v>0</v>
      </c>
      <c r="T159" s="146"/>
      <c r="U159" s="117"/>
      <c r="V159" s="116"/>
      <c r="W159" s="144"/>
      <c r="X159" s="145"/>
      <c r="AD159" s="109" t="str">
        <f>"r2s: "&amp;V159&amp;"; %Pes: "&amp;W159</f>
        <v xml:space="preserve">r2s: ; %Pes: </v>
      </c>
    </row>
    <row r="161" spans="1:30" s="109" customFormat="1" ht="21" customHeight="1">
      <c r="A161" s="149" t="s">
        <v>138</v>
      </c>
      <c r="B161" s="178" t="s">
        <v>139</v>
      </c>
      <c r="C161" s="109" t="s">
        <v>202</v>
      </c>
      <c r="D161" s="143" t="s">
        <v>203</v>
      </c>
      <c r="E161" s="143" t="s">
        <v>204</v>
      </c>
      <c r="F161" s="109">
        <v>31205</v>
      </c>
      <c r="G161" s="109">
        <v>3</v>
      </c>
      <c r="H161" s="117" t="s">
        <v>207</v>
      </c>
      <c r="I161" s="109" t="s">
        <v>208</v>
      </c>
      <c r="J161" s="109" t="s">
        <v>104</v>
      </c>
      <c r="K161" s="109" t="s">
        <v>105</v>
      </c>
      <c r="L161" s="109" t="s">
        <v>209</v>
      </c>
      <c r="M161" s="117" t="s">
        <v>167</v>
      </c>
      <c r="N161" s="109" t="s">
        <v>108</v>
      </c>
      <c r="O161" s="109">
        <v>0</v>
      </c>
      <c r="P161" s="109">
        <v>0</v>
      </c>
      <c r="Q161" s="198">
        <v>4.1719999999999997</v>
      </c>
      <c r="R161" s="198">
        <v>2.21</v>
      </c>
      <c r="S161" s="109">
        <v>0</v>
      </c>
      <c r="T161" s="146"/>
      <c r="U161" s="117"/>
      <c r="V161" s="116"/>
      <c r="W161" s="144"/>
      <c r="X161" s="145"/>
      <c r="AD161" s="109" t="str">
        <f>"r2s: "&amp;V161&amp;"; %Pes: "&amp;W161</f>
        <v xml:space="preserve">r2s: ; %Pes: </v>
      </c>
    </row>
    <row r="163" spans="1:30" s="109" customFormat="1" ht="21" customHeight="1">
      <c r="A163" s="149" t="s">
        <v>138</v>
      </c>
      <c r="B163" s="178" t="s">
        <v>139</v>
      </c>
      <c r="C163" s="109" t="s">
        <v>210</v>
      </c>
      <c r="D163" s="143" t="s">
        <v>211</v>
      </c>
      <c r="E163" s="143" t="s">
        <v>151</v>
      </c>
      <c r="F163" s="109">
        <v>31137</v>
      </c>
      <c r="G163" s="109">
        <v>5</v>
      </c>
      <c r="H163" s="117" t="s">
        <v>212</v>
      </c>
      <c r="I163" s="109" t="s">
        <v>171</v>
      </c>
      <c r="J163" s="109" t="s">
        <v>104</v>
      </c>
      <c r="K163" s="109" t="s">
        <v>105</v>
      </c>
      <c r="L163" s="109" t="s">
        <v>213</v>
      </c>
      <c r="M163" s="117" t="s">
        <v>214</v>
      </c>
      <c r="O163" s="109">
        <v>5.3420000000000005</v>
      </c>
      <c r="P163" s="109">
        <v>0</v>
      </c>
      <c r="Q163" s="198">
        <v>0</v>
      </c>
      <c r="R163" s="198">
        <v>0</v>
      </c>
      <c r="S163" s="109">
        <v>0</v>
      </c>
      <c r="T163" s="146"/>
      <c r="U163" s="117"/>
      <c r="V163" s="116"/>
      <c r="W163" s="144"/>
      <c r="X163" s="145"/>
      <c r="AD163" s="109" t="str">
        <f>"r2s: "&amp;V163&amp;"; %Pes: "&amp;W163</f>
        <v xml:space="preserve">r2s: ; %Pes: </v>
      </c>
    </row>
    <row r="164" spans="1:30" s="109" customFormat="1" ht="21" customHeight="1">
      <c r="A164" s="149" t="s">
        <v>138</v>
      </c>
      <c r="B164" s="178" t="s">
        <v>139</v>
      </c>
      <c r="C164" s="109" t="s">
        <v>210</v>
      </c>
      <c r="D164" s="143" t="s">
        <v>211</v>
      </c>
      <c r="E164" s="143" t="s">
        <v>151</v>
      </c>
      <c r="F164" s="109">
        <v>31137</v>
      </c>
      <c r="G164" s="109">
        <v>5</v>
      </c>
      <c r="H164" s="117" t="s">
        <v>212</v>
      </c>
      <c r="I164" s="109" t="s">
        <v>171</v>
      </c>
      <c r="J164" s="109" t="s">
        <v>104</v>
      </c>
      <c r="K164" s="109" t="s">
        <v>105</v>
      </c>
      <c r="L164" s="109" t="s">
        <v>121</v>
      </c>
      <c r="M164" s="117" t="s">
        <v>215</v>
      </c>
      <c r="O164" s="109">
        <v>0</v>
      </c>
      <c r="P164" s="109">
        <v>0</v>
      </c>
      <c r="Q164" s="198">
        <v>11.903</v>
      </c>
      <c r="R164" s="198">
        <v>8.8140000000000001</v>
      </c>
      <c r="S164" s="109">
        <v>0</v>
      </c>
      <c r="T164" s="146"/>
      <c r="U164" s="117"/>
      <c r="V164" s="116"/>
      <c r="W164" s="144"/>
      <c r="X164" s="145"/>
      <c r="AD164" s="109" t="str">
        <f>"r2s: "&amp;V164&amp;"; %Pes: "&amp;W164</f>
        <v xml:space="preserve">r2s: ; %Pes: </v>
      </c>
    </row>
    <row r="166" spans="1:30" s="109" customFormat="1" ht="21" customHeight="1">
      <c r="A166" s="149" t="s">
        <v>138</v>
      </c>
      <c r="B166" s="178" t="s">
        <v>139</v>
      </c>
      <c r="C166" s="109" t="s">
        <v>202</v>
      </c>
      <c r="D166" s="143" t="s">
        <v>203</v>
      </c>
      <c r="E166" s="143" t="s">
        <v>204</v>
      </c>
      <c r="F166" s="109">
        <v>31034</v>
      </c>
      <c r="G166" s="109">
        <v>13</v>
      </c>
      <c r="H166" s="117" t="s">
        <v>183</v>
      </c>
      <c r="I166" s="109" t="s">
        <v>184</v>
      </c>
      <c r="J166" s="109" t="s">
        <v>104</v>
      </c>
      <c r="K166" s="109" t="s">
        <v>105</v>
      </c>
      <c r="L166" s="109" t="s">
        <v>209</v>
      </c>
      <c r="M166" s="117" t="s">
        <v>216</v>
      </c>
      <c r="N166" s="109" t="s">
        <v>108</v>
      </c>
      <c r="O166" s="109">
        <v>0</v>
      </c>
      <c r="P166" s="109">
        <v>0</v>
      </c>
      <c r="Q166" s="116">
        <v>4.43</v>
      </c>
      <c r="R166" s="116">
        <v>2.2429999999999999</v>
      </c>
      <c r="S166" s="109">
        <v>0</v>
      </c>
      <c r="T166" s="146"/>
      <c r="U166" s="117"/>
      <c r="V166" s="116"/>
      <c r="W166" s="144"/>
      <c r="X166" s="145"/>
      <c r="AD166" s="109" t="str">
        <f>"r2s: "&amp;V166&amp;"; %Pes: "&amp;W166</f>
        <v xml:space="preserve">r2s: ; %Pes: </v>
      </c>
    </row>
    <row r="168" spans="1:30" s="109" customFormat="1" ht="21" customHeight="1">
      <c r="A168" s="109" t="s">
        <v>217</v>
      </c>
      <c r="B168" s="109" t="s">
        <v>218</v>
      </c>
      <c r="C168" s="109" t="s">
        <v>202</v>
      </c>
      <c r="D168" s="143" t="s">
        <v>203</v>
      </c>
      <c r="E168" s="143" t="s">
        <v>204</v>
      </c>
      <c r="F168" s="109">
        <v>31034</v>
      </c>
      <c r="G168" s="109">
        <v>21</v>
      </c>
      <c r="H168" s="117" t="s">
        <v>183</v>
      </c>
      <c r="I168" s="109" t="s">
        <v>184</v>
      </c>
      <c r="J168" s="109" t="s">
        <v>104</v>
      </c>
      <c r="K168" s="109" t="s">
        <v>105</v>
      </c>
      <c r="L168" s="109" t="s">
        <v>126</v>
      </c>
      <c r="M168" s="117" t="s">
        <v>127</v>
      </c>
      <c r="N168" s="109" t="s">
        <v>108</v>
      </c>
      <c r="O168" s="109">
        <v>0</v>
      </c>
      <c r="P168" s="109">
        <v>0</v>
      </c>
      <c r="Q168" s="116">
        <v>5.9749999999999996</v>
      </c>
      <c r="R168" s="116">
        <v>2</v>
      </c>
      <c r="S168" s="109">
        <v>0</v>
      </c>
      <c r="T168" s="146"/>
      <c r="U168" s="117"/>
      <c r="V168" s="116"/>
      <c r="W168" s="144"/>
      <c r="X168" s="145"/>
      <c r="AD168" s="109" t="str">
        <f>"r2s: "&amp;V168&amp;"; %Pes: "&amp;W168</f>
        <v xml:space="preserve">r2s: ; %Pes: </v>
      </c>
    </row>
    <row r="170" spans="1:30" s="109" customFormat="1" ht="21" customHeight="1">
      <c r="A170" s="149" t="s">
        <v>138</v>
      </c>
      <c r="B170" s="178" t="s">
        <v>139</v>
      </c>
      <c r="C170" s="109" t="s">
        <v>202</v>
      </c>
      <c r="D170" s="143" t="s">
        <v>219</v>
      </c>
      <c r="E170" s="143" t="s">
        <v>220</v>
      </c>
      <c r="F170" s="109">
        <v>30967</v>
      </c>
      <c r="G170" s="109">
        <v>92</v>
      </c>
      <c r="H170" s="117" t="s">
        <v>110</v>
      </c>
      <c r="I170" s="109" t="s">
        <v>111</v>
      </c>
      <c r="J170" s="109" t="s">
        <v>104</v>
      </c>
      <c r="K170" s="109" t="s">
        <v>105</v>
      </c>
      <c r="L170" s="109" t="s">
        <v>143</v>
      </c>
      <c r="M170" s="117" t="s">
        <v>157</v>
      </c>
      <c r="N170" s="109" t="s">
        <v>108</v>
      </c>
      <c r="O170" s="109">
        <v>0</v>
      </c>
      <c r="P170" s="109">
        <v>0</v>
      </c>
      <c r="Q170" s="198">
        <v>2.395</v>
      </c>
      <c r="R170" s="198">
        <v>1.8519999999999999</v>
      </c>
      <c r="S170" s="109">
        <v>0</v>
      </c>
      <c r="T170" s="146"/>
      <c r="U170" s="117"/>
      <c r="V170" s="116"/>
      <c r="W170" s="144"/>
      <c r="X170" s="145"/>
      <c r="AD170" s="109" t="str">
        <f>"r2s: "&amp;V170&amp;"; %Pes: "&amp;W170</f>
        <v xml:space="preserve">r2s: ; %Pes: </v>
      </c>
    </row>
    <row r="171" spans="1:30" s="109" customFormat="1" ht="21" customHeight="1">
      <c r="A171" s="149" t="s">
        <v>138</v>
      </c>
      <c r="B171" s="178" t="s">
        <v>139</v>
      </c>
      <c r="C171" s="109" t="s">
        <v>202</v>
      </c>
      <c r="D171" s="143" t="s">
        <v>219</v>
      </c>
      <c r="E171" s="143" t="s">
        <v>220</v>
      </c>
      <c r="F171" s="109">
        <v>30967</v>
      </c>
      <c r="G171" s="109">
        <v>92</v>
      </c>
      <c r="H171" s="117" t="s">
        <v>110</v>
      </c>
      <c r="I171" s="109" t="s">
        <v>111</v>
      </c>
      <c r="J171" s="109" t="s">
        <v>104</v>
      </c>
      <c r="K171" s="109" t="s">
        <v>105</v>
      </c>
      <c r="L171" s="109" t="s">
        <v>158</v>
      </c>
      <c r="M171" s="117" t="s">
        <v>159</v>
      </c>
      <c r="N171" s="109" t="s">
        <v>108</v>
      </c>
      <c r="O171" s="109">
        <v>0</v>
      </c>
      <c r="P171" s="109">
        <v>0</v>
      </c>
      <c r="Q171" s="198">
        <v>2.1879999999999997</v>
      </c>
      <c r="R171" s="198">
        <v>1.677</v>
      </c>
      <c r="S171" s="109">
        <v>0</v>
      </c>
      <c r="T171" s="146"/>
      <c r="U171" s="117"/>
      <c r="V171" s="116"/>
      <c r="W171" s="200"/>
      <c r="X171" s="201"/>
      <c r="AD171" s="109" t="str">
        <f>"r2s: "&amp;V171&amp;"; %Pes: "&amp;W171</f>
        <v xml:space="preserve">r2s: ; %Pes: </v>
      </c>
    </row>
    <row r="173" spans="1:30" s="109" customFormat="1" ht="21" customHeight="1">
      <c r="A173" s="149" t="s">
        <v>138</v>
      </c>
      <c r="B173" s="178" t="s">
        <v>139</v>
      </c>
      <c r="C173" s="109" t="s">
        <v>221</v>
      </c>
      <c r="D173" s="109" t="s">
        <v>222</v>
      </c>
      <c r="E173" s="109" t="s">
        <v>151</v>
      </c>
      <c r="F173" s="109">
        <v>40451</v>
      </c>
      <c r="G173" s="109">
        <v>102</v>
      </c>
      <c r="H173" s="117" t="s">
        <v>223</v>
      </c>
      <c r="I173" s="109" t="s">
        <v>224</v>
      </c>
      <c r="J173" s="109" t="s">
        <v>225</v>
      </c>
      <c r="K173" s="109" t="s">
        <v>105</v>
      </c>
      <c r="L173" s="109" t="s">
        <v>209</v>
      </c>
      <c r="M173" s="117" t="s">
        <v>216</v>
      </c>
      <c r="N173" s="109" t="s">
        <v>114</v>
      </c>
      <c r="O173" s="109">
        <v>0</v>
      </c>
      <c r="P173" s="109">
        <v>0</v>
      </c>
      <c r="Q173" s="109">
        <v>1.6339999999999999</v>
      </c>
      <c r="R173" s="109">
        <v>1.0169999999999999</v>
      </c>
      <c r="S173" s="109">
        <v>0</v>
      </c>
      <c r="T173" s="144">
        <v>68.438200597064821</v>
      </c>
      <c r="U173" s="117" t="s">
        <v>226</v>
      </c>
      <c r="V173" s="116">
        <v>0.95499999999999996</v>
      </c>
      <c r="W173" s="144">
        <v>23</v>
      </c>
      <c r="X173" s="117" t="s">
        <v>227</v>
      </c>
      <c r="Z173" s="109" t="s">
        <v>228</v>
      </c>
      <c r="AD173" s="109" t="str">
        <f>"r2s: "&amp;V173&amp;"; %Pes: "&amp;W173</f>
        <v>r2s: 0.955; %Pes: 23</v>
      </c>
    </row>
    <row r="174" spans="1:30" s="109" customFormat="1" ht="21" customHeight="1">
      <c r="A174" s="149" t="s">
        <v>138</v>
      </c>
      <c r="B174" s="178" t="s">
        <v>139</v>
      </c>
      <c r="C174" s="109" t="s">
        <v>221</v>
      </c>
      <c r="D174" s="109" t="s">
        <v>222</v>
      </c>
      <c r="E174" s="109" t="s">
        <v>151</v>
      </c>
      <c r="F174" s="109">
        <v>40451</v>
      </c>
      <c r="G174" s="109">
        <v>102</v>
      </c>
      <c r="H174" s="117" t="s">
        <v>223</v>
      </c>
      <c r="I174" s="109" t="s">
        <v>224</v>
      </c>
      <c r="J174" s="109" t="s">
        <v>225</v>
      </c>
      <c r="K174" s="109" t="s">
        <v>105</v>
      </c>
      <c r="L174" s="109" t="s">
        <v>229</v>
      </c>
      <c r="M174" s="117" t="s">
        <v>230</v>
      </c>
      <c r="N174" s="109" t="s">
        <v>114</v>
      </c>
      <c r="O174" s="109">
        <v>0</v>
      </c>
      <c r="P174" s="109">
        <v>0</v>
      </c>
      <c r="Q174" s="109">
        <v>1.127</v>
      </c>
      <c r="R174" s="109">
        <v>0.68499999999999994</v>
      </c>
      <c r="S174" s="109">
        <v>0</v>
      </c>
      <c r="T174" s="144">
        <v>54.011892006400878</v>
      </c>
      <c r="U174" s="117" t="s">
        <v>231</v>
      </c>
      <c r="V174" s="116">
        <v>0.9</v>
      </c>
      <c r="W174" s="144">
        <v>40.5</v>
      </c>
      <c r="X174" s="117" t="s">
        <v>227</v>
      </c>
      <c r="Y174" s="109" t="s">
        <v>232</v>
      </c>
      <c r="Z174" s="109" t="s">
        <v>228</v>
      </c>
      <c r="AD174" s="109" t="str">
        <f>"r2s: "&amp;V174&amp;"; %Pes: "&amp;W174</f>
        <v>r2s: 0.9; %Pes: 40.5</v>
      </c>
    </row>
    <row r="175" spans="1:30" s="109" customFormat="1" ht="21" customHeight="1">
      <c r="A175" s="149" t="s">
        <v>138</v>
      </c>
      <c r="B175" s="178" t="s">
        <v>139</v>
      </c>
      <c r="C175" s="109" t="s">
        <v>221</v>
      </c>
      <c r="D175" s="109" t="s">
        <v>222</v>
      </c>
      <c r="E175" s="109" t="s">
        <v>151</v>
      </c>
      <c r="F175" s="109">
        <v>40451</v>
      </c>
      <c r="G175" s="109">
        <v>102</v>
      </c>
      <c r="H175" s="117" t="s">
        <v>223</v>
      </c>
      <c r="I175" s="109" t="s">
        <v>224</v>
      </c>
      <c r="J175" s="109" t="s">
        <v>225</v>
      </c>
      <c r="K175" s="109" t="s">
        <v>105</v>
      </c>
      <c r="L175" s="109" t="s">
        <v>233</v>
      </c>
      <c r="M175" s="117" t="s">
        <v>234</v>
      </c>
      <c r="N175" s="109" t="s">
        <v>114</v>
      </c>
      <c r="O175" s="109">
        <v>0</v>
      </c>
      <c r="P175" s="109">
        <v>0</v>
      </c>
      <c r="Q175" s="109">
        <v>1.212</v>
      </c>
      <c r="R175" s="109">
        <v>0.80199999999999994</v>
      </c>
      <c r="S175" s="109">
        <v>0</v>
      </c>
      <c r="T175" s="144">
        <v>69.15528967255031</v>
      </c>
      <c r="U175" s="117" t="s">
        <v>231</v>
      </c>
      <c r="V175" s="116">
        <v>0.9</v>
      </c>
      <c r="W175" s="144">
        <v>40.5</v>
      </c>
      <c r="X175" s="117" t="s">
        <v>227</v>
      </c>
      <c r="Y175" s="109" t="s">
        <v>232</v>
      </c>
      <c r="Z175" s="109" t="s">
        <v>228</v>
      </c>
      <c r="AD175" s="109" t="str">
        <f>"r2s: "&amp;V175&amp;"; %Pes: "&amp;W175</f>
        <v>r2s: 0.9; %Pes: 40.5</v>
      </c>
    </row>
    <row r="176" spans="1:30">
      <c r="A176" s="149"/>
      <c r="B176" s="178"/>
    </row>
    <row r="177" spans="1:109" s="109" customFormat="1" ht="21" customHeight="1">
      <c r="A177" s="149" t="s">
        <v>138</v>
      </c>
      <c r="B177" s="178" t="s">
        <v>139</v>
      </c>
      <c r="C177" s="109" t="s">
        <v>193</v>
      </c>
      <c r="D177" s="143" t="s">
        <v>235</v>
      </c>
      <c r="E177" s="143" t="s">
        <v>151</v>
      </c>
      <c r="F177" s="109">
        <v>31034</v>
      </c>
      <c r="G177" s="109">
        <v>108</v>
      </c>
      <c r="H177" s="117" t="s">
        <v>183</v>
      </c>
      <c r="I177" s="109" t="s">
        <v>184</v>
      </c>
      <c r="J177" s="109" t="s">
        <v>104</v>
      </c>
      <c r="K177" s="109" t="s">
        <v>105</v>
      </c>
      <c r="L177" s="109" t="s">
        <v>209</v>
      </c>
      <c r="M177" s="117" t="s">
        <v>216</v>
      </c>
      <c r="N177" s="109" t="s">
        <v>108</v>
      </c>
      <c r="O177" s="199">
        <v>0</v>
      </c>
      <c r="P177" s="109">
        <v>0</v>
      </c>
      <c r="Q177" s="109">
        <v>1.4730000000000001</v>
      </c>
      <c r="R177" s="109">
        <v>1.1720000000000002</v>
      </c>
      <c r="S177" s="109">
        <v>0</v>
      </c>
      <c r="T177" s="144">
        <v>49.237349107607123</v>
      </c>
      <c r="U177" s="117" t="s">
        <v>236</v>
      </c>
      <c r="V177" s="116">
        <v>0.89</v>
      </c>
      <c r="W177" s="144">
        <v>39.06</v>
      </c>
      <c r="X177" s="117" t="s">
        <v>237</v>
      </c>
      <c r="AD177" s="109" t="str">
        <f>"r2s: "&amp;V177&amp;"; %Pes: "&amp;W177</f>
        <v>r2s: 0.89; %Pes: 39.06</v>
      </c>
    </row>
    <row r="179" spans="1:109" s="109" customFormat="1" ht="21" customHeight="1">
      <c r="A179" s="109" t="s">
        <v>168</v>
      </c>
      <c r="B179" s="109" t="s">
        <v>169</v>
      </c>
      <c r="C179" s="109" t="s">
        <v>149</v>
      </c>
      <c r="D179" s="143" t="s">
        <v>150</v>
      </c>
      <c r="E179" s="143" t="s">
        <v>151</v>
      </c>
      <c r="F179" s="109">
        <v>31041</v>
      </c>
      <c r="G179" s="109">
        <v>116</v>
      </c>
      <c r="H179" s="117" t="s">
        <v>170</v>
      </c>
      <c r="I179" s="109" t="s">
        <v>171</v>
      </c>
      <c r="J179" s="109" t="s">
        <v>104</v>
      </c>
      <c r="K179" s="109" t="s">
        <v>105</v>
      </c>
      <c r="L179" s="109" t="s">
        <v>112</v>
      </c>
      <c r="M179" s="117" t="s">
        <v>113</v>
      </c>
      <c r="N179" s="109" t="s">
        <v>108</v>
      </c>
      <c r="O179" s="109">
        <v>0</v>
      </c>
      <c r="P179" s="109">
        <v>0</v>
      </c>
      <c r="Q179" s="198">
        <v>3.0179999999999998</v>
      </c>
      <c r="R179" s="198">
        <v>2.2999999999999998</v>
      </c>
      <c r="S179" s="109">
        <v>0</v>
      </c>
      <c r="T179" s="146"/>
      <c r="U179" s="117"/>
      <c r="V179" s="116"/>
      <c r="W179" s="144"/>
      <c r="X179" s="145"/>
      <c r="AD179" s="109" t="str">
        <f>"r2s: "&amp;V179&amp;"; %Pes: "&amp;W179</f>
        <v xml:space="preserve">r2s: ; %Pes: </v>
      </c>
      <c r="BX179" s="115"/>
      <c r="BY179" s="115"/>
      <c r="BZ179" s="115"/>
      <c r="CA179" s="115"/>
      <c r="CB179" s="115"/>
      <c r="CC179" s="115"/>
      <c r="CD179" s="115"/>
      <c r="CE179" s="115"/>
      <c r="CF179" s="115"/>
      <c r="CG179" s="115"/>
      <c r="CH179" s="115"/>
      <c r="CI179" s="115"/>
      <c r="CJ179" s="115"/>
      <c r="CK179" s="115"/>
      <c r="CL179" s="115"/>
      <c r="CM179" s="115"/>
      <c r="CN179" s="115"/>
      <c r="CO179" s="115"/>
      <c r="CP179" s="115"/>
      <c r="CQ179" s="115"/>
      <c r="CR179" s="115"/>
      <c r="CS179" s="115"/>
      <c r="CT179" s="115"/>
      <c r="CU179" s="115"/>
      <c r="CV179" s="115"/>
      <c r="CW179" s="115"/>
      <c r="CX179" s="115"/>
      <c r="CY179" s="115"/>
      <c r="CZ179" s="115"/>
      <c r="DA179" s="115"/>
      <c r="DB179" s="115"/>
      <c r="DC179" s="115"/>
      <c r="DD179" s="115"/>
      <c r="DE179" s="115"/>
    </row>
    <row r="181" spans="1:109" s="109" customFormat="1" ht="21" customHeight="1">
      <c r="A181" s="149" t="s">
        <v>238</v>
      </c>
      <c r="B181" s="178" t="s">
        <v>139</v>
      </c>
      <c r="C181" s="109" t="s">
        <v>221</v>
      </c>
      <c r="D181" s="109" t="s">
        <v>222</v>
      </c>
      <c r="E181" s="109" t="s">
        <v>151</v>
      </c>
      <c r="F181" s="109">
        <v>40451</v>
      </c>
      <c r="G181" s="109">
        <v>143</v>
      </c>
      <c r="H181" s="117" t="s">
        <v>223</v>
      </c>
      <c r="I181" s="109" t="s">
        <v>224</v>
      </c>
      <c r="J181" s="109" t="s">
        <v>225</v>
      </c>
      <c r="K181" s="109" t="s">
        <v>105</v>
      </c>
      <c r="L181" s="109" t="s">
        <v>209</v>
      </c>
      <c r="M181" s="117" t="s">
        <v>157</v>
      </c>
      <c r="N181" s="109" t="s">
        <v>114</v>
      </c>
      <c r="O181" s="109">
        <v>0</v>
      </c>
      <c r="P181" s="109">
        <v>0</v>
      </c>
      <c r="Q181" s="109">
        <v>1.5699999999999998</v>
      </c>
      <c r="R181" s="109">
        <v>1.337</v>
      </c>
      <c r="S181" s="109">
        <v>0</v>
      </c>
      <c r="T181" s="144"/>
      <c r="U181" s="117"/>
      <c r="V181" s="116">
        <v>0.88</v>
      </c>
      <c r="W181" s="144">
        <v>42.47</v>
      </c>
      <c r="X181" s="117" t="s">
        <v>237</v>
      </c>
      <c r="Z181" s="109" t="s">
        <v>228</v>
      </c>
      <c r="AD181" s="109" t="str">
        <f>"r2s: "&amp;V181&amp;"; %Pes: "&amp;W181</f>
        <v>r2s: 0.88; %Pes: 42.47</v>
      </c>
    </row>
    <row r="182" spans="1:109" s="109" customFormat="1" ht="21" customHeight="1">
      <c r="A182" s="149" t="s">
        <v>238</v>
      </c>
      <c r="B182" s="178" t="s">
        <v>139</v>
      </c>
      <c r="C182" s="109" t="s">
        <v>221</v>
      </c>
      <c r="D182" s="109" t="s">
        <v>222</v>
      </c>
      <c r="E182" s="109" t="s">
        <v>151</v>
      </c>
      <c r="F182" s="109">
        <v>40451</v>
      </c>
      <c r="G182" s="109">
        <v>143</v>
      </c>
      <c r="H182" s="117" t="s">
        <v>223</v>
      </c>
      <c r="I182" s="109" t="s">
        <v>224</v>
      </c>
      <c r="J182" s="109" t="s">
        <v>225</v>
      </c>
      <c r="K182" s="109" t="s">
        <v>105</v>
      </c>
      <c r="L182" s="109" t="s">
        <v>126</v>
      </c>
      <c r="M182" s="117" t="s">
        <v>239</v>
      </c>
      <c r="N182" s="109" t="s">
        <v>114</v>
      </c>
      <c r="O182" s="109">
        <v>0</v>
      </c>
      <c r="P182" s="109">
        <v>0</v>
      </c>
      <c r="Q182" s="109">
        <v>1.6260000000000001</v>
      </c>
      <c r="R182" s="109">
        <v>1.33</v>
      </c>
      <c r="S182" s="109">
        <v>0</v>
      </c>
      <c r="T182" s="144"/>
      <c r="U182" s="117"/>
      <c r="V182" s="116">
        <v>0.89</v>
      </c>
      <c r="W182" s="144">
        <v>39.18</v>
      </c>
      <c r="X182" s="117" t="s">
        <v>237</v>
      </c>
      <c r="Z182" s="109" t="s">
        <v>228</v>
      </c>
      <c r="AD182" s="109" t="str">
        <f>"r2s: "&amp;V182&amp;"; %Pes: "&amp;W182</f>
        <v>r2s: 0.89; %Pes: 39.18</v>
      </c>
    </row>
    <row r="184" spans="1:109" s="109" customFormat="1" ht="21" customHeight="1">
      <c r="A184" s="149" t="s">
        <v>138</v>
      </c>
      <c r="B184" s="178" t="s">
        <v>139</v>
      </c>
      <c r="C184" s="109" t="s">
        <v>221</v>
      </c>
      <c r="D184" s="109" t="s">
        <v>222</v>
      </c>
      <c r="E184" s="109" t="s">
        <v>151</v>
      </c>
      <c r="F184" s="109">
        <v>40544</v>
      </c>
      <c r="G184" s="109">
        <v>311</v>
      </c>
      <c r="H184" s="117" t="s">
        <v>240</v>
      </c>
      <c r="I184" s="109" t="s">
        <v>241</v>
      </c>
      <c r="J184" s="109" t="s">
        <v>225</v>
      </c>
      <c r="K184" s="109" t="s">
        <v>105</v>
      </c>
      <c r="L184" s="109" t="s">
        <v>126</v>
      </c>
      <c r="M184" s="117" t="s">
        <v>127</v>
      </c>
      <c r="N184" s="109" t="s">
        <v>114</v>
      </c>
      <c r="O184" s="109">
        <v>0</v>
      </c>
      <c r="P184" s="109">
        <v>0</v>
      </c>
      <c r="Q184" s="109">
        <v>2.15</v>
      </c>
      <c r="R184" s="109">
        <v>1.0489999999999999</v>
      </c>
      <c r="S184" s="109">
        <v>0</v>
      </c>
      <c r="T184" s="144">
        <v>78.95269755155357</v>
      </c>
      <c r="U184" s="117" t="s">
        <v>242</v>
      </c>
      <c r="V184" s="116">
        <v>0.95299999999999996</v>
      </c>
      <c r="W184" s="144">
        <v>19.899999999999999</v>
      </c>
      <c r="X184" s="117" t="s">
        <v>227</v>
      </c>
      <c r="Z184" s="109" t="s">
        <v>228</v>
      </c>
      <c r="AD184" s="109" t="str">
        <f>"r2s: "&amp;V184&amp;"; %Pes: "&amp;W184</f>
        <v>r2s: 0.953; %Pes: 19.9</v>
      </c>
    </row>
    <row r="186" spans="1:109" s="109" customFormat="1" ht="21" customHeight="1">
      <c r="A186" s="149" t="s">
        <v>138</v>
      </c>
      <c r="B186" s="178" t="s">
        <v>139</v>
      </c>
      <c r="C186" s="109" t="s">
        <v>202</v>
      </c>
      <c r="D186" s="143" t="s">
        <v>219</v>
      </c>
      <c r="E186" s="143" t="s">
        <v>220</v>
      </c>
      <c r="F186" s="109">
        <v>30967</v>
      </c>
      <c r="G186" s="109">
        <v>342</v>
      </c>
      <c r="H186" s="117" t="s">
        <v>110</v>
      </c>
      <c r="I186" s="109" t="s">
        <v>111</v>
      </c>
      <c r="J186" s="109" t="s">
        <v>104</v>
      </c>
      <c r="K186" s="109" t="s">
        <v>105</v>
      </c>
      <c r="L186" s="109" t="s">
        <v>243</v>
      </c>
      <c r="M186" s="117" t="s">
        <v>244</v>
      </c>
      <c r="N186" s="109" t="s">
        <v>114</v>
      </c>
      <c r="O186" s="109">
        <v>0</v>
      </c>
      <c r="P186" s="109">
        <v>0</v>
      </c>
      <c r="Q186" s="198">
        <v>2.6079999999999997</v>
      </c>
      <c r="R186" s="198">
        <v>1.1679999999999999</v>
      </c>
      <c r="S186" s="109">
        <v>0</v>
      </c>
      <c r="T186" s="146"/>
      <c r="U186" s="117"/>
      <c r="V186" s="116"/>
      <c r="W186" s="200"/>
      <c r="X186" s="201"/>
      <c r="AD186" s="109" t="str">
        <f>"r2s: "&amp;V186&amp;"; %Pes: "&amp;W186</f>
        <v xml:space="preserve">r2s: ; %Pes: </v>
      </c>
      <c r="BX186" s="115"/>
      <c r="BY186" s="115"/>
      <c r="BZ186" s="115"/>
      <c r="CA186" s="115"/>
      <c r="CB186" s="115"/>
      <c r="CC186" s="115"/>
      <c r="CD186" s="115"/>
      <c r="CE186" s="115"/>
      <c r="CF186" s="115"/>
      <c r="CG186" s="115"/>
      <c r="CH186" s="115"/>
      <c r="CI186" s="115"/>
      <c r="CJ186" s="115"/>
      <c r="CK186" s="115"/>
      <c r="CL186" s="115"/>
      <c r="CM186" s="115"/>
      <c r="CN186" s="115"/>
      <c r="CO186" s="115"/>
      <c r="CP186" s="115"/>
      <c r="CQ186" s="115"/>
      <c r="CR186" s="115"/>
      <c r="CS186" s="115"/>
      <c r="CT186" s="115"/>
      <c r="CU186" s="115"/>
      <c r="CV186" s="115"/>
      <c r="CW186" s="115"/>
      <c r="CX186" s="115"/>
      <c r="CY186" s="115"/>
      <c r="CZ186" s="115"/>
      <c r="DA186" s="115"/>
      <c r="DB186" s="115"/>
      <c r="DC186" s="115"/>
      <c r="DD186" s="115"/>
      <c r="DE186" s="115"/>
    </row>
    <row r="188" spans="1:109" s="109" customFormat="1" ht="21" customHeight="1">
      <c r="A188" s="149" t="s">
        <v>138</v>
      </c>
      <c r="B188" s="178" t="s">
        <v>139</v>
      </c>
      <c r="C188" s="109" t="s">
        <v>202</v>
      </c>
      <c r="D188" s="143" t="s">
        <v>219</v>
      </c>
      <c r="E188" s="143" t="s">
        <v>220</v>
      </c>
      <c r="F188" s="109">
        <v>30967</v>
      </c>
      <c r="G188" s="109">
        <v>372</v>
      </c>
      <c r="H188" s="117" t="s">
        <v>110</v>
      </c>
      <c r="I188" s="109" t="s">
        <v>111</v>
      </c>
      <c r="J188" s="109" t="s">
        <v>104</v>
      </c>
      <c r="K188" s="109" t="s">
        <v>105</v>
      </c>
      <c r="L188" s="109" t="s">
        <v>143</v>
      </c>
      <c r="M188" s="117" t="s">
        <v>157</v>
      </c>
      <c r="N188" s="109" t="s">
        <v>114</v>
      </c>
      <c r="O188" s="109">
        <v>0</v>
      </c>
      <c r="P188" s="109">
        <v>0</v>
      </c>
      <c r="Q188" s="198">
        <v>2.5489999999999999</v>
      </c>
      <c r="R188" s="198">
        <v>1.6890000000000001</v>
      </c>
      <c r="S188" s="109">
        <v>0</v>
      </c>
      <c r="T188" s="146"/>
      <c r="U188" s="117"/>
      <c r="V188" s="116"/>
      <c r="W188" s="200"/>
      <c r="X188" s="201"/>
      <c r="AD188" s="109" t="str">
        <f>"r2s: "&amp;V188&amp;"; %Pes: "&amp;W188</f>
        <v xml:space="preserve">r2s: ; %Pes: </v>
      </c>
      <c r="BX188" s="115"/>
      <c r="BY188" s="115"/>
      <c r="BZ188" s="115"/>
      <c r="CA188" s="115"/>
      <c r="CB188" s="115"/>
      <c r="CC188" s="115"/>
      <c r="CD188" s="115"/>
      <c r="CE188" s="115"/>
      <c r="CF188" s="115"/>
      <c r="CG188" s="115"/>
      <c r="CH188" s="115"/>
      <c r="CI188" s="115"/>
      <c r="CJ188" s="115"/>
      <c r="CK188" s="115"/>
      <c r="CL188" s="115"/>
      <c r="CM188" s="115"/>
      <c r="CN188" s="115"/>
      <c r="CO188" s="115"/>
      <c r="CP188" s="115"/>
      <c r="CQ188" s="115"/>
      <c r="CR188" s="115"/>
      <c r="CS188" s="115"/>
      <c r="CT188" s="115"/>
      <c r="CU188" s="115"/>
      <c r="CV188" s="115"/>
      <c r="CW188" s="115"/>
      <c r="CX188" s="115"/>
      <c r="CY188" s="115"/>
      <c r="CZ188" s="115"/>
      <c r="DA188" s="115"/>
      <c r="DB188" s="115"/>
      <c r="DC188" s="115"/>
      <c r="DD188" s="115"/>
      <c r="DE188" s="115"/>
    </row>
    <row r="189" spans="1:109" s="109" customFormat="1" ht="21" customHeight="1">
      <c r="A189" s="149" t="s">
        <v>138</v>
      </c>
      <c r="B189" s="178" t="s">
        <v>139</v>
      </c>
      <c r="C189" s="109" t="s">
        <v>202</v>
      </c>
      <c r="D189" s="143" t="s">
        <v>219</v>
      </c>
      <c r="E189" s="143" t="s">
        <v>220</v>
      </c>
      <c r="F189" s="109">
        <v>30967</v>
      </c>
      <c r="G189" s="109">
        <v>372</v>
      </c>
      <c r="H189" s="117" t="s">
        <v>110</v>
      </c>
      <c r="I189" s="109" t="s">
        <v>111</v>
      </c>
      <c r="J189" s="109" t="s">
        <v>104</v>
      </c>
      <c r="K189" s="109" t="s">
        <v>105</v>
      </c>
      <c r="L189" s="109" t="s">
        <v>158</v>
      </c>
      <c r="M189" s="117" t="s">
        <v>159</v>
      </c>
      <c r="N189" s="109" t="s">
        <v>114</v>
      </c>
      <c r="O189" s="109">
        <v>0</v>
      </c>
      <c r="P189" s="109">
        <v>0</v>
      </c>
      <c r="Q189" s="198">
        <v>2.38</v>
      </c>
      <c r="R189" s="198">
        <v>1.47</v>
      </c>
      <c r="S189" s="109">
        <v>0</v>
      </c>
      <c r="T189" s="146"/>
      <c r="U189" s="117"/>
      <c r="V189" s="116"/>
      <c r="W189" s="200"/>
      <c r="X189" s="201"/>
      <c r="AD189" s="109" t="str">
        <f>"r2s: "&amp;V189&amp;"; %Pes: "&amp;W189</f>
        <v xml:space="preserve">r2s: ; %Pes: </v>
      </c>
    </row>
    <row r="191" spans="1:109" s="109" customFormat="1" ht="21" customHeight="1">
      <c r="A191" s="149" t="s">
        <v>138</v>
      </c>
      <c r="B191" s="178" t="s">
        <v>139</v>
      </c>
      <c r="C191" s="109" t="s">
        <v>202</v>
      </c>
      <c r="D191" s="143" t="s">
        <v>219</v>
      </c>
      <c r="E191" s="143" t="s">
        <v>220</v>
      </c>
      <c r="F191" s="109">
        <v>30967</v>
      </c>
      <c r="G191" s="109">
        <v>445</v>
      </c>
      <c r="H191" s="117" t="s">
        <v>110</v>
      </c>
      <c r="I191" s="109" t="s">
        <v>111</v>
      </c>
      <c r="J191" s="109" t="s">
        <v>104</v>
      </c>
      <c r="K191" s="109" t="s">
        <v>105</v>
      </c>
      <c r="L191" s="109" t="s">
        <v>209</v>
      </c>
      <c r="M191" s="117" t="s">
        <v>216</v>
      </c>
      <c r="N191" s="109" t="s">
        <v>114</v>
      </c>
      <c r="O191" s="109">
        <v>0</v>
      </c>
      <c r="P191" s="109">
        <v>0</v>
      </c>
      <c r="Q191" s="198">
        <v>2.383</v>
      </c>
      <c r="R191" s="198">
        <v>1.496</v>
      </c>
      <c r="S191" s="109">
        <v>0</v>
      </c>
      <c r="T191" s="146"/>
      <c r="U191" s="117"/>
      <c r="V191" s="116"/>
      <c r="W191" s="144"/>
      <c r="X191" s="145"/>
      <c r="AD191" s="109" t="str">
        <f>"r2s: "&amp;V191&amp;"; %Pes: "&amp;W191</f>
        <v xml:space="preserve">r2s: ; %Pes: </v>
      </c>
    </row>
    <row r="193" spans="1:109" s="109" customFormat="1" ht="21" customHeight="1">
      <c r="A193" s="149" t="s">
        <v>138</v>
      </c>
      <c r="B193" s="178" t="s">
        <v>139</v>
      </c>
      <c r="C193" s="109" t="s">
        <v>221</v>
      </c>
      <c r="D193" s="109" t="s">
        <v>222</v>
      </c>
      <c r="E193" s="109" t="s">
        <v>151</v>
      </c>
      <c r="F193" s="109">
        <v>933</v>
      </c>
      <c r="G193" s="109">
        <v>458</v>
      </c>
      <c r="H193" s="117" t="s">
        <v>102</v>
      </c>
      <c r="I193" s="109" t="s">
        <v>103</v>
      </c>
      <c r="J193" s="109" t="s">
        <v>104</v>
      </c>
      <c r="K193" s="109" t="s">
        <v>105</v>
      </c>
      <c r="L193" s="109" t="s">
        <v>143</v>
      </c>
      <c r="M193" s="117" t="s">
        <v>157</v>
      </c>
      <c r="N193" s="109" t="s">
        <v>114</v>
      </c>
      <c r="O193" s="109">
        <v>0</v>
      </c>
      <c r="P193" s="109">
        <v>0</v>
      </c>
      <c r="Q193" s="109">
        <v>1.6780000000000002</v>
      </c>
      <c r="R193" s="109">
        <v>1.34</v>
      </c>
      <c r="S193" s="109">
        <v>0</v>
      </c>
      <c r="T193" s="144">
        <v>35.730147395176488</v>
      </c>
      <c r="U193" s="117" t="s">
        <v>245</v>
      </c>
      <c r="V193" s="116">
        <v>0.88</v>
      </c>
      <c r="W193" s="144">
        <v>42.47</v>
      </c>
      <c r="X193" s="117" t="s">
        <v>237</v>
      </c>
      <c r="Z193" s="109" t="s">
        <v>228</v>
      </c>
      <c r="AD193" s="109" t="str">
        <f>"r2s: "&amp;V193&amp;"; %Pes: "&amp;W193</f>
        <v>r2s: 0.88; %Pes: 42.47</v>
      </c>
      <c r="BX193" s="115"/>
      <c r="BY193" s="115"/>
      <c r="BZ193" s="115"/>
      <c r="CA193" s="115"/>
      <c r="CB193" s="115"/>
      <c r="CC193" s="115"/>
      <c r="CD193" s="115"/>
      <c r="CE193" s="115"/>
      <c r="CF193" s="115"/>
      <c r="CG193" s="115"/>
      <c r="CH193" s="115"/>
      <c r="CI193" s="115"/>
      <c r="CJ193" s="115"/>
      <c r="CK193" s="115"/>
      <c r="CL193" s="115"/>
      <c r="CM193" s="115"/>
      <c r="CN193" s="115"/>
      <c r="CO193" s="115"/>
      <c r="CP193" s="115"/>
      <c r="CQ193" s="115"/>
      <c r="CR193" s="115"/>
      <c r="CS193" s="115"/>
      <c r="CT193" s="115"/>
      <c r="CU193" s="115"/>
      <c r="CV193" s="115"/>
      <c r="CW193" s="115"/>
      <c r="CX193" s="115"/>
      <c r="CY193" s="115"/>
      <c r="CZ193" s="115"/>
      <c r="DA193" s="115"/>
      <c r="DB193" s="115"/>
      <c r="DC193" s="115"/>
      <c r="DD193" s="115"/>
      <c r="DE193" s="115"/>
    </row>
    <row r="195" spans="1:109" s="109" customFormat="1" ht="21" customHeight="1">
      <c r="A195" s="149" t="s">
        <v>138</v>
      </c>
      <c r="B195" s="178" t="s">
        <v>139</v>
      </c>
      <c r="C195" s="109" t="s">
        <v>202</v>
      </c>
      <c r="D195" s="143" t="s">
        <v>219</v>
      </c>
      <c r="E195" s="143" t="s">
        <v>220</v>
      </c>
      <c r="F195" s="109">
        <v>30967</v>
      </c>
      <c r="G195" s="109">
        <v>874</v>
      </c>
      <c r="H195" s="117" t="s">
        <v>110</v>
      </c>
      <c r="I195" s="109" t="s">
        <v>111</v>
      </c>
      <c r="J195" s="109" t="s">
        <v>104</v>
      </c>
      <c r="K195" s="109" t="s">
        <v>105</v>
      </c>
      <c r="L195" s="109" t="s">
        <v>112</v>
      </c>
      <c r="M195" s="117" t="s">
        <v>113</v>
      </c>
      <c r="N195" s="109" t="s">
        <v>108</v>
      </c>
      <c r="O195" s="109">
        <v>0</v>
      </c>
      <c r="P195" s="109">
        <v>0</v>
      </c>
      <c r="Q195" s="198">
        <v>2.3609999999999998</v>
      </c>
      <c r="R195" s="198">
        <v>1.3260000000000001</v>
      </c>
      <c r="S195" s="109">
        <v>0</v>
      </c>
      <c r="T195" s="146"/>
      <c r="U195" s="117"/>
      <c r="V195" s="116"/>
      <c r="W195" s="144"/>
      <c r="X195" s="145"/>
      <c r="AD195" s="109" t="str">
        <f>"r2s: "&amp;V195&amp;"; %Pes: "&amp;W195</f>
        <v xml:space="preserve">r2s: ; %Pes: </v>
      </c>
    </row>
    <row r="196" spans="1:109" s="109" customFormat="1" ht="21" customHeight="1">
      <c r="A196" s="149" t="s">
        <v>138</v>
      </c>
      <c r="B196" s="178" t="s">
        <v>139</v>
      </c>
      <c r="C196" s="109" t="s">
        <v>202</v>
      </c>
      <c r="D196" s="143" t="s">
        <v>219</v>
      </c>
      <c r="E196" s="143" t="s">
        <v>220</v>
      </c>
      <c r="F196" s="109">
        <v>30967</v>
      </c>
      <c r="G196" s="109">
        <v>874</v>
      </c>
      <c r="H196" s="117" t="s">
        <v>110</v>
      </c>
      <c r="I196" s="109" t="s">
        <v>111</v>
      </c>
      <c r="J196" s="109" t="s">
        <v>104</v>
      </c>
      <c r="K196" s="109" t="s">
        <v>105</v>
      </c>
      <c r="L196" s="109" t="s">
        <v>126</v>
      </c>
      <c r="M196" s="117" t="s">
        <v>127</v>
      </c>
      <c r="N196" s="109" t="s">
        <v>108</v>
      </c>
      <c r="O196" s="109">
        <v>0</v>
      </c>
      <c r="P196" s="109">
        <v>0</v>
      </c>
      <c r="Q196" s="198">
        <v>3.274</v>
      </c>
      <c r="R196" s="198">
        <v>1.333</v>
      </c>
      <c r="S196" s="109">
        <v>0</v>
      </c>
      <c r="T196" s="146"/>
      <c r="U196" s="117"/>
      <c r="V196" s="116"/>
      <c r="W196" s="200"/>
      <c r="X196" s="201"/>
      <c r="AD196" s="109" t="str">
        <f>"r2s: "&amp;V196&amp;"; %Pes: "&amp;W196</f>
        <v xml:space="preserve">r2s: ; %Pes: </v>
      </c>
    </row>
    <row r="197" spans="1:109" s="109" customFormat="1" ht="21" customHeight="1">
      <c r="A197" s="149" t="s">
        <v>138</v>
      </c>
      <c r="B197" s="178" t="s">
        <v>139</v>
      </c>
      <c r="C197" s="109" t="s">
        <v>202</v>
      </c>
      <c r="D197" s="143" t="s">
        <v>219</v>
      </c>
      <c r="E197" s="143" t="s">
        <v>220</v>
      </c>
      <c r="F197" s="109">
        <v>30967</v>
      </c>
      <c r="G197" s="109">
        <v>874</v>
      </c>
      <c r="H197" s="117" t="s">
        <v>110</v>
      </c>
      <c r="I197" s="109" t="s">
        <v>111</v>
      </c>
      <c r="J197" s="109" t="s">
        <v>104</v>
      </c>
      <c r="K197" s="109" t="s">
        <v>105</v>
      </c>
      <c r="L197" s="109" t="s">
        <v>209</v>
      </c>
      <c r="M197" s="117" t="s">
        <v>167</v>
      </c>
      <c r="N197" s="109" t="s">
        <v>108</v>
      </c>
      <c r="O197" s="109">
        <v>0</v>
      </c>
      <c r="P197" s="109">
        <v>0</v>
      </c>
      <c r="Q197" s="198">
        <v>2.6870000000000003</v>
      </c>
      <c r="R197" s="198">
        <v>1.367</v>
      </c>
      <c r="S197" s="109">
        <v>0</v>
      </c>
      <c r="T197" s="146"/>
      <c r="U197" s="117"/>
      <c r="V197" s="116"/>
      <c r="W197" s="144"/>
      <c r="X197" s="145"/>
      <c r="AD197" s="109" t="str">
        <f>"r2s: "&amp;V197&amp;"; %Pes: "&amp;W197</f>
        <v xml:space="preserve">r2s: ; %Pes: </v>
      </c>
    </row>
    <row r="198" spans="1:109" s="109" customFormat="1" ht="21" customHeight="1">
      <c r="A198" s="149" t="s">
        <v>138</v>
      </c>
      <c r="B198" s="178" t="s">
        <v>139</v>
      </c>
      <c r="C198" s="109" t="s">
        <v>202</v>
      </c>
      <c r="D198" s="143" t="s">
        <v>219</v>
      </c>
      <c r="E198" s="143" t="s">
        <v>220</v>
      </c>
      <c r="F198" s="109">
        <v>30967</v>
      </c>
      <c r="G198" s="109">
        <v>874</v>
      </c>
      <c r="H198" s="117" t="s">
        <v>110</v>
      </c>
      <c r="I198" s="109" t="s">
        <v>111</v>
      </c>
      <c r="J198" s="109" t="s">
        <v>104</v>
      </c>
      <c r="K198" s="109" t="s">
        <v>105</v>
      </c>
      <c r="L198" s="109" t="s">
        <v>209</v>
      </c>
      <c r="M198" s="117" t="s">
        <v>167</v>
      </c>
      <c r="N198" s="109" t="s">
        <v>114</v>
      </c>
      <c r="O198" s="109">
        <v>0</v>
      </c>
      <c r="P198" s="109">
        <v>0</v>
      </c>
      <c r="Q198" s="198">
        <v>2.6160000000000001</v>
      </c>
      <c r="R198" s="198">
        <v>1.45</v>
      </c>
      <c r="S198" s="109">
        <v>0</v>
      </c>
      <c r="T198" s="146"/>
      <c r="U198" s="117"/>
      <c r="V198" s="116"/>
      <c r="W198" s="144"/>
      <c r="X198" s="145"/>
      <c r="AD198" s="109" t="str">
        <f>"r2s: "&amp;V198&amp;"; %Pes: "&amp;W198</f>
        <v xml:space="preserve">r2s: ; %Pes: </v>
      </c>
    </row>
    <row r="199" spans="1:109" s="109" customFormat="1" ht="21" customHeight="1">
      <c r="A199" s="149" t="s">
        <v>138</v>
      </c>
      <c r="B199" s="178" t="s">
        <v>139</v>
      </c>
      <c r="C199" s="109" t="s">
        <v>202</v>
      </c>
      <c r="D199" s="143" t="s">
        <v>219</v>
      </c>
      <c r="E199" s="143" t="s">
        <v>220</v>
      </c>
      <c r="F199" s="109">
        <v>30967</v>
      </c>
      <c r="G199" s="109">
        <v>874</v>
      </c>
      <c r="H199" s="117" t="s">
        <v>110</v>
      </c>
      <c r="I199" s="109" t="s">
        <v>111</v>
      </c>
      <c r="J199" s="109" t="s">
        <v>104</v>
      </c>
      <c r="K199" s="109" t="s">
        <v>105</v>
      </c>
      <c r="L199" s="109" t="s">
        <v>126</v>
      </c>
      <c r="M199" s="117" t="s">
        <v>175</v>
      </c>
      <c r="N199" s="109" t="s">
        <v>114</v>
      </c>
      <c r="O199" s="109">
        <v>0</v>
      </c>
      <c r="P199" s="109">
        <v>0</v>
      </c>
      <c r="Q199" s="198">
        <v>3.1459999999999999</v>
      </c>
      <c r="R199" s="198">
        <v>1.3279999999999998</v>
      </c>
      <c r="S199" s="109">
        <v>0</v>
      </c>
      <c r="T199" s="146"/>
      <c r="U199" s="117"/>
      <c r="V199" s="116"/>
      <c r="W199" s="200"/>
      <c r="X199" s="201"/>
      <c r="AD199" s="109" t="str">
        <f>"r2s: "&amp;V199&amp;"; %Pes: "&amp;W199</f>
        <v xml:space="preserve">r2s: ; %Pes: </v>
      </c>
    </row>
    <row r="201" spans="1:109" s="109" customFormat="1" ht="21" customHeight="1">
      <c r="A201" s="149" t="s">
        <v>138</v>
      </c>
      <c r="B201" s="178" t="s">
        <v>139</v>
      </c>
      <c r="C201" s="109" t="s">
        <v>202</v>
      </c>
      <c r="D201" s="143" t="s">
        <v>219</v>
      </c>
      <c r="E201" s="143" t="s">
        <v>220</v>
      </c>
      <c r="F201" s="109">
        <v>30967</v>
      </c>
      <c r="G201" s="109">
        <v>880</v>
      </c>
      <c r="H201" s="117" t="s">
        <v>110</v>
      </c>
      <c r="I201" s="109" t="s">
        <v>111</v>
      </c>
      <c r="J201" s="109" t="s">
        <v>104</v>
      </c>
      <c r="K201" s="109" t="s">
        <v>105</v>
      </c>
      <c r="L201" s="109" t="s">
        <v>209</v>
      </c>
      <c r="M201" s="117" t="s">
        <v>216</v>
      </c>
      <c r="N201" s="109" t="s">
        <v>108</v>
      </c>
      <c r="O201" s="109">
        <v>0</v>
      </c>
      <c r="P201" s="109">
        <v>0</v>
      </c>
      <c r="Q201" s="198">
        <v>2.2770000000000001</v>
      </c>
      <c r="R201" s="198">
        <v>1.4689999999999999</v>
      </c>
      <c r="S201" s="109">
        <v>0</v>
      </c>
      <c r="T201" s="146"/>
      <c r="U201" s="117"/>
      <c r="V201" s="116"/>
      <c r="W201" s="200"/>
      <c r="X201" s="201"/>
      <c r="AD201" s="109" t="str">
        <f>"r2s: "&amp;V201&amp;"; %Pes: "&amp;W201</f>
        <v xml:space="preserve">r2s: ; %Pes: </v>
      </c>
    </row>
    <row r="203" spans="1:109" s="109" customFormat="1" ht="21" customHeight="1">
      <c r="A203" s="149" t="s">
        <v>138</v>
      </c>
      <c r="B203" s="178" t="s">
        <v>139</v>
      </c>
      <c r="C203" s="109" t="s">
        <v>202</v>
      </c>
      <c r="D203" s="143" t="s">
        <v>219</v>
      </c>
      <c r="E203" s="143" t="s">
        <v>220</v>
      </c>
      <c r="F203" s="109">
        <v>30967</v>
      </c>
      <c r="G203" s="109">
        <v>916</v>
      </c>
      <c r="H203" s="117" t="s">
        <v>110</v>
      </c>
      <c r="I203" s="109" t="s">
        <v>111</v>
      </c>
      <c r="J203" s="109" t="s">
        <v>104</v>
      </c>
      <c r="K203" s="109" t="s">
        <v>105</v>
      </c>
      <c r="L203" s="109" t="s">
        <v>209</v>
      </c>
      <c r="M203" s="117" t="s">
        <v>216</v>
      </c>
      <c r="N203" s="109" t="s">
        <v>108</v>
      </c>
      <c r="O203" s="109">
        <v>0</v>
      </c>
      <c r="P203" s="109">
        <v>0</v>
      </c>
      <c r="Q203" s="198">
        <v>2.673</v>
      </c>
      <c r="R203" s="198">
        <v>1.397</v>
      </c>
      <c r="S203" s="109">
        <v>0</v>
      </c>
      <c r="T203" s="146"/>
      <c r="U203" s="117"/>
      <c r="V203" s="116"/>
      <c r="W203" s="200"/>
      <c r="X203" s="201"/>
      <c r="AD203" s="109" t="str">
        <f>"r2s: "&amp;V203&amp;"; %Pes: "&amp;W203</f>
        <v xml:space="preserve">r2s: ; %Pes: </v>
      </c>
    </row>
    <row r="205" spans="1:109" s="109" customFormat="1" ht="21" customHeight="1">
      <c r="A205" s="149" t="s">
        <v>138</v>
      </c>
      <c r="B205" s="178" t="s">
        <v>139</v>
      </c>
      <c r="C205" s="109" t="s">
        <v>246</v>
      </c>
      <c r="D205" s="143" t="s">
        <v>247</v>
      </c>
      <c r="E205" s="143" t="s">
        <v>248</v>
      </c>
      <c r="F205" s="109">
        <v>933</v>
      </c>
      <c r="G205" s="109">
        <v>973</v>
      </c>
      <c r="H205" s="117" t="s">
        <v>249</v>
      </c>
      <c r="I205" s="109" t="s">
        <v>103</v>
      </c>
      <c r="J205" s="109" t="s">
        <v>104</v>
      </c>
      <c r="K205" s="109" t="s">
        <v>105</v>
      </c>
      <c r="L205" s="109" t="s">
        <v>160</v>
      </c>
      <c r="M205" s="117" t="s">
        <v>161</v>
      </c>
      <c r="N205" s="109" t="s">
        <v>108</v>
      </c>
      <c r="O205" s="109">
        <v>0</v>
      </c>
      <c r="P205" s="109">
        <v>0</v>
      </c>
      <c r="Q205" s="198">
        <v>2.2090000000000001</v>
      </c>
      <c r="R205" s="198">
        <v>2.2649999999999997</v>
      </c>
      <c r="S205" s="109">
        <v>0</v>
      </c>
      <c r="T205" s="146"/>
      <c r="U205" s="117"/>
      <c r="V205" s="116"/>
      <c r="W205" s="144"/>
      <c r="X205" s="145"/>
      <c r="AD205" s="109" t="str">
        <f>"r2s: "&amp;V205&amp;"; %Pes: "&amp;W205</f>
        <v xml:space="preserve">r2s: ; %Pes: </v>
      </c>
    </row>
    <row r="207" spans="1:109" s="109" customFormat="1" ht="21" customHeight="1">
      <c r="A207" s="149" t="s">
        <v>138</v>
      </c>
      <c r="B207" s="178" t="s">
        <v>139</v>
      </c>
      <c r="C207" s="109" t="s">
        <v>202</v>
      </c>
      <c r="D207" s="143" t="s">
        <v>219</v>
      </c>
      <c r="E207" s="143" t="s">
        <v>220</v>
      </c>
      <c r="F207" s="109">
        <v>30967</v>
      </c>
      <c r="G207" s="109">
        <v>1028</v>
      </c>
      <c r="H207" s="117" t="s">
        <v>110</v>
      </c>
      <c r="I207" s="109" t="s">
        <v>111</v>
      </c>
      <c r="J207" s="109" t="s">
        <v>104</v>
      </c>
      <c r="K207" s="109" t="s">
        <v>105</v>
      </c>
      <c r="L207" s="109" t="s">
        <v>243</v>
      </c>
      <c r="M207" s="117" t="s">
        <v>244</v>
      </c>
      <c r="N207" s="109" t="s">
        <v>114</v>
      </c>
      <c r="O207" s="109">
        <v>0</v>
      </c>
      <c r="P207" s="109">
        <v>0</v>
      </c>
      <c r="Q207" s="198">
        <v>2.6260000000000003</v>
      </c>
      <c r="R207" s="198">
        <v>1.117</v>
      </c>
      <c r="S207" s="109">
        <v>0</v>
      </c>
      <c r="T207" s="146"/>
      <c r="U207" s="117"/>
      <c r="V207" s="116"/>
      <c r="W207" s="200"/>
      <c r="X207" s="201"/>
      <c r="AD207" s="109" t="str">
        <f>"r2s: "&amp;V207&amp;"; %Pes: "&amp;W207</f>
        <v xml:space="preserve">r2s: ; %Pes: </v>
      </c>
      <c r="AL207" s="115"/>
      <c r="AM207" s="115"/>
      <c r="AN207" s="115"/>
      <c r="AO207" s="115"/>
      <c r="AP207" s="115"/>
      <c r="AQ207" s="115"/>
      <c r="AR207" s="115"/>
      <c r="AS207" s="115"/>
      <c r="AT207" s="115"/>
      <c r="AU207" s="115"/>
      <c r="AV207" s="115"/>
      <c r="AW207" s="115"/>
      <c r="AX207" s="115"/>
      <c r="AY207" s="115"/>
      <c r="AZ207" s="115"/>
      <c r="BA207" s="115"/>
      <c r="BB207" s="115"/>
      <c r="BC207" s="115"/>
      <c r="BD207" s="115"/>
      <c r="BE207" s="115"/>
      <c r="BF207" s="115"/>
      <c r="BG207" s="115"/>
      <c r="BH207" s="115"/>
      <c r="BI207" s="115"/>
      <c r="BJ207" s="115"/>
      <c r="BK207" s="115"/>
      <c r="BL207" s="115"/>
      <c r="BM207" s="115"/>
      <c r="BN207" s="115"/>
      <c r="BO207" s="115"/>
      <c r="BP207" s="115"/>
      <c r="BQ207" s="115"/>
      <c r="BR207" s="115"/>
      <c r="BS207" s="115"/>
      <c r="BT207" s="115"/>
      <c r="BU207" s="115"/>
      <c r="BV207" s="115"/>
      <c r="BW207" s="115"/>
    </row>
    <row r="209" spans="1:75" s="109" customFormat="1" ht="21" customHeight="1">
      <c r="A209" s="149" t="s">
        <v>138</v>
      </c>
      <c r="B209" s="178" t="s">
        <v>139</v>
      </c>
      <c r="C209" s="109" t="s">
        <v>202</v>
      </c>
      <c r="D209" s="143" t="s">
        <v>219</v>
      </c>
      <c r="E209" s="143" t="s">
        <v>220</v>
      </c>
      <c r="F209" s="109">
        <v>30967</v>
      </c>
      <c r="G209" s="109">
        <v>1274</v>
      </c>
      <c r="H209" s="117" t="s">
        <v>110</v>
      </c>
      <c r="I209" s="109" t="s">
        <v>111</v>
      </c>
      <c r="J209" s="109" t="s">
        <v>104</v>
      </c>
      <c r="K209" s="109" t="s">
        <v>105</v>
      </c>
      <c r="L209" s="109" t="s">
        <v>126</v>
      </c>
      <c r="M209" s="117" t="s">
        <v>127</v>
      </c>
      <c r="N209" s="109" t="s">
        <v>108</v>
      </c>
      <c r="O209" s="109">
        <v>0</v>
      </c>
      <c r="P209" s="109">
        <v>0</v>
      </c>
      <c r="Q209" s="198">
        <v>2.8479999999999999</v>
      </c>
      <c r="R209" s="198">
        <v>1.3560000000000001</v>
      </c>
      <c r="S209" s="109">
        <v>0</v>
      </c>
      <c r="T209" s="146"/>
      <c r="U209" s="117"/>
      <c r="V209" s="116"/>
      <c r="W209" s="200"/>
      <c r="X209" s="201"/>
      <c r="AD209" s="109" t="str">
        <f>"r2s: "&amp;V209&amp;"; %Pes: "&amp;W209</f>
        <v xml:space="preserve">r2s: ; %Pes: </v>
      </c>
    </row>
    <row r="211" spans="1:75" s="109" customFormat="1" ht="21" customHeight="1">
      <c r="A211" s="149" t="s">
        <v>138</v>
      </c>
      <c r="B211" s="178" t="s">
        <v>139</v>
      </c>
      <c r="C211" s="109" t="s">
        <v>202</v>
      </c>
      <c r="D211" s="143" t="s">
        <v>219</v>
      </c>
      <c r="E211" s="143" t="s">
        <v>220</v>
      </c>
      <c r="F211" s="109">
        <v>30967</v>
      </c>
      <c r="G211" s="109">
        <v>1589</v>
      </c>
      <c r="H211" s="117" t="s">
        <v>110</v>
      </c>
      <c r="I211" s="109" t="s">
        <v>111</v>
      </c>
      <c r="J211" s="109" t="s">
        <v>104</v>
      </c>
      <c r="K211" s="109" t="s">
        <v>105</v>
      </c>
      <c r="L211" s="109" t="s">
        <v>158</v>
      </c>
      <c r="M211" s="117" t="s">
        <v>159</v>
      </c>
      <c r="N211" s="109" t="s">
        <v>114</v>
      </c>
      <c r="O211" s="109">
        <v>0</v>
      </c>
      <c r="P211" s="109">
        <v>0</v>
      </c>
      <c r="Q211" s="198">
        <v>2.536</v>
      </c>
      <c r="R211" s="198">
        <v>1.9170000000000003</v>
      </c>
      <c r="S211" s="109">
        <v>0</v>
      </c>
      <c r="T211" s="146"/>
      <c r="U211" s="117"/>
      <c r="V211" s="116"/>
      <c r="W211" s="200"/>
      <c r="X211" s="201"/>
      <c r="AD211" s="109" t="str">
        <f>"r2s: "&amp;V211&amp;"; %Pes: "&amp;W211</f>
        <v xml:space="preserve">r2s: ; %Pes: </v>
      </c>
    </row>
    <row r="213" spans="1:75" s="109" customFormat="1" ht="21" customHeight="1">
      <c r="A213" s="149" t="s">
        <v>138</v>
      </c>
      <c r="B213" s="178" t="s">
        <v>139</v>
      </c>
      <c r="C213" s="109" t="s">
        <v>202</v>
      </c>
      <c r="D213" s="143" t="s">
        <v>219</v>
      </c>
      <c r="E213" s="143" t="s">
        <v>220</v>
      </c>
      <c r="F213" s="109">
        <v>30967</v>
      </c>
      <c r="G213" s="109">
        <v>1590</v>
      </c>
      <c r="H213" s="117" t="s">
        <v>110</v>
      </c>
      <c r="I213" s="109" t="s">
        <v>111</v>
      </c>
      <c r="J213" s="109" t="s">
        <v>104</v>
      </c>
      <c r="K213" s="109" t="s">
        <v>105</v>
      </c>
      <c r="L213" s="109" t="s">
        <v>209</v>
      </c>
      <c r="M213" s="117" t="s">
        <v>216</v>
      </c>
      <c r="N213" s="109" t="s">
        <v>108</v>
      </c>
      <c r="O213" s="109">
        <v>0</v>
      </c>
      <c r="P213" s="109">
        <v>0</v>
      </c>
      <c r="Q213" s="198">
        <v>2.464</v>
      </c>
      <c r="R213" s="198">
        <v>1.385</v>
      </c>
      <c r="S213" s="109">
        <v>0</v>
      </c>
      <c r="T213" s="146"/>
      <c r="U213" s="117"/>
      <c r="V213" s="116"/>
      <c r="W213" s="200"/>
      <c r="X213" s="201"/>
      <c r="AD213" s="109" t="str">
        <f>"r2s: "&amp;V213&amp;"; %Pes: "&amp;W213</f>
        <v xml:space="preserve">r2s: ; %Pes: </v>
      </c>
    </row>
    <row r="215" spans="1:75" s="109" customFormat="1" ht="21" customHeight="1">
      <c r="A215" s="149" t="s">
        <v>138</v>
      </c>
      <c r="B215" s="178" t="s">
        <v>139</v>
      </c>
      <c r="C215" s="109" t="s">
        <v>202</v>
      </c>
      <c r="D215" s="143" t="s">
        <v>203</v>
      </c>
      <c r="E215" s="143" t="s">
        <v>204</v>
      </c>
      <c r="F215" s="109">
        <v>30967</v>
      </c>
      <c r="G215" s="109">
        <v>1599</v>
      </c>
      <c r="H215" s="117" t="s">
        <v>110</v>
      </c>
      <c r="I215" s="109" t="s">
        <v>111</v>
      </c>
      <c r="J215" s="109" t="s">
        <v>104</v>
      </c>
      <c r="K215" s="109" t="s">
        <v>105</v>
      </c>
      <c r="L215" s="109" t="s">
        <v>112</v>
      </c>
      <c r="M215" s="117" t="s">
        <v>113</v>
      </c>
      <c r="N215" s="109" t="s">
        <v>108</v>
      </c>
      <c r="O215" s="109">
        <v>0</v>
      </c>
      <c r="P215" s="109">
        <v>0</v>
      </c>
      <c r="Q215" s="198">
        <v>3.0430000000000001</v>
      </c>
      <c r="R215" s="198">
        <v>2.883</v>
      </c>
      <c r="S215" s="109">
        <v>0</v>
      </c>
      <c r="T215" s="146"/>
      <c r="U215" s="117"/>
      <c r="V215" s="116"/>
      <c r="W215" s="144"/>
      <c r="X215" s="145"/>
      <c r="AD215" s="109" t="str">
        <f>"r2s: "&amp;V215&amp;"; %Pes: "&amp;W215</f>
        <v xml:space="preserve">r2s: ; %Pes: </v>
      </c>
    </row>
    <row r="216" spans="1:75" s="109" customFormat="1" ht="21" customHeight="1">
      <c r="A216" s="149" t="s">
        <v>138</v>
      </c>
      <c r="B216" s="178" t="s">
        <v>139</v>
      </c>
      <c r="C216" s="109" t="s">
        <v>202</v>
      </c>
      <c r="D216" s="143" t="s">
        <v>203</v>
      </c>
      <c r="E216" s="143" t="s">
        <v>204</v>
      </c>
      <c r="F216" s="109">
        <v>30967</v>
      </c>
      <c r="G216" s="109">
        <v>1599</v>
      </c>
      <c r="H216" s="117" t="s">
        <v>110</v>
      </c>
      <c r="I216" s="109" t="s">
        <v>111</v>
      </c>
      <c r="J216" s="109" t="s">
        <v>104</v>
      </c>
      <c r="K216" s="109" t="s">
        <v>105</v>
      </c>
      <c r="L216" s="109" t="s">
        <v>166</v>
      </c>
      <c r="M216" s="117" t="s">
        <v>167</v>
      </c>
      <c r="N216" s="109" t="s">
        <v>108</v>
      </c>
      <c r="O216" s="109">
        <v>0</v>
      </c>
      <c r="P216" s="109">
        <v>0</v>
      </c>
      <c r="Q216" s="198">
        <v>3.63</v>
      </c>
      <c r="R216" s="198">
        <v>2.69</v>
      </c>
      <c r="S216" s="109">
        <v>0</v>
      </c>
      <c r="T216" s="146"/>
      <c r="U216" s="117"/>
      <c r="V216" s="116"/>
      <c r="W216" s="144"/>
      <c r="X216" s="145"/>
      <c r="AD216" s="109" t="str">
        <f>"r2s: "&amp;V216&amp;"; %Pes: "&amp;W216</f>
        <v xml:space="preserve">r2s: ; %Pes: </v>
      </c>
    </row>
    <row r="218" spans="1:75" s="109" customFormat="1" ht="21" customHeight="1">
      <c r="A218" s="109" t="s">
        <v>168</v>
      </c>
      <c r="B218" s="109" t="s">
        <v>218</v>
      </c>
      <c r="C218" s="109" t="s">
        <v>202</v>
      </c>
      <c r="D218" s="143" t="s">
        <v>219</v>
      </c>
      <c r="E218" s="143" t="s">
        <v>220</v>
      </c>
      <c r="F218" s="109">
        <v>30967</v>
      </c>
      <c r="G218" s="109">
        <v>1682</v>
      </c>
      <c r="H218" s="117" t="s">
        <v>110</v>
      </c>
      <c r="I218" s="109" t="s">
        <v>111</v>
      </c>
      <c r="J218" s="109" t="s">
        <v>104</v>
      </c>
      <c r="K218" s="109" t="s">
        <v>105</v>
      </c>
      <c r="L218" s="109" t="s">
        <v>143</v>
      </c>
      <c r="M218" s="117" t="s">
        <v>157</v>
      </c>
      <c r="N218" s="109" t="s">
        <v>108</v>
      </c>
      <c r="O218" s="109">
        <v>0</v>
      </c>
      <c r="P218" s="109">
        <v>0</v>
      </c>
      <c r="Q218" s="198">
        <v>2.2649999999999997</v>
      </c>
      <c r="R218" s="198">
        <v>1.966</v>
      </c>
      <c r="S218" s="109">
        <v>0</v>
      </c>
      <c r="T218" s="146"/>
      <c r="U218" s="117"/>
      <c r="V218" s="116"/>
      <c r="W218" s="144"/>
      <c r="X218" s="145"/>
      <c r="AD218" s="109" t="str">
        <f>"r2s: "&amp;V218&amp;"; %Pes: "&amp;W218</f>
        <v xml:space="preserve">r2s: ; %Pes: </v>
      </c>
      <c r="AL218" s="115"/>
      <c r="AM218" s="115"/>
      <c r="AN218" s="115"/>
      <c r="AO218" s="115"/>
      <c r="AP218" s="115"/>
      <c r="AQ218" s="115"/>
      <c r="AR218" s="115"/>
      <c r="AS218" s="115"/>
      <c r="AT218" s="115"/>
      <c r="AU218" s="115"/>
      <c r="AV218" s="115"/>
      <c r="AW218" s="115"/>
      <c r="AX218" s="115"/>
      <c r="AY218" s="115"/>
      <c r="AZ218" s="115"/>
      <c r="BA218" s="115"/>
      <c r="BB218" s="115"/>
      <c r="BC218" s="115"/>
      <c r="BD218" s="115"/>
      <c r="BE218" s="115"/>
      <c r="BF218" s="115"/>
      <c r="BG218" s="115"/>
      <c r="BH218" s="115"/>
      <c r="BI218" s="115"/>
      <c r="BJ218" s="115"/>
      <c r="BK218" s="115"/>
      <c r="BL218" s="115"/>
      <c r="BM218" s="115"/>
      <c r="BN218" s="115"/>
      <c r="BO218" s="115"/>
      <c r="BP218" s="115"/>
      <c r="BQ218" s="115"/>
      <c r="BR218" s="115"/>
      <c r="BS218" s="115"/>
      <c r="BT218" s="115"/>
      <c r="BU218" s="115"/>
      <c r="BV218" s="115"/>
      <c r="BW218" s="115"/>
    </row>
    <row r="219" spans="1:75" s="109" customFormat="1" ht="21" customHeight="1">
      <c r="A219" s="109" t="s">
        <v>168</v>
      </c>
      <c r="B219" s="109" t="s">
        <v>218</v>
      </c>
      <c r="C219" s="109" t="s">
        <v>202</v>
      </c>
      <c r="D219" s="143" t="s">
        <v>219</v>
      </c>
      <c r="E219" s="143" t="s">
        <v>220</v>
      </c>
      <c r="F219" s="109">
        <v>30967</v>
      </c>
      <c r="G219" s="109">
        <v>1682</v>
      </c>
      <c r="H219" s="117" t="s">
        <v>110</v>
      </c>
      <c r="I219" s="109" t="s">
        <v>111</v>
      </c>
      <c r="J219" s="109" t="s">
        <v>104</v>
      </c>
      <c r="K219" s="109" t="s">
        <v>105</v>
      </c>
      <c r="L219" s="109" t="s">
        <v>158</v>
      </c>
      <c r="M219" s="117" t="s">
        <v>159</v>
      </c>
      <c r="N219" s="109" t="s">
        <v>108</v>
      </c>
      <c r="O219" s="109">
        <v>0</v>
      </c>
      <c r="P219" s="109">
        <v>0</v>
      </c>
      <c r="Q219" s="198">
        <v>2.3319999999999999</v>
      </c>
      <c r="R219" s="198">
        <v>2.0760000000000001</v>
      </c>
      <c r="S219" s="109">
        <v>0</v>
      </c>
      <c r="T219" s="146"/>
      <c r="U219" s="117"/>
      <c r="V219" s="116"/>
      <c r="W219" s="200"/>
      <c r="X219" s="201"/>
      <c r="AD219" s="109" t="str">
        <f>"r2s: "&amp;V219&amp;"; %Pes: "&amp;W219</f>
        <v xml:space="preserve">r2s: ; %Pes: </v>
      </c>
    </row>
    <row r="221" spans="1:75" s="109" customFormat="1" ht="21" customHeight="1">
      <c r="A221" s="109" t="s">
        <v>168</v>
      </c>
      <c r="B221" s="109" t="s">
        <v>218</v>
      </c>
      <c r="C221" s="109" t="s">
        <v>221</v>
      </c>
      <c r="D221" s="109" t="s">
        <v>222</v>
      </c>
      <c r="E221" s="109" t="s">
        <v>151</v>
      </c>
      <c r="F221" s="109">
        <v>908</v>
      </c>
      <c r="G221" s="109">
        <v>1749</v>
      </c>
      <c r="H221" s="117" t="s">
        <v>250</v>
      </c>
      <c r="I221" s="109" t="s">
        <v>251</v>
      </c>
      <c r="J221" s="109" t="s">
        <v>225</v>
      </c>
      <c r="K221" s="109" t="s">
        <v>105</v>
      </c>
      <c r="L221" s="109" t="s">
        <v>143</v>
      </c>
      <c r="M221" s="117" t="s">
        <v>157</v>
      </c>
      <c r="N221" s="109" t="s">
        <v>114</v>
      </c>
      <c r="O221" s="109">
        <v>0</v>
      </c>
      <c r="P221" s="109">
        <v>0</v>
      </c>
      <c r="Q221" s="109">
        <v>1.621</v>
      </c>
      <c r="R221" s="109">
        <v>1.4</v>
      </c>
      <c r="S221" s="109">
        <v>0</v>
      </c>
      <c r="T221" s="144">
        <v>36.262494909332311</v>
      </c>
      <c r="U221" s="117" t="s">
        <v>245</v>
      </c>
      <c r="V221" s="116">
        <v>0.88</v>
      </c>
      <c r="W221" s="144">
        <v>42.47</v>
      </c>
      <c r="X221" s="117" t="s">
        <v>237</v>
      </c>
      <c r="Z221" s="109" t="s">
        <v>228</v>
      </c>
      <c r="AD221" s="109" t="str">
        <f>"r2s: "&amp;V221&amp;"; %Pes: "&amp;W221</f>
        <v>r2s: 0.88; %Pes: 42.47</v>
      </c>
    </row>
    <row r="223" spans="1:75" s="109" customFormat="1" ht="21" customHeight="1">
      <c r="A223" s="109" t="s">
        <v>168</v>
      </c>
      <c r="B223" s="109" t="s">
        <v>218</v>
      </c>
      <c r="C223" s="109" t="s">
        <v>221</v>
      </c>
      <c r="D223" s="109" t="s">
        <v>222</v>
      </c>
      <c r="E223" s="109" t="s">
        <v>151</v>
      </c>
      <c r="F223" s="109">
        <v>908</v>
      </c>
      <c r="G223" s="109">
        <v>1756</v>
      </c>
      <c r="H223" s="117" t="s">
        <v>250</v>
      </c>
      <c r="I223" s="109" t="s">
        <v>251</v>
      </c>
      <c r="J223" s="109" t="s">
        <v>225</v>
      </c>
      <c r="K223" s="109" t="s">
        <v>105</v>
      </c>
      <c r="L223" s="109" t="s">
        <v>252</v>
      </c>
      <c r="M223" s="117" t="s">
        <v>253</v>
      </c>
      <c r="N223" s="109" t="s">
        <v>108</v>
      </c>
      <c r="O223" s="109">
        <v>0</v>
      </c>
      <c r="P223" s="109">
        <v>0</v>
      </c>
      <c r="Q223" s="109">
        <v>1.1019999999999999</v>
      </c>
      <c r="R223" s="109">
        <v>1.1659999999999999</v>
      </c>
      <c r="S223" s="109">
        <v>0</v>
      </c>
      <c r="T223" s="144">
        <v>59.634532681188077</v>
      </c>
      <c r="U223" s="117" t="s">
        <v>254</v>
      </c>
      <c r="V223" s="116">
        <v>0.87</v>
      </c>
      <c r="W223" s="144">
        <v>43</v>
      </c>
      <c r="X223" s="117" t="s">
        <v>237</v>
      </c>
      <c r="Y223" s="109" t="s">
        <v>255</v>
      </c>
      <c r="Z223" s="109" t="s">
        <v>228</v>
      </c>
      <c r="AD223" s="109" t="str">
        <f>"r2s: "&amp;V223&amp;"; %Pes: "&amp;W223</f>
        <v>r2s: 0.87; %Pes: 43</v>
      </c>
      <c r="AL223" s="115"/>
      <c r="AM223" s="115"/>
      <c r="AN223" s="115"/>
      <c r="AO223" s="115"/>
      <c r="AP223" s="115"/>
      <c r="AQ223" s="115"/>
      <c r="AR223" s="115"/>
      <c r="AS223" s="115"/>
      <c r="AT223" s="115"/>
      <c r="AU223" s="115"/>
      <c r="AV223" s="115"/>
      <c r="AW223" s="115"/>
      <c r="AX223" s="115"/>
      <c r="AY223" s="115"/>
      <c r="AZ223" s="115"/>
      <c r="BA223" s="115"/>
      <c r="BB223" s="115"/>
      <c r="BC223" s="115"/>
      <c r="BD223" s="115"/>
      <c r="BE223" s="115"/>
      <c r="BF223" s="115"/>
      <c r="BG223" s="115"/>
      <c r="BH223" s="115"/>
      <c r="BI223" s="115"/>
      <c r="BJ223" s="115"/>
      <c r="BK223" s="115"/>
      <c r="BL223" s="115"/>
      <c r="BM223" s="115"/>
      <c r="BN223" s="115"/>
      <c r="BO223" s="115"/>
      <c r="BP223" s="115"/>
      <c r="BQ223" s="115"/>
      <c r="BR223" s="115"/>
      <c r="BS223" s="115"/>
      <c r="BT223" s="115"/>
      <c r="BU223" s="115"/>
      <c r="BV223" s="115"/>
      <c r="BW223" s="115"/>
    </row>
    <row r="225" spans="1:75" s="109" customFormat="1" ht="21" customHeight="1">
      <c r="A225" s="109" t="s">
        <v>168</v>
      </c>
      <c r="B225" s="109" t="s">
        <v>218</v>
      </c>
      <c r="C225" s="109" t="s">
        <v>221</v>
      </c>
      <c r="D225" s="109" t="s">
        <v>222</v>
      </c>
      <c r="E225" s="109" t="s">
        <v>151</v>
      </c>
      <c r="F225" s="109">
        <v>30967</v>
      </c>
      <c r="G225" s="109">
        <v>1822</v>
      </c>
      <c r="H225" s="117" t="s">
        <v>110</v>
      </c>
      <c r="I225" s="109" t="s">
        <v>111</v>
      </c>
      <c r="J225" s="109" t="s">
        <v>104</v>
      </c>
      <c r="K225" s="109" t="s">
        <v>256</v>
      </c>
      <c r="L225" s="109" t="s">
        <v>126</v>
      </c>
      <c r="M225" s="117" t="s">
        <v>127</v>
      </c>
      <c r="N225" s="109" t="s">
        <v>108</v>
      </c>
      <c r="Q225" s="109">
        <v>1.99</v>
      </c>
      <c r="R225" s="109">
        <v>1.0900000000000001</v>
      </c>
      <c r="T225" s="144">
        <v>74.290351905585837</v>
      </c>
      <c r="U225" s="117" t="s">
        <v>242</v>
      </c>
      <c r="V225" s="116">
        <v>0.95299999999999996</v>
      </c>
      <c r="W225" s="144">
        <v>19.899999999999999</v>
      </c>
      <c r="X225" s="117" t="s">
        <v>227</v>
      </c>
      <c r="Z225" s="109" t="s">
        <v>228</v>
      </c>
      <c r="AD225" s="109" t="str">
        <f>"r2s: "&amp;V225&amp;"; %Pes: "&amp;W225</f>
        <v>r2s: 0.953; %Pes: 19.9</v>
      </c>
      <c r="AL225" s="115"/>
      <c r="AM225" s="115"/>
      <c r="AN225" s="115"/>
      <c r="AO225" s="115"/>
      <c r="AP225" s="115"/>
      <c r="AQ225" s="115"/>
      <c r="AR225" s="115"/>
      <c r="AS225" s="115"/>
      <c r="AT225" s="115"/>
      <c r="AU225" s="115"/>
      <c r="AV225" s="115"/>
      <c r="AW225" s="115"/>
      <c r="AX225" s="115"/>
      <c r="AY225" s="115"/>
      <c r="AZ225" s="115"/>
      <c r="BA225" s="115"/>
      <c r="BB225" s="115"/>
      <c r="BC225" s="115"/>
      <c r="BD225" s="115"/>
      <c r="BE225" s="115"/>
      <c r="BF225" s="115"/>
      <c r="BG225" s="115"/>
      <c r="BH225" s="115"/>
      <c r="BI225" s="115"/>
      <c r="BJ225" s="115"/>
      <c r="BK225" s="115"/>
      <c r="BL225" s="115"/>
      <c r="BM225" s="115"/>
      <c r="BN225" s="115"/>
      <c r="BO225" s="115"/>
      <c r="BP225" s="115"/>
      <c r="BQ225" s="115"/>
      <c r="BR225" s="115"/>
      <c r="BS225" s="115"/>
      <c r="BT225" s="115"/>
      <c r="BU225" s="115"/>
      <c r="BV225" s="115"/>
      <c r="BW225" s="115"/>
    </row>
    <row r="227" spans="1:75" s="83" customFormat="1">
      <c r="A227" s="223">
        <v>44250</v>
      </c>
      <c r="B227" s="219" t="s">
        <v>49</v>
      </c>
      <c r="C227" s="224" t="s">
        <v>257</v>
      </c>
      <c r="J227" s="219"/>
      <c r="L227" s="221"/>
      <c r="M227" s="222"/>
    </row>
    <row r="228" spans="1:75">
      <c r="C228" s="158" t="s">
        <v>258</v>
      </c>
    </row>
    <row r="229" spans="1:75">
      <c r="C229" s="158" t="s">
        <v>259</v>
      </c>
    </row>
    <row r="231" spans="1:75" s="83" customFormat="1">
      <c r="A231" s="219" t="s">
        <v>260</v>
      </c>
      <c r="B231" s="219" t="s">
        <v>2</v>
      </c>
      <c r="C231" s="220" t="s">
        <v>261</v>
      </c>
      <c r="L231" s="221"/>
      <c r="M231" s="222"/>
    </row>
    <row r="232" spans="1:75">
      <c r="C232" s="158" t="s">
        <v>262</v>
      </c>
    </row>
    <row r="233" spans="1:75">
      <c r="C233" s="158" t="s">
        <v>263</v>
      </c>
    </row>
    <row r="234" spans="1:75">
      <c r="C234" s="158" t="s">
        <v>264</v>
      </c>
    </row>
    <row r="236" spans="1:75" ht="61">
      <c r="A236" s="2">
        <v>44243</v>
      </c>
      <c r="B236" s="2" t="s">
        <v>9</v>
      </c>
      <c r="C236" s="225" t="s">
        <v>265</v>
      </c>
      <c r="F236" t="s">
        <v>74</v>
      </c>
      <c r="G236" t="s">
        <v>266</v>
      </c>
      <c r="H236" t="s">
        <v>267</v>
      </c>
      <c r="I236">
        <v>933</v>
      </c>
      <c r="J236">
        <v>366</v>
      </c>
      <c r="K236" t="s">
        <v>102</v>
      </c>
      <c r="L236" s="179" t="s">
        <v>103</v>
      </c>
      <c r="M236" s="171" t="s">
        <v>104</v>
      </c>
      <c r="N236" t="s">
        <v>105</v>
      </c>
      <c r="O236" t="s">
        <v>233</v>
      </c>
      <c r="P236" t="s">
        <v>234</v>
      </c>
      <c r="Q236" t="s">
        <v>108</v>
      </c>
      <c r="R236">
        <v>0</v>
      </c>
      <c r="S236">
        <v>0</v>
      </c>
      <c r="T236">
        <v>1.03</v>
      </c>
      <c r="U236">
        <v>0.38400000000000001</v>
      </c>
      <c r="V236">
        <v>0</v>
      </c>
      <c r="W236">
        <v>8.2165605571236746</v>
      </c>
      <c r="X236" t="s">
        <v>268</v>
      </c>
      <c r="Y236">
        <v>0.84909999999999997</v>
      </c>
      <c r="AA236" t="s">
        <v>269</v>
      </c>
      <c r="AG236" t="s">
        <v>270</v>
      </c>
    </row>
    <row r="237" spans="1:75" ht="61">
      <c r="C237" s="225" t="s">
        <v>271</v>
      </c>
      <c r="D237" t="s">
        <v>272</v>
      </c>
      <c r="E237" t="s">
        <v>273</v>
      </c>
      <c r="F237" t="s">
        <v>74</v>
      </c>
      <c r="G237" t="s">
        <v>274</v>
      </c>
      <c r="H237" t="s">
        <v>151</v>
      </c>
      <c r="I237">
        <v>892</v>
      </c>
      <c r="J237" t="s">
        <v>275</v>
      </c>
      <c r="K237" t="s">
        <v>276</v>
      </c>
      <c r="L237" s="179" t="s">
        <v>277</v>
      </c>
      <c r="M237" s="171" t="s">
        <v>104</v>
      </c>
      <c r="N237" t="s">
        <v>105</v>
      </c>
      <c r="O237" t="s">
        <v>112</v>
      </c>
      <c r="P237" t="s">
        <v>113</v>
      </c>
      <c r="R237">
        <v>0</v>
      </c>
      <c r="S237">
        <v>0</v>
      </c>
      <c r="T237">
        <v>1.1910000000000001</v>
      </c>
      <c r="U237">
        <v>0.47300000000000003</v>
      </c>
      <c r="V237">
        <v>0</v>
      </c>
      <c r="W237">
        <v>2.6449743279712523</v>
      </c>
      <c r="X237" t="s">
        <v>278</v>
      </c>
      <c r="Y237">
        <v>0.96</v>
      </c>
      <c r="Z237">
        <v>12.4</v>
      </c>
      <c r="AA237" t="s">
        <v>279</v>
      </c>
      <c r="AG237" t="s">
        <v>280</v>
      </c>
    </row>
    <row r="238" spans="1:75" ht="61">
      <c r="C238" s="225" t="s">
        <v>281</v>
      </c>
      <c r="G238" t="s">
        <v>266</v>
      </c>
      <c r="H238" t="s">
        <v>282</v>
      </c>
      <c r="I238">
        <v>30967</v>
      </c>
      <c r="J238" t="s">
        <v>283</v>
      </c>
      <c r="K238" t="s">
        <v>110</v>
      </c>
      <c r="L238" s="179" t="s">
        <v>111</v>
      </c>
      <c r="M238" s="171" t="s">
        <v>104</v>
      </c>
      <c r="N238" t="s">
        <v>105</v>
      </c>
      <c r="O238" t="s">
        <v>112</v>
      </c>
      <c r="P238" t="s">
        <v>113</v>
      </c>
      <c r="R238">
        <v>0</v>
      </c>
      <c r="S238">
        <v>0</v>
      </c>
      <c r="T238">
        <v>3.65</v>
      </c>
      <c r="U238">
        <v>0</v>
      </c>
      <c r="V238">
        <v>0</v>
      </c>
      <c r="W238">
        <v>70.391155252297082</v>
      </c>
      <c r="X238" t="s">
        <v>278</v>
      </c>
      <c r="Y238">
        <v>0.96</v>
      </c>
      <c r="Z238">
        <v>12.4</v>
      </c>
      <c r="AA238" t="s">
        <v>284</v>
      </c>
      <c r="AD238" t="s">
        <v>285</v>
      </c>
      <c r="AG238" t="s">
        <v>280</v>
      </c>
    </row>
    <row r="239" spans="1:75" ht="25">
      <c r="C239" s="225" t="s">
        <v>286</v>
      </c>
      <c r="D239" t="s">
        <v>287</v>
      </c>
      <c r="E239" t="s">
        <v>273</v>
      </c>
      <c r="F239" t="s">
        <v>74</v>
      </c>
      <c r="G239" t="s">
        <v>266</v>
      </c>
      <c r="H239" t="s">
        <v>267</v>
      </c>
      <c r="I239" t="s">
        <v>185</v>
      </c>
      <c r="J239">
        <v>823</v>
      </c>
      <c r="K239" t="s">
        <v>288</v>
      </c>
      <c r="M239" s="171" t="s">
        <v>289</v>
      </c>
      <c r="N239" t="s">
        <v>105</v>
      </c>
      <c r="O239" t="s">
        <v>290</v>
      </c>
      <c r="P239" t="s">
        <v>291</v>
      </c>
      <c r="Q239" t="s">
        <v>292</v>
      </c>
      <c r="R239">
        <v>0</v>
      </c>
      <c r="S239">
        <v>0</v>
      </c>
      <c r="T239">
        <v>20.100000000000001</v>
      </c>
      <c r="U239">
        <v>0</v>
      </c>
      <c r="V239">
        <v>0</v>
      </c>
      <c r="W239">
        <v>17.59713174788687</v>
      </c>
      <c r="X239" t="s">
        <v>293</v>
      </c>
      <c r="Y239">
        <v>0.99</v>
      </c>
      <c r="Z239">
        <v>8</v>
      </c>
      <c r="AA239" t="s">
        <v>284</v>
      </c>
      <c r="AG239" t="s">
        <v>294</v>
      </c>
    </row>
    <row r="240" spans="1:75" ht="25">
      <c r="C240" s="225" t="s">
        <v>286</v>
      </c>
      <c r="D240" t="s">
        <v>287</v>
      </c>
      <c r="E240" t="s">
        <v>273</v>
      </c>
      <c r="F240" t="s">
        <v>74</v>
      </c>
      <c r="G240" t="s">
        <v>266</v>
      </c>
      <c r="H240" t="s">
        <v>267</v>
      </c>
      <c r="I240" t="s">
        <v>185</v>
      </c>
      <c r="J240">
        <v>2701</v>
      </c>
      <c r="K240" t="s">
        <v>288</v>
      </c>
      <c r="M240" s="171" t="s">
        <v>289</v>
      </c>
      <c r="N240" t="s">
        <v>105</v>
      </c>
      <c r="O240" t="s">
        <v>290</v>
      </c>
      <c r="P240" t="s">
        <v>291</v>
      </c>
      <c r="Q240" t="s">
        <v>292</v>
      </c>
      <c r="R240">
        <v>0</v>
      </c>
      <c r="S240">
        <v>0</v>
      </c>
      <c r="T240">
        <v>17.5</v>
      </c>
      <c r="U240">
        <v>0</v>
      </c>
      <c r="V240">
        <v>0</v>
      </c>
      <c r="W240">
        <v>10.717073625582064</v>
      </c>
      <c r="X240" t="s">
        <v>293</v>
      </c>
      <c r="Y240">
        <v>0.99</v>
      </c>
      <c r="Z240">
        <v>8</v>
      </c>
      <c r="AA240" t="s">
        <v>284</v>
      </c>
      <c r="AG240" t="s">
        <v>294</v>
      </c>
    </row>
    <row r="241" spans="1:33" ht="25">
      <c r="C241" s="225" t="s">
        <v>286</v>
      </c>
      <c r="D241" t="s">
        <v>287</v>
      </c>
      <c r="E241" t="s">
        <v>273</v>
      </c>
      <c r="F241" t="s">
        <v>74</v>
      </c>
      <c r="G241" t="s">
        <v>266</v>
      </c>
      <c r="H241" t="s">
        <v>267</v>
      </c>
      <c r="I241" t="s">
        <v>185</v>
      </c>
      <c r="J241">
        <v>3977</v>
      </c>
      <c r="K241" t="s">
        <v>295</v>
      </c>
      <c r="M241" s="171" t="s">
        <v>289</v>
      </c>
      <c r="N241" t="s">
        <v>105</v>
      </c>
      <c r="O241" t="s">
        <v>290</v>
      </c>
      <c r="P241" t="s">
        <v>291</v>
      </c>
      <c r="Q241" t="s">
        <v>292</v>
      </c>
      <c r="R241">
        <v>0</v>
      </c>
      <c r="S241">
        <v>0</v>
      </c>
      <c r="T241">
        <v>17.8</v>
      </c>
      <c r="U241">
        <v>0</v>
      </c>
      <c r="V241">
        <v>0</v>
      </c>
      <c r="W241">
        <v>11.389472445963639</v>
      </c>
      <c r="X241" t="s">
        <v>293</v>
      </c>
      <c r="Y241">
        <v>0.99</v>
      </c>
      <c r="Z241">
        <v>8</v>
      </c>
      <c r="AA241" t="s">
        <v>284</v>
      </c>
      <c r="AG241" t="s">
        <v>294</v>
      </c>
    </row>
    <row r="242" spans="1:33" ht="25">
      <c r="C242" s="225" t="s">
        <v>286</v>
      </c>
      <c r="D242" t="s">
        <v>287</v>
      </c>
      <c r="E242" t="s">
        <v>273</v>
      </c>
      <c r="F242" t="s">
        <v>74</v>
      </c>
      <c r="G242" t="s">
        <v>266</v>
      </c>
      <c r="H242" t="s">
        <v>267</v>
      </c>
      <c r="I242" t="s">
        <v>185</v>
      </c>
      <c r="J242">
        <v>10092</v>
      </c>
      <c r="K242" t="s">
        <v>296</v>
      </c>
      <c r="M242" s="171" t="s">
        <v>289</v>
      </c>
      <c r="N242" t="s">
        <v>105</v>
      </c>
      <c r="O242" t="s">
        <v>290</v>
      </c>
      <c r="P242" t="s">
        <v>291</v>
      </c>
      <c r="Q242" t="s">
        <v>292</v>
      </c>
      <c r="R242">
        <v>0</v>
      </c>
      <c r="S242">
        <v>0</v>
      </c>
      <c r="T242">
        <v>17.600000000000001</v>
      </c>
      <c r="U242">
        <v>0</v>
      </c>
      <c r="V242">
        <v>0</v>
      </c>
      <c r="W242">
        <v>10.937935316727888</v>
      </c>
      <c r="X242" t="s">
        <v>293</v>
      </c>
      <c r="Y242">
        <v>0.99</v>
      </c>
      <c r="Z242">
        <v>8</v>
      </c>
      <c r="AA242" t="s">
        <v>284</v>
      </c>
      <c r="AG242" t="s">
        <v>294</v>
      </c>
    </row>
    <row r="243" spans="1:33" ht="61">
      <c r="C243" s="225" t="s">
        <v>297</v>
      </c>
      <c r="D243" t="s">
        <v>298</v>
      </c>
      <c r="E243" t="s">
        <v>273</v>
      </c>
      <c r="F243" t="s">
        <v>74</v>
      </c>
      <c r="G243" t="s">
        <v>299</v>
      </c>
      <c r="H243" t="s">
        <v>151</v>
      </c>
      <c r="I243">
        <v>40541</v>
      </c>
      <c r="J243">
        <v>309</v>
      </c>
      <c r="K243" t="s">
        <v>300</v>
      </c>
      <c r="L243" s="179" t="s">
        <v>301</v>
      </c>
      <c r="M243" s="171" t="s">
        <v>225</v>
      </c>
      <c r="N243" t="s">
        <v>105</v>
      </c>
      <c r="O243" t="s">
        <v>229</v>
      </c>
      <c r="P243" t="s">
        <v>230</v>
      </c>
      <c r="Q243" t="s">
        <v>114</v>
      </c>
      <c r="R243">
        <v>0</v>
      </c>
      <c r="S243">
        <v>0</v>
      </c>
      <c r="T243">
        <v>0.70700000000000007</v>
      </c>
      <c r="U243">
        <v>0.29799999999999999</v>
      </c>
      <c r="V243">
        <v>0</v>
      </c>
      <c r="W243">
        <v>2.3578642035093371</v>
      </c>
      <c r="X243" t="s">
        <v>268</v>
      </c>
      <c r="Y243">
        <v>0.84909999999999997</v>
      </c>
      <c r="AA243" t="s">
        <v>269</v>
      </c>
      <c r="AD243" t="s">
        <v>302</v>
      </c>
      <c r="AG243" t="s">
        <v>270</v>
      </c>
    </row>
    <row r="244" spans="1:33" ht="61">
      <c r="C244" s="225" t="s">
        <v>303</v>
      </c>
      <c r="D244" s="103" t="s">
        <v>304</v>
      </c>
      <c r="E244" s="104" t="s">
        <v>273</v>
      </c>
      <c r="F244" s="104" t="s">
        <v>74</v>
      </c>
      <c r="G244" s="105" t="s">
        <v>266</v>
      </c>
      <c r="H244" s="105" t="s">
        <v>267</v>
      </c>
      <c r="I244" s="104">
        <v>40449</v>
      </c>
      <c r="J244" s="104">
        <v>349</v>
      </c>
      <c r="K244" s="106" t="s">
        <v>305</v>
      </c>
      <c r="L244" s="111" t="s">
        <v>306</v>
      </c>
      <c r="M244" s="104" t="s">
        <v>104</v>
      </c>
      <c r="N244" s="104" t="s">
        <v>105</v>
      </c>
      <c r="O244" s="104" t="s">
        <v>307</v>
      </c>
      <c r="P244" s="106" t="s">
        <v>308</v>
      </c>
      <c r="Q244" s="104"/>
      <c r="R244" s="104">
        <v>0</v>
      </c>
      <c r="S244" s="104">
        <v>0</v>
      </c>
      <c r="T244" s="108">
        <v>0.61899999999999999</v>
      </c>
      <c r="U244" s="108">
        <v>0.54699999999999993</v>
      </c>
      <c r="V244" s="104">
        <v>0</v>
      </c>
      <c r="W244" s="120"/>
      <c r="X244" s="106" t="s">
        <v>309</v>
      </c>
      <c r="Y244" s="108"/>
      <c r="Z244" s="107"/>
      <c r="AA244" s="114"/>
      <c r="AB244" s="104"/>
    </row>
    <row r="246" spans="1:33">
      <c r="A246" s="101">
        <v>44256</v>
      </c>
      <c r="B246" s="2" t="s">
        <v>9</v>
      </c>
      <c r="C246" t="s">
        <v>310</v>
      </c>
    </row>
    <row r="248" spans="1:33" s="16" customFormat="1">
      <c r="A248" s="228">
        <v>44265</v>
      </c>
      <c r="B248" s="99" t="s">
        <v>49</v>
      </c>
      <c r="C248" s="229" t="s">
        <v>311</v>
      </c>
      <c r="L248" s="230"/>
      <c r="M248" s="231"/>
    </row>
    <row r="249" spans="1:33" s="16" customFormat="1">
      <c r="A249" s="228">
        <v>44266</v>
      </c>
      <c r="B249" s="99" t="s">
        <v>49</v>
      </c>
      <c r="C249" s="229" t="s">
        <v>312</v>
      </c>
      <c r="L249" s="230"/>
      <c r="M249" s="231"/>
    </row>
    <row r="250" spans="1:33">
      <c r="A250" s="101">
        <v>44266</v>
      </c>
      <c r="B250" s="2" t="s">
        <v>290</v>
      </c>
      <c r="C250" t="s">
        <v>313</v>
      </c>
    </row>
    <row r="252" spans="1:33">
      <c r="A252" s="101">
        <v>44281</v>
      </c>
      <c r="B252" s="2" t="s">
        <v>9</v>
      </c>
      <c r="C252" t="s">
        <v>314</v>
      </c>
    </row>
    <row r="253" spans="1:33">
      <c r="A253" s="2" t="s">
        <v>315</v>
      </c>
      <c r="B253" s="2" t="s">
        <v>2</v>
      </c>
      <c r="C253" t="s">
        <v>316</v>
      </c>
    </row>
    <row r="254" spans="1:33">
      <c r="C254" t="s">
        <v>317</v>
      </c>
    </row>
    <row r="255" spans="1:33">
      <c r="C255" t="s">
        <v>318</v>
      </c>
    </row>
    <row r="256" spans="1:33">
      <c r="A256" s="2" t="s">
        <v>319</v>
      </c>
      <c r="B256" s="2" t="s">
        <v>2</v>
      </c>
      <c r="C256" t="s">
        <v>320</v>
      </c>
    </row>
    <row r="257" spans="1:59">
      <c r="C257" t="s">
        <v>321</v>
      </c>
    </row>
    <row r="258" spans="1:59" s="7" customFormat="1" ht="31" customHeight="1">
      <c r="A258" s="79"/>
      <c r="B258" s="79"/>
      <c r="C258" s="79" t="s">
        <v>76</v>
      </c>
      <c r="D258" s="246" t="s">
        <v>322</v>
      </c>
      <c r="E258" s="246" t="s">
        <v>323</v>
      </c>
      <c r="F258" s="247" t="s">
        <v>324</v>
      </c>
      <c r="G258" s="246" t="s">
        <v>325</v>
      </c>
      <c r="H258" s="245">
        <v>8.9999479963720095</v>
      </c>
      <c r="I258" s="248">
        <v>3.95424</v>
      </c>
      <c r="J258" s="248"/>
      <c r="K258" s="74"/>
      <c r="L258" s="74"/>
      <c r="M258" s="74"/>
      <c r="N258" s="249">
        <v>1</v>
      </c>
      <c r="O258" s="249">
        <v>1</v>
      </c>
      <c r="P258" s="71">
        <v>-18.8</v>
      </c>
      <c r="Q258" s="71" t="s">
        <v>205</v>
      </c>
      <c r="R258" s="71">
        <v>12.7</v>
      </c>
      <c r="S258" s="71" t="s">
        <v>205</v>
      </c>
      <c r="T258" s="249"/>
      <c r="U258" s="249"/>
      <c r="V258" s="250"/>
      <c r="W258" s="248"/>
      <c r="X258" s="248"/>
      <c r="Y258" s="78"/>
      <c r="Z258" s="250"/>
      <c r="AA258" s="250"/>
      <c r="AB258" s="249"/>
      <c r="AC258" s="249"/>
      <c r="AD258" s="248"/>
      <c r="AE258" s="248"/>
      <c r="AF258" s="248"/>
      <c r="AG258" s="248"/>
      <c r="AH258" s="71"/>
      <c r="AI258" s="71"/>
      <c r="AJ258" s="71"/>
      <c r="AK258" s="71"/>
      <c r="AL258" s="248"/>
      <c r="AM258" s="74"/>
      <c r="AN258" s="74"/>
      <c r="AO258" s="74"/>
      <c r="AP258" s="74"/>
      <c r="AQ258" s="74"/>
      <c r="AR258" s="74"/>
      <c r="AS258" s="74"/>
      <c r="AT258" s="74"/>
      <c r="AU258" s="74"/>
      <c r="AV258" s="74"/>
      <c r="AW258" s="74"/>
      <c r="AX258" s="74"/>
      <c r="AY258" s="74"/>
      <c r="AZ258" s="74"/>
      <c r="BA258" s="74"/>
      <c r="BB258" s="74"/>
      <c r="BC258" s="74"/>
      <c r="BD258" s="74"/>
      <c r="BE258" s="74"/>
      <c r="BF258" s="74"/>
      <c r="BG258" s="74"/>
    </row>
    <row r="260" spans="1:59">
      <c r="A260" s="102">
        <v>44301</v>
      </c>
      <c r="B260" s="2" t="s">
        <v>2</v>
      </c>
      <c r="C260" t="s">
        <v>326</v>
      </c>
    </row>
    <row r="261" spans="1:59">
      <c r="A261" s="102">
        <v>44302</v>
      </c>
      <c r="B261" s="2" t="s">
        <v>327</v>
      </c>
      <c r="C261" t="s">
        <v>328</v>
      </c>
    </row>
    <row r="262" spans="1:59">
      <c r="A262" s="102">
        <v>44303</v>
      </c>
      <c r="B262" s="2" t="s">
        <v>2</v>
      </c>
      <c r="C262" t="s">
        <v>329</v>
      </c>
    </row>
    <row r="263" spans="1:59">
      <c r="C263" t="s">
        <v>330</v>
      </c>
    </row>
    <row r="264" spans="1:59">
      <c r="C264" t="s">
        <v>331</v>
      </c>
    </row>
    <row r="265" spans="1:59">
      <c r="A265" s="2" t="s">
        <v>332</v>
      </c>
      <c r="B265" s="2" t="s">
        <v>2</v>
      </c>
      <c r="C265" t="s">
        <v>333</v>
      </c>
    </row>
    <row r="266" spans="1:59">
      <c r="C266" t="s">
        <v>334</v>
      </c>
    </row>
    <row r="267" spans="1:59">
      <c r="C267" t="s">
        <v>335</v>
      </c>
    </row>
    <row r="268" spans="1:59">
      <c r="C268" t="s">
        <v>336</v>
      </c>
    </row>
    <row r="270" spans="1:59">
      <c r="A270" s="101">
        <v>44308</v>
      </c>
      <c r="B270" s="2" t="s">
        <v>9</v>
      </c>
      <c r="C270" t="s">
        <v>337</v>
      </c>
    </row>
    <row r="271" spans="1:59">
      <c r="C271" t="s">
        <v>338</v>
      </c>
    </row>
    <row r="272" spans="1:59" s="104" customFormat="1" ht="21" customHeight="1">
      <c r="C272" s="244" t="s">
        <v>339</v>
      </c>
      <c r="D272" s="104" t="s">
        <v>218</v>
      </c>
      <c r="E272" s="104" t="s">
        <v>221</v>
      </c>
      <c r="F272" s="105" t="s">
        <v>222</v>
      </c>
      <c r="G272" s="105" t="s">
        <v>151</v>
      </c>
      <c r="H272" s="104">
        <v>933</v>
      </c>
      <c r="I272" s="104">
        <v>3675</v>
      </c>
      <c r="J272" s="106" t="s">
        <v>249</v>
      </c>
      <c r="K272" s="104" t="s">
        <v>103</v>
      </c>
      <c r="L272" s="104" t="s">
        <v>104</v>
      </c>
      <c r="M272" s="104" t="s">
        <v>105</v>
      </c>
      <c r="N272" s="104" t="s">
        <v>174</v>
      </c>
      <c r="O272" s="251" t="s">
        <v>340</v>
      </c>
      <c r="P272" s="104" t="s">
        <v>108</v>
      </c>
      <c r="Q272" s="108" t="s">
        <v>17</v>
      </c>
      <c r="R272" s="104" t="s">
        <v>17</v>
      </c>
      <c r="S272" s="108">
        <v>1.5310000000000001</v>
      </c>
      <c r="T272" s="108">
        <v>1.2330000000000001</v>
      </c>
      <c r="U272" s="104" t="s">
        <v>17</v>
      </c>
      <c r="V272" s="252">
        <f>(((10^((3.35*LOG((S272*10))+0.35)))+(10^(3.29*LOG((S272*10))+0.8)))/2)/1000</f>
        <v>35.415362282185626</v>
      </c>
      <c r="W272" s="106" t="s">
        <v>341</v>
      </c>
      <c r="X272" s="108">
        <v>0.89</v>
      </c>
      <c r="Y272" s="107">
        <v>39.18</v>
      </c>
      <c r="Z272" s="106" t="s">
        <v>342</v>
      </c>
      <c r="AA272"/>
      <c r="AB272"/>
      <c r="AC272"/>
      <c r="AD272"/>
    </row>
    <row r="273" spans="1:31">
      <c r="C273" t="s">
        <v>343</v>
      </c>
    </row>
    <row r="274" spans="1:31" s="104" customFormat="1" ht="17.25" customHeight="1">
      <c r="C274" s="232" t="s">
        <v>292</v>
      </c>
      <c r="F274" s="105" t="s">
        <v>344</v>
      </c>
      <c r="G274" s="105" t="s">
        <v>345</v>
      </c>
      <c r="H274" s="104">
        <v>40685</v>
      </c>
      <c r="I274" s="104">
        <v>582</v>
      </c>
      <c r="J274" s="106"/>
      <c r="M274" s="104" t="s">
        <v>284</v>
      </c>
      <c r="N274" s="104" t="s">
        <v>121</v>
      </c>
      <c r="O274" s="251" t="s">
        <v>346</v>
      </c>
      <c r="Q274" s="108"/>
      <c r="S274" s="108"/>
      <c r="T274" s="108"/>
      <c r="V274" s="252">
        <v>10.78683</v>
      </c>
      <c r="W274" s="107"/>
      <c r="X274" s="106"/>
      <c r="Y274" s="106"/>
      <c r="Z274"/>
      <c r="AA274"/>
      <c r="AB274"/>
      <c r="AC274"/>
      <c r="AD274"/>
    </row>
    <row r="275" spans="1:31" s="104" customFormat="1" ht="21" customHeight="1">
      <c r="C275" s="104" t="s">
        <v>347</v>
      </c>
      <c r="D275" s="232" t="s">
        <v>168</v>
      </c>
      <c r="E275" s="104" t="s">
        <v>273</v>
      </c>
      <c r="F275" s="104" t="s">
        <v>74</v>
      </c>
      <c r="G275" s="105" t="s">
        <v>266</v>
      </c>
      <c r="H275" s="105" t="s">
        <v>282</v>
      </c>
      <c r="I275" s="104">
        <v>40449</v>
      </c>
      <c r="J275" s="104">
        <v>563</v>
      </c>
      <c r="K275" s="106" t="s">
        <v>305</v>
      </c>
      <c r="M275" s="104" t="s">
        <v>104</v>
      </c>
      <c r="N275" s="104" t="s">
        <v>284</v>
      </c>
      <c r="O275" s="104" t="s">
        <v>112</v>
      </c>
      <c r="P275" s="251" t="s">
        <v>348</v>
      </c>
      <c r="Q275" s="104" t="s">
        <v>108</v>
      </c>
      <c r="R275" s="108"/>
      <c r="T275" s="108"/>
      <c r="U275" s="108"/>
      <c r="W275" s="252">
        <v>44.373249999999999</v>
      </c>
      <c r="X275" s="107"/>
      <c r="Y275" s="106"/>
      <c r="Z275" s="106"/>
      <c r="AA275"/>
      <c r="AB275"/>
      <c r="AC275"/>
      <c r="AD275"/>
      <c r="AE275"/>
    </row>
    <row r="276" spans="1:31" s="104" customFormat="1" ht="21" customHeight="1">
      <c r="C276" s="104" t="s">
        <v>349</v>
      </c>
      <c r="D276" s="106" t="s">
        <v>168</v>
      </c>
      <c r="E276" s="104" t="s">
        <v>273</v>
      </c>
      <c r="F276" s="104" t="s">
        <v>74</v>
      </c>
      <c r="G276" s="105" t="s">
        <v>266</v>
      </c>
      <c r="H276" s="105" t="s">
        <v>350</v>
      </c>
      <c r="I276" s="104">
        <v>908</v>
      </c>
      <c r="J276" s="104">
        <v>4325</v>
      </c>
      <c r="K276" s="106" t="s">
        <v>250</v>
      </c>
      <c r="M276" s="104" t="s">
        <v>104</v>
      </c>
      <c r="N276" s="104" t="s">
        <v>284</v>
      </c>
      <c r="O276" s="104" t="s">
        <v>112</v>
      </c>
      <c r="P276" s="106" t="s">
        <v>348</v>
      </c>
      <c r="Q276" s="104" t="s">
        <v>108</v>
      </c>
      <c r="R276" s="108"/>
      <c r="T276" s="108"/>
      <c r="U276" s="108"/>
      <c r="W276" s="253">
        <v>10.65119</v>
      </c>
      <c r="X276" s="107"/>
      <c r="Y276" s="106"/>
      <c r="Z276" s="106"/>
      <c r="AA276" s="127"/>
      <c r="AB276" s="127"/>
      <c r="AC276" s="127"/>
      <c r="AD276" s="127"/>
      <c r="AE276" s="127"/>
    </row>
    <row r="277" spans="1:31" s="104" customFormat="1" ht="21" customHeight="1">
      <c r="C277" s="104" t="s">
        <v>351</v>
      </c>
      <c r="D277" s="106"/>
      <c r="E277" s="104" t="s">
        <v>273</v>
      </c>
      <c r="F277" s="104" t="s">
        <v>74</v>
      </c>
      <c r="G277" s="105" t="s">
        <v>266</v>
      </c>
      <c r="H277" s="105" t="s">
        <v>267</v>
      </c>
      <c r="I277" s="104">
        <v>933</v>
      </c>
      <c r="J277" s="104">
        <v>3672</v>
      </c>
      <c r="K277" s="106" t="s">
        <v>102</v>
      </c>
      <c r="M277" s="104" t="s">
        <v>104</v>
      </c>
      <c r="N277" s="104" t="s">
        <v>284</v>
      </c>
      <c r="O277" s="104" t="s">
        <v>252</v>
      </c>
      <c r="P277" s="106" t="s">
        <v>352</v>
      </c>
      <c r="Q277" s="104" t="s">
        <v>108</v>
      </c>
      <c r="R277" s="108"/>
      <c r="T277" s="108"/>
      <c r="U277" s="108"/>
      <c r="W277" s="253">
        <v>16.623439999999999</v>
      </c>
      <c r="X277" s="107"/>
      <c r="Y277" s="106"/>
      <c r="Z277" s="106"/>
      <c r="AA277" s="127"/>
      <c r="AB277" s="127"/>
      <c r="AC277" s="127"/>
      <c r="AD277" s="127"/>
      <c r="AE277" s="127"/>
    </row>
    <row r="278" spans="1:31" s="104" customFormat="1" ht="21" customHeight="1">
      <c r="C278" s="104" t="s">
        <v>353</v>
      </c>
      <c r="D278" s="106"/>
      <c r="E278" s="104" t="s">
        <v>273</v>
      </c>
      <c r="F278" s="104" t="s">
        <v>74</v>
      </c>
      <c r="G278" s="105" t="s">
        <v>266</v>
      </c>
      <c r="H278" s="105" t="s">
        <v>267</v>
      </c>
      <c r="I278" s="104">
        <v>933</v>
      </c>
      <c r="J278" s="104">
        <v>3673</v>
      </c>
      <c r="K278" s="106" t="s">
        <v>102</v>
      </c>
      <c r="M278" s="104" t="s">
        <v>104</v>
      </c>
      <c r="N278" s="104" t="s">
        <v>284</v>
      </c>
      <c r="O278" s="104" t="s">
        <v>252</v>
      </c>
      <c r="P278" s="106" t="s">
        <v>352</v>
      </c>
      <c r="Q278" s="104" t="s">
        <v>108</v>
      </c>
      <c r="R278" s="108"/>
      <c r="T278" s="108"/>
      <c r="U278" s="108"/>
      <c r="W278" s="253">
        <v>11.33928</v>
      </c>
      <c r="X278" s="107"/>
      <c r="Y278" s="106"/>
      <c r="Z278" s="106"/>
      <c r="AA278" s="127"/>
      <c r="AB278" s="127"/>
      <c r="AC278" s="127"/>
      <c r="AD278" s="127"/>
      <c r="AE278" s="127"/>
    </row>
    <row r="279" spans="1:31">
      <c r="C279" t="s">
        <v>354</v>
      </c>
    </row>
    <row r="280" spans="1:31">
      <c r="C280" t="s">
        <v>355</v>
      </c>
    </row>
    <row r="282" spans="1:31">
      <c r="A282" s="101">
        <v>44308</v>
      </c>
      <c r="B282" s="2" t="s">
        <v>2</v>
      </c>
      <c r="C282" t="s">
        <v>356</v>
      </c>
    </row>
    <row r="283" spans="1:31">
      <c r="C283" t="s">
        <v>357</v>
      </c>
    </row>
    <row r="284" spans="1:31">
      <c r="A284" s="101">
        <v>44314</v>
      </c>
      <c r="B284" s="2" t="s">
        <v>2</v>
      </c>
      <c r="C284" t="s">
        <v>358</v>
      </c>
    </row>
    <row r="285" spans="1:31">
      <c r="C285" t="s">
        <v>359</v>
      </c>
    </row>
    <row r="286" spans="1:31">
      <c r="C286" t="s">
        <v>360</v>
      </c>
    </row>
    <row r="287" spans="1:31">
      <c r="C287" t="s">
        <v>361</v>
      </c>
    </row>
    <row r="288" spans="1:31">
      <c r="A288" s="2" t="s">
        <v>362</v>
      </c>
      <c r="B288" s="2" t="s">
        <v>2</v>
      </c>
      <c r="C288" t="s">
        <v>363</v>
      </c>
    </row>
    <row r="290" spans="1:3">
      <c r="A290" s="101" t="s">
        <v>364</v>
      </c>
      <c r="B290" s="2" t="s">
        <v>9</v>
      </c>
      <c r="C290" t="s">
        <v>365</v>
      </c>
    </row>
    <row r="291" spans="1:3">
      <c r="A291" s="2" t="s">
        <v>366</v>
      </c>
      <c r="B291" s="2" t="s">
        <v>2</v>
      </c>
      <c r="C291" t="s">
        <v>367</v>
      </c>
    </row>
    <row r="292" spans="1:3">
      <c r="C292" t="s">
        <v>368</v>
      </c>
    </row>
    <row r="293" spans="1:3">
      <c r="C293" t="s">
        <v>369</v>
      </c>
    </row>
    <row r="294" spans="1:3">
      <c r="C294" t="s">
        <v>370</v>
      </c>
    </row>
    <row r="295" spans="1:3">
      <c r="C295" t="s">
        <v>371</v>
      </c>
    </row>
    <row r="296" spans="1:3">
      <c r="C296" t="s">
        <v>372</v>
      </c>
    </row>
    <row r="297" spans="1:3">
      <c r="A297" s="2" t="s">
        <v>373</v>
      </c>
      <c r="B297" s="2" t="s">
        <v>2</v>
      </c>
      <c r="C297" t="s">
        <v>374</v>
      </c>
    </row>
    <row r="298" spans="1:3">
      <c r="C298" t="s">
        <v>375</v>
      </c>
    </row>
    <row r="299" spans="1:3">
      <c r="A299" s="2" t="s">
        <v>376</v>
      </c>
      <c r="B299" s="2" t="s">
        <v>2</v>
      </c>
      <c r="C299" t="s">
        <v>377</v>
      </c>
    </row>
    <row r="300" spans="1:3">
      <c r="C300" t="s">
        <v>378</v>
      </c>
    </row>
    <row r="301" spans="1:3">
      <c r="C301" t="s">
        <v>379</v>
      </c>
    </row>
    <row r="302" spans="1:3">
      <c r="C302" t="s">
        <v>380</v>
      </c>
    </row>
    <row r="303" spans="1:3">
      <c r="C303" t="s">
        <v>381</v>
      </c>
    </row>
    <row r="304" spans="1:3">
      <c r="C304" t="s">
        <v>382</v>
      </c>
    </row>
    <row r="305" spans="1:110">
      <c r="C305" t="s">
        <v>383</v>
      </c>
    </row>
    <row r="306" spans="1:110">
      <c r="C306" t="s">
        <v>384</v>
      </c>
    </row>
    <row r="307" spans="1:110">
      <c r="C307" t="s">
        <v>385</v>
      </c>
    </row>
    <row r="308" spans="1:110">
      <c r="C308" t="s">
        <v>386</v>
      </c>
    </row>
    <row r="311" spans="1:110">
      <c r="A311" s="101">
        <v>44385</v>
      </c>
      <c r="B311" s="2" t="s">
        <v>9</v>
      </c>
      <c r="C311" t="s">
        <v>387</v>
      </c>
    </row>
    <row r="312" spans="1:110">
      <c r="B312" s="2" t="s">
        <v>388</v>
      </c>
      <c r="C312" t="s">
        <v>218</v>
      </c>
      <c r="D312" t="s">
        <v>389</v>
      </c>
      <c r="E312" t="s">
        <v>390</v>
      </c>
      <c r="F312" t="s">
        <v>391</v>
      </c>
      <c r="G312">
        <v>892</v>
      </c>
      <c r="H312">
        <v>286</v>
      </c>
      <c r="I312" t="s">
        <v>276</v>
      </c>
      <c r="J312" t="s">
        <v>277</v>
      </c>
      <c r="K312" t="s">
        <v>392</v>
      </c>
      <c r="L312" s="179" t="s">
        <v>393</v>
      </c>
      <c r="M312" s="171" t="s">
        <v>394</v>
      </c>
      <c r="N312" t="s">
        <v>395</v>
      </c>
      <c r="O312" t="s">
        <v>108</v>
      </c>
      <c r="R312">
        <v>18</v>
      </c>
      <c r="S312">
        <v>6</v>
      </c>
      <c r="U312">
        <v>991.41539232268042</v>
      </c>
      <c r="V312" t="s">
        <v>396</v>
      </c>
      <c r="W312">
        <v>0.94099999999999995</v>
      </c>
      <c r="X312">
        <v>44.075000000000003</v>
      </c>
      <c r="Y312" t="s">
        <v>397</v>
      </c>
    </row>
    <row r="313" spans="1:110">
      <c r="B313" s="2" t="s">
        <v>388</v>
      </c>
      <c r="C313" t="s">
        <v>218</v>
      </c>
      <c r="D313" t="s">
        <v>389</v>
      </c>
      <c r="E313" t="s">
        <v>390</v>
      </c>
      <c r="F313" t="s">
        <v>391</v>
      </c>
      <c r="G313">
        <v>892</v>
      </c>
      <c r="H313" t="s">
        <v>398</v>
      </c>
      <c r="I313" t="s">
        <v>276</v>
      </c>
      <c r="J313" t="s">
        <v>277</v>
      </c>
      <c r="K313" t="s">
        <v>392</v>
      </c>
      <c r="L313" s="179" t="s">
        <v>393</v>
      </c>
      <c r="M313" s="171" t="s">
        <v>394</v>
      </c>
      <c r="N313" t="s">
        <v>395</v>
      </c>
      <c r="O313" t="s">
        <v>114</v>
      </c>
      <c r="R313">
        <v>17.5</v>
      </c>
      <c r="S313">
        <v>6.2</v>
      </c>
      <c r="U313">
        <v>911.86711990184926</v>
      </c>
      <c r="V313" t="s">
        <v>396</v>
      </c>
      <c r="W313">
        <v>0.94099999999999995</v>
      </c>
      <c r="X313">
        <v>44.075000000000003</v>
      </c>
      <c r="Y313" t="s">
        <v>397</v>
      </c>
    </row>
    <row r="314" spans="1:110">
      <c r="B314" s="2" t="s">
        <v>399</v>
      </c>
      <c r="C314" t="s">
        <v>218</v>
      </c>
      <c r="D314" t="s">
        <v>389</v>
      </c>
      <c r="E314" t="s">
        <v>390</v>
      </c>
      <c r="F314" t="s">
        <v>391</v>
      </c>
      <c r="G314">
        <v>892</v>
      </c>
      <c r="H314" t="s">
        <v>400</v>
      </c>
      <c r="I314" t="s">
        <v>276</v>
      </c>
      <c r="J314" t="s">
        <v>277</v>
      </c>
      <c r="K314" t="s">
        <v>392</v>
      </c>
      <c r="L314" s="179" t="s">
        <v>393</v>
      </c>
      <c r="M314" s="171" t="s">
        <v>401</v>
      </c>
      <c r="N314" t="s">
        <v>402</v>
      </c>
      <c r="O314" t="s">
        <v>108</v>
      </c>
      <c r="R314">
        <v>8.6999999999999993</v>
      </c>
      <c r="U314">
        <v>396.27590314077651</v>
      </c>
      <c r="V314" t="s">
        <v>403</v>
      </c>
      <c r="W314">
        <v>0.97</v>
      </c>
      <c r="X314">
        <v>47.5</v>
      </c>
      <c r="Y314" t="s">
        <v>404</v>
      </c>
    </row>
    <row r="315" spans="1:110">
      <c r="B315" s="2" t="s">
        <v>9</v>
      </c>
      <c r="C315" t="s">
        <v>405</v>
      </c>
    </row>
    <row r="316" spans="1:110" s="104" customFormat="1" ht="21" customHeight="1">
      <c r="A316" s="280"/>
      <c r="B316" s="232" t="s">
        <v>168</v>
      </c>
      <c r="C316" s="104" t="s">
        <v>273</v>
      </c>
      <c r="D316" s="104" t="s">
        <v>74</v>
      </c>
      <c r="E316" s="105" t="s">
        <v>266</v>
      </c>
      <c r="F316" s="105" t="s">
        <v>406</v>
      </c>
      <c r="G316" s="104">
        <v>40540</v>
      </c>
      <c r="H316" s="104">
        <v>65</v>
      </c>
      <c r="I316" s="106" t="s">
        <v>144</v>
      </c>
      <c r="J316" s="104" t="s">
        <v>145</v>
      </c>
      <c r="K316" s="104" t="s">
        <v>407</v>
      </c>
      <c r="L316" s="104" t="s">
        <v>105</v>
      </c>
      <c r="M316" s="104" t="s">
        <v>143</v>
      </c>
      <c r="N316" s="106" t="s">
        <v>408</v>
      </c>
      <c r="O316" s="104" t="s">
        <v>108</v>
      </c>
      <c r="P316" s="108" t="s">
        <v>17</v>
      </c>
      <c r="Q316" s="104" t="s">
        <v>17</v>
      </c>
      <c r="R316" s="108">
        <v>1.242</v>
      </c>
      <c r="S316" s="108">
        <v>0.78600000000000003</v>
      </c>
      <c r="T316" s="104" t="s">
        <v>17</v>
      </c>
      <c r="U316" s="253">
        <f>((10^(((LOG((R316*10)))*3.413)+1.2869)))/1000</f>
        <v>104.98735793656037</v>
      </c>
      <c r="V316" s="106" t="s">
        <v>409</v>
      </c>
      <c r="W316" s="108">
        <v>0.82</v>
      </c>
      <c r="X316" s="107" t="s">
        <v>287</v>
      </c>
      <c r="Y316" s="114" t="s">
        <v>410</v>
      </c>
      <c r="Z316" s="232" t="s">
        <v>411</v>
      </c>
    </row>
    <row r="317" spans="1:110">
      <c r="B317" s="2" t="s">
        <v>9</v>
      </c>
      <c r="C317" t="s">
        <v>412</v>
      </c>
    </row>
    <row r="318" spans="1:110" s="104" customFormat="1" ht="21" customHeight="1">
      <c r="A318" s="280"/>
      <c r="B318" s="232" t="s">
        <v>168</v>
      </c>
      <c r="C318" s="104" t="s">
        <v>273</v>
      </c>
      <c r="D318" s="104" t="s">
        <v>413</v>
      </c>
      <c r="E318" s="105" t="s">
        <v>414</v>
      </c>
      <c r="F318" s="105" t="s">
        <v>151</v>
      </c>
      <c r="G318" s="104">
        <v>40449</v>
      </c>
      <c r="H318" s="104">
        <v>135</v>
      </c>
      <c r="I318" s="106" t="s">
        <v>305</v>
      </c>
      <c r="J318" s="104" t="s">
        <v>306</v>
      </c>
      <c r="K318" s="104" t="s">
        <v>104</v>
      </c>
      <c r="L318" s="104" t="s">
        <v>105</v>
      </c>
      <c r="M318" s="104" t="s">
        <v>252</v>
      </c>
      <c r="N318" s="106" t="s">
        <v>415</v>
      </c>
      <c r="O318" s="104" t="s">
        <v>114</v>
      </c>
      <c r="P318" s="108" t="s">
        <v>17</v>
      </c>
      <c r="Q318" s="104" t="s">
        <v>17</v>
      </c>
      <c r="R318" s="108">
        <v>0.61699999999999999</v>
      </c>
      <c r="S318" s="108">
        <v>0.53</v>
      </c>
      <c r="T318" s="104" t="s">
        <v>17</v>
      </c>
      <c r="U318" s="253">
        <f>(10^(((LOG(R318*10))*3.3988)+0.7534))/1000</f>
        <v>2.7505605860944451</v>
      </c>
      <c r="V318" s="106" t="s">
        <v>416</v>
      </c>
      <c r="W318" s="108">
        <v>0.79</v>
      </c>
      <c r="X318" s="107" t="s">
        <v>287</v>
      </c>
      <c r="Y318" s="114" t="s">
        <v>269</v>
      </c>
      <c r="Z318" s="232"/>
      <c r="BY318" s="112"/>
      <c r="BZ318" s="112"/>
      <c r="CA318" s="112"/>
      <c r="CB318" s="112"/>
      <c r="CC318" s="112"/>
      <c r="CD318" s="112"/>
      <c r="CE318" s="112"/>
      <c r="CF318" s="112"/>
      <c r="CG318" s="112"/>
      <c r="CH318" s="112"/>
      <c r="CI318" s="112"/>
      <c r="CJ318" s="112"/>
      <c r="CK318" s="112"/>
      <c r="CL318" s="112"/>
      <c r="CM318" s="112"/>
      <c r="CN318" s="112"/>
      <c r="CO318" s="112"/>
      <c r="CP318" s="112"/>
      <c r="CQ318" s="112"/>
      <c r="CR318" s="112"/>
      <c r="CS318" s="112"/>
      <c r="CT318" s="112"/>
      <c r="CU318" s="112"/>
      <c r="CV318" s="112"/>
      <c r="CW318" s="112"/>
      <c r="CX318" s="112"/>
      <c r="CY318" s="112"/>
      <c r="CZ318" s="112"/>
      <c r="DA318" s="112"/>
      <c r="DB318" s="112"/>
      <c r="DC318" s="112"/>
      <c r="DD318" s="112"/>
      <c r="DE318" s="112"/>
      <c r="DF318" s="112"/>
    </row>
    <row r="320" spans="1:110" ht="18">
      <c r="A320" s="101">
        <v>44390</v>
      </c>
      <c r="B320" s="2" t="s">
        <v>9</v>
      </c>
      <c r="C320" s="177" t="s">
        <v>417</v>
      </c>
    </row>
    <row r="321" spans="1:27">
      <c r="C321" s="171" t="s">
        <v>418</v>
      </c>
    </row>
    <row r="322" spans="1:27" ht="18">
      <c r="C322" s="177" t="s">
        <v>419</v>
      </c>
    </row>
    <row r="325" spans="1:27" s="280" customFormat="1" ht="21" customHeight="1">
      <c r="A325" s="343" t="s">
        <v>420</v>
      </c>
      <c r="B325" s="342" t="s">
        <v>273</v>
      </c>
      <c r="C325" s="342" t="s">
        <v>76</v>
      </c>
      <c r="D325" s="344" t="s">
        <v>95</v>
      </c>
      <c r="E325" s="344" t="s">
        <v>96</v>
      </c>
      <c r="F325" s="342">
        <v>933</v>
      </c>
      <c r="G325" s="342">
        <v>2690</v>
      </c>
      <c r="H325" s="345" t="s">
        <v>102</v>
      </c>
      <c r="I325" s="342" t="s">
        <v>103</v>
      </c>
      <c r="J325" s="280" t="s">
        <v>104</v>
      </c>
      <c r="K325" s="342" t="s">
        <v>105</v>
      </c>
      <c r="L325" s="342" t="s">
        <v>243</v>
      </c>
      <c r="M325" s="345" t="s">
        <v>421</v>
      </c>
      <c r="N325" s="342" t="s">
        <v>108</v>
      </c>
      <c r="O325" s="346" t="s">
        <v>17</v>
      </c>
      <c r="P325" s="342" t="s">
        <v>422</v>
      </c>
      <c r="Q325" s="346">
        <v>3.7469999999999999</v>
      </c>
      <c r="R325" s="346">
        <v>1.3779999999999999</v>
      </c>
      <c r="T325" s="277"/>
      <c r="U325" s="341">
        <f>(10^(((LOG(Q325*10))*3.01)+0.936))/1000</f>
        <v>470.74738502296378</v>
      </c>
      <c r="V325" s="345" t="s">
        <v>423</v>
      </c>
      <c r="W325" s="346">
        <v>0.94</v>
      </c>
      <c r="X325" s="347" t="s">
        <v>287</v>
      </c>
      <c r="Y325" s="348" t="s">
        <v>424</v>
      </c>
      <c r="Z325" s="349"/>
      <c r="AA325" s="280" t="s">
        <v>425</v>
      </c>
    </row>
    <row r="326" spans="1:27" s="342" customFormat="1" ht="21" customHeight="1">
      <c r="A326" s="349" t="s">
        <v>168</v>
      </c>
      <c r="B326" s="342" t="s">
        <v>273</v>
      </c>
      <c r="C326" s="342" t="s">
        <v>76</v>
      </c>
      <c r="D326" s="344" t="s">
        <v>95</v>
      </c>
      <c r="E326" s="344" t="s">
        <v>96</v>
      </c>
      <c r="F326" s="342">
        <v>908</v>
      </c>
      <c r="G326" s="342">
        <v>2691</v>
      </c>
      <c r="H326" s="345" t="s">
        <v>250</v>
      </c>
      <c r="I326" s="342" t="s">
        <v>251</v>
      </c>
      <c r="J326" s="280" t="s">
        <v>104</v>
      </c>
      <c r="K326" s="342" t="s">
        <v>105</v>
      </c>
      <c r="L326" s="342" t="s">
        <v>252</v>
      </c>
      <c r="M326" s="345" t="s">
        <v>415</v>
      </c>
      <c r="N326" s="342" t="s">
        <v>114</v>
      </c>
      <c r="O326" s="346" t="s">
        <v>17</v>
      </c>
      <c r="P326" s="342" t="s">
        <v>422</v>
      </c>
      <c r="Q326" s="350">
        <v>3.7990000000000004</v>
      </c>
      <c r="R326" s="350">
        <v>1.4710000000000001</v>
      </c>
      <c r="S326" s="280">
        <f>Q326/1.37861292669638</f>
        <v>2.7556683434730886</v>
      </c>
      <c r="T326" s="277">
        <f>10^(((LOG(S326*10))*3.05)+-2.15)</f>
        <v>174.86069044222941</v>
      </c>
      <c r="U326" s="341">
        <f>(10^(((LOG(Q326*10))*3.0129)+0.9356))/1000</f>
        <v>495.43377992300265</v>
      </c>
      <c r="V326" s="345" t="s">
        <v>426</v>
      </c>
      <c r="W326" s="346">
        <v>0.94</v>
      </c>
      <c r="X326" s="347" t="s">
        <v>287</v>
      </c>
      <c r="Y326" s="348" t="s">
        <v>427</v>
      </c>
      <c r="Z326" s="349"/>
    </row>
    <row r="327" spans="1:27" s="342" customFormat="1" ht="21" customHeight="1">
      <c r="A327" s="349" t="s">
        <v>168</v>
      </c>
      <c r="B327" s="342" t="s">
        <v>273</v>
      </c>
      <c r="C327" s="342" t="s">
        <v>76</v>
      </c>
      <c r="D327" s="344" t="s">
        <v>95</v>
      </c>
      <c r="E327" s="344" t="s">
        <v>96</v>
      </c>
      <c r="F327" s="342">
        <v>933</v>
      </c>
      <c r="G327" s="342">
        <v>3956</v>
      </c>
      <c r="H327" s="345" t="s">
        <v>102</v>
      </c>
      <c r="I327" s="342" t="s">
        <v>103</v>
      </c>
      <c r="J327" s="280" t="s">
        <v>104</v>
      </c>
      <c r="K327" s="342" t="s">
        <v>105</v>
      </c>
      <c r="L327" s="342" t="s">
        <v>252</v>
      </c>
      <c r="M327" s="345" t="s">
        <v>415</v>
      </c>
      <c r="N327" s="342" t="s">
        <v>114</v>
      </c>
      <c r="O327" s="346" t="s">
        <v>17</v>
      </c>
      <c r="P327" s="342" t="s">
        <v>422</v>
      </c>
      <c r="Q327" s="346">
        <v>3.9270000000000005</v>
      </c>
      <c r="R327" s="346">
        <v>1.232</v>
      </c>
      <c r="S327" s="280">
        <f>Q327/1.37861292669638</f>
        <v>2.8485152895021901</v>
      </c>
      <c r="T327" s="277">
        <f>10^(((LOG(S327*10))*3.05)+-2.15)</f>
        <v>193.45795490147083</v>
      </c>
      <c r="U327" s="341">
        <f>(10^(((LOG(Q327*10))*3.0129)+0.9356))/1000</f>
        <v>547.45205386009741</v>
      </c>
      <c r="V327" s="345" t="s">
        <v>426</v>
      </c>
      <c r="W327" s="346">
        <v>0.94</v>
      </c>
      <c r="X327" s="347" t="s">
        <v>287</v>
      </c>
      <c r="Y327" s="348" t="s">
        <v>427</v>
      </c>
      <c r="Z327" s="349"/>
    </row>
    <row r="328" spans="1:27" s="280" customFormat="1" ht="21" customHeight="1">
      <c r="A328" s="281" t="s">
        <v>168</v>
      </c>
      <c r="B328" s="280" t="s">
        <v>273</v>
      </c>
      <c r="C328" s="280" t="s">
        <v>76</v>
      </c>
      <c r="D328" s="282" t="s">
        <v>100</v>
      </c>
      <c r="E328" s="282" t="s">
        <v>101</v>
      </c>
      <c r="F328" s="280">
        <v>933</v>
      </c>
      <c r="G328" s="280">
        <v>3269</v>
      </c>
      <c r="H328" s="278" t="s">
        <v>102</v>
      </c>
      <c r="I328" s="280" t="s">
        <v>103</v>
      </c>
      <c r="J328" s="280" t="s">
        <v>104</v>
      </c>
      <c r="K328" s="280" t="s">
        <v>105</v>
      </c>
      <c r="L328" s="280" t="s">
        <v>252</v>
      </c>
      <c r="M328" s="278" t="s">
        <v>415</v>
      </c>
      <c r="N328" s="280" t="s">
        <v>108</v>
      </c>
      <c r="O328" s="279" t="s">
        <v>17</v>
      </c>
      <c r="P328" s="342" t="s">
        <v>422</v>
      </c>
      <c r="Q328" s="279">
        <v>3.0949999999999998</v>
      </c>
      <c r="R328" s="279">
        <v>0.98</v>
      </c>
      <c r="S328" s="280">
        <f>Q328/1.37861292669638</f>
        <v>2.245010140313032</v>
      </c>
      <c r="T328" s="277">
        <f>10^(((LOG(S328*10))*3.05)+-2.15)</f>
        <v>93.587066889368145</v>
      </c>
      <c r="U328" s="277">
        <f>(10^(((LOG(Q328*10))*3.0129)+0.9356))/1000</f>
        <v>267.18463682677373</v>
      </c>
      <c r="V328" s="278" t="s">
        <v>426</v>
      </c>
      <c r="W328" s="279">
        <v>0.94</v>
      </c>
      <c r="X328" s="283" t="s">
        <v>287</v>
      </c>
      <c r="Y328" s="284" t="s">
        <v>427</v>
      </c>
      <c r="Z328" s="281">
        <f>10^((((LOG(Q328*10))*4.084)-3.056))</f>
        <v>1076.1135708399611</v>
      </c>
    </row>
    <row r="329" spans="1:27" s="280" customFormat="1" ht="21" customHeight="1">
      <c r="A329" s="281" t="s">
        <v>168</v>
      </c>
      <c r="B329" s="280" t="s">
        <v>273</v>
      </c>
      <c r="C329" s="280" t="s">
        <v>76</v>
      </c>
      <c r="D329" s="282" t="s">
        <v>100</v>
      </c>
      <c r="E329" s="282" t="s">
        <v>101</v>
      </c>
      <c r="F329" s="280">
        <v>933</v>
      </c>
      <c r="G329" s="280">
        <v>323</v>
      </c>
      <c r="H329" s="278" t="s">
        <v>102</v>
      </c>
      <c r="I329" s="280" t="s">
        <v>103</v>
      </c>
      <c r="J329" s="280" t="s">
        <v>104</v>
      </c>
      <c r="K329" s="280" t="s">
        <v>105</v>
      </c>
      <c r="L329" s="280" t="s">
        <v>252</v>
      </c>
      <c r="M329" s="278" t="s">
        <v>415</v>
      </c>
      <c r="N329" s="280" t="s">
        <v>114</v>
      </c>
      <c r="O329" s="279" t="s">
        <v>17</v>
      </c>
      <c r="P329" s="342" t="s">
        <v>422</v>
      </c>
      <c r="Q329" s="279">
        <v>3.5140000000000002</v>
      </c>
      <c r="R329" s="279">
        <v>1.0669999999999999</v>
      </c>
      <c r="S329" s="280">
        <f t="shared" ref="S329:S333" si="2">Q329/1.37861292669638</f>
        <v>2.548938815205168</v>
      </c>
      <c r="T329" s="277">
        <f t="shared" ref="T329:T333" si="3">10^(((LOG(S329*10))*3.05)+-2.15)</f>
        <v>137.84664577458028</v>
      </c>
      <c r="U329" s="277">
        <f t="shared" ref="U329:U334" si="4">(10^(((LOG(Q329*10))*3.0129)+0.9356))/1000</f>
        <v>391.69327405787305</v>
      </c>
      <c r="V329" s="278" t="s">
        <v>426</v>
      </c>
      <c r="W329" s="279">
        <v>0.94</v>
      </c>
      <c r="X329" s="283" t="s">
        <v>287</v>
      </c>
      <c r="Y329" s="284" t="s">
        <v>427</v>
      </c>
      <c r="Z329" s="281"/>
    </row>
    <row r="330" spans="1:27" s="280" customFormat="1" ht="21" customHeight="1">
      <c r="A330" s="281" t="s">
        <v>168</v>
      </c>
      <c r="B330" s="280" t="s">
        <v>273</v>
      </c>
      <c r="C330" s="280" t="s">
        <v>76</v>
      </c>
      <c r="D330" s="282" t="s">
        <v>100</v>
      </c>
      <c r="E330" s="282" t="s">
        <v>101</v>
      </c>
      <c r="F330" s="280">
        <v>933</v>
      </c>
      <c r="G330" s="280">
        <v>896</v>
      </c>
      <c r="H330" s="278" t="s">
        <v>102</v>
      </c>
      <c r="I330" s="280" t="s">
        <v>103</v>
      </c>
      <c r="J330" s="280" t="s">
        <v>104</v>
      </c>
      <c r="K330" s="280" t="s">
        <v>105</v>
      </c>
      <c r="L330" s="280" t="s">
        <v>252</v>
      </c>
      <c r="M330" s="278" t="s">
        <v>415</v>
      </c>
      <c r="N330" s="280" t="s">
        <v>108</v>
      </c>
      <c r="O330" s="279" t="s">
        <v>17</v>
      </c>
      <c r="P330" s="342" t="s">
        <v>422</v>
      </c>
      <c r="Q330" s="279">
        <v>3.5329999999999999</v>
      </c>
      <c r="R330" s="279">
        <v>1.0939999999999999</v>
      </c>
      <c r="S330" s="280">
        <f t="shared" si="2"/>
        <v>2.5627207837563626</v>
      </c>
      <c r="T330" s="277">
        <f t="shared" si="3"/>
        <v>140.13252184826894</v>
      </c>
      <c r="U330" s="277">
        <f t="shared" si="4"/>
        <v>398.10897203369319</v>
      </c>
      <c r="V330" s="278" t="s">
        <v>426</v>
      </c>
      <c r="W330" s="279">
        <v>0.94</v>
      </c>
      <c r="X330" s="283" t="s">
        <v>287</v>
      </c>
      <c r="Y330" s="284" t="s">
        <v>427</v>
      </c>
      <c r="Z330" s="281">
        <f>10^((((LOG(Q330*10))*4.084)-3.056))</f>
        <v>1847.64535820026</v>
      </c>
    </row>
    <row r="331" spans="1:27" s="280" customFormat="1" ht="21" customHeight="1">
      <c r="A331" s="281" t="s">
        <v>168</v>
      </c>
      <c r="B331" s="280" t="s">
        <v>273</v>
      </c>
      <c r="C331" s="280" t="s">
        <v>76</v>
      </c>
      <c r="D331" s="282" t="s">
        <v>100</v>
      </c>
      <c r="E331" s="282" t="s">
        <v>101</v>
      </c>
      <c r="F331" s="280">
        <v>933</v>
      </c>
      <c r="G331" s="280">
        <v>157</v>
      </c>
      <c r="H331" s="278" t="s">
        <v>102</v>
      </c>
      <c r="I331" s="280" t="s">
        <v>103</v>
      </c>
      <c r="J331" s="280" t="s">
        <v>104</v>
      </c>
      <c r="K331" s="280" t="s">
        <v>105</v>
      </c>
      <c r="L331" s="280" t="s">
        <v>252</v>
      </c>
      <c r="M331" s="278" t="s">
        <v>415</v>
      </c>
      <c r="N331" s="280" t="s">
        <v>108</v>
      </c>
      <c r="O331" s="279" t="s">
        <v>17</v>
      </c>
      <c r="P331" s="342" t="s">
        <v>422</v>
      </c>
      <c r="Q331" s="279">
        <v>3.661</v>
      </c>
      <c r="R331" s="279">
        <v>1.1039999999999999</v>
      </c>
      <c r="S331" s="280">
        <f t="shared" si="2"/>
        <v>2.6555677297854641</v>
      </c>
      <c r="T331" s="277">
        <f t="shared" si="3"/>
        <v>156.19963569154552</v>
      </c>
      <c r="U331" s="277">
        <f t="shared" si="4"/>
        <v>443.1692546853796</v>
      </c>
      <c r="V331" s="278" t="s">
        <v>426</v>
      </c>
      <c r="W331" s="279">
        <v>0.94</v>
      </c>
      <c r="X331" s="283" t="s">
        <v>287</v>
      </c>
      <c r="Y331" s="284" t="s">
        <v>427</v>
      </c>
      <c r="Z331" s="281"/>
    </row>
    <row r="332" spans="1:27" s="280" customFormat="1" ht="21" customHeight="1">
      <c r="A332" s="281" t="s">
        <v>168</v>
      </c>
      <c r="B332" s="280" t="s">
        <v>273</v>
      </c>
      <c r="C332" s="280" t="s">
        <v>76</v>
      </c>
      <c r="D332" s="282" t="s">
        <v>100</v>
      </c>
      <c r="E332" s="282" t="s">
        <v>101</v>
      </c>
      <c r="F332" s="280">
        <v>933</v>
      </c>
      <c r="G332" s="280">
        <v>3417</v>
      </c>
      <c r="H332" s="278" t="s">
        <v>102</v>
      </c>
      <c r="I332" s="280" t="s">
        <v>103</v>
      </c>
      <c r="J332" s="280" t="s">
        <v>104</v>
      </c>
      <c r="K332" s="280" t="s">
        <v>105</v>
      </c>
      <c r="L332" s="280" t="s">
        <v>252</v>
      </c>
      <c r="M332" s="278" t="s">
        <v>415</v>
      </c>
      <c r="N332" s="280" t="s">
        <v>114</v>
      </c>
      <c r="O332" s="279" t="s">
        <v>17</v>
      </c>
      <c r="P332" s="342" t="s">
        <v>422</v>
      </c>
      <c r="Q332" s="279">
        <v>3.6680000000000001</v>
      </c>
      <c r="R332" s="279">
        <v>0.95199999999999996</v>
      </c>
      <c r="S332" s="280">
        <f t="shared" si="2"/>
        <v>2.6606452971464303</v>
      </c>
      <c r="T332" s="277">
        <f t="shared" si="3"/>
        <v>157.11233779912183</v>
      </c>
      <c r="U332" s="277">
        <f t="shared" si="4"/>
        <v>445.72718161453565</v>
      </c>
      <c r="V332" s="278" t="s">
        <v>426</v>
      </c>
      <c r="W332" s="279">
        <v>0.94</v>
      </c>
      <c r="X332" s="283" t="s">
        <v>287</v>
      </c>
      <c r="Y332" s="284" t="s">
        <v>427</v>
      </c>
      <c r="Z332" s="281"/>
    </row>
    <row r="333" spans="1:27" s="280" customFormat="1" ht="21" customHeight="1">
      <c r="A333" s="334" t="s">
        <v>428</v>
      </c>
      <c r="B333" s="333" t="s">
        <v>273</v>
      </c>
      <c r="C333" s="333" t="s">
        <v>76</v>
      </c>
      <c r="D333" s="335" t="s">
        <v>100</v>
      </c>
      <c r="E333" s="335" t="s">
        <v>101</v>
      </c>
      <c r="F333" s="333">
        <v>933</v>
      </c>
      <c r="G333" s="333">
        <v>3309</v>
      </c>
      <c r="H333" s="336" t="s">
        <v>102</v>
      </c>
      <c r="I333" s="333" t="s">
        <v>103</v>
      </c>
      <c r="J333" s="280" t="s">
        <v>104</v>
      </c>
      <c r="K333" s="333" t="s">
        <v>105</v>
      </c>
      <c r="L333" s="333" t="s">
        <v>162</v>
      </c>
      <c r="M333" s="336" t="s">
        <v>163</v>
      </c>
      <c r="N333" s="333"/>
      <c r="O333" s="337" t="s">
        <v>17</v>
      </c>
      <c r="P333" s="342" t="s">
        <v>422</v>
      </c>
      <c r="Q333" s="337">
        <v>3.6859999999999999</v>
      </c>
      <c r="R333" s="337">
        <v>1.0840000000000001</v>
      </c>
      <c r="S333" s="280">
        <f t="shared" si="2"/>
        <v>2.6737018989317725</v>
      </c>
      <c r="T333" s="277">
        <f t="shared" si="3"/>
        <v>159.47573143989953</v>
      </c>
      <c r="U333" s="338">
        <f t="shared" si="4"/>
        <v>452.34996017524048</v>
      </c>
      <c r="V333" s="336" t="s">
        <v>426</v>
      </c>
      <c r="W333" s="337">
        <v>0.94</v>
      </c>
      <c r="X333" s="339" t="s">
        <v>287</v>
      </c>
      <c r="Y333" s="340" t="s">
        <v>427</v>
      </c>
      <c r="Z333" s="334"/>
      <c r="AA333" s="280" t="s">
        <v>425</v>
      </c>
    </row>
    <row r="334" spans="1:27" s="333" customFormat="1" ht="21" customHeight="1">
      <c r="A334" s="281" t="s">
        <v>168</v>
      </c>
      <c r="B334" s="280" t="s">
        <v>273</v>
      </c>
      <c r="C334" s="280" t="s">
        <v>76</v>
      </c>
      <c r="D334" s="282" t="s">
        <v>100</v>
      </c>
      <c r="E334" s="282" t="s">
        <v>101</v>
      </c>
      <c r="F334" s="280">
        <v>933</v>
      </c>
      <c r="G334" s="280">
        <v>65</v>
      </c>
      <c r="H334" s="278" t="s">
        <v>102</v>
      </c>
      <c r="I334" s="280" t="s">
        <v>103</v>
      </c>
      <c r="J334" s="280" t="s">
        <v>104</v>
      </c>
      <c r="K334" s="280" t="s">
        <v>105</v>
      </c>
      <c r="L334" s="280" t="s">
        <v>252</v>
      </c>
      <c r="M334" s="278" t="s">
        <v>415</v>
      </c>
      <c r="N334" s="280" t="s">
        <v>108</v>
      </c>
      <c r="O334" s="279" t="s">
        <v>17</v>
      </c>
      <c r="P334" s="342" t="s">
        <v>422</v>
      </c>
      <c r="Q334" s="279">
        <v>3.6920000000000002</v>
      </c>
      <c r="R334" s="279">
        <v>1.0900000000000001</v>
      </c>
      <c r="S334" s="280">
        <f>Q334/1.37861292669638</f>
        <v>2.6780540995268871</v>
      </c>
      <c r="T334" s="277">
        <f>10^(((LOG(S334*10))*3.05)+-2.15)</f>
        <v>160.26880738882099</v>
      </c>
      <c r="U334" s="277">
        <f t="shared" si="4"/>
        <v>454.57207500378706</v>
      </c>
      <c r="V334" s="278" t="s">
        <v>426</v>
      </c>
      <c r="W334" s="279">
        <v>0.94</v>
      </c>
      <c r="X334" s="283" t="s">
        <v>287</v>
      </c>
      <c r="Y334" s="284" t="s">
        <v>427</v>
      </c>
      <c r="Z334" s="281">
        <f>10^((((LOG(Q334*10))*4.084)-3.056))</f>
        <v>2211.5499438630309</v>
      </c>
    </row>
  </sheetData>
  <conditionalFormatting sqref="C275">
    <cfRule type="duplicateValues" dxfId="9" priority="4"/>
  </conditionalFormatting>
  <conditionalFormatting sqref="C276">
    <cfRule type="duplicateValues" dxfId="8" priority="3"/>
  </conditionalFormatting>
  <conditionalFormatting sqref="C277">
    <cfRule type="duplicateValues" dxfId="7" priority="2"/>
  </conditionalFormatting>
  <conditionalFormatting sqref="C278">
    <cfRule type="duplicateValues" dxfId="6" priority="1"/>
  </conditionalFormatting>
  <pageMargins left="0.7" right="0.7" top="0.75" bottom="0.75" header="0.3" footer="0.3"/>
  <pageSetup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001C5-72AD-4D4A-AE56-9B356E500AAE}">
  <sheetPr>
    <pageSetUpPr fitToPage="1"/>
  </sheetPr>
  <dimension ref="A1:BC512"/>
  <sheetViews>
    <sheetView zoomScale="135" zoomScaleNormal="135" workbookViewId="0">
      <pane xSplit="15200" ySplit="8180" topLeftCell="L56" activePane="bottomRight"/>
      <selection pane="topRight" activeCell="H1" sqref="H1"/>
      <selection pane="bottomLeft" activeCell="C21" sqref="C21"/>
      <selection pane="bottomRight" activeCell="N52" sqref="N52"/>
    </sheetView>
  </sheetViews>
  <sheetFormatPr baseColWidth="10" defaultColWidth="11" defaultRowHeight="18"/>
  <cols>
    <col min="1" max="1" width="9.33203125" style="5" customWidth="1"/>
    <col min="2" max="2" width="12.33203125" style="5" customWidth="1"/>
    <col min="3" max="3" width="13.33203125" style="5" customWidth="1"/>
    <col min="4" max="4" width="15.5" style="5" customWidth="1"/>
    <col min="5" max="5" width="15.33203125" style="5" customWidth="1"/>
    <col min="6" max="6" width="12.83203125" style="303" customWidth="1"/>
    <col min="7" max="7" width="11.33203125" style="23" customWidth="1"/>
    <col min="8" max="8" width="6.5" style="77" customWidth="1"/>
    <col min="9" max="9" width="6" style="27" customWidth="1"/>
    <col min="10" max="10" width="5.83203125" style="67" customWidth="1"/>
    <col min="11" max="12" width="6.5" style="65" customWidth="1"/>
    <col min="13" max="13" width="8.5" style="68" customWidth="1"/>
    <col min="14" max="14" width="6.33203125" style="67" customWidth="1"/>
    <col min="15" max="18" width="6.33203125" style="65" customWidth="1"/>
    <col min="19" max="19" width="6.33203125" style="67" customWidth="1"/>
    <col min="20" max="21" width="6.33203125" style="65" customWidth="1"/>
    <col min="22" max="22" width="5.5" style="313" customWidth="1"/>
    <col min="23" max="24" width="5.5" style="315" customWidth="1"/>
    <col min="25" max="25" width="9" style="68" customWidth="1"/>
    <col min="26" max="30" width="5.5" style="27" customWidth="1"/>
    <col min="31" max="32" width="5.5" style="68" customWidth="1"/>
    <col min="33" max="33" width="5.5" style="27" customWidth="1"/>
    <col min="34" max="34" width="11.5" style="244" customWidth="1"/>
    <col min="35" max="35" width="14.83203125" customWidth="1"/>
    <col min="36" max="37" width="13.5" customWidth="1"/>
    <col min="38" max="45" width="11" customWidth="1"/>
    <col min="46" max="46" width="11.83203125" customWidth="1"/>
    <col min="47" max="48" width="12" customWidth="1"/>
    <col min="49" max="51" width="11.83203125" customWidth="1"/>
    <col min="52" max="52" width="12" customWidth="1"/>
    <col min="53" max="53" width="11.83203125" customWidth="1"/>
    <col min="54" max="54" width="11" customWidth="1"/>
  </cols>
  <sheetData>
    <row r="1" spans="1:55" s="70" customFormat="1" ht="37" customHeight="1">
      <c r="A1" s="684" t="s">
        <v>3675</v>
      </c>
      <c r="B1" s="684"/>
      <c r="C1" s="684"/>
      <c r="D1" s="684"/>
      <c r="E1" s="684"/>
      <c r="F1" s="684"/>
      <c r="G1" s="684"/>
      <c r="H1" s="684"/>
      <c r="I1" s="684"/>
      <c r="J1" s="684"/>
      <c r="K1" s="684"/>
      <c r="L1" s="684"/>
      <c r="M1" s="684"/>
      <c r="N1" s="684"/>
      <c r="O1" s="684"/>
      <c r="P1" s="684"/>
      <c r="Q1" s="684"/>
      <c r="R1" s="684"/>
      <c r="S1" s="684"/>
      <c r="T1" s="684"/>
      <c r="U1" s="684"/>
      <c r="V1" s="684"/>
      <c r="W1" s="684"/>
      <c r="X1" s="684"/>
      <c r="Y1" s="684"/>
      <c r="Z1" s="684"/>
      <c r="AA1" s="684"/>
      <c r="AB1" s="684"/>
      <c r="AC1" s="684"/>
      <c r="AD1" s="684"/>
      <c r="AE1" s="684"/>
      <c r="AF1" s="684"/>
      <c r="AG1" s="684"/>
      <c r="AH1" s="684"/>
      <c r="AI1" s="371"/>
      <c r="AJ1" s="371"/>
      <c r="AK1" s="371"/>
      <c r="AL1" s="371"/>
      <c r="AM1" s="371"/>
      <c r="AN1" s="371"/>
      <c r="AO1" s="371"/>
      <c r="AP1" s="371"/>
      <c r="AQ1" s="371"/>
      <c r="AR1" s="371"/>
      <c r="AS1" s="371"/>
      <c r="AT1" s="371"/>
      <c r="AU1" s="371"/>
      <c r="AV1" s="371"/>
      <c r="AW1" s="371"/>
      <c r="AX1" s="371"/>
      <c r="AY1" s="371"/>
      <c r="AZ1" s="371"/>
      <c r="BA1" s="371"/>
      <c r="BB1" s="371"/>
      <c r="BC1" s="371"/>
    </row>
    <row r="2" spans="1:55" s="76" customFormat="1" ht="27" customHeight="1">
      <c r="A2" s="304"/>
      <c r="B2" s="304"/>
      <c r="C2" s="304"/>
      <c r="D2" s="304"/>
      <c r="E2" s="304"/>
      <c r="F2" s="305"/>
      <c r="G2" s="306"/>
      <c r="H2" s="307"/>
      <c r="I2" s="636"/>
      <c r="J2" s="685" t="s">
        <v>104</v>
      </c>
      <c r="K2" s="685"/>
      <c r="L2" s="685"/>
      <c r="M2" s="685"/>
      <c r="N2" s="685"/>
      <c r="O2" s="685"/>
      <c r="P2" s="685"/>
      <c r="Q2" s="685"/>
      <c r="R2" s="685"/>
      <c r="S2" s="685"/>
      <c r="T2" s="685"/>
      <c r="U2" s="685"/>
      <c r="V2" s="685" t="s">
        <v>225</v>
      </c>
      <c r="W2" s="685"/>
      <c r="X2" s="685"/>
      <c r="Y2" s="685"/>
      <c r="Z2" s="685"/>
      <c r="AA2" s="685"/>
      <c r="AB2" s="685"/>
      <c r="AC2" s="685"/>
      <c r="AD2" s="685"/>
      <c r="AE2" s="685"/>
      <c r="AF2" s="685"/>
      <c r="AG2" s="685"/>
      <c r="AH2" s="426"/>
      <c r="AI2" s="75"/>
      <c r="AJ2" s="75"/>
      <c r="AK2" s="75"/>
      <c r="AL2" s="75"/>
      <c r="AM2" s="75"/>
      <c r="AN2" s="75"/>
      <c r="AO2" s="75"/>
      <c r="AP2" s="75"/>
      <c r="AQ2" s="75"/>
      <c r="AR2" s="75"/>
      <c r="AS2" s="75"/>
      <c r="AT2" s="75"/>
      <c r="AU2" s="75"/>
      <c r="AV2" s="75"/>
      <c r="AW2" s="75"/>
      <c r="AX2" s="75"/>
      <c r="AY2" s="75"/>
      <c r="AZ2" s="75"/>
      <c r="BA2" s="75"/>
      <c r="BB2" s="75"/>
      <c r="BC2" s="75"/>
    </row>
    <row r="3" spans="1:55" s="312" customFormat="1" ht="186" customHeight="1">
      <c r="A3" s="310" t="s">
        <v>429</v>
      </c>
      <c r="B3" s="310" t="s">
        <v>430</v>
      </c>
      <c r="C3" s="310" t="s">
        <v>431</v>
      </c>
      <c r="D3" s="310" t="s">
        <v>432</v>
      </c>
      <c r="E3" s="310" t="s">
        <v>433</v>
      </c>
      <c r="F3" s="310" t="s">
        <v>434</v>
      </c>
      <c r="G3" s="310" t="s">
        <v>435</v>
      </c>
      <c r="H3" s="430" t="s">
        <v>436</v>
      </c>
      <c r="I3" s="431" t="s">
        <v>437</v>
      </c>
      <c r="J3" s="432" t="s">
        <v>438</v>
      </c>
      <c r="K3" s="433" t="s">
        <v>439</v>
      </c>
      <c r="L3" s="433" t="s">
        <v>440</v>
      </c>
      <c r="M3" s="434" t="s">
        <v>3673</v>
      </c>
      <c r="N3" s="432" t="s">
        <v>441</v>
      </c>
      <c r="O3" s="433" t="s">
        <v>442</v>
      </c>
      <c r="P3" s="433" t="s">
        <v>443</v>
      </c>
      <c r="Q3" s="433" t="s">
        <v>444</v>
      </c>
      <c r="R3" s="433" t="s">
        <v>445</v>
      </c>
      <c r="S3" s="432" t="s">
        <v>446</v>
      </c>
      <c r="T3" s="433" t="s">
        <v>447</v>
      </c>
      <c r="U3" s="433" t="s">
        <v>448</v>
      </c>
      <c r="V3" s="435" t="s">
        <v>438</v>
      </c>
      <c r="W3" s="436" t="s">
        <v>439</v>
      </c>
      <c r="X3" s="436" t="s">
        <v>440</v>
      </c>
      <c r="Y3" s="434" t="s">
        <v>449</v>
      </c>
      <c r="Z3" s="437" t="s">
        <v>441</v>
      </c>
      <c r="AA3" s="437" t="s">
        <v>450</v>
      </c>
      <c r="AB3" s="437" t="s">
        <v>451</v>
      </c>
      <c r="AC3" s="437" t="s">
        <v>444</v>
      </c>
      <c r="AD3" s="437" t="s">
        <v>452</v>
      </c>
      <c r="AE3" s="438" t="s">
        <v>446</v>
      </c>
      <c r="AF3" s="438" t="s">
        <v>453</v>
      </c>
      <c r="AG3" s="437" t="s">
        <v>454</v>
      </c>
      <c r="AH3" s="439" t="s">
        <v>455</v>
      </c>
      <c r="AI3" s="311"/>
      <c r="AJ3" s="311"/>
      <c r="AK3" s="311"/>
      <c r="AL3" s="311"/>
      <c r="AM3" s="311"/>
      <c r="AN3" s="311"/>
      <c r="AO3" s="311"/>
      <c r="AP3" s="311"/>
      <c r="AQ3" s="311"/>
      <c r="AR3" s="311"/>
      <c r="AS3" s="311"/>
      <c r="AT3" s="311"/>
      <c r="AU3" s="311"/>
      <c r="AV3" s="311"/>
      <c r="AW3" s="311"/>
      <c r="AX3" s="311"/>
      <c r="AY3" s="311"/>
      <c r="AZ3" s="311"/>
      <c r="BA3" s="311"/>
      <c r="BB3" s="311"/>
      <c r="BC3" s="311"/>
    </row>
    <row r="4" spans="1:55" s="256" customFormat="1" ht="31" customHeight="1">
      <c r="A4" s="256" t="s">
        <v>456</v>
      </c>
      <c r="B4" s="256" t="s">
        <v>218</v>
      </c>
      <c r="C4" s="256" t="s">
        <v>193</v>
      </c>
      <c r="D4" s="257" t="s">
        <v>194</v>
      </c>
      <c r="E4" s="257" t="s">
        <v>195</v>
      </c>
      <c r="F4" s="297" t="s">
        <v>457</v>
      </c>
      <c r="G4" s="258" t="s">
        <v>458</v>
      </c>
      <c r="H4" s="259">
        <v>46.082921067455302</v>
      </c>
      <c r="I4" s="260">
        <v>4.6635400000000002</v>
      </c>
      <c r="J4" s="360">
        <v>9</v>
      </c>
      <c r="K4" s="358">
        <v>58.2922222222222</v>
      </c>
      <c r="L4" s="358">
        <v>24.114742263695099</v>
      </c>
      <c r="M4" s="567">
        <v>2</v>
      </c>
      <c r="N4" s="135">
        <v>2</v>
      </c>
      <c r="O4" s="135">
        <v>-18.899999999999999</v>
      </c>
      <c r="P4" s="135">
        <v>0.3</v>
      </c>
      <c r="Q4" s="135">
        <v>6.7</v>
      </c>
      <c r="R4" s="135">
        <v>0.4</v>
      </c>
      <c r="S4" s="360">
        <v>0</v>
      </c>
      <c r="T4" s="316" t="s">
        <v>205</v>
      </c>
      <c r="U4" s="316" t="s">
        <v>205</v>
      </c>
      <c r="V4" s="360">
        <v>11</v>
      </c>
      <c r="W4" s="358">
        <v>52.107272727272701</v>
      </c>
      <c r="X4" s="358">
        <v>17.917639962288099</v>
      </c>
      <c r="Y4" s="323">
        <v>27</v>
      </c>
      <c r="Z4" s="317">
        <v>18</v>
      </c>
      <c r="AA4" s="317">
        <v>-19.100000000000001</v>
      </c>
      <c r="AB4" s="317">
        <v>1.5</v>
      </c>
      <c r="AC4" s="317">
        <v>6.5</v>
      </c>
      <c r="AD4" s="317">
        <v>1</v>
      </c>
      <c r="AE4" s="317">
        <v>8</v>
      </c>
      <c r="AF4" s="317">
        <v>-18.899999999999999</v>
      </c>
      <c r="AG4" s="317">
        <v>2.1</v>
      </c>
      <c r="AI4"/>
      <c r="AJ4" s="103"/>
      <c r="AK4" s="103"/>
      <c r="AL4" s="103"/>
      <c r="AM4" s="103"/>
      <c r="AN4" s="103"/>
      <c r="AO4" s="103"/>
      <c r="AP4" s="103"/>
      <c r="AQ4" s="103"/>
      <c r="AR4" s="103"/>
      <c r="AS4" s="103"/>
      <c r="AT4" s="103"/>
      <c r="AU4" s="103"/>
      <c r="AV4" s="103"/>
      <c r="AW4" s="103"/>
      <c r="AX4" s="103"/>
      <c r="AY4" s="103"/>
      <c r="AZ4" s="103"/>
      <c r="BA4" s="103"/>
      <c r="BB4" s="103"/>
      <c r="BC4" s="103"/>
    </row>
    <row r="5" spans="1:55" s="256" customFormat="1" ht="31" customHeight="1">
      <c r="A5" s="256" t="s">
        <v>459</v>
      </c>
      <c r="B5" s="256" t="s">
        <v>218</v>
      </c>
      <c r="C5" s="256" t="s">
        <v>193</v>
      </c>
      <c r="D5" s="261" t="s">
        <v>460</v>
      </c>
      <c r="E5" s="261" t="s">
        <v>461</v>
      </c>
      <c r="F5" s="297" t="s">
        <v>462</v>
      </c>
      <c r="G5" s="258" t="s">
        <v>458</v>
      </c>
      <c r="H5" s="296">
        <v>15</v>
      </c>
      <c r="I5" s="260">
        <v>4.18</v>
      </c>
      <c r="J5" s="360">
        <v>7</v>
      </c>
      <c r="K5" s="358">
        <v>18.5242857142857</v>
      </c>
      <c r="L5" s="358">
        <v>8.7391720758564198</v>
      </c>
      <c r="M5" s="567">
        <v>2</v>
      </c>
      <c r="N5" s="319">
        <v>0</v>
      </c>
      <c r="O5" s="318" t="s">
        <v>463</v>
      </c>
      <c r="P5" s="320" t="s">
        <v>205</v>
      </c>
      <c r="Q5" s="318" t="s">
        <v>463</v>
      </c>
      <c r="R5" s="320" t="s">
        <v>205</v>
      </c>
      <c r="S5" s="135">
        <v>1</v>
      </c>
      <c r="T5" s="135">
        <v>-20.7</v>
      </c>
      <c r="U5" s="320" t="s">
        <v>205</v>
      </c>
      <c r="V5" s="324" t="s">
        <v>205</v>
      </c>
      <c r="W5" s="354" t="s">
        <v>205</v>
      </c>
      <c r="X5" s="354" t="s">
        <v>205</v>
      </c>
      <c r="Y5" s="323">
        <v>0</v>
      </c>
      <c r="Z5" s="317">
        <v>0</v>
      </c>
      <c r="AA5" s="317" t="s">
        <v>205</v>
      </c>
      <c r="AB5" s="317" t="s">
        <v>205</v>
      </c>
      <c r="AC5" s="317" t="s">
        <v>205</v>
      </c>
      <c r="AD5" s="317" t="s">
        <v>205</v>
      </c>
      <c r="AE5" s="317">
        <v>0</v>
      </c>
      <c r="AF5" s="317" t="s">
        <v>205</v>
      </c>
      <c r="AG5" s="317" t="s">
        <v>205</v>
      </c>
      <c r="AH5" s="308"/>
      <c r="AI5"/>
      <c r="AJ5" s="103"/>
      <c r="AK5" s="103"/>
      <c r="AL5" s="103"/>
      <c r="AM5" s="103"/>
      <c r="AN5" s="103"/>
      <c r="AO5" s="103"/>
      <c r="AP5" s="103"/>
      <c r="AQ5" s="103"/>
      <c r="AR5" s="103"/>
      <c r="AS5" s="103"/>
      <c r="AT5" s="103"/>
      <c r="AU5" s="103"/>
      <c r="AV5" s="103"/>
      <c r="AW5" s="103"/>
      <c r="AX5" s="103"/>
      <c r="AY5" s="103"/>
      <c r="AZ5" s="103"/>
      <c r="BA5" s="103"/>
      <c r="BB5" s="103"/>
      <c r="BC5" s="103"/>
    </row>
    <row r="6" spans="1:55" s="256" customFormat="1" ht="35.25" customHeight="1">
      <c r="A6" s="256" t="s">
        <v>459</v>
      </c>
      <c r="B6" s="256" t="s">
        <v>218</v>
      </c>
      <c r="C6" s="256" t="s">
        <v>193</v>
      </c>
      <c r="D6" s="257" t="s">
        <v>464</v>
      </c>
      <c r="E6" s="257" t="s">
        <v>151</v>
      </c>
      <c r="F6" s="297" t="s">
        <v>465</v>
      </c>
      <c r="G6" s="258" t="s">
        <v>458</v>
      </c>
      <c r="H6" s="296">
        <v>53</v>
      </c>
      <c r="I6" s="260">
        <v>4.7240000000000002</v>
      </c>
      <c r="J6" s="359">
        <v>0</v>
      </c>
      <c r="K6" s="355" t="s">
        <v>205</v>
      </c>
      <c r="L6" s="355" t="s">
        <v>205</v>
      </c>
      <c r="M6" s="567">
        <v>0</v>
      </c>
      <c r="N6" s="319">
        <v>0</v>
      </c>
      <c r="O6" s="316" t="s">
        <v>205</v>
      </c>
      <c r="P6" s="316" t="s">
        <v>205</v>
      </c>
      <c r="Q6" s="316" t="s">
        <v>205</v>
      </c>
      <c r="R6" s="316" t="s">
        <v>205</v>
      </c>
      <c r="S6" s="360">
        <v>0</v>
      </c>
      <c r="T6" s="316" t="s">
        <v>205</v>
      </c>
      <c r="U6" s="316" t="s">
        <v>205</v>
      </c>
      <c r="V6" s="324" t="s">
        <v>205</v>
      </c>
      <c r="W6" s="354" t="s">
        <v>205</v>
      </c>
      <c r="X6" s="354" t="s">
        <v>205</v>
      </c>
      <c r="Y6" s="323">
        <v>0</v>
      </c>
      <c r="Z6" s="317">
        <v>0</v>
      </c>
      <c r="AA6" s="317" t="s">
        <v>205</v>
      </c>
      <c r="AB6" s="317" t="s">
        <v>205</v>
      </c>
      <c r="AC6" s="317" t="s">
        <v>205</v>
      </c>
      <c r="AD6" s="317" t="s">
        <v>205</v>
      </c>
      <c r="AE6" s="317">
        <v>0</v>
      </c>
      <c r="AF6" s="317" t="s">
        <v>205</v>
      </c>
      <c r="AG6" s="317" t="s">
        <v>205</v>
      </c>
      <c r="AH6" s="308"/>
      <c r="AI6"/>
      <c r="AJ6" s="103"/>
      <c r="AK6" s="103"/>
      <c r="AL6" s="103"/>
      <c r="AM6" s="103"/>
      <c r="AN6" s="103"/>
      <c r="AO6" s="103"/>
      <c r="AP6" s="103"/>
      <c r="AQ6" s="103"/>
      <c r="AR6" s="103"/>
      <c r="AS6" s="103"/>
      <c r="AT6" s="103"/>
      <c r="AU6" s="103"/>
      <c r="AV6" s="103"/>
      <c r="AW6" s="103"/>
      <c r="AX6" s="103"/>
      <c r="AY6" s="103"/>
      <c r="AZ6" s="103"/>
      <c r="BA6" s="103"/>
      <c r="BB6" s="103"/>
      <c r="BC6" s="103"/>
    </row>
    <row r="7" spans="1:55" s="256" customFormat="1" ht="35.25" customHeight="1">
      <c r="A7" s="256" t="s">
        <v>459</v>
      </c>
      <c r="B7" s="263" t="s">
        <v>218</v>
      </c>
      <c r="C7" s="263" t="s">
        <v>193</v>
      </c>
      <c r="D7" s="264" t="s">
        <v>466</v>
      </c>
      <c r="E7" s="264" t="s">
        <v>467</v>
      </c>
      <c r="F7" s="298" t="s">
        <v>465</v>
      </c>
      <c r="G7" s="258" t="s">
        <v>458</v>
      </c>
      <c r="H7" s="296">
        <v>60</v>
      </c>
      <c r="I7" s="262">
        <v>4.7781512503836439</v>
      </c>
      <c r="J7" s="360">
        <v>9</v>
      </c>
      <c r="K7" s="358">
        <v>116.925555555556</v>
      </c>
      <c r="L7" s="358">
        <v>43.789369746295499</v>
      </c>
      <c r="M7" s="567">
        <v>1</v>
      </c>
      <c r="N7" s="135">
        <v>1</v>
      </c>
      <c r="O7" s="135">
        <v>-18.100000000000001</v>
      </c>
      <c r="P7" s="320" t="s">
        <v>205</v>
      </c>
      <c r="Q7" s="135">
        <v>5.2</v>
      </c>
      <c r="R7" s="320" t="s">
        <v>205</v>
      </c>
      <c r="S7" s="317">
        <v>0</v>
      </c>
      <c r="T7" s="316" t="s">
        <v>205</v>
      </c>
      <c r="U7" s="316" t="s">
        <v>205</v>
      </c>
      <c r="V7" s="324" t="s">
        <v>205</v>
      </c>
      <c r="W7" s="356" t="s">
        <v>205</v>
      </c>
      <c r="X7" s="354" t="s">
        <v>205</v>
      </c>
      <c r="Y7" s="323">
        <v>0</v>
      </c>
      <c r="Z7" s="317">
        <v>0</v>
      </c>
      <c r="AA7" s="317" t="s">
        <v>205</v>
      </c>
      <c r="AB7" s="317" t="s">
        <v>205</v>
      </c>
      <c r="AC7" s="317" t="s">
        <v>205</v>
      </c>
      <c r="AD7" s="317" t="s">
        <v>205</v>
      </c>
      <c r="AE7" s="317">
        <v>0</v>
      </c>
      <c r="AF7" s="317" t="s">
        <v>205</v>
      </c>
      <c r="AG7" s="317" t="s">
        <v>205</v>
      </c>
      <c r="AH7" s="308"/>
      <c r="AI7"/>
      <c r="AJ7" s="103"/>
      <c r="AK7" s="103"/>
      <c r="AL7" s="103"/>
      <c r="AM7" s="103"/>
      <c r="AN7" s="103"/>
      <c r="AO7" s="103"/>
      <c r="AP7" s="103"/>
      <c r="AQ7" s="103"/>
      <c r="AR7" s="103"/>
      <c r="AS7" s="103"/>
      <c r="AT7" s="103"/>
      <c r="AU7" s="103"/>
      <c r="AV7" s="103"/>
      <c r="AW7" s="103"/>
      <c r="AX7" s="103"/>
      <c r="AY7" s="103"/>
      <c r="AZ7" s="103"/>
      <c r="BA7" s="103"/>
      <c r="BB7" s="103"/>
      <c r="BC7" s="103"/>
    </row>
    <row r="8" spans="1:55" s="256" customFormat="1" ht="35.25" customHeight="1">
      <c r="A8" s="256" t="s">
        <v>459</v>
      </c>
      <c r="B8" s="256" t="s">
        <v>218</v>
      </c>
      <c r="C8" s="256" t="s">
        <v>389</v>
      </c>
      <c r="D8" s="261" t="s">
        <v>390</v>
      </c>
      <c r="E8" s="264" t="s">
        <v>391</v>
      </c>
      <c r="F8" s="298" t="s">
        <v>468</v>
      </c>
      <c r="G8" s="258" t="s">
        <v>469</v>
      </c>
      <c r="H8" s="296">
        <v>802</v>
      </c>
      <c r="I8" s="262">
        <f>LOG(H8*1000)</f>
        <v>5.9041743682841634</v>
      </c>
      <c r="J8" s="360">
        <v>65</v>
      </c>
      <c r="K8" s="358">
        <v>778.48461538461504</v>
      </c>
      <c r="L8" s="358">
        <v>281.04695328403801</v>
      </c>
      <c r="M8" s="567">
        <v>13</v>
      </c>
      <c r="N8" s="135">
        <v>2</v>
      </c>
      <c r="O8" s="135">
        <v>-10.8</v>
      </c>
      <c r="P8" s="135">
        <v>2.1</v>
      </c>
      <c r="Q8" s="135">
        <v>8.6999999999999993</v>
      </c>
      <c r="R8" s="135">
        <v>2.4</v>
      </c>
      <c r="S8" s="135">
        <v>9</v>
      </c>
      <c r="T8" s="135">
        <v>-9.1</v>
      </c>
      <c r="U8" s="135">
        <v>1.4</v>
      </c>
      <c r="V8" s="324" t="s">
        <v>205</v>
      </c>
      <c r="W8" s="356" t="s">
        <v>205</v>
      </c>
      <c r="X8" s="354" t="s">
        <v>205</v>
      </c>
      <c r="Y8" s="323">
        <v>0</v>
      </c>
      <c r="Z8" s="317">
        <v>0</v>
      </c>
      <c r="AA8" s="317" t="s">
        <v>205</v>
      </c>
      <c r="AB8" s="317" t="s">
        <v>205</v>
      </c>
      <c r="AC8" s="317" t="s">
        <v>205</v>
      </c>
      <c r="AD8" s="317" t="s">
        <v>205</v>
      </c>
      <c r="AE8" s="317">
        <v>0</v>
      </c>
      <c r="AF8" s="317" t="s">
        <v>205</v>
      </c>
      <c r="AG8" s="317" t="s">
        <v>205</v>
      </c>
      <c r="AH8" s="308"/>
      <c r="AI8"/>
      <c r="AJ8" s="103"/>
      <c r="AK8" s="103"/>
      <c r="AL8" s="103"/>
      <c r="AM8" s="103"/>
      <c r="AN8" s="103"/>
      <c r="AO8" s="103"/>
      <c r="AP8" s="103"/>
      <c r="AQ8" s="103"/>
      <c r="AR8" s="103"/>
      <c r="AS8" s="103"/>
      <c r="AT8" s="103"/>
      <c r="AU8" s="103"/>
      <c r="AV8" s="103"/>
      <c r="AW8" s="103"/>
      <c r="AX8" s="103"/>
      <c r="AY8" s="103"/>
      <c r="AZ8" s="103"/>
      <c r="BA8" s="103"/>
      <c r="BB8" s="103"/>
      <c r="BC8" s="103"/>
    </row>
    <row r="9" spans="1:55" s="256" customFormat="1" ht="31" customHeight="1">
      <c r="A9" s="256" t="s">
        <v>456</v>
      </c>
      <c r="B9" s="256" t="s">
        <v>218</v>
      </c>
      <c r="C9" s="256" t="s">
        <v>389</v>
      </c>
      <c r="D9" s="257" t="s">
        <v>390</v>
      </c>
      <c r="E9" s="257" t="s">
        <v>470</v>
      </c>
      <c r="F9" s="297" t="s">
        <v>390</v>
      </c>
      <c r="G9" s="258" t="s">
        <v>469</v>
      </c>
      <c r="H9" s="296">
        <v>579.25527847905005</v>
      </c>
      <c r="I9" s="260">
        <v>5.7628700000000004</v>
      </c>
      <c r="J9" s="323" t="s">
        <v>205</v>
      </c>
      <c r="K9" s="354" t="s">
        <v>205</v>
      </c>
      <c r="L9" s="354" t="s">
        <v>205</v>
      </c>
      <c r="M9" s="567">
        <v>0</v>
      </c>
      <c r="N9" s="317">
        <v>0</v>
      </c>
      <c r="O9" s="316" t="s">
        <v>205</v>
      </c>
      <c r="P9" s="316" t="s">
        <v>205</v>
      </c>
      <c r="Q9" s="316" t="s">
        <v>205</v>
      </c>
      <c r="R9" s="316" t="s">
        <v>205</v>
      </c>
      <c r="S9" s="317" t="s">
        <v>205</v>
      </c>
      <c r="T9" s="316" t="s">
        <v>205</v>
      </c>
      <c r="U9" s="316" t="s">
        <v>205</v>
      </c>
      <c r="V9" s="360">
        <v>66</v>
      </c>
      <c r="W9" s="358">
        <v>476.72378787878802</v>
      </c>
      <c r="X9" s="358">
        <v>212.03886200966599</v>
      </c>
      <c r="Y9" s="323">
        <v>50</v>
      </c>
      <c r="Z9" s="317">
        <v>31</v>
      </c>
      <c r="AA9" s="317">
        <v>-10.3</v>
      </c>
      <c r="AB9" s="317">
        <v>1.4</v>
      </c>
      <c r="AC9" s="317">
        <v>6.1</v>
      </c>
      <c r="AD9" s="317">
        <v>0.7</v>
      </c>
      <c r="AE9" s="317">
        <v>18</v>
      </c>
      <c r="AF9" s="317">
        <v>-9.8000000000000007</v>
      </c>
      <c r="AG9" s="317">
        <v>1.8</v>
      </c>
      <c r="AH9" s="308"/>
      <c r="AI9"/>
      <c r="AJ9" s="103"/>
      <c r="AK9" s="103"/>
      <c r="AL9" s="103"/>
      <c r="AM9" s="103"/>
      <c r="AN9" s="103"/>
      <c r="AO9" s="103"/>
      <c r="AP9" s="103"/>
      <c r="AQ9" s="103"/>
      <c r="AR9" s="103"/>
      <c r="AS9" s="103"/>
      <c r="AT9" s="103"/>
      <c r="AU9" s="103"/>
      <c r="AV9" s="103"/>
      <c r="AW9" s="103"/>
      <c r="AX9" s="103"/>
      <c r="AY9" s="103"/>
      <c r="AZ9" s="103"/>
      <c r="BA9" s="103"/>
      <c r="BB9" s="103"/>
      <c r="BC9" s="103"/>
    </row>
    <row r="10" spans="1:55" s="256" customFormat="1" ht="31" customHeight="1">
      <c r="A10" s="256" t="s">
        <v>459</v>
      </c>
      <c r="B10" s="256" t="s">
        <v>218</v>
      </c>
      <c r="C10" s="256" t="s">
        <v>389</v>
      </c>
      <c r="D10" s="261" t="s">
        <v>390</v>
      </c>
      <c r="E10" s="261" t="s">
        <v>471</v>
      </c>
      <c r="F10" s="297" t="s">
        <v>472</v>
      </c>
      <c r="G10" s="258" t="s">
        <v>469</v>
      </c>
      <c r="H10" s="296">
        <v>900</v>
      </c>
      <c r="I10" s="260">
        <f>LOG(H10*1000)</f>
        <v>5.9542425094393252</v>
      </c>
      <c r="J10" s="360">
        <v>18</v>
      </c>
      <c r="K10" s="358">
        <v>1292.80277777778</v>
      </c>
      <c r="L10" s="358">
        <v>526.81282578300704</v>
      </c>
      <c r="M10" s="567">
        <v>2</v>
      </c>
      <c r="N10" s="319">
        <v>0</v>
      </c>
      <c r="O10" s="318" t="s">
        <v>463</v>
      </c>
      <c r="P10" s="320" t="s">
        <v>205</v>
      </c>
      <c r="Q10" s="318" t="s">
        <v>463</v>
      </c>
      <c r="R10" s="320" t="s">
        <v>205</v>
      </c>
      <c r="S10" s="135">
        <v>1</v>
      </c>
      <c r="T10" s="135">
        <v>-8.5</v>
      </c>
      <c r="U10" s="320" t="s">
        <v>205</v>
      </c>
      <c r="V10" s="324" t="s">
        <v>205</v>
      </c>
      <c r="W10" s="356" t="s">
        <v>205</v>
      </c>
      <c r="X10" s="356" t="s">
        <v>205</v>
      </c>
      <c r="Y10" s="323">
        <v>0</v>
      </c>
      <c r="Z10" s="317">
        <v>0</v>
      </c>
      <c r="AA10" s="317" t="s">
        <v>205</v>
      </c>
      <c r="AB10" s="317" t="s">
        <v>205</v>
      </c>
      <c r="AC10" s="317" t="s">
        <v>205</v>
      </c>
      <c r="AD10" s="317" t="s">
        <v>205</v>
      </c>
      <c r="AE10" s="317">
        <v>0</v>
      </c>
      <c r="AF10" s="317" t="s">
        <v>205</v>
      </c>
      <c r="AG10" s="317" t="s">
        <v>205</v>
      </c>
      <c r="AH10" s="308"/>
      <c r="AI10"/>
      <c r="AJ10" s="103"/>
      <c r="AK10" s="103"/>
      <c r="AL10" s="103"/>
      <c r="AM10" s="103"/>
      <c r="AN10" s="103"/>
      <c r="AO10" s="103"/>
      <c r="AP10" s="103"/>
      <c r="AQ10" s="103"/>
      <c r="AR10" s="103"/>
      <c r="AS10" s="103"/>
      <c r="AT10" s="103"/>
      <c r="AU10" s="103"/>
      <c r="AV10" s="103"/>
      <c r="AW10" s="103"/>
      <c r="AX10" s="103"/>
      <c r="AY10" s="103"/>
      <c r="AZ10" s="103"/>
      <c r="BA10" s="103"/>
      <c r="BB10" s="103"/>
      <c r="BC10" s="103"/>
    </row>
    <row r="11" spans="1:55" s="256" customFormat="1" ht="43" customHeight="1">
      <c r="A11" s="256" t="s">
        <v>459</v>
      </c>
      <c r="B11" s="256" t="s">
        <v>218</v>
      </c>
      <c r="C11" s="256" t="s">
        <v>389</v>
      </c>
      <c r="D11" s="257" t="s">
        <v>390</v>
      </c>
      <c r="E11" s="257" t="s">
        <v>151</v>
      </c>
      <c r="F11" s="297" t="s">
        <v>473</v>
      </c>
      <c r="G11" s="258" t="s">
        <v>469</v>
      </c>
      <c r="H11" s="296">
        <f>AVERAGE(802,900)</f>
        <v>851</v>
      </c>
      <c r="I11" s="260">
        <f>LOG(H11*1000)</f>
        <v>5.929929560084588</v>
      </c>
      <c r="J11" s="360">
        <v>253</v>
      </c>
      <c r="K11" s="358">
        <v>860.61221343873501</v>
      </c>
      <c r="L11" s="358">
        <v>320.10442399590198</v>
      </c>
      <c r="M11" s="567">
        <v>54</v>
      </c>
      <c r="N11" s="135">
        <v>18</v>
      </c>
      <c r="O11" s="135">
        <v>-11.1</v>
      </c>
      <c r="P11" s="135">
        <v>2.1</v>
      </c>
      <c r="Q11" s="135">
        <v>8.4</v>
      </c>
      <c r="R11" s="135">
        <v>1.6</v>
      </c>
      <c r="S11" s="135">
        <v>31</v>
      </c>
      <c r="T11" s="135">
        <v>10.4</v>
      </c>
      <c r="U11" s="135">
        <v>2.1</v>
      </c>
      <c r="V11" s="324" t="s">
        <v>205</v>
      </c>
      <c r="W11" s="356" t="s">
        <v>205</v>
      </c>
      <c r="X11" s="356" t="s">
        <v>205</v>
      </c>
      <c r="Y11" s="323">
        <v>0</v>
      </c>
      <c r="Z11" s="317">
        <v>0</v>
      </c>
      <c r="AA11" s="317" t="s">
        <v>205</v>
      </c>
      <c r="AB11" s="317" t="s">
        <v>205</v>
      </c>
      <c r="AC11" s="317" t="s">
        <v>205</v>
      </c>
      <c r="AD11" s="317" t="s">
        <v>205</v>
      </c>
      <c r="AE11" s="317">
        <v>0</v>
      </c>
      <c r="AF11" s="317" t="s">
        <v>205</v>
      </c>
      <c r="AG11" s="317" t="s">
        <v>205</v>
      </c>
      <c r="AH11" s="308"/>
      <c r="AI11"/>
    </row>
    <row r="12" spans="1:55" s="256" customFormat="1" ht="30" customHeight="1">
      <c r="A12" s="256" t="s">
        <v>459</v>
      </c>
      <c r="B12" s="256" t="s">
        <v>218</v>
      </c>
      <c r="C12" s="256" t="s">
        <v>389</v>
      </c>
      <c r="D12" s="261" t="s">
        <v>474</v>
      </c>
      <c r="E12" s="261" t="s">
        <v>475</v>
      </c>
      <c r="F12" s="297" t="s">
        <v>476</v>
      </c>
      <c r="G12" s="258" t="s">
        <v>477</v>
      </c>
      <c r="H12" s="296">
        <v>423</v>
      </c>
      <c r="I12" s="260">
        <v>5.63</v>
      </c>
      <c r="J12" s="359">
        <v>0</v>
      </c>
      <c r="K12" s="355" t="s">
        <v>205</v>
      </c>
      <c r="L12" s="355" t="s">
        <v>205</v>
      </c>
      <c r="M12" s="567">
        <v>0</v>
      </c>
      <c r="N12" s="317">
        <v>0</v>
      </c>
      <c r="O12" s="316" t="s">
        <v>205</v>
      </c>
      <c r="P12" s="316" t="s">
        <v>205</v>
      </c>
      <c r="Q12" s="316" t="s">
        <v>205</v>
      </c>
      <c r="R12" s="316" t="s">
        <v>205</v>
      </c>
      <c r="S12" s="360">
        <v>0</v>
      </c>
      <c r="T12" s="316" t="s">
        <v>205</v>
      </c>
      <c r="U12" s="316" t="s">
        <v>205</v>
      </c>
      <c r="V12" s="324" t="s">
        <v>205</v>
      </c>
      <c r="W12" s="356" t="s">
        <v>205</v>
      </c>
      <c r="X12" s="356" t="s">
        <v>205</v>
      </c>
      <c r="Y12" s="323">
        <v>0</v>
      </c>
      <c r="Z12" s="317">
        <v>0</v>
      </c>
      <c r="AA12" s="317" t="s">
        <v>205</v>
      </c>
      <c r="AB12" s="317" t="s">
        <v>205</v>
      </c>
      <c r="AC12" s="317" t="s">
        <v>205</v>
      </c>
      <c r="AD12" s="317" t="s">
        <v>205</v>
      </c>
      <c r="AE12" s="317">
        <v>0</v>
      </c>
      <c r="AF12" s="317" t="s">
        <v>205</v>
      </c>
      <c r="AG12" s="317" t="s">
        <v>205</v>
      </c>
      <c r="AH12" s="308"/>
      <c r="AI12"/>
      <c r="AJ12" s="103"/>
      <c r="AK12" s="103"/>
      <c r="AL12" s="103"/>
      <c r="AM12" s="103"/>
      <c r="AN12" s="103"/>
      <c r="AO12" s="103"/>
      <c r="AP12" s="103"/>
      <c r="AQ12" s="103"/>
      <c r="AR12" s="103"/>
      <c r="AS12" s="103"/>
      <c r="AT12" s="103"/>
      <c r="AU12" s="103"/>
      <c r="AV12" s="103"/>
      <c r="AW12" s="103"/>
      <c r="AX12" s="103"/>
      <c r="AY12" s="103"/>
      <c r="AZ12" s="103"/>
      <c r="BA12" s="103"/>
      <c r="BB12" s="103"/>
      <c r="BC12" s="103"/>
    </row>
    <row r="13" spans="1:55" s="256" customFormat="1" ht="30" customHeight="1">
      <c r="A13" s="256" t="s">
        <v>459</v>
      </c>
      <c r="B13" s="263" t="s">
        <v>218</v>
      </c>
      <c r="C13" s="263" t="s">
        <v>202</v>
      </c>
      <c r="D13" s="264" t="s">
        <v>203</v>
      </c>
      <c r="E13" s="264" t="s">
        <v>204</v>
      </c>
      <c r="F13" s="298" t="s">
        <v>478</v>
      </c>
      <c r="G13" s="265" t="s">
        <v>477</v>
      </c>
      <c r="H13" s="296">
        <v>1100</v>
      </c>
      <c r="I13" s="262">
        <v>6.0413926851582254</v>
      </c>
      <c r="J13" s="360">
        <v>38</v>
      </c>
      <c r="K13" s="358">
        <v>1158.90684210526</v>
      </c>
      <c r="L13" s="358">
        <v>427.087704899409</v>
      </c>
      <c r="M13" s="567">
        <v>36</v>
      </c>
      <c r="N13" s="322">
        <v>0</v>
      </c>
      <c r="O13" s="318" t="s">
        <v>463</v>
      </c>
      <c r="P13" s="320" t="s">
        <v>205</v>
      </c>
      <c r="Q13" s="318" t="s">
        <v>463</v>
      </c>
      <c r="R13" s="320" t="s">
        <v>205</v>
      </c>
      <c r="S13" s="135">
        <v>31</v>
      </c>
      <c r="T13" s="135">
        <v>-16.100000000000001</v>
      </c>
      <c r="U13" s="135">
        <v>4.5999999999999996</v>
      </c>
      <c r="V13" s="324" t="s">
        <v>205</v>
      </c>
      <c r="W13" s="356" t="s">
        <v>205</v>
      </c>
      <c r="X13" s="356" t="s">
        <v>205</v>
      </c>
      <c r="Y13" s="323">
        <v>0</v>
      </c>
      <c r="Z13" s="317">
        <v>0</v>
      </c>
      <c r="AA13" s="317" t="s">
        <v>205</v>
      </c>
      <c r="AB13" s="317" t="s">
        <v>205</v>
      </c>
      <c r="AC13" s="317" t="s">
        <v>205</v>
      </c>
      <c r="AD13" s="317" t="s">
        <v>205</v>
      </c>
      <c r="AE13" s="317">
        <v>0</v>
      </c>
      <c r="AF13" s="317" t="s">
        <v>205</v>
      </c>
      <c r="AG13" s="317" t="s">
        <v>205</v>
      </c>
      <c r="AH13" s="308"/>
      <c r="AI13"/>
      <c r="AJ13" s="103"/>
      <c r="AK13" s="103"/>
      <c r="AL13" s="103"/>
      <c r="AM13" s="103"/>
      <c r="AN13" s="103"/>
      <c r="AO13" s="103"/>
      <c r="AP13" s="103"/>
      <c r="AQ13" s="103"/>
      <c r="AR13" s="103"/>
      <c r="AS13" s="103"/>
      <c r="AT13" s="103"/>
      <c r="AU13" s="103"/>
      <c r="AV13" s="103"/>
      <c r="AW13" s="103"/>
      <c r="AX13" s="103"/>
      <c r="AY13" s="103"/>
      <c r="AZ13" s="103"/>
      <c r="BA13" s="103"/>
      <c r="BB13" s="103"/>
      <c r="BC13" s="103"/>
    </row>
    <row r="14" spans="1:55" s="256" customFormat="1" ht="30" customHeight="1">
      <c r="A14" s="256" t="s">
        <v>459</v>
      </c>
      <c r="B14" s="256" t="s">
        <v>218</v>
      </c>
      <c r="C14" s="256" t="s">
        <v>202</v>
      </c>
      <c r="D14" s="257" t="s">
        <v>479</v>
      </c>
      <c r="E14" s="257" t="s">
        <v>480</v>
      </c>
      <c r="F14" s="297" t="s">
        <v>481</v>
      </c>
      <c r="G14" s="258" t="s">
        <v>477</v>
      </c>
      <c r="H14" s="296">
        <v>110</v>
      </c>
      <c r="I14" s="260">
        <v>5.04139268515822</v>
      </c>
      <c r="J14" s="360">
        <v>2</v>
      </c>
      <c r="K14" s="358">
        <v>372.85500000000002</v>
      </c>
      <c r="L14" s="358">
        <v>93.783572388771802</v>
      </c>
      <c r="M14" s="567">
        <v>2</v>
      </c>
      <c r="N14" s="319">
        <v>0</v>
      </c>
      <c r="O14" s="318" t="s">
        <v>463</v>
      </c>
      <c r="P14" s="320" t="s">
        <v>205</v>
      </c>
      <c r="Q14" s="318" t="s">
        <v>463</v>
      </c>
      <c r="R14" s="320" t="s">
        <v>205</v>
      </c>
      <c r="S14" s="360">
        <v>0</v>
      </c>
      <c r="T14" s="320" t="s">
        <v>205</v>
      </c>
      <c r="U14" s="320" t="s">
        <v>205</v>
      </c>
      <c r="V14" s="324" t="s">
        <v>205</v>
      </c>
      <c r="W14" s="356" t="s">
        <v>205</v>
      </c>
      <c r="X14" s="356" t="s">
        <v>205</v>
      </c>
      <c r="Y14" s="323">
        <v>0</v>
      </c>
      <c r="Z14" s="317">
        <v>0</v>
      </c>
      <c r="AA14" s="317" t="s">
        <v>205</v>
      </c>
      <c r="AB14" s="317" t="s">
        <v>205</v>
      </c>
      <c r="AC14" s="317" t="s">
        <v>205</v>
      </c>
      <c r="AD14" s="317" t="s">
        <v>205</v>
      </c>
      <c r="AE14" s="317">
        <v>0</v>
      </c>
      <c r="AF14" s="317" t="s">
        <v>205</v>
      </c>
      <c r="AG14" s="317" t="s">
        <v>205</v>
      </c>
      <c r="AH14" s="308"/>
      <c r="AI14"/>
      <c r="AJ14" s="103"/>
      <c r="AK14" s="103"/>
      <c r="AL14" s="103"/>
      <c r="AM14" s="103"/>
      <c r="AN14" s="103"/>
      <c r="AO14" s="103"/>
      <c r="AP14" s="103"/>
      <c r="AQ14" s="103"/>
      <c r="AR14" s="103"/>
      <c r="AS14" s="103"/>
      <c r="AT14" s="103"/>
      <c r="AU14" s="103"/>
      <c r="AV14" s="103"/>
      <c r="AW14" s="103"/>
      <c r="AX14" s="103"/>
      <c r="AY14" s="103"/>
      <c r="AZ14" s="103"/>
      <c r="BA14" s="103"/>
      <c r="BB14" s="103"/>
      <c r="BC14" s="103"/>
    </row>
    <row r="15" spans="1:55" s="256" customFormat="1" ht="30" customHeight="1">
      <c r="A15" s="256" t="s">
        <v>459</v>
      </c>
      <c r="B15" s="256" t="s">
        <v>218</v>
      </c>
      <c r="C15" s="256" t="s">
        <v>202</v>
      </c>
      <c r="D15" s="261" t="s">
        <v>482</v>
      </c>
      <c r="E15" s="261" t="s">
        <v>220</v>
      </c>
      <c r="F15" s="297" t="s">
        <v>483</v>
      </c>
      <c r="G15" s="258" t="s">
        <v>477</v>
      </c>
      <c r="H15" s="296">
        <v>223</v>
      </c>
      <c r="I15" s="260">
        <v>5.35</v>
      </c>
      <c r="J15" s="360">
        <v>33</v>
      </c>
      <c r="K15" s="358">
        <v>253.392727272727</v>
      </c>
      <c r="L15" s="358">
        <v>67.350266669513204</v>
      </c>
      <c r="M15" s="567">
        <v>17</v>
      </c>
      <c r="N15" s="319">
        <v>0</v>
      </c>
      <c r="O15" s="318" t="s">
        <v>463</v>
      </c>
      <c r="P15" s="320" t="s">
        <v>205</v>
      </c>
      <c r="Q15" s="318" t="s">
        <v>463</v>
      </c>
      <c r="R15" s="320" t="s">
        <v>205</v>
      </c>
      <c r="S15" s="135">
        <v>15</v>
      </c>
      <c r="T15" s="135">
        <v>-20.2</v>
      </c>
      <c r="U15" s="135">
        <v>0.9</v>
      </c>
      <c r="V15" s="324" t="s">
        <v>205</v>
      </c>
      <c r="W15" s="356" t="s">
        <v>205</v>
      </c>
      <c r="X15" s="356" t="s">
        <v>205</v>
      </c>
      <c r="Y15" s="323">
        <v>0</v>
      </c>
      <c r="Z15" s="317">
        <v>0</v>
      </c>
      <c r="AA15" s="317" t="s">
        <v>205</v>
      </c>
      <c r="AB15" s="317" t="s">
        <v>205</v>
      </c>
      <c r="AC15" s="317" t="s">
        <v>205</v>
      </c>
      <c r="AD15" s="317" t="s">
        <v>205</v>
      </c>
      <c r="AE15" s="317">
        <v>0</v>
      </c>
      <c r="AF15" s="317" t="s">
        <v>205</v>
      </c>
      <c r="AG15" s="317" t="s">
        <v>205</v>
      </c>
      <c r="AH15" s="308"/>
      <c r="AI15"/>
      <c r="AJ15" s="103"/>
      <c r="AK15" s="103"/>
      <c r="AL15" s="103"/>
      <c r="AM15" s="103"/>
      <c r="AN15" s="103"/>
      <c r="AO15" s="103"/>
      <c r="AP15" s="103"/>
      <c r="AQ15" s="103"/>
      <c r="AR15" s="103"/>
      <c r="AS15" s="103"/>
      <c r="AT15" s="103"/>
      <c r="AU15" s="103"/>
      <c r="AV15" s="103"/>
      <c r="AW15" s="103"/>
      <c r="AX15" s="103"/>
      <c r="AY15" s="103"/>
      <c r="AZ15" s="103"/>
      <c r="BA15" s="103"/>
      <c r="BB15" s="103"/>
      <c r="BC15" s="103"/>
    </row>
    <row r="16" spans="1:55" s="256" customFormat="1" ht="36">
      <c r="A16" s="256" t="s">
        <v>459</v>
      </c>
      <c r="B16" s="256" t="s">
        <v>218</v>
      </c>
      <c r="C16" s="256" t="s">
        <v>221</v>
      </c>
      <c r="D16" s="257" t="s">
        <v>484</v>
      </c>
      <c r="E16" s="257" t="s">
        <v>485</v>
      </c>
      <c r="F16" s="297" t="s">
        <v>486</v>
      </c>
      <c r="G16" s="258" t="s">
        <v>458</v>
      </c>
      <c r="H16" s="296">
        <v>250</v>
      </c>
      <c r="I16" s="262">
        <v>5.3979400086720375</v>
      </c>
      <c r="J16" s="360">
        <v>1</v>
      </c>
      <c r="K16" s="358">
        <v>161.33000000000001</v>
      </c>
      <c r="L16" s="358" t="s">
        <v>487</v>
      </c>
      <c r="M16" s="567">
        <v>1</v>
      </c>
      <c r="N16" s="317">
        <v>0</v>
      </c>
      <c r="O16" s="316" t="s">
        <v>205</v>
      </c>
      <c r="P16" s="316" t="s">
        <v>205</v>
      </c>
      <c r="Q16" s="316" t="s">
        <v>205</v>
      </c>
      <c r="R16" s="316" t="s">
        <v>205</v>
      </c>
      <c r="S16" s="135">
        <v>1</v>
      </c>
      <c r="T16" s="135">
        <v>-18.3</v>
      </c>
      <c r="U16" s="320" t="s">
        <v>205</v>
      </c>
      <c r="V16" s="324" t="s">
        <v>205</v>
      </c>
      <c r="W16" s="356" t="s">
        <v>205</v>
      </c>
      <c r="X16" s="356" t="s">
        <v>205</v>
      </c>
      <c r="Y16" s="323">
        <v>0</v>
      </c>
      <c r="Z16" s="317">
        <v>0</v>
      </c>
      <c r="AA16" s="317" t="s">
        <v>205</v>
      </c>
      <c r="AB16" s="317" t="s">
        <v>205</v>
      </c>
      <c r="AC16" s="317" t="s">
        <v>205</v>
      </c>
      <c r="AD16" s="317" t="s">
        <v>205</v>
      </c>
      <c r="AE16" s="317">
        <v>0</v>
      </c>
      <c r="AF16" s="317" t="s">
        <v>205</v>
      </c>
      <c r="AG16" s="317" t="s">
        <v>205</v>
      </c>
      <c r="AH16" s="308"/>
      <c r="AI16"/>
      <c r="AJ16" s="103"/>
      <c r="AK16" s="103"/>
      <c r="AL16" s="103"/>
      <c r="AM16" s="103"/>
      <c r="AN16" s="103"/>
      <c r="AO16" s="103"/>
      <c r="AP16" s="103"/>
      <c r="AQ16" s="103"/>
      <c r="AR16" s="103"/>
      <c r="AS16" s="103"/>
      <c r="AT16" s="103"/>
      <c r="AU16" s="103"/>
      <c r="AV16" s="103"/>
      <c r="AW16" s="103"/>
      <c r="AX16" s="103"/>
      <c r="AY16" s="103"/>
      <c r="AZ16" s="103"/>
      <c r="BA16" s="103"/>
      <c r="BB16" s="103"/>
      <c r="BC16" s="103"/>
    </row>
    <row r="17" spans="1:55" s="256" customFormat="1" ht="31" customHeight="1">
      <c r="A17" s="256" t="s">
        <v>456</v>
      </c>
      <c r="B17" s="256" t="s">
        <v>218</v>
      </c>
      <c r="C17" s="256" t="s">
        <v>221</v>
      </c>
      <c r="D17" s="257" t="s">
        <v>222</v>
      </c>
      <c r="E17" s="257" t="s">
        <v>488</v>
      </c>
      <c r="F17" s="297" t="s">
        <v>489</v>
      </c>
      <c r="G17" s="258" t="s">
        <v>458</v>
      </c>
      <c r="H17" s="296">
        <v>54.860568000000001</v>
      </c>
      <c r="I17" s="260">
        <v>4.7392602979999996</v>
      </c>
      <c r="J17" s="360">
        <v>46</v>
      </c>
      <c r="K17" s="358">
        <v>61.449565217391303</v>
      </c>
      <c r="L17" s="358">
        <v>18.517745117891899</v>
      </c>
      <c r="M17" s="567">
        <v>25</v>
      </c>
      <c r="N17" s="135">
        <v>12</v>
      </c>
      <c r="O17" s="135">
        <v>-19.2</v>
      </c>
      <c r="P17" s="135">
        <v>0.8</v>
      </c>
      <c r="Q17" s="135">
        <v>7.1</v>
      </c>
      <c r="R17" s="135">
        <v>2</v>
      </c>
      <c r="S17" s="135">
        <v>10</v>
      </c>
      <c r="T17" s="135">
        <v>-20.9</v>
      </c>
      <c r="U17" s="135">
        <v>0.7</v>
      </c>
      <c r="V17" s="360">
        <v>123</v>
      </c>
      <c r="W17" s="358">
        <v>73.357886178861804</v>
      </c>
      <c r="X17" s="358">
        <v>31.782578412978101</v>
      </c>
      <c r="Y17" s="323">
        <v>69</v>
      </c>
      <c r="Z17" s="317">
        <v>57</v>
      </c>
      <c r="AA17" s="317">
        <v>-19.100000000000001</v>
      </c>
      <c r="AB17" s="317">
        <v>1.3</v>
      </c>
      <c r="AC17" s="317">
        <v>6.5</v>
      </c>
      <c r="AD17" s="317">
        <v>1</v>
      </c>
      <c r="AE17" s="317">
        <v>7</v>
      </c>
      <c r="AF17" s="317">
        <v>-20.2</v>
      </c>
      <c r="AG17" s="317">
        <v>1.8</v>
      </c>
      <c r="AH17" s="308"/>
      <c r="AI17"/>
      <c r="AJ17" s="103"/>
      <c r="AK17" s="103"/>
      <c r="AL17" s="103"/>
      <c r="AM17" s="103"/>
      <c r="AN17" s="103"/>
      <c r="AO17" s="103"/>
      <c r="AP17" s="103"/>
      <c r="AQ17" s="103"/>
      <c r="AR17" s="103"/>
      <c r="AS17" s="103"/>
      <c r="AT17" s="103"/>
      <c r="AU17" s="103"/>
      <c r="AV17" s="103"/>
      <c r="AW17" s="103"/>
      <c r="AX17" s="103"/>
      <c r="AY17" s="103"/>
      <c r="AZ17" s="103"/>
      <c r="BA17" s="103"/>
      <c r="BB17" s="103"/>
      <c r="BC17" s="103"/>
    </row>
    <row r="18" spans="1:55" s="256" customFormat="1" ht="31" customHeight="1">
      <c r="A18" s="286" t="s">
        <v>459</v>
      </c>
      <c r="B18" s="286" t="s">
        <v>218</v>
      </c>
      <c r="C18" s="286" t="s">
        <v>187</v>
      </c>
      <c r="D18" s="287" t="s">
        <v>490</v>
      </c>
      <c r="E18" s="287" t="s">
        <v>491</v>
      </c>
      <c r="F18" s="299" t="s">
        <v>492</v>
      </c>
      <c r="G18" s="288" t="s">
        <v>493</v>
      </c>
      <c r="H18" s="442">
        <v>75</v>
      </c>
      <c r="I18" s="289">
        <v>4.875</v>
      </c>
      <c r="J18" s="360">
        <v>15</v>
      </c>
      <c r="K18" s="358">
        <v>72.245333333333306</v>
      </c>
      <c r="L18" s="358">
        <v>29.757617240120599</v>
      </c>
      <c r="M18" s="567">
        <v>0</v>
      </c>
      <c r="N18" s="319">
        <v>0</v>
      </c>
      <c r="O18" s="316" t="s">
        <v>205</v>
      </c>
      <c r="P18" s="316" t="s">
        <v>205</v>
      </c>
      <c r="Q18" s="316" t="s">
        <v>205</v>
      </c>
      <c r="R18" s="316" t="s">
        <v>205</v>
      </c>
      <c r="S18" s="360">
        <v>0</v>
      </c>
      <c r="T18" s="316" t="s">
        <v>205</v>
      </c>
      <c r="U18" s="316" t="s">
        <v>205</v>
      </c>
      <c r="V18" s="324" t="s">
        <v>205</v>
      </c>
      <c r="W18" s="356" t="s">
        <v>205</v>
      </c>
      <c r="X18" s="356" t="s">
        <v>205</v>
      </c>
      <c r="Y18" s="323">
        <v>0</v>
      </c>
      <c r="Z18" s="317">
        <v>0</v>
      </c>
      <c r="AA18" s="317" t="s">
        <v>205</v>
      </c>
      <c r="AB18" s="317" t="s">
        <v>205</v>
      </c>
      <c r="AC18" s="317" t="s">
        <v>205</v>
      </c>
      <c r="AD18" s="317" t="s">
        <v>205</v>
      </c>
      <c r="AE18" s="317">
        <v>0</v>
      </c>
      <c r="AF18" s="317" t="s">
        <v>205</v>
      </c>
      <c r="AG18" s="317" t="s">
        <v>205</v>
      </c>
      <c r="AH18" s="309"/>
      <c r="AI18"/>
      <c r="AJ18" s="103"/>
      <c r="AK18" s="103"/>
      <c r="AL18" s="103"/>
      <c r="AM18" s="103"/>
      <c r="AN18" s="103"/>
      <c r="AO18" s="103"/>
      <c r="AP18" s="103"/>
      <c r="AQ18" s="103"/>
      <c r="AR18" s="103"/>
      <c r="AS18" s="103"/>
      <c r="AT18" s="103"/>
      <c r="AU18" s="103"/>
      <c r="AV18" s="103"/>
      <c r="AW18" s="103"/>
      <c r="AX18" s="103"/>
      <c r="AY18" s="103"/>
      <c r="AZ18" s="103"/>
      <c r="BA18" s="103"/>
      <c r="BB18" s="103"/>
      <c r="BC18" s="103"/>
    </row>
    <row r="19" spans="1:55" s="286" customFormat="1" ht="31" customHeight="1">
      <c r="A19" s="256" t="s">
        <v>456</v>
      </c>
      <c r="B19" s="256" t="s">
        <v>218</v>
      </c>
      <c r="C19" s="256" t="s">
        <v>187</v>
      </c>
      <c r="D19" s="257" t="s">
        <v>494</v>
      </c>
      <c r="E19" s="257" t="s">
        <v>495</v>
      </c>
      <c r="F19" s="297" t="s">
        <v>496</v>
      </c>
      <c r="G19" s="258" t="s">
        <v>477</v>
      </c>
      <c r="H19" s="259">
        <v>21.2666948723583</v>
      </c>
      <c r="I19" s="260">
        <v>4.3277000000000001</v>
      </c>
      <c r="J19" s="360">
        <v>2</v>
      </c>
      <c r="K19" s="358">
        <v>31.155000000000001</v>
      </c>
      <c r="L19" s="358">
        <v>0.615182899632297</v>
      </c>
      <c r="M19" s="567">
        <v>2</v>
      </c>
      <c r="N19" s="135">
        <v>2</v>
      </c>
      <c r="O19" s="135">
        <v>-16.100000000000001</v>
      </c>
      <c r="P19" s="135">
        <v>0.5</v>
      </c>
      <c r="Q19" s="135">
        <v>7.2</v>
      </c>
      <c r="R19" s="135">
        <v>0.2</v>
      </c>
      <c r="S19" s="360">
        <v>0</v>
      </c>
      <c r="T19" s="320" t="s">
        <v>205</v>
      </c>
      <c r="U19" s="320" t="s">
        <v>205</v>
      </c>
      <c r="V19" s="324">
        <v>0</v>
      </c>
      <c r="W19" s="356" t="s">
        <v>205</v>
      </c>
      <c r="X19" s="356" t="s">
        <v>205</v>
      </c>
      <c r="Y19" s="323">
        <v>2</v>
      </c>
      <c r="Z19" s="317">
        <v>2</v>
      </c>
      <c r="AA19" s="317">
        <v>-16.5</v>
      </c>
      <c r="AB19" s="317">
        <v>0.1</v>
      </c>
      <c r="AC19" s="317">
        <v>6.4</v>
      </c>
      <c r="AD19" s="317">
        <v>0.5</v>
      </c>
      <c r="AE19" s="317">
        <v>0</v>
      </c>
      <c r="AF19" s="317" t="s">
        <v>205</v>
      </c>
      <c r="AG19" s="317" t="s">
        <v>205</v>
      </c>
      <c r="AH19" s="308"/>
      <c r="AI19"/>
      <c r="AJ19" s="290"/>
      <c r="AK19" s="290"/>
      <c r="AL19" s="290"/>
      <c r="AM19" s="290"/>
      <c r="AN19" s="290"/>
      <c r="AO19" s="290"/>
      <c r="AP19" s="290"/>
      <c r="AQ19" s="290"/>
      <c r="AR19" s="290"/>
      <c r="AS19" s="290"/>
      <c r="AT19" s="290"/>
      <c r="AU19" s="290"/>
      <c r="AV19" s="290"/>
      <c r="AW19" s="290"/>
      <c r="AX19" s="290"/>
      <c r="AY19" s="290"/>
      <c r="AZ19" s="290"/>
      <c r="BA19" s="290"/>
      <c r="BB19" s="290"/>
      <c r="BC19" s="290"/>
    </row>
    <row r="20" spans="1:55" s="256" customFormat="1" ht="31" customHeight="1">
      <c r="A20" s="256" t="s">
        <v>459</v>
      </c>
      <c r="B20" s="256" t="s">
        <v>218</v>
      </c>
      <c r="C20" s="256" t="s">
        <v>187</v>
      </c>
      <c r="D20" s="257" t="s">
        <v>188</v>
      </c>
      <c r="E20" s="257" t="s">
        <v>189</v>
      </c>
      <c r="F20" s="297" t="s">
        <v>497</v>
      </c>
      <c r="G20" s="265" t="s">
        <v>458</v>
      </c>
      <c r="H20" s="296">
        <v>136</v>
      </c>
      <c r="I20" s="260">
        <v>5.1335389083702099</v>
      </c>
      <c r="J20" s="360">
        <v>18</v>
      </c>
      <c r="K20" s="358">
        <v>81.578888888888898</v>
      </c>
      <c r="L20" s="358">
        <v>23.767212434951301</v>
      </c>
      <c r="M20" s="567">
        <v>5</v>
      </c>
      <c r="N20" s="319">
        <v>0</v>
      </c>
      <c r="O20" s="318" t="s">
        <v>463</v>
      </c>
      <c r="P20" s="320" t="s">
        <v>205</v>
      </c>
      <c r="Q20" s="318" t="s">
        <v>463</v>
      </c>
      <c r="R20" s="320" t="s">
        <v>205</v>
      </c>
      <c r="S20" s="135">
        <v>4</v>
      </c>
      <c r="T20" s="135">
        <v>-17.7</v>
      </c>
      <c r="U20" s="135">
        <v>0.2</v>
      </c>
      <c r="V20" s="324" t="s">
        <v>205</v>
      </c>
      <c r="W20" s="356" t="s">
        <v>205</v>
      </c>
      <c r="X20" s="356" t="s">
        <v>205</v>
      </c>
      <c r="Y20" s="323">
        <v>0</v>
      </c>
      <c r="Z20" s="317">
        <v>0</v>
      </c>
      <c r="AA20" s="317" t="s">
        <v>205</v>
      </c>
      <c r="AB20" s="317" t="s">
        <v>205</v>
      </c>
      <c r="AC20" s="317" t="s">
        <v>205</v>
      </c>
      <c r="AD20" s="317" t="s">
        <v>205</v>
      </c>
      <c r="AE20" s="317">
        <v>0</v>
      </c>
      <c r="AF20" s="317" t="s">
        <v>205</v>
      </c>
      <c r="AG20" s="317" t="s">
        <v>205</v>
      </c>
      <c r="AH20" s="308"/>
      <c r="AI20"/>
      <c r="AJ20" s="103"/>
      <c r="AK20" s="103"/>
      <c r="AL20" s="103"/>
      <c r="AM20" s="103"/>
      <c r="AN20" s="103"/>
      <c r="AO20" s="103"/>
      <c r="AP20" s="103"/>
      <c r="AQ20" s="103"/>
      <c r="AR20" s="103"/>
      <c r="AS20" s="103"/>
      <c r="AT20" s="103"/>
      <c r="AU20" s="103"/>
      <c r="AV20" s="103"/>
      <c r="AW20" s="103"/>
      <c r="AX20" s="103"/>
      <c r="AY20" s="103"/>
      <c r="AZ20" s="103"/>
      <c r="BA20" s="103"/>
      <c r="BB20" s="103"/>
      <c r="BC20" s="103"/>
    </row>
    <row r="21" spans="1:55" s="256" customFormat="1" ht="31" customHeight="1">
      <c r="A21" s="256" t="s">
        <v>459</v>
      </c>
      <c r="B21" s="256" t="s">
        <v>273</v>
      </c>
      <c r="C21" s="256" t="s">
        <v>74</v>
      </c>
      <c r="D21" s="257" t="s">
        <v>266</v>
      </c>
      <c r="E21" s="257" t="s">
        <v>282</v>
      </c>
      <c r="F21" s="297" t="s">
        <v>498</v>
      </c>
      <c r="G21" s="258" t="s">
        <v>325</v>
      </c>
      <c r="H21" s="259">
        <v>65</v>
      </c>
      <c r="I21" s="260">
        <v>4.8129133566428504</v>
      </c>
      <c r="J21" s="360">
        <v>51</v>
      </c>
      <c r="K21" s="358">
        <v>55.156862745098003</v>
      </c>
      <c r="L21" s="358">
        <v>18.345099017470201</v>
      </c>
      <c r="M21" s="567">
        <v>16</v>
      </c>
      <c r="N21" s="135">
        <v>5</v>
      </c>
      <c r="O21" s="358">
        <v>-11.7</v>
      </c>
      <c r="P21" s="381">
        <v>0.9</v>
      </c>
      <c r="Q21" s="381">
        <v>12.7</v>
      </c>
      <c r="R21" s="381">
        <v>0.8</v>
      </c>
      <c r="S21" s="135">
        <v>3</v>
      </c>
      <c r="T21" s="135">
        <v>-10.4</v>
      </c>
      <c r="U21" s="135">
        <v>1.1000000000000001</v>
      </c>
      <c r="V21" s="324" t="s">
        <v>205</v>
      </c>
      <c r="W21" s="356" t="s">
        <v>205</v>
      </c>
      <c r="X21" s="356" t="s">
        <v>205</v>
      </c>
      <c r="Y21" s="323">
        <v>0</v>
      </c>
      <c r="Z21" s="317">
        <v>0</v>
      </c>
      <c r="AA21" s="317" t="s">
        <v>205</v>
      </c>
      <c r="AB21" s="317" t="s">
        <v>205</v>
      </c>
      <c r="AC21" s="317" t="s">
        <v>205</v>
      </c>
      <c r="AD21" s="317" t="s">
        <v>205</v>
      </c>
      <c r="AE21" s="317">
        <v>0</v>
      </c>
      <c r="AF21" s="317" t="s">
        <v>205</v>
      </c>
      <c r="AG21" s="317" t="s">
        <v>205</v>
      </c>
      <c r="AH21" s="308"/>
      <c r="AI21"/>
      <c r="AJ21" s="103"/>
      <c r="AK21" s="103"/>
      <c r="AL21" s="103"/>
      <c r="AM21" s="103"/>
      <c r="AN21" s="103"/>
      <c r="AO21" s="103"/>
      <c r="AP21" s="103"/>
      <c r="AQ21" s="103"/>
      <c r="AR21" s="103"/>
      <c r="AS21" s="103"/>
      <c r="AT21" s="103"/>
      <c r="AU21" s="103"/>
      <c r="AV21" s="103"/>
      <c r="AW21" s="103"/>
      <c r="AX21" s="103"/>
      <c r="AY21" s="103"/>
      <c r="AZ21" s="103"/>
      <c r="BA21" s="103"/>
      <c r="BB21" s="103"/>
      <c r="BC21" s="103"/>
    </row>
    <row r="22" spans="1:55" s="256" customFormat="1" ht="31" customHeight="1">
      <c r="A22" s="256" t="s">
        <v>456</v>
      </c>
      <c r="B22" s="256" t="s">
        <v>273</v>
      </c>
      <c r="C22" s="256" t="s">
        <v>74</v>
      </c>
      <c r="D22" s="257" t="s">
        <v>266</v>
      </c>
      <c r="E22" s="257" t="s">
        <v>499</v>
      </c>
      <c r="F22" s="297" t="s">
        <v>500</v>
      </c>
      <c r="G22" s="258" t="s">
        <v>325</v>
      </c>
      <c r="H22" s="259" t="s">
        <v>205</v>
      </c>
      <c r="I22" s="260"/>
      <c r="J22" s="360">
        <v>4</v>
      </c>
      <c r="K22" s="358">
        <v>11.465</v>
      </c>
      <c r="L22" s="358">
        <v>4.2160131245842498</v>
      </c>
      <c r="M22" s="567">
        <v>0</v>
      </c>
      <c r="N22" s="317">
        <v>0</v>
      </c>
      <c r="O22" s="316" t="s">
        <v>205</v>
      </c>
      <c r="P22" s="316" t="s">
        <v>205</v>
      </c>
      <c r="Q22" s="316" t="s">
        <v>205</v>
      </c>
      <c r="R22" s="316" t="s">
        <v>205</v>
      </c>
      <c r="S22" s="360">
        <v>0</v>
      </c>
      <c r="T22" s="316" t="s">
        <v>205</v>
      </c>
      <c r="U22" s="316" t="s">
        <v>205</v>
      </c>
      <c r="V22" s="360">
        <v>16</v>
      </c>
      <c r="W22" s="358">
        <v>8.3862500000000004</v>
      </c>
      <c r="X22" s="358">
        <v>1.88722680142054</v>
      </c>
      <c r="Y22" s="323">
        <v>5</v>
      </c>
      <c r="Z22" s="317">
        <v>4</v>
      </c>
      <c r="AA22" s="317">
        <v>-17.399999999999999</v>
      </c>
      <c r="AB22" s="317">
        <v>2.2000000000000002</v>
      </c>
      <c r="AC22" s="317">
        <v>8.4</v>
      </c>
      <c r="AD22" s="317">
        <v>0.5</v>
      </c>
      <c r="AE22" s="317">
        <v>0</v>
      </c>
      <c r="AF22" s="317" t="s">
        <v>205</v>
      </c>
      <c r="AG22" s="317" t="s">
        <v>205</v>
      </c>
      <c r="AH22" s="244"/>
      <c r="AI22"/>
      <c r="AJ22" s="103"/>
      <c r="AK22" s="103"/>
      <c r="AL22" s="103"/>
      <c r="AM22" s="103"/>
      <c r="AN22" s="103"/>
      <c r="AO22" s="103"/>
      <c r="AP22" s="103"/>
      <c r="AQ22" s="103"/>
      <c r="AR22" s="103"/>
      <c r="AS22" s="103"/>
      <c r="AT22" s="103"/>
      <c r="AU22" s="103"/>
      <c r="AV22" s="103"/>
      <c r="AW22" s="103"/>
      <c r="AX22" s="103"/>
      <c r="AY22" s="103"/>
      <c r="AZ22" s="103"/>
      <c r="BA22" s="103"/>
      <c r="BB22" s="103"/>
      <c r="BC22" s="103"/>
    </row>
    <row r="23" spans="1:55" s="256" customFormat="1" ht="31" customHeight="1">
      <c r="A23" s="256" t="s">
        <v>456</v>
      </c>
      <c r="B23" s="256" t="s">
        <v>273</v>
      </c>
      <c r="C23" s="256" t="s">
        <v>74</v>
      </c>
      <c r="D23" s="257" t="s">
        <v>266</v>
      </c>
      <c r="E23" s="257" t="s">
        <v>267</v>
      </c>
      <c r="F23" s="297" t="s">
        <v>501</v>
      </c>
      <c r="G23" s="258" t="s">
        <v>325</v>
      </c>
      <c r="H23" s="259">
        <v>13.4</v>
      </c>
      <c r="I23" s="260">
        <v>4.1269999999999998</v>
      </c>
      <c r="J23" s="360">
        <v>68</v>
      </c>
      <c r="K23" s="358">
        <v>10.3954411764706</v>
      </c>
      <c r="L23" s="358">
        <v>3.4235084708847299</v>
      </c>
      <c r="M23" s="567">
        <v>10</v>
      </c>
      <c r="N23" s="135">
        <v>5</v>
      </c>
      <c r="O23" s="135">
        <v>-14.9</v>
      </c>
      <c r="P23" s="135">
        <v>1.9</v>
      </c>
      <c r="Q23" s="135">
        <v>9.6</v>
      </c>
      <c r="R23" s="135">
        <v>1.6</v>
      </c>
      <c r="S23" s="360">
        <v>0</v>
      </c>
      <c r="T23" s="316" t="s">
        <v>205</v>
      </c>
      <c r="U23" s="316" t="s">
        <v>205</v>
      </c>
      <c r="V23" s="360">
        <v>29</v>
      </c>
      <c r="W23" s="358">
        <v>9.6151724137931005</v>
      </c>
      <c r="X23" s="358">
        <v>3.1739752234716399</v>
      </c>
      <c r="Y23" s="323">
        <v>23</v>
      </c>
      <c r="Z23" s="317">
        <v>23</v>
      </c>
      <c r="AA23" s="317">
        <v>-13.5</v>
      </c>
      <c r="AB23" s="317">
        <v>2.7</v>
      </c>
      <c r="AC23" s="317">
        <v>9.4</v>
      </c>
      <c r="AD23" s="317">
        <v>1.8</v>
      </c>
      <c r="AE23" s="317">
        <v>0</v>
      </c>
      <c r="AF23" s="317" t="s">
        <v>205</v>
      </c>
      <c r="AG23" s="317" t="s">
        <v>205</v>
      </c>
      <c r="AH23" s="244" t="s">
        <v>502</v>
      </c>
      <c r="AI23"/>
      <c r="AJ23" s="103"/>
      <c r="AK23" s="103"/>
      <c r="AL23" s="103"/>
      <c r="AM23" s="103"/>
      <c r="AN23" s="103"/>
      <c r="AO23" s="103"/>
      <c r="AP23" s="103"/>
      <c r="AQ23" s="103"/>
      <c r="AR23" s="103"/>
      <c r="AS23" s="103"/>
      <c r="AT23" s="103"/>
      <c r="AU23" s="103"/>
      <c r="AV23" s="103"/>
      <c r="AW23" s="103"/>
      <c r="AX23" s="103"/>
      <c r="AY23" s="103"/>
      <c r="AZ23" s="103"/>
      <c r="BA23" s="103"/>
      <c r="BB23" s="103"/>
      <c r="BC23" s="103"/>
    </row>
    <row r="24" spans="1:55" s="256" customFormat="1" ht="31" customHeight="1">
      <c r="A24" s="256" t="s">
        <v>456</v>
      </c>
      <c r="B24" s="256" t="s">
        <v>273</v>
      </c>
      <c r="C24" s="256" t="s">
        <v>74</v>
      </c>
      <c r="D24" s="257" t="s">
        <v>266</v>
      </c>
      <c r="E24" s="257" t="s">
        <v>503</v>
      </c>
      <c r="F24" s="297" t="s">
        <v>504</v>
      </c>
      <c r="G24" s="258" t="s">
        <v>325</v>
      </c>
      <c r="H24" s="259">
        <v>15</v>
      </c>
      <c r="I24" s="260">
        <f>LOG(15*1000)</f>
        <v>4.1760912590556813</v>
      </c>
      <c r="J24" s="360">
        <v>30</v>
      </c>
      <c r="K24" s="358">
        <v>9.0839999999999996</v>
      </c>
      <c r="L24" s="358">
        <v>2.0299084402657401</v>
      </c>
      <c r="M24" s="567">
        <v>0</v>
      </c>
      <c r="N24" s="317">
        <v>0</v>
      </c>
      <c r="O24" s="316" t="s">
        <v>205</v>
      </c>
      <c r="P24" s="316" t="s">
        <v>205</v>
      </c>
      <c r="Q24" s="316" t="s">
        <v>205</v>
      </c>
      <c r="R24" s="316" t="s">
        <v>205</v>
      </c>
      <c r="S24" s="360">
        <v>0</v>
      </c>
      <c r="T24" s="316" t="s">
        <v>205</v>
      </c>
      <c r="U24" s="316" t="s">
        <v>205</v>
      </c>
      <c r="V24" s="360">
        <v>20</v>
      </c>
      <c r="W24" s="358">
        <v>9.5045000000000002</v>
      </c>
      <c r="X24" s="358">
        <v>2.7806729117437099</v>
      </c>
      <c r="Y24" s="323">
        <v>12</v>
      </c>
      <c r="Z24" s="317">
        <v>11</v>
      </c>
      <c r="AA24" s="317">
        <v>-15.7</v>
      </c>
      <c r="AB24" s="317">
        <v>2.4</v>
      </c>
      <c r="AC24" s="317">
        <v>9</v>
      </c>
      <c r="AD24" s="317">
        <v>1.2</v>
      </c>
      <c r="AE24" s="317">
        <v>0</v>
      </c>
      <c r="AF24" s="317" t="s">
        <v>205</v>
      </c>
      <c r="AG24" s="317" t="s">
        <v>205</v>
      </c>
      <c r="AH24" s="244"/>
      <c r="AI24"/>
      <c r="AJ24" s="103"/>
      <c r="AK24" s="103"/>
      <c r="AL24" s="103"/>
      <c r="AM24" s="103"/>
      <c r="AN24" s="103"/>
      <c r="AO24" s="103"/>
      <c r="AP24" s="103"/>
      <c r="AQ24" s="103"/>
      <c r="AR24" s="103"/>
      <c r="AS24" s="103"/>
      <c r="AT24" s="103"/>
      <c r="AU24" s="103"/>
      <c r="AV24" s="103"/>
      <c r="AW24" s="103"/>
      <c r="AX24" s="103"/>
      <c r="AY24" s="103"/>
      <c r="AZ24" s="103"/>
      <c r="BA24" s="103"/>
      <c r="BB24" s="103"/>
      <c r="BC24" s="103"/>
    </row>
    <row r="25" spans="1:55" s="256" customFormat="1" ht="31" customHeight="1">
      <c r="A25" s="256" t="s">
        <v>456</v>
      </c>
      <c r="B25" s="256" t="s">
        <v>273</v>
      </c>
      <c r="C25" s="256" t="s">
        <v>74</v>
      </c>
      <c r="D25" s="257" t="s">
        <v>266</v>
      </c>
      <c r="E25" s="257" t="s">
        <v>505</v>
      </c>
      <c r="F25" s="297" t="s">
        <v>506</v>
      </c>
      <c r="G25" s="258" t="s">
        <v>325</v>
      </c>
      <c r="H25" s="259">
        <v>19.891500000000001</v>
      </c>
      <c r="I25" s="267">
        <v>4.2986675341128677</v>
      </c>
      <c r="J25" s="360">
        <v>15</v>
      </c>
      <c r="K25" s="358">
        <v>29.271333333333299</v>
      </c>
      <c r="L25" s="358">
        <v>8.1485369998604806</v>
      </c>
      <c r="M25" s="567">
        <v>3</v>
      </c>
      <c r="N25" s="135">
        <v>3</v>
      </c>
      <c r="O25" s="135">
        <v>-13.3</v>
      </c>
      <c r="P25" s="135">
        <v>2.8</v>
      </c>
      <c r="Q25" s="135">
        <v>11.8</v>
      </c>
      <c r="R25" s="135">
        <v>1.4</v>
      </c>
      <c r="S25" s="360">
        <v>0</v>
      </c>
      <c r="T25" s="316" t="s">
        <v>205</v>
      </c>
      <c r="U25" s="316" t="s">
        <v>205</v>
      </c>
      <c r="V25" s="360">
        <v>10</v>
      </c>
      <c r="W25" s="358">
        <v>28.024999999999999</v>
      </c>
      <c r="X25" s="358">
        <v>6.2591998956203101</v>
      </c>
      <c r="Y25" s="323">
        <v>8</v>
      </c>
      <c r="Z25" s="317">
        <v>8</v>
      </c>
      <c r="AA25" s="317">
        <v>-11.5</v>
      </c>
      <c r="AB25" s="317">
        <v>3.8</v>
      </c>
      <c r="AC25" s="317">
        <v>9.8000000000000007</v>
      </c>
      <c r="AD25" s="317">
        <v>1.9</v>
      </c>
      <c r="AE25" s="317">
        <v>0</v>
      </c>
      <c r="AF25" s="317" t="s">
        <v>205</v>
      </c>
      <c r="AG25" s="317" t="s">
        <v>205</v>
      </c>
      <c r="AH25" s="244" t="s">
        <v>507</v>
      </c>
      <c r="AI25"/>
      <c r="AJ25" s="103"/>
      <c r="AK25" s="103"/>
      <c r="AL25" s="103"/>
      <c r="AM25" s="103"/>
      <c r="AN25" s="103"/>
      <c r="AO25" s="103"/>
      <c r="AP25" s="103"/>
      <c r="AQ25" s="103"/>
      <c r="AR25" s="103"/>
      <c r="AS25" s="103"/>
      <c r="AT25" s="103"/>
      <c r="AU25" s="103"/>
      <c r="AV25" s="103"/>
      <c r="AW25" s="103"/>
      <c r="AX25" s="103"/>
      <c r="AY25" s="103"/>
      <c r="AZ25" s="103"/>
      <c r="BA25" s="103"/>
      <c r="BB25" s="103"/>
      <c r="BC25" s="103"/>
    </row>
    <row r="26" spans="1:55" s="256" customFormat="1" ht="31" customHeight="1">
      <c r="A26" s="258" t="s">
        <v>508</v>
      </c>
      <c r="B26" s="256" t="s">
        <v>273</v>
      </c>
      <c r="C26" s="256" t="s">
        <v>74</v>
      </c>
      <c r="D26" s="257" t="s">
        <v>266</v>
      </c>
      <c r="E26" s="257" t="s">
        <v>151</v>
      </c>
      <c r="F26" s="297" t="s">
        <v>509</v>
      </c>
      <c r="G26" s="258" t="s">
        <v>325</v>
      </c>
      <c r="H26" s="259">
        <v>11.43</v>
      </c>
      <c r="I26" s="267">
        <f>LOG(H26*1000)</f>
        <v>4.0580462303952816</v>
      </c>
      <c r="J26" s="360">
        <v>1</v>
      </c>
      <c r="K26" s="358">
        <v>7.19</v>
      </c>
      <c r="L26" s="355" t="s">
        <v>205</v>
      </c>
      <c r="M26" s="567">
        <v>3</v>
      </c>
      <c r="N26" s="135">
        <v>3</v>
      </c>
      <c r="O26" s="135">
        <v>-15.5</v>
      </c>
      <c r="P26" s="135">
        <v>3.5</v>
      </c>
      <c r="Q26" s="135">
        <v>8.8000000000000007</v>
      </c>
      <c r="R26" s="135">
        <v>3.7</v>
      </c>
      <c r="S26" s="360">
        <v>0</v>
      </c>
      <c r="T26" s="316" t="s">
        <v>205</v>
      </c>
      <c r="U26" s="316" t="s">
        <v>205</v>
      </c>
      <c r="V26" s="360">
        <v>3</v>
      </c>
      <c r="W26" s="358">
        <v>6.03</v>
      </c>
      <c r="X26" s="358">
        <v>0.21931712199461301</v>
      </c>
      <c r="Y26" s="323">
        <v>22</v>
      </c>
      <c r="Z26" s="317">
        <v>19</v>
      </c>
      <c r="AA26" s="317">
        <v>-14.4</v>
      </c>
      <c r="AB26" s="317">
        <v>1.9</v>
      </c>
      <c r="AC26" s="317">
        <v>9.1</v>
      </c>
      <c r="AD26" s="317">
        <v>1.7</v>
      </c>
      <c r="AE26" s="317">
        <v>0</v>
      </c>
      <c r="AF26" s="317" t="s">
        <v>205</v>
      </c>
      <c r="AG26" s="317" t="s">
        <v>205</v>
      </c>
      <c r="AH26" s="244"/>
      <c r="AI26"/>
      <c r="AJ26" s="103"/>
      <c r="AK26" s="103"/>
      <c r="AL26" s="103"/>
      <c r="AM26" s="103"/>
      <c r="AN26" s="103"/>
      <c r="AO26" s="103"/>
      <c r="AP26" s="103"/>
      <c r="AQ26" s="103"/>
      <c r="AR26" s="103"/>
      <c r="AS26" s="103"/>
      <c r="AT26" s="103"/>
      <c r="AU26" s="103"/>
      <c r="AV26" s="103"/>
      <c r="AW26" s="103"/>
      <c r="AX26" s="103"/>
      <c r="AY26" s="103"/>
      <c r="AZ26" s="103"/>
      <c r="BA26" s="103"/>
      <c r="BB26" s="103"/>
      <c r="BC26" s="103"/>
    </row>
    <row r="27" spans="1:55" s="256" customFormat="1" ht="31" customHeight="1">
      <c r="A27" s="256" t="s">
        <v>456</v>
      </c>
      <c r="B27" s="256" t="s">
        <v>273</v>
      </c>
      <c r="C27" s="256" t="s">
        <v>74</v>
      </c>
      <c r="D27" s="257" t="s">
        <v>274</v>
      </c>
      <c r="E27" s="105" t="s">
        <v>510</v>
      </c>
      <c r="F27" s="297" t="s">
        <v>511</v>
      </c>
      <c r="G27" s="258" t="s">
        <v>325</v>
      </c>
      <c r="H27" s="259">
        <v>3.8</v>
      </c>
      <c r="I27" s="254">
        <f>LOG(H27*1000)</f>
        <v>3.5797835966168101</v>
      </c>
      <c r="J27" s="360">
        <v>9</v>
      </c>
      <c r="K27" s="358">
        <v>3.0244444444444398</v>
      </c>
      <c r="L27" s="358">
        <v>1.1024984252949199</v>
      </c>
      <c r="M27" s="567">
        <v>1</v>
      </c>
      <c r="N27" s="319">
        <v>0</v>
      </c>
      <c r="O27" s="318" t="s">
        <v>463</v>
      </c>
      <c r="P27" s="320" t="s">
        <v>205</v>
      </c>
      <c r="Q27" s="318" t="s">
        <v>463</v>
      </c>
      <c r="R27" s="320" t="s">
        <v>205</v>
      </c>
      <c r="S27" s="360">
        <v>0</v>
      </c>
      <c r="T27" s="320" t="s">
        <v>205</v>
      </c>
      <c r="U27" s="320" t="s">
        <v>205</v>
      </c>
      <c r="V27" s="359">
        <v>0</v>
      </c>
      <c r="W27" s="356" t="s">
        <v>205</v>
      </c>
      <c r="X27" s="356" t="s">
        <v>205</v>
      </c>
      <c r="Y27" s="323">
        <v>1</v>
      </c>
      <c r="Z27" s="317">
        <v>0</v>
      </c>
      <c r="AA27" s="317" t="s">
        <v>463</v>
      </c>
      <c r="AB27" s="317" t="s">
        <v>205</v>
      </c>
      <c r="AC27" s="317" t="s">
        <v>463</v>
      </c>
      <c r="AD27" s="317" t="s">
        <v>205</v>
      </c>
      <c r="AE27" s="317">
        <v>0</v>
      </c>
      <c r="AF27" s="317" t="s">
        <v>205</v>
      </c>
      <c r="AG27" s="317" t="s">
        <v>205</v>
      </c>
      <c r="AH27" s="244" t="s">
        <v>512</v>
      </c>
      <c r="AI27"/>
      <c r="AJ27" s="103"/>
      <c r="AK27" s="103"/>
      <c r="AL27" s="103"/>
      <c r="AM27" s="103"/>
      <c r="AN27" s="103"/>
      <c r="AO27" s="103"/>
      <c r="AP27" s="103"/>
      <c r="AQ27" s="103"/>
      <c r="AR27" s="103"/>
      <c r="AS27" s="103"/>
      <c r="AT27" s="103"/>
      <c r="AU27" s="103"/>
      <c r="AV27" s="103"/>
      <c r="AW27" s="103"/>
      <c r="AX27" s="103"/>
      <c r="AY27" s="103"/>
      <c r="AZ27" s="103"/>
      <c r="BA27" s="103"/>
      <c r="BB27" s="103"/>
      <c r="BC27" s="103"/>
    </row>
    <row r="28" spans="1:55" s="256" customFormat="1" ht="31" customHeight="1">
      <c r="A28" s="256" t="s">
        <v>456</v>
      </c>
      <c r="B28" s="256" t="s">
        <v>273</v>
      </c>
      <c r="C28" s="256" t="s">
        <v>74</v>
      </c>
      <c r="D28" s="257" t="s">
        <v>513</v>
      </c>
      <c r="E28" s="257" t="s">
        <v>151</v>
      </c>
      <c r="F28" s="297" t="s">
        <v>514</v>
      </c>
      <c r="G28" s="258" t="s">
        <v>325</v>
      </c>
      <c r="H28" s="259">
        <f>AVERAGE(3.8,2.8)</f>
        <v>3.3</v>
      </c>
      <c r="I28" s="254">
        <f>LOG(H28*1000)</f>
        <v>3.5185139398778875</v>
      </c>
      <c r="J28" s="360">
        <v>6</v>
      </c>
      <c r="K28" s="358">
        <v>2.9583333333333299</v>
      </c>
      <c r="L28" s="358">
        <v>0.720872156950639</v>
      </c>
      <c r="M28" s="567">
        <v>2</v>
      </c>
      <c r="N28" s="135">
        <v>2</v>
      </c>
      <c r="O28" s="135">
        <v>-15.9</v>
      </c>
      <c r="P28" s="135">
        <v>0.4</v>
      </c>
      <c r="Q28" s="135">
        <v>10.1</v>
      </c>
      <c r="R28" s="135">
        <v>0.3</v>
      </c>
      <c r="S28" s="360">
        <v>0</v>
      </c>
      <c r="T28" s="320" t="s">
        <v>205</v>
      </c>
      <c r="U28" s="320" t="s">
        <v>205</v>
      </c>
      <c r="V28" s="360">
        <v>2</v>
      </c>
      <c r="W28" s="358">
        <v>3.9550000000000001</v>
      </c>
      <c r="X28" s="358">
        <v>0.85559920523572197</v>
      </c>
      <c r="Y28" s="323">
        <v>0</v>
      </c>
      <c r="Z28" s="317">
        <v>0</v>
      </c>
      <c r="AA28" s="317" t="s">
        <v>205</v>
      </c>
      <c r="AB28" s="317" t="s">
        <v>205</v>
      </c>
      <c r="AC28" s="317" t="s">
        <v>205</v>
      </c>
      <c r="AD28" s="317" t="s">
        <v>205</v>
      </c>
      <c r="AE28" s="317">
        <v>0</v>
      </c>
      <c r="AF28" s="317" t="s">
        <v>205</v>
      </c>
      <c r="AG28" s="317" t="s">
        <v>205</v>
      </c>
      <c r="AH28" s="244"/>
      <c r="AI28"/>
      <c r="AJ28" s="103"/>
      <c r="AK28" s="103"/>
      <c r="AL28" s="103"/>
      <c r="AM28" s="103"/>
      <c r="AN28" s="103"/>
      <c r="AO28" s="103"/>
      <c r="AP28" s="103"/>
      <c r="AQ28" s="103"/>
      <c r="AR28" s="103"/>
      <c r="AS28" s="103"/>
      <c r="AT28" s="103"/>
      <c r="AU28" s="103"/>
      <c r="AV28" s="103"/>
      <c r="AW28" s="103"/>
      <c r="AX28" s="103"/>
      <c r="AY28" s="103"/>
      <c r="AZ28" s="103"/>
      <c r="BA28" s="103"/>
      <c r="BB28" s="103"/>
      <c r="BC28" s="103"/>
    </row>
    <row r="29" spans="1:55" s="256" customFormat="1" ht="54" customHeight="1">
      <c r="A29" s="256" t="s">
        <v>456</v>
      </c>
      <c r="B29" s="256" t="s">
        <v>273</v>
      </c>
      <c r="C29" s="256" t="s">
        <v>74</v>
      </c>
      <c r="D29" s="257" t="s">
        <v>299</v>
      </c>
      <c r="E29" s="361" t="s">
        <v>151</v>
      </c>
      <c r="F29" s="297" t="s">
        <v>515</v>
      </c>
      <c r="G29" s="258" t="s">
        <v>325</v>
      </c>
      <c r="H29" s="259">
        <f>AVERAGE(2.2, 2.15, 4.1)</f>
        <v>2.8166666666666664</v>
      </c>
      <c r="I29" s="262">
        <f>LOG(H29*1000)</f>
        <v>3.44973545423003</v>
      </c>
      <c r="J29" s="324">
        <v>19</v>
      </c>
      <c r="K29" s="356">
        <v>2.6380952380952403</v>
      </c>
      <c r="L29" s="356">
        <v>0.82122936090907428</v>
      </c>
      <c r="M29" s="567">
        <v>3</v>
      </c>
      <c r="N29" s="352">
        <v>0</v>
      </c>
      <c r="O29" s="351" t="s">
        <v>463</v>
      </c>
      <c r="P29" s="320" t="s">
        <v>205</v>
      </c>
      <c r="Q29" s="351" t="s">
        <v>463</v>
      </c>
      <c r="R29" s="320" t="s">
        <v>205</v>
      </c>
      <c r="S29" s="360">
        <v>0</v>
      </c>
      <c r="T29" s="320" t="s">
        <v>205</v>
      </c>
      <c r="U29" s="320" t="s">
        <v>205</v>
      </c>
      <c r="V29" s="324">
        <v>6</v>
      </c>
      <c r="W29" s="356">
        <v>2.69</v>
      </c>
      <c r="X29" s="356">
        <v>1.37</v>
      </c>
      <c r="Y29" s="323">
        <v>2</v>
      </c>
      <c r="Z29" s="352">
        <v>1</v>
      </c>
      <c r="AA29" s="352">
        <v>-14.4</v>
      </c>
      <c r="AB29" s="320" t="s">
        <v>205</v>
      </c>
      <c r="AC29" s="352">
        <v>11.7</v>
      </c>
      <c r="AD29" s="320" t="s">
        <v>205</v>
      </c>
      <c r="AE29" s="352">
        <v>0</v>
      </c>
      <c r="AF29" s="352" t="s">
        <v>205</v>
      </c>
      <c r="AG29" s="352" t="s">
        <v>205</v>
      </c>
      <c r="AH29" s="366" t="s">
        <v>516</v>
      </c>
      <c r="AI29"/>
      <c r="AJ29" s="103"/>
      <c r="AK29" s="103"/>
      <c r="AL29" s="103"/>
      <c r="AM29" s="103"/>
      <c r="AN29" s="103"/>
      <c r="AO29" s="103"/>
      <c r="AP29" s="103"/>
      <c r="AQ29" s="103"/>
      <c r="AR29" s="103"/>
      <c r="AS29" s="103"/>
      <c r="AT29" s="103"/>
      <c r="AU29" s="103"/>
      <c r="AV29" s="103"/>
      <c r="AW29" s="103"/>
      <c r="AX29" s="103"/>
      <c r="AY29" s="103"/>
      <c r="AZ29" s="103"/>
      <c r="BA29" s="103"/>
      <c r="BB29" s="103"/>
      <c r="BC29" s="103"/>
    </row>
    <row r="30" spans="1:55" s="268" customFormat="1" ht="31" customHeight="1">
      <c r="A30" s="256" t="s">
        <v>459</v>
      </c>
      <c r="B30" s="256" t="s">
        <v>273</v>
      </c>
      <c r="C30" s="256" t="s">
        <v>76</v>
      </c>
      <c r="D30" s="257" t="s">
        <v>517</v>
      </c>
      <c r="E30" s="257" t="s">
        <v>101</v>
      </c>
      <c r="F30" s="297" t="s">
        <v>518</v>
      </c>
      <c r="G30" s="258" t="s">
        <v>325</v>
      </c>
      <c r="H30" s="296">
        <v>189</v>
      </c>
      <c r="I30" s="262">
        <v>5.2764618041732438</v>
      </c>
      <c r="J30" s="360">
        <v>34</v>
      </c>
      <c r="K30" s="368">
        <v>146.09411800000001</v>
      </c>
      <c r="L30" s="368">
        <v>30.714797000000001</v>
      </c>
      <c r="M30" s="567">
        <v>13</v>
      </c>
      <c r="N30" s="135">
        <v>4</v>
      </c>
      <c r="O30" s="135">
        <v>-8.8000000000000007</v>
      </c>
      <c r="P30" s="135">
        <v>0.2</v>
      </c>
      <c r="Q30" s="135">
        <v>14.2</v>
      </c>
      <c r="R30" s="135">
        <v>0.3</v>
      </c>
      <c r="S30" s="322">
        <v>0</v>
      </c>
      <c r="T30" s="320" t="s">
        <v>205</v>
      </c>
      <c r="U30" s="320" t="s">
        <v>205</v>
      </c>
      <c r="V30" s="324" t="s">
        <v>205</v>
      </c>
      <c r="W30" s="356" t="s">
        <v>205</v>
      </c>
      <c r="X30" s="356" t="s">
        <v>205</v>
      </c>
      <c r="Y30" s="323">
        <v>0</v>
      </c>
      <c r="Z30" s="317">
        <v>0</v>
      </c>
      <c r="AA30" s="317" t="s">
        <v>205</v>
      </c>
      <c r="AB30" s="317" t="s">
        <v>205</v>
      </c>
      <c r="AC30" s="317" t="s">
        <v>205</v>
      </c>
      <c r="AD30" s="317" t="s">
        <v>205</v>
      </c>
      <c r="AE30" s="317">
        <v>0</v>
      </c>
      <c r="AF30" s="317" t="s">
        <v>205</v>
      </c>
      <c r="AG30" s="317" t="s">
        <v>205</v>
      </c>
      <c r="AH30" s="308"/>
      <c r="AI30"/>
      <c r="AJ30" s="273"/>
      <c r="AK30" s="273"/>
      <c r="AL30" s="273"/>
      <c r="AM30" s="273"/>
      <c r="AN30" s="273"/>
      <c r="AO30" s="273"/>
      <c r="AP30" s="273"/>
      <c r="AQ30" s="273"/>
      <c r="AR30" s="273"/>
      <c r="AS30" s="273"/>
      <c r="AT30" s="273"/>
      <c r="AU30" s="273"/>
      <c r="AV30" s="273"/>
      <c r="AW30" s="273"/>
      <c r="AX30" s="273"/>
      <c r="AY30" s="273"/>
      <c r="AZ30" s="273"/>
      <c r="BA30" s="273"/>
      <c r="BB30" s="273"/>
      <c r="BC30" s="273"/>
    </row>
    <row r="31" spans="1:55" s="256" customFormat="1" ht="31" customHeight="1">
      <c r="A31" s="268" t="s">
        <v>456</v>
      </c>
      <c r="B31" s="269" t="s">
        <v>273</v>
      </c>
      <c r="C31" s="269" t="s">
        <v>76</v>
      </c>
      <c r="D31" s="270" t="s">
        <v>519</v>
      </c>
      <c r="E31" s="270" t="s">
        <v>520</v>
      </c>
      <c r="F31" s="300" t="s">
        <v>521</v>
      </c>
      <c r="G31" s="291" t="s">
        <v>325</v>
      </c>
      <c r="H31" s="271">
        <v>4.59</v>
      </c>
      <c r="I31" s="272">
        <f>LOG(H31*1000)</f>
        <v>3.661812685537261</v>
      </c>
      <c r="J31" s="359">
        <v>0</v>
      </c>
      <c r="K31" s="355" t="s">
        <v>205</v>
      </c>
      <c r="L31" s="355" t="s">
        <v>205</v>
      </c>
      <c r="M31" s="567">
        <v>1</v>
      </c>
      <c r="N31" s="135">
        <v>1</v>
      </c>
      <c r="O31" s="135">
        <v>-18.8</v>
      </c>
      <c r="P31" s="320" t="s">
        <v>205</v>
      </c>
      <c r="Q31" s="135">
        <v>12.7</v>
      </c>
      <c r="R31" s="320" t="s">
        <v>205</v>
      </c>
      <c r="S31" s="322">
        <v>0</v>
      </c>
      <c r="T31" s="320" t="s">
        <v>205</v>
      </c>
      <c r="U31" s="320" t="s">
        <v>205</v>
      </c>
      <c r="V31" s="359">
        <v>0</v>
      </c>
      <c r="W31" s="356" t="s">
        <v>205</v>
      </c>
      <c r="X31" s="356" t="s">
        <v>205</v>
      </c>
      <c r="Y31" s="323">
        <v>0</v>
      </c>
      <c r="Z31" s="317">
        <v>0</v>
      </c>
      <c r="AA31" s="317" t="s">
        <v>205</v>
      </c>
      <c r="AB31" s="317" t="s">
        <v>205</v>
      </c>
      <c r="AC31" s="317" t="s">
        <v>205</v>
      </c>
      <c r="AD31" s="317" t="s">
        <v>205</v>
      </c>
      <c r="AE31" s="317">
        <v>0</v>
      </c>
      <c r="AF31" s="317" t="s">
        <v>205</v>
      </c>
      <c r="AG31" s="317" t="s">
        <v>205</v>
      </c>
      <c r="AH31" s="427"/>
      <c r="AI31"/>
      <c r="AJ31" s="103"/>
      <c r="AK31" s="103"/>
      <c r="AL31" s="103"/>
      <c r="AM31" s="103"/>
      <c r="AN31" s="103"/>
      <c r="AO31" s="103"/>
      <c r="AP31" s="103"/>
      <c r="AQ31" s="103"/>
      <c r="AR31" s="103"/>
      <c r="AS31" s="103"/>
      <c r="AT31" s="103"/>
      <c r="AU31" s="103"/>
      <c r="AV31" s="103"/>
      <c r="AW31" s="103"/>
      <c r="AX31" s="103"/>
      <c r="AY31" s="103"/>
      <c r="AZ31" s="103"/>
      <c r="BA31" s="103"/>
      <c r="BB31" s="103"/>
      <c r="BC31" s="103"/>
    </row>
    <row r="32" spans="1:55" s="256" customFormat="1" ht="31" customHeight="1">
      <c r="A32" s="256" t="s">
        <v>456</v>
      </c>
      <c r="B32" s="256" t="s">
        <v>273</v>
      </c>
      <c r="C32" s="256" t="s">
        <v>76</v>
      </c>
      <c r="D32" s="257" t="s">
        <v>344</v>
      </c>
      <c r="E32" s="257" t="s">
        <v>345</v>
      </c>
      <c r="F32" s="297" t="s">
        <v>522</v>
      </c>
      <c r="G32" s="258" t="s">
        <v>325</v>
      </c>
      <c r="H32" s="259">
        <v>8.9040994091113213</v>
      </c>
      <c r="I32" s="260">
        <v>3.9495900000000002</v>
      </c>
      <c r="J32" s="360">
        <v>10</v>
      </c>
      <c r="K32" s="358">
        <v>11.147</v>
      </c>
      <c r="L32" s="358">
        <v>2.98188251501184</v>
      </c>
      <c r="M32" s="567">
        <v>5</v>
      </c>
      <c r="N32" s="135">
        <v>5</v>
      </c>
      <c r="O32" s="135">
        <v>-17.7</v>
      </c>
      <c r="P32" s="135">
        <v>1.7</v>
      </c>
      <c r="Q32" s="135">
        <v>6.8</v>
      </c>
      <c r="R32" s="135">
        <v>1.1000000000000001</v>
      </c>
      <c r="S32" s="322">
        <v>0</v>
      </c>
      <c r="T32" s="320" t="s">
        <v>205</v>
      </c>
      <c r="U32" s="320" t="s">
        <v>205</v>
      </c>
      <c r="V32" s="360">
        <v>9</v>
      </c>
      <c r="W32" s="358">
        <v>15.901111111111099</v>
      </c>
      <c r="X32" s="358">
        <v>7.0568520681045204</v>
      </c>
      <c r="Y32" s="323">
        <v>12</v>
      </c>
      <c r="Z32" s="317">
        <v>10</v>
      </c>
      <c r="AA32" s="317">
        <v>-15.6</v>
      </c>
      <c r="AB32" s="317">
        <v>1.3</v>
      </c>
      <c r="AC32" s="317">
        <v>9.1</v>
      </c>
      <c r="AD32" s="317">
        <v>1</v>
      </c>
      <c r="AE32" s="317">
        <v>0</v>
      </c>
      <c r="AF32" s="317" t="s">
        <v>205</v>
      </c>
      <c r="AG32" s="317" t="s">
        <v>205</v>
      </c>
      <c r="AH32" s="308" t="s">
        <v>523</v>
      </c>
      <c r="AI32"/>
      <c r="AJ32" s="103"/>
      <c r="AK32" s="103"/>
      <c r="AL32" s="103"/>
      <c r="AM32" s="103"/>
      <c r="AN32" s="103"/>
      <c r="AO32" s="103"/>
      <c r="AP32" s="103"/>
      <c r="AQ32" s="103"/>
      <c r="AR32" s="103"/>
      <c r="AS32" s="103"/>
      <c r="AT32" s="103"/>
      <c r="AU32" s="103"/>
      <c r="AV32" s="103"/>
      <c r="AW32" s="103"/>
      <c r="AX32" s="103"/>
      <c r="AY32" s="103"/>
      <c r="AZ32" s="103"/>
      <c r="BA32" s="103"/>
      <c r="BB32" s="103"/>
      <c r="BC32" s="103"/>
    </row>
    <row r="33" spans="1:55" s="256" customFormat="1" ht="31" customHeight="1">
      <c r="A33" s="256" t="s">
        <v>459</v>
      </c>
      <c r="B33" s="256" t="s">
        <v>273</v>
      </c>
      <c r="C33" s="256" t="s">
        <v>76</v>
      </c>
      <c r="D33" s="257" t="s">
        <v>524</v>
      </c>
      <c r="E33" s="257" t="s">
        <v>525</v>
      </c>
      <c r="F33" s="297" t="s">
        <v>526</v>
      </c>
      <c r="G33" s="258" t="s">
        <v>325</v>
      </c>
      <c r="H33" s="296">
        <v>433.2</v>
      </c>
      <c r="I33" s="260">
        <v>5.6366884479532802</v>
      </c>
      <c r="J33" s="360">
        <v>3</v>
      </c>
      <c r="K33" s="358">
        <v>214.94333333333299</v>
      </c>
      <c r="L33" s="358">
        <v>33.901966511300401</v>
      </c>
      <c r="M33" s="567">
        <v>2</v>
      </c>
      <c r="N33" s="319">
        <v>0</v>
      </c>
      <c r="O33" s="320" t="s">
        <v>205</v>
      </c>
      <c r="P33" s="320" t="s">
        <v>205</v>
      </c>
      <c r="Q33" s="320" t="s">
        <v>205</v>
      </c>
      <c r="R33" s="320" t="s">
        <v>205</v>
      </c>
      <c r="S33" s="135">
        <v>2</v>
      </c>
      <c r="T33" s="135">
        <v>-10.8</v>
      </c>
      <c r="U33" s="135">
        <v>2.7</v>
      </c>
      <c r="V33" s="324" t="s">
        <v>205</v>
      </c>
      <c r="W33" s="356" t="s">
        <v>205</v>
      </c>
      <c r="X33" s="356" t="s">
        <v>205</v>
      </c>
      <c r="Y33" s="323">
        <v>0</v>
      </c>
      <c r="Z33" s="317">
        <v>0</v>
      </c>
      <c r="AA33" s="317" t="s">
        <v>205</v>
      </c>
      <c r="AB33" s="317" t="s">
        <v>205</v>
      </c>
      <c r="AC33" s="317" t="s">
        <v>205</v>
      </c>
      <c r="AD33" s="317" t="s">
        <v>205</v>
      </c>
      <c r="AE33" s="317">
        <v>0</v>
      </c>
      <c r="AF33" s="317" t="s">
        <v>205</v>
      </c>
      <c r="AG33" s="317" t="s">
        <v>205</v>
      </c>
      <c r="AH33" s="308"/>
      <c r="AI33"/>
      <c r="AJ33" s="103"/>
      <c r="AK33" s="103"/>
      <c r="AL33" s="103"/>
      <c r="AM33" s="103"/>
      <c r="AN33" s="103"/>
      <c r="AO33" s="103"/>
      <c r="AP33" s="103"/>
      <c r="AQ33" s="103"/>
      <c r="AR33" s="103"/>
      <c r="AS33" s="103"/>
      <c r="AT33" s="103"/>
      <c r="AU33" s="103"/>
      <c r="AV33" s="103"/>
      <c r="AW33" s="103"/>
      <c r="AX33" s="103"/>
      <c r="AY33" s="103"/>
      <c r="AZ33" s="103"/>
      <c r="BA33" s="103"/>
      <c r="BB33" s="103"/>
      <c r="BC33" s="103"/>
    </row>
    <row r="34" spans="1:55" s="268" customFormat="1" ht="31" customHeight="1">
      <c r="A34" s="256" t="s">
        <v>456</v>
      </c>
      <c r="B34" s="256" t="s">
        <v>273</v>
      </c>
      <c r="C34" s="256" t="s">
        <v>76</v>
      </c>
      <c r="D34" s="257" t="s">
        <v>524</v>
      </c>
      <c r="E34" s="257" t="s">
        <v>527</v>
      </c>
      <c r="F34" s="297" t="s">
        <v>528</v>
      </c>
      <c r="G34" s="258" t="s">
        <v>325</v>
      </c>
      <c r="H34" s="259">
        <v>100</v>
      </c>
      <c r="I34" s="260">
        <v>5</v>
      </c>
      <c r="J34" s="360">
        <v>3</v>
      </c>
      <c r="K34" s="358">
        <v>91.873333333333306</v>
      </c>
      <c r="L34" s="358">
        <v>17.430095620315299</v>
      </c>
      <c r="M34" s="567">
        <v>5</v>
      </c>
      <c r="N34" s="135">
        <v>3</v>
      </c>
      <c r="O34" s="135">
        <v>-15.3</v>
      </c>
      <c r="P34" s="135">
        <v>2.1</v>
      </c>
      <c r="Q34" s="135">
        <v>12.1</v>
      </c>
      <c r="R34" s="135">
        <v>0.9</v>
      </c>
      <c r="S34" s="135">
        <v>1</v>
      </c>
      <c r="T34" s="135">
        <v>-16.5</v>
      </c>
      <c r="U34" s="316" t="s">
        <v>205</v>
      </c>
      <c r="V34" s="324">
        <v>0</v>
      </c>
      <c r="W34" s="356" t="s">
        <v>205</v>
      </c>
      <c r="X34" s="356" t="s">
        <v>205</v>
      </c>
      <c r="Y34" s="323">
        <v>4</v>
      </c>
      <c r="Z34" s="317">
        <v>4</v>
      </c>
      <c r="AA34" s="317">
        <v>-10.3</v>
      </c>
      <c r="AB34" s="317">
        <v>0.3</v>
      </c>
      <c r="AC34" s="317">
        <v>13.1</v>
      </c>
      <c r="AD34" s="317">
        <v>0.3</v>
      </c>
      <c r="AE34" s="317">
        <v>0</v>
      </c>
      <c r="AF34" s="317" t="s">
        <v>205</v>
      </c>
      <c r="AG34" s="317" t="s">
        <v>205</v>
      </c>
      <c r="AH34" s="308"/>
      <c r="AI34"/>
      <c r="AJ34" s="103"/>
      <c r="AK34" s="103"/>
      <c r="AL34" s="103"/>
      <c r="AM34" s="103"/>
      <c r="AN34" s="103"/>
      <c r="AO34" s="103"/>
      <c r="AP34" s="103"/>
      <c r="AQ34" s="103"/>
      <c r="AR34" s="103"/>
      <c r="AS34" s="103"/>
      <c r="AT34" s="103"/>
      <c r="AU34" s="103"/>
      <c r="AV34" s="103"/>
      <c r="AW34" s="103"/>
      <c r="AX34" s="103"/>
      <c r="AY34" s="103"/>
      <c r="AZ34" s="103"/>
      <c r="BA34" s="103"/>
      <c r="BB34" s="103"/>
      <c r="BC34" s="103"/>
    </row>
    <row r="35" spans="1:55" s="639" customFormat="1" ht="31" customHeight="1">
      <c r="A35" s="639" t="s">
        <v>456</v>
      </c>
      <c r="B35" s="639" t="s">
        <v>273</v>
      </c>
      <c r="C35" s="639" t="s">
        <v>76</v>
      </c>
      <c r="D35" s="640" t="s">
        <v>529</v>
      </c>
      <c r="E35" s="640" t="s">
        <v>530</v>
      </c>
      <c r="F35" s="641" t="s">
        <v>531</v>
      </c>
      <c r="G35" s="642" t="s">
        <v>325</v>
      </c>
      <c r="H35" s="643">
        <v>51.600035450694904</v>
      </c>
      <c r="I35" s="644">
        <v>4.71265</v>
      </c>
      <c r="J35" s="645">
        <v>0</v>
      </c>
      <c r="K35" s="646" t="s">
        <v>205</v>
      </c>
      <c r="L35" s="646" t="s">
        <v>205</v>
      </c>
      <c r="M35" s="647">
        <v>0</v>
      </c>
      <c r="N35" s="648">
        <v>0</v>
      </c>
      <c r="O35" s="649" t="s">
        <v>205</v>
      </c>
      <c r="P35" s="649" t="s">
        <v>205</v>
      </c>
      <c r="Q35" s="649" t="s">
        <v>205</v>
      </c>
      <c r="R35" s="649" t="s">
        <v>205</v>
      </c>
      <c r="S35" s="647">
        <v>0</v>
      </c>
      <c r="T35" s="649" t="s">
        <v>205</v>
      </c>
      <c r="U35" s="649" t="s">
        <v>205</v>
      </c>
      <c r="V35" s="650">
        <v>0</v>
      </c>
      <c r="W35" s="651" t="s">
        <v>205</v>
      </c>
      <c r="X35" s="651" t="s">
        <v>205</v>
      </c>
      <c r="Y35" s="652">
        <v>6</v>
      </c>
      <c r="Z35" s="648">
        <v>4</v>
      </c>
      <c r="AA35" s="648">
        <v>-14.8</v>
      </c>
      <c r="AB35" s="648">
        <v>3.3</v>
      </c>
      <c r="AC35" s="648">
        <v>9.6</v>
      </c>
      <c r="AD35" s="648">
        <v>1.4</v>
      </c>
      <c r="AE35" s="648">
        <v>0</v>
      </c>
      <c r="AF35" s="648" t="s">
        <v>205</v>
      </c>
      <c r="AG35" s="648" t="s">
        <v>205</v>
      </c>
      <c r="AH35" s="653"/>
      <c r="AI35" s="654"/>
      <c r="AJ35" s="655"/>
      <c r="AK35" s="655"/>
      <c r="AL35" s="655"/>
      <c r="AM35" s="655"/>
      <c r="AN35" s="655"/>
      <c r="AO35" s="655"/>
      <c r="AP35" s="655"/>
      <c r="AQ35" s="655"/>
      <c r="AR35" s="655"/>
      <c r="AS35" s="655"/>
      <c r="AT35" s="655"/>
      <c r="AU35" s="655"/>
      <c r="AV35" s="655"/>
      <c r="AW35" s="655"/>
      <c r="AX35" s="655"/>
      <c r="AY35" s="655"/>
      <c r="AZ35" s="655"/>
      <c r="BA35" s="655"/>
      <c r="BB35" s="655"/>
      <c r="BC35" s="655"/>
    </row>
    <row r="36" spans="1:55" s="268" customFormat="1" ht="31" customHeight="1">
      <c r="A36" s="256" t="s">
        <v>459</v>
      </c>
      <c r="B36" s="256" t="s">
        <v>273</v>
      </c>
      <c r="C36" s="256" t="s">
        <v>76</v>
      </c>
      <c r="D36" s="257" t="s">
        <v>532</v>
      </c>
      <c r="E36" s="257" t="s">
        <v>96</v>
      </c>
      <c r="F36" s="297" t="s">
        <v>533</v>
      </c>
      <c r="G36" s="258" t="s">
        <v>325</v>
      </c>
      <c r="H36" s="296">
        <v>400</v>
      </c>
      <c r="I36" s="262">
        <v>5.6020599913279625</v>
      </c>
      <c r="J36" s="360">
        <v>15</v>
      </c>
      <c r="K36" s="367">
        <v>175.22</v>
      </c>
      <c r="L36" s="368">
        <v>89.8983013</v>
      </c>
      <c r="M36" s="567">
        <v>12</v>
      </c>
      <c r="N36" s="135">
        <v>1</v>
      </c>
      <c r="O36" s="135">
        <v>-8.8000000000000007</v>
      </c>
      <c r="P36" s="320" t="s">
        <v>205</v>
      </c>
      <c r="Q36" s="135">
        <v>13.5</v>
      </c>
      <c r="R36" s="320" t="s">
        <v>205</v>
      </c>
      <c r="S36" s="317">
        <v>4</v>
      </c>
      <c r="T36" s="317">
        <v>-9.9</v>
      </c>
      <c r="U36" s="317">
        <v>3.3</v>
      </c>
      <c r="V36" s="324" t="s">
        <v>205</v>
      </c>
      <c r="W36" s="356" t="s">
        <v>205</v>
      </c>
      <c r="X36" s="356" t="s">
        <v>205</v>
      </c>
      <c r="Y36" s="323">
        <v>0</v>
      </c>
      <c r="Z36" s="317">
        <v>0</v>
      </c>
      <c r="AA36" s="317" t="s">
        <v>205</v>
      </c>
      <c r="AB36" s="317" t="s">
        <v>205</v>
      </c>
      <c r="AC36" s="317" t="s">
        <v>205</v>
      </c>
      <c r="AD36" s="317" t="s">
        <v>205</v>
      </c>
      <c r="AE36" s="317">
        <v>0</v>
      </c>
      <c r="AF36" s="317" t="s">
        <v>205</v>
      </c>
      <c r="AG36" s="317" t="s">
        <v>205</v>
      </c>
      <c r="AH36" s="308"/>
      <c r="AI36"/>
      <c r="AJ36" s="103"/>
      <c r="AK36" s="103"/>
      <c r="AL36" s="103"/>
      <c r="AM36" s="103"/>
      <c r="AN36" s="103"/>
      <c r="AO36" s="103"/>
      <c r="AP36" s="103"/>
      <c r="AQ36" s="103"/>
      <c r="AR36" s="103"/>
      <c r="AS36" s="103"/>
      <c r="AT36" s="103"/>
      <c r="AU36" s="103"/>
      <c r="AV36" s="103"/>
      <c r="AW36" s="103"/>
      <c r="AX36" s="103"/>
      <c r="AY36" s="103"/>
      <c r="AZ36" s="103"/>
      <c r="BA36" s="103"/>
      <c r="BB36" s="103"/>
      <c r="BC36" s="103"/>
    </row>
    <row r="37" spans="1:55" s="268" customFormat="1" ht="31" customHeight="1">
      <c r="A37" s="256" t="s">
        <v>456</v>
      </c>
      <c r="B37" s="256" t="s">
        <v>273</v>
      </c>
      <c r="C37" s="256" t="s">
        <v>534</v>
      </c>
      <c r="D37" s="257" t="s">
        <v>535</v>
      </c>
      <c r="E37" s="257" t="s">
        <v>536</v>
      </c>
      <c r="F37" s="297" t="s">
        <v>537</v>
      </c>
      <c r="G37" s="258" t="s">
        <v>538</v>
      </c>
      <c r="H37" s="259">
        <v>3.5000157607101401</v>
      </c>
      <c r="I37" s="260">
        <v>3.5440700000000001</v>
      </c>
      <c r="J37" s="359">
        <v>0</v>
      </c>
      <c r="K37" s="355" t="s">
        <v>205</v>
      </c>
      <c r="L37" s="355" t="s">
        <v>205</v>
      </c>
      <c r="M37" s="567">
        <v>0</v>
      </c>
      <c r="N37" s="317">
        <v>0</v>
      </c>
      <c r="O37" s="316" t="s">
        <v>205</v>
      </c>
      <c r="P37" s="316" t="s">
        <v>205</v>
      </c>
      <c r="Q37" s="316" t="s">
        <v>205</v>
      </c>
      <c r="R37" s="316" t="s">
        <v>205</v>
      </c>
      <c r="S37" s="360">
        <v>0</v>
      </c>
      <c r="T37" s="316" t="s">
        <v>205</v>
      </c>
      <c r="U37" s="316" t="s">
        <v>205</v>
      </c>
      <c r="V37" s="324">
        <v>2</v>
      </c>
      <c r="W37" s="354">
        <v>2.8</v>
      </c>
      <c r="X37" s="354">
        <v>0.7</v>
      </c>
      <c r="Y37" s="323">
        <v>0</v>
      </c>
      <c r="Z37" s="317">
        <v>0</v>
      </c>
      <c r="AA37" s="317" t="s">
        <v>205</v>
      </c>
      <c r="AB37" s="317" t="s">
        <v>205</v>
      </c>
      <c r="AC37" s="317" t="s">
        <v>205</v>
      </c>
      <c r="AD37" s="317" t="s">
        <v>205</v>
      </c>
      <c r="AE37" s="317">
        <v>0</v>
      </c>
      <c r="AF37" s="317" t="s">
        <v>205</v>
      </c>
      <c r="AG37" s="317" t="s">
        <v>205</v>
      </c>
      <c r="AH37" s="308"/>
      <c r="AI37"/>
      <c r="AJ37" s="103"/>
      <c r="AK37" s="103"/>
      <c r="AL37" s="103"/>
      <c r="AM37" s="103"/>
      <c r="AN37" s="103"/>
      <c r="AO37" s="103"/>
      <c r="AP37" s="103"/>
      <c r="AQ37" s="103"/>
      <c r="AR37" s="103"/>
      <c r="AS37" s="103"/>
      <c r="AT37" s="103"/>
      <c r="AU37" s="103"/>
      <c r="AV37" s="103"/>
      <c r="AW37" s="103"/>
      <c r="AX37" s="103"/>
      <c r="AY37" s="103"/>
      <c r="AZ37" s="103"/>
      <c r="BA37" s="103"/>
      <c r="BB37" s="103"/>
      <c r="BC37" s="103"/>
    </row>
    <row r="38" spans="1:55" s="256" customFormat="1" ht="31" customHeight="1">
      <c r="A38" s="256" t="s">
        <v>456</v>
      </c>
      <c r="B38" s="256" t="s">
        <v>273</v>
      </c>
      <c r="C38" s="256" t="s">
        <v>534</v>
      </c>
      <c r="D38" s="257" t="s">
        <v>539</v>
      </c>
      <c r="E38" s="257" t="s">
        <v>540</v>
      </c>
      <c r="F38" s="297" t="s">
        <v>541</v>
      </c>
      <c r="G38" s="258" t="s">
        <v>542</v>
      </c>
      <c r="H38" s="259">
        <v>2.0850189189058002</v>
      </c>
      <c r="I38" s="260">
        <v>3.3191099999999998</v>
      </c>
      <c r="J38" s="360">
        <v>9</v>
      </c>
      <c r="K38" s="358">
        <v>2.3199999999999998</v>
      </c>
      <c r="L38" s="358">
        <v>0.97780366127357099</v>
      </c>
      <c r="M38" s="567">
        <v>4</v>
      </c>
      <c r="N38" s="135">
        <v>4</v>
      </c>
      <c r="O38" s="135">
        <v>-15.3</v>
      </c>
      <c r="P38" s="135">
        <v>0.9</v>
      </c>
      <c r="Q38" s="135">
        <v>9.6</v>
      </c>
      <c r="R38" s="135">
        <v>2.7</v>
      </c>
      <c r="S38" s="360">
        <v>0</v>
      </c>
      <c r="T38" s="316" t="s">
        <v>205</v>
      </c>
      <c r="U38" s="316" t="s">
        <v>205</v>
      </c>
      <c r="V38" s="360">
        <v>2</v>
      </c>
      <c r="W38" s="358">
        <v>1.98</v>
      </c>
      <c r="X38" s="358">
        <v>0.22627416997969499</v>
      </c>
      <c r="Y38" s="323">
        <v>7</v>
      </c>
      <c r="Z38" s="317">
        <v>7</v>
      </c>
      <c r="AA38" s="317">
        <v>-14.9</v>
      </c>
      <c r="AB38" s="317">
        <v>1.8</v>
      </c>
      <c r="AC38" s="317">
        <v>9.5</v>
      </c>
      <c r="AD38" s="317">
        <v>1.8</v>
      </c>
      <c r="AE38" s="317">
        <v>0</v>
      </c>
      <c r="AF38" s="317" t="s">
        <v>205</v>
      </c>
      <c r="AG38" s="317" t="s">
        <v>205</v>
      </c>
      <c r="AH38" s="308" t="s">
        <v>543</v>
      </c>
      <c r="AI38"/>
      <c r="AJ38" s="103"/>
      <c r="AK38" s="103"/>
      <c r="AL38" s="103"/>
      <c r="AM38" s="103"/>
      <c r="AN38" s="103"/>
      <c r="AO38" s="103"/>
      <c r="AP38" s="103"/>
      <c r="AQ38" s="103"/>
      <c r="AR38" s="103"/>
      <c r="AS38" s="103"/>
      <c r="AT38" s="103"/>
      <c r="AU38" s="103"/>
      <c r="AV38" s="103"/>
      <c r="AW38" s="103"/>
      <c r="AX38" s="103"/>
      <c r="AY38" s="103"/>
      <c r="AZ38" s="103"/>
      <c r="BA38" s="103"/>
      <c r="BB38" s="103"/>
      <c r="BC38" s="103"/>
    </row>
    <row r="39" spans="1:55" s="256" customFormat="1" ht="31" customHeight="1">
      <c r="A39" s="256" t="s">
        <v>456</v>
      </c>
      <c r="B39" s="256" t="s">
        <v>273</v>
      </c>
      <c r="C39" s="256" t="s">
        <v>534</v>
      </c>
      <c r="D39" s="257" t="s">
        <v>544</v>
      </c>
      <c r="E39" s="257" t="s">
        <v>151</v>
      </c>
      <c r="F39" s="297" t="s">
        <v>545</v>
      </c>
      <c r="G39" s="258" t="s">
        <v>542</v>
      </c>
      <c r="H39" s="259">
        <v>0.34100000000000003</v>
      </c>
      <c r="I39" s="260">
        <f>LOG(H39*1000)</f>
        <v>2.5327543789924976</v>
      </c>
      <c r="J39" s="360">
        <v>5</v>
      </c>
      <c r="K39" s="358">
        <v>0.75600000000000001</v>
      </c>
      <c r="L39" s="358">
        <v>0.16816658407662299</v>
      </c>
      <c r="M39" s="567">
        <v>10</v>
      </c>
      <c r="N39" s="135">
        <v>10</v>
      </c>
      <c r="O39" s="135">
        <v>-17.399999999999999</v>
      </c>
      <c r="P39" s="135">
        <v>1.1000000000000001</v>
      </c>
      <c r="Q39" s="135">
        <v>9.9</v>
      </c>
      <c r="R39" s="135">
        <v>1.6</v>
      </c>
      <c r="S39" s="360">
        <v>0</v>
      </c>
      <c r="T39" s="316" t="s">
        <v>205</v>
      </c>
      <c r="U39" s="316" t="s">
        <v>205</v>
      </c>
      <c r="V39" s="324">
        <v>0</v>
      </c>
      <c r="W39" s="356" t="s">
        <v>205</v>
      </c>
      <c r="X39" s="356" t="s">
        <v>205</v>
      </c>
      <c r="Y39" s="323">
        <v>4</v>
      </c>
      <c r="Z39" s="317">
        <v>4</v>
      </c>
      <c r="AA39" s="317">
        <v>-16.899999999999999</v>
      </c>
      <c r="AB39" s="317">
        <v>1.3</v>
      </c>
      <c r="AC39" s="317">
        <v>11</v>
      </c>
      <c r="AD39" s="317">
        <v>2.1</v>
      </c>
      <c r="AE39" s="317">
        <v>0</v>
      </c>
      <c r="AF39" s="317" t="s">
        <v>205</v>
      </c>
      <c r="AG39" s="317" t="s">
        <v>205</v>
      </c>
      <c r="AH39" s="308"/>
      <c r="AI39"/>
      <c r="AJ39" s="103"/>
      <c r="AK39" s="103"/>
      <c r="AL39" s="103"/>
      <c r="AM39" s="103"/>
      <c r="AN39" s="103"/>
      <c r="AO39" s="103"/>
      <c r="AP39" s="103"/>
      <c r="AQ39" s="103"/>
      <c r="AR39" s="103"/>
      <c r="AS39" s="103"/>
      <c r="AT39" s="103"/>
      <c r="AU39" s="103"/>
      <c r="AV39" s="103"/>
      <c r="AW39" s="103"/>
      <c r="AX39" s="103"/>
      <c r="AY39" s="103"/>
      <c r="AZ39" s="103"/>
      <c r="BA39" s="103"/>
      <c r="BB39" s="103"/>
      <c r="BC39" s="103"/>
    </row>
    <row r="40" spans="1:55" s="256" customFormat="1" ht="31" customHeight="1">
      <c r="A40" s="256" t="s">
        <v>456</v>
      </c>
      <c r="B40" s="256" t="s">
        <v>273</v>
      </c>
      <c r="C40" s="256" t="s">
        <v>77</v>
      </c>
      <c r="D40" s="275" t="s">
        <v>546</v>
      </c>
      <c r="E40" s="275" t="s">
        <v>205</v>
      </c>
      <c r="F40" s="301" t="s">
        <v>547</v>
      </c>
      <c r="G40" s="275" t="s">
        <v>325</v>
      </c>
      <c r="H40" s="259" t="s">
        <v>205</v>
      </c>
      <c r="I40" s="262" t="s">
        <v>205</v>
      </c>
      <c r="J40" s="359">
        <v>1</v>
      </c>
      <c r="K40" s="355">
        <v>8.5</v>
      </c>
      <c r="L40" s="355" t="s">
        <v>205</v>
      </c>
      <c r="M40" s="567">
        <v>1</v>
      </c>
      <c r="N40" s="322">
        <v>1</v>
      </c>
      <c r="O40" s="318">
        <v>-16.100000000000001</v>
      </c>
      <c r="P40" s="316" t="s">
        <v>205</v>
      </c>
      <c r="Q40" s="318">
        <v>12.6</v>
      </c>
      <c r="R40" s="316" t="s">
        <v>205</v>
      </c>
      <c r="S40" s="360">
        <v>0</v>
      </c>
      <c r="T40" s="316" t="s">
        <v>205</v>
      </c>
      <c r="U40" s="316" t="s">
        <v>205</v>
      </c>
      <c r="V40" s="324">
        <v>0</v>
      </c>
      <c r="W40" s="356" t="s">
        <v>205</v>
      </c>
      <c r="X40" s="356" t="s">
        <v>205</v>
      </c>
      <c r="Y40" s="323">
        <v>0</v>
      </c>
      <c r="Z40" s="317">
        <v>0</v>
      </c>
      <c r="AA40" s="317" t="s">
        <v>205</v>
      </c>
      <c r="AB40" s="317" t="s">
        <v>205</v>
      </c>
      <c r="AC40" s="317" t="s">
        <v>205</v>
      </c>
      <c r="AD40" s="317" t="s">
        <v>205</v>
      </c>
      <c r="AE40" s="317">
        <v>0</v>
      </c>
      <c r="AF40" s="317" t="s">
        <v>205</v>
      </c>
      <c r="AG40" s="317" t="s">
        <v>205</v>
      </c>
      <c r="AH40" s="308"/>
      <c r="AI40"/>
      <c r="AJ40" s="103"/>
      <c r="AK40" s="103"/>
      <c r="AL40" s="103"/>
      <c r="AM40" s="103"/>
      <c r="AN40" s="103"/>
      <c r="AO40" s="103"/>
      <c r="AP40" s="103"/>
      <c r="AQ40" s="103"/>
      <c r="AR40" s="103"/>
      <c r="AS40" s="103"/>
      <c r="AT40" s="103"/>
      <c r="AU40" s="103"/>
      <c r="AV40" s="103"/>
      <c r="AW40" s="103"/>
      <c r="AX40" s="103"/>
      <c r="AY40" s="103"/>
      <c r="AZ40" s="103"/>
      <c r="BA40" s="103"/>
      <c r="BB40" s="103"/>
      <c r="BC40" s="103"/>
    </row>
    <row r="41" spans="1:55" s="256" customFormat="1" ht="31" customHeight="1">
      <c r="A41" s="256" t="s">
        <v>456</v>
      </c>
      <c r="B41" s="256" t="s">
        <v>273</v>
      </c>
      <c r="C41" s="256" t="s">
        <v>77</v>
      </c>
      <c r="D41" s="274" t="s">
        <v>548</v>
      </c>
      <c r="E41" s="274" t="s">
        <v>549</v>
      </c>
      <c r="F41" s="301" t="s">
        <v>550</v>
      </c>
      <c r="G41" s="275" t="s">
        <v>325</v>
      </c>
      <c r="H41" s="259">
        <v>7.1075512513855301</v>
      </c>
      <c r="I41" s="262">
        <v>3.8517199999999998</v>
      </c>
      <c r="J41" s="359">
        <v>0</v>
      </c>
      <c r="K41" s="355" t="s">
        <v>205</v>
      </c>
      <c r="L41" s="355" t="s">
        <v>205</v>
      </c>
      <c r="M41" s="567">
        <v>0</v>
      </c>
      <c r="N41" s="317">
        <v>0</v>
      </c>
      <c r="O41" s="316" t="s">
        <v>205</v>
      </c>
      <c r="P41" s="316" t="s">
        <v>205</v>
      </c>
      <c r="Q41" s="316" t="s">
        <v>205</v>
      </c>
      <c r="R41" s="316" t="s">
        <v>205</v>
      </c>
      <c r="S41" s="360">
        <v>0</v>
      </c>
      <c r="T41" s="316" t="s">
        <v>205</v>
      </c>
      <c r="U41" s="316" t="s">
        <v>205</v>
      </c>
      <c r="V41" s="360">
        <v>2</v>
      </c>
      <c r="W41" s="358">
        <v>8.39</v>
      </c>
      <c r="X41" s="358">
        <v>3.3234018715767699</v>
      </c>
      <c r="Y41" s="323">
        <v>8</v>
      </c>
      <c r="Z41" s="317">
        <v>8</v>
      </c>
      <c r="AA41" s="317">
        <v>-14.8</v>
      </c>
      <c r="AB41" s="317">
        <v>2</v>
      </c>
      <c r="AC41" s="317">
        <v>10.5</v>
      </c>
      <c r="AD41" s="317">
        <v>1.4</v>
      </c>
      <c r="AE41" s="317">
        <v>0</v>
      </c>
      <c r="AF41" s="317" t="s">
        <v>205</v>
      </c>
      <c r="AG41" s="317" t="s">
        <v>205</v>
      </c>
      <c r="AH41" s="308"/>
      <c r="AI41"/>
      <c r="AJ41" s="103"/>
      <c r="AK41" s="103"/>
      <c r="AL41" s="103"/>
      <c r="AM41" s="103"/>
      <c r="AN41" s="103"/>
      <c r="AO41" s="103"/>
      <c r="AP41" s="103"/>
      <c r="AQ41" s="103"/>
      <c r="AR41" s="103"/>
      <c r="AS41" s="103"/>
      <c r="AT41" s="103"/>
      <c r="AU41" s="103"/>
      <c r="AV41" s="103"/>
      <c r="AW41" s="103"/>
      <c r="AX41" s="103"/>
      <c r="AY41" s="103"/>
      <c r="AZ41" s="103"/>
      <c r="BA41" s="103"/>
      <c r="BB41" s="103"/>
      <c r="BC41" s="103"/>
    </row>
    <row r="42" spans="1:55" s="256" customFormat="1" ht="31" customHeight="1">
      <c r="A42" s="256" t="s">
        <v>456</v>
      </c>
      <c r="B42" s="256" t="s">
        <v>273</v>
      </c>
      <c r="C42" s="256" t="s">
        <v>551</v>
      </c>
      <c r="D42" s="257" t="s">
        <v>552</v>
      </c>
      <c r="E42" s="257" t="s">
        <v>553</v>
      </c>
      <c r="F42" s="297" t="s">
        <v>554</v>
      </c>
      <c r="G42" s="258" t="s">
        <v>325</v>
      </c>
      <c r="H42" s="259">
        <v>1.1295097912741823</v>
      </c>
      <c r="I42" s="260">
        <v>3.0528900000000005</v>
      </c>
      <c r="J42" s="360">
        <v>1</v>
      </c>
      <c r="K42" s="358">
        <v>0.93</v>
      </c>
      <c r="L42" s="354" t="s">
        <v>205</v>
      </c>
      <c r="M42" s="567">
        <v>0</v>
      </c>
      <c r="N42" s="317">
        <v>0</v>
      </c>
      <c r="O42" s="316" t="s">
        <v>205</v>
      </c>
      <c r="P42" s="316" t="s">
        <v>205</v>
      </c>
      <c r="Q42" s="316" t="s">
        <v>205</v>
      </c>
      <c r="R42" s="316" t="s">
        <v>205</v>
      </c>
      <c r="S42" s="360">
        <v>0</v>
      </c>
      <c r="T42" s="316" t="s">
        <v>205</v>
      </c>
      <c r="U42" s="316" t="s">
        <v>205</v>
      </c>
      <c r="V42" s="324">
        <v>0</v>
      </c>
      <c r="W42" s="356" t="s">
        <v>205</v>
      </c>
      <c r="X42" s="356" t="s">
        <v>205</v>
      </c>
      <c r="Y42" s="323">
        <v>0</v>
      </c>
      <c r="Z42" s="317">
        <v>0</v>
      </c>
      <c r="AA42" s="317" t="s">
        <v>205</v>
      </c>
      <c r="AB42" s="317" t="s">
        <v>205</v>
      </c>
      <c r="AC42" s="317" t="s">
        <v>205</v>
      </c>
      <c r="AD42" s="317" t="s">
        <v>205</v>
      </c>
      <c r="AE42" s="317">
        <v>0</v>
      </c>
      <c r="AF42" s="317" t="s">
        <v>205</v>
      </c>
      <c r="AG42" s="317" t="s">
        <v>205</v>
      </c>
      <c r="AH42" s="308" t="s">
        <v>555</v>
      </c>
      <c r="AI42"/>
      <c r="AJ42" s="103"/>
      <c r="AK42" s="103"/>
      <c r="AL42" s="103"/>
      <c r="AM42" s="103"/>
      <c r="AN42" s="103"/>
      <c r="AO42" s="103"/>
      <c r="AP42" s="103"/>
      <c r="AQ42" s="103"/>
      <c r="AR42" s="103"/>
      <c r="AS42" s="103"/>
      <c r="AT42" s="103"/>
      <c r="AU42" s="103"/>
      <c r="AV42" s="103"/>
      <c r="AW42" s="103"/>
      <c r="AX42" s="103"/>
      <c r="AY42" s="103"/>
      <c r="AZ42" s="103"/>
      <c r="BA42" s="103"/>
      <c r="BB42" s="103"/>
      <c r="BC42" s="103"/>
    </row>
    <row r="43" spans="1:55" s="256" customFormat="1" ht="31" customHeight="1">
      <c r="A43" s="256" t="s">
        <v>456</v>
      </c>
      <c r="B43" s="256" t="s">
        <v>273</v>
      </c>
      <c r="C43" s="256" t="s">
        <v>551</v>
      </c>
      <c r="D43" s="257" t="s">
        <v>117</v>
      </c>
      <c r="E43" s="257" t="s">
        <v>118</v>
      </c>
      <c r="F43" s="297" t="s">
        <v>556</v>
      </c>
      <c r="G43" s="258" t="s">
        <v>542</v>
      </c>
      <c r="H43" s="259">
        <v>5.5249709644247496</v>
      </c>
      <c r="I43" s="260">
        <v>3.7423299999999999</v>
      </c>
      <c r="J43" s="360">
        <v>3</v>
      </c>
      <c r="K43" s="358">
        <v>5.7766666666666699</v>
      </c>
      <c r="L43" s="358">
        <v>6.2288548974376798</v>
      </c>
      <c r="M43" s="567">
        <v>2</v>
      </c>
      <c r="N43" s="135">
        <v>2</v>
      </c>
      <c r="O43" s="135">
        <v>-17.399999999999999</v>
      </c>
      <c r="P43" s="135">
        <v>1.3</v>
      </c>
      <c r="Q43" s="135">
        <v>8.6999999999999993</v>
      </c>
      <c r="R43" s="135">
        <v>0.7</v>
      </c>
      <c r="S43" s="360">
        <v>0</v>
      </c>
      <c r="T43" s="316" t="s">
        <v>205</v>
      </c>
      <c r="U43" s="316" t="s">
        <v>205</v>
      </c>
      <c r="V43" s="360">
        <v>13</v>
      </c>
      <c r="W43" s="358">
        <v>7.1484615384615404</v>
      </c>
      <c r="X43" s="358">
        <v>5.71651532280789</v>
      </c>
      <c r="Y43" s="323">
        <v>14</v>
      </c>
      <c r="Z43" s="317">
        <v>12</v>
      </c>
      <c r="AA43" s="317">
        <v>-16.2</v>
      </c>
      <c r="AB43" s="317">
        <v>1.6</v>
      </c>
      <c r="AC43" s="317">
        <v>8.6999999999999993</v>
      </c>
      <c r="AD43" s="317">
        <v>2.2000000000000002</v>
      </c>
      <c r="AE43" s="317">
        <v>0</v>
      </c>
      <c r="AF43" s="317" t="s">
        <v>205</v>
      </c>
      <c r="AG43" s="317" t="s">
        <v>205</v>
      </c>
      <c r="AH43" s="308"/>
      <c r="AI43"/>
      <c r="AJ43" s="103"/>
      <c r="AK43" s="103"/>
      <c r="AL43" s="103"/>
      <c r="AM43" s="103"/>
      <c r="AN43" s="103"/>
      <c r="AO43" s="103"/>
      <c r="AP43" s="103"/>
      <c r="AQ43" s="103"/>
      <c r="AR43" s="103"/>
      <c r="AS43" s="103"/>
      <c r="AT43" s="103"/>
      <c r="AU43" s="103"/>
      <c r="AV43" s="103"/>
      <c r="AW43" s="103"/>
      <c r="AX43" s="103"/>
      <c r="AY43" s="103"/>
      <c r="AZ43" s="103"/>
      <c r="BA43" s="103"/>
      <c r="BB43" s="103"/>
      <c r="BC43" s="103"/>
    </row>
    <row r="44" spans="1:55" s="256" customFormat="1" ht="31" customHeight="1">
      <c r="A44" s="256" t="s">
        <v>459</v>
      </c>
      <c r="B44" s="263" t="s">
        <v>273</v>
      </c>
      <c r="C44" s="263" t="s">
        <v>80</v>
      </c>
      <c r="D44" s="264" t="s">
        <v>557</v>
      </c>
      <c r="E44" s="264" t="s">
        <v>558</v>
      </c>
      <c r="F44" s="298" t="s">
        <v>559</v>
      </c>
      <c r="G44" s="265" t="s">
        <v>325</v>
      </c>
      <c r="H44" s="296">
        <v>720</v>
      </c>
      <c r="I44" s="262">
        <v>5.8573324964312681</v>
      </c>
      <c r="J44" s="360">
        <v>3</v>
      </c>
      <c r="K44" s="358">
        <v>254.62</v>
      </c>
      <c r="L44" s="358">
        <v>47.078161603868899</v>
      </c>
      <c r="M44" s="567">
        <v>2</v>
      </c>
      <c r="N44" s="135">
        <v>1</v>
      </c>
      <c r="O44" s="135">
        <v>-16.5</v>
      </c>
      <c r="P44" s="135" t="s">
        <v>205</v>
      </c>
      <c r="Q44" s="135">
        <v>9.6999999999999993</v>
      </c>
      <c r="R44" s="135">
        <v>1.5</v>
      </c>
      <c r="S44" s="360">
        <v>0</v>
      </c>
      <c r="T44" s="316" t="s">
        <v>205</v>
      </c>
      <c r="U44" s="316" t="s">
        <v>205</v>
      </c>
      <c r="V44" s="324" t="s">
        <v>205</v>
      </c>
      <c r="W44" s="356" t="s">
        <v>205</v>
      </c>
      <c r="X44" s="356" t="s">
        <v>205</v>
      </c>
      <c r="Y44" s="323">
        <v>0</v>
      </c>
      <c r="Z44" s="317">
        <v>0</v>
      </c>
      <c r="AA44" s="317" t="s">
        <v>205</v>
      </c>
      <c r="AB44" s="317" t="s">
        <v>205</v>
      </c>
      <c r="AC44" s="317" t="s">
        <v>205</v>
      </c>
      <c r="AD44" s="317" t="s">
        <v>205</v>
      </c>
      <c r="AE44" s="317">
        <v>0</v>
      </c>
      <c r="AF44" s="317" t="s">
        <v>205</v>
      </c>
      <c r="AG44" s="317" t="s">
        <v>205</v>
      </c>
      <c r="AH44" s="308"/>
      <c r="AI44"/>
      <c r="AJ44" s="103"/>
      <c r="AK44" s="103"/>
      <c r="AL44" s="103"/>
      <c r="AM44" s="103"/>
      <c r="AN44" s="103"/>
      <c r="AO44" s="103"/>
      <c r="AP44" s="103"/>
      <c r="AQ44" s="103"/>
      <c r="AR44" s="103"/>
      <c r="AS44" s="103"/>
      <c r="AT44" s="103"/>
      <c r="AU44" s="103"/>
      <c r="AV44" s="103"/>
      <c r="AW44" s="103"/>
      <c r="AX44" s="103"/>
      <c r="AY44" s="103"/>
      <c r="AZ44" s="103"/>
      <c r="BA44" s="103"/>
      <c r="BB44" s="103"/>
      <c r="BC44" s="103"/>
    </row>
    <row r="45" spans="1:55" s="256" customFormat="1" ht="31" customHeight="1">
      <c r="A45" s="256" t="s">
        <v>459</v>
      </c>
      <c r="B45" s="263" t="s">
        <v>273</v>
      </c>
      <c r="C45" s="263" t="s">
        <v>80</v>
      </c>
      <c r="D45" s="264" t="s">
        <v>124</v>
      </c>
      <c r="E45" s="264" t="s">
        <v>125</v>
      </c>
      <c r="F45" s="298" t="s">
        <v>560</v>
      </c>
      <c r="G45" s="265" t="s">
        <v>458</v>
      </c>
      <c r="H45" s="296">
        <v>150</v>
      </c>
      <c r="I45" s="262">
        <v>5.1760912590556813</v>
      </c>
      <c r="J45" s="360">
        <v>2</v>
      </c>
      <c r="K45" s="358">
        <v>231.73500000000001</v>
      </c>
      <c r="L45" s="358">
        <v>148.04694677702699</v>
      </c>
      <c r="M45" s="567">
        <v>0</v>
      </c>
      <c r="N45" s="317">
        <v>0</v>
      </c>
      <c r="O45" s="316" t="s">
        <v>205</v>
      </c>
      <c r="P45" s="316" t="s">
        <v>205</v>
      </c>
      <c r="Q45" s="316" t="s">
        <v>205</v>
      </c>
      <c r="R45" s="316" t="s">
        <v>205</v>
      </c>
      <c r="S45" s="360">
        <v>0</v>
      </c>
      <c r="T45" s="316" t="s">
        <v>205</v>
      </c>
      <c r="U45" s="316" t="s">
        <v>205</v>
      </c>
      <c r="V45" s="324" t="s">
        <v>205</v>
      </c>
      <c r="W45" s="356" t="s">
        <v>205</v>
      </c>
      <c r="X45" s="356" t="s">
        <v>205</v>
      </c>
      <c r="Y45" s="323">
        <v>0</v>
      </c>
      <c r="Z45" s="317">
        <v>0</v>
      </c>
      <c r="AA45" s="317" t="s">
        <v>205</v>
      </c>
      <c r="AB45" s="317" t="s">
        <v>205</v>
      </c>
      <c r="AC45" s="317" t="s">
        <v>205</v>
      </c>
      <c r="AD45" s="317" t="s">
        <v>205</v>
      </c>
      <c r="AE45" s="317">
        <v>0</v>
      </c>
      <c r="AF45" s="317" t="s">
        <v>205</v>
      </c>
      <c r="AG45" s="317" t="s">
        <v>205</v>
      </c>
      <c r="AH45" s="308"/>
      <c r="AI45"/>
      <c r="AJ45" s="103"/>
      <c r="AK45" s="103"/>
      <c r="AL45" s="103"/>
      <c r="AM45" s="103"/>
      <c r="AN45" s="103"/>
      <c r="AO45" s="103"/>
      <c r="AP45" s="103"/>
      <c r="AQ45" s="103"/>
      <c r="AR45" s="103"/>
      <c r="AS45" s="103"/>
      <c r="AT45" s="103"/>
      <c r="AU45" s="103"/>
      <c r="AV45" s="103"/>
      <c r="AW45" s="103"/>
      <c r="AX45" s="103"/>
      <c r="AY45" s="103"/>
      <c r="AZ45" s="103"/>
      <c r="BA45" s="103"/>
      <c r="BB45" s="103"/>
      <c r="BC45" s="103"/>
    </row>
    <row r="46" spans="1:55" s="268" customFormat="1" ht="31" customHeight="1">
      <c r="A46" s="256" t="s">
        <v>456</v>
      </c>
      <c r="B46" s="256" t="s">
        <v>273</v>
      </c>
      <c r="C46" s="256" t="s">
        <v>80</v>
      </c>
      <c r="D46" s="257" t="s">
        <v>132</v>
      </c>
      <c r="E46" s="257" t="s">
        <v>133</v>
      </c>
      <c r="F46" s="297" t="s">
        <v>561</v>
      </c>
      <c r="G46" s="258" t="s">
        <v>542</v>
      </c>
      <c r="H46" s="259">
        <v>99.949355956381496</v>
      </c>
      <c r="I46" s="260">
        <v>4.9997800000000012</v>
      </c>
      <c r="J46" s="360">
        <v>15</v>
      </c>
      <c r="K46" s="358">
        <v>178.506666666667</v>
      </c>
      <c r="L46" s="358">
        <v>60.857416576625702</v>
      </c>
      <c r="M46" s="567">
        <v>8</v>
      </c>
      <c r="N46" s="135">
        <v>5</v>
      </c>
      <c r="O46" s="135">
        <v>-18.8</v>
      </c>
      <c r="P46" s="135">
        <v>1.1000000000000001</v>
      </c>
      <c r="Q46" s="135">
        <v>5.8</v>
      </c>
      <c r="R46" s="135">
        <v>2.1</v>
      </c>
      <c r="S46" s="135">
        <v>0</v>
      </c>
      <c r="T46" s="135" t="s">
        <v>205</v>
      </c>
      <c r="U46" s="316" t="s">
        <v>205</v>
      </c>
      <c r="V46" s="360">
        <v>7</v>
      </c>
      <c r="W46" s="358">
        <v>173.70142857142901</v>
      </c>
      <c r="X46" s="358">
        <v>74.5405228558202</v>
      </c>
      <c r="Y46" s="323">
        <v>6</v>
      </c>
      <c r="Z46" s="317">
        <v>6</v>
      </c>
      <c r="AA46" s="317">
        <v>-18.2</v>
      </c>
      <c r="AB46" s="317">
        <v>1</v>
      </c>
      <c r="AC46" s="317">
        <v>5.7</v>
      </c>
      <c r="AD46" s="317">
        <v>1.1000000000000001</v>
      </c>
      <c r="AE46" s="317">
        <v>0</v>
      </c>
      <c r="AF46" s="317" t="s">
        <v>205</v>
      </c>
      <c r="AG46" s="317" t="s">
        <v>205</v>
      </c>
      <c r="AH46" s="308"/>
      <c r="AI46"/>
      <c r="AJ46" s="103"/>
      <c r="AK46" s="103"/>
      <c r="AL46" s="103"/>
      <c r="AM46" s="103"/>
      <c r="AN46" s="103"/>
      <c r="AO46" s="103"/>
      <c r="AP46" s="103"/>
      <c r="AQ46" s="103"/>
      <c r="AR46" s="103"/>
      <c r="AS46" s="103"/>
      <c r="AT46" s="103"/>
      <c r="AU46" s="103"/>
      <c r="AV46" s="103"/>
      <c r="AW46" s="103"/>
      <c r="AX46" s="103"/>
      <c r="AY46" s="103"/>
      <c r="AZ46" s="103"/>
      <c r="BA46" s="103"/>
      <c r="BB46" s="103"/>
      <c r="BC46" s="103"/>
    </row>
    <row r="47" spans="1:55" s="256" customFormat="1" ht="31" customHeight="1">
      <c r="A47" s="256" t="s">
        <v>459</v>
      </c>
      <c r="B47" s="256" t="s">
        <v>562</v>
      </c>
      <c r="C47" s="256" t="s">
        <v>563</v>
      </c>
      <c r="D47" s="257" t="s">
        <v>564</v>
      </c>
      <c r="E47" s="257" t="s">
        <v>565</v>
      </c>
      <c r="F47" s="297" t="s">
        <v>566</v>
      </c>
      <c r="G47" s="258" t="s">
        <v>542</v>
      </c>
      <c r="H47" s="259">
        <v>45</v>
      </c>
      <c r="I47" s="276">
        <v>4.6529999999999996</v>
      </c>
      <c r="J47" s="359">
        <v>0</v>
      </c>
      <c r="K47" s="355" t="s">
        <v>205</v>
      </c>
      <c r="L47" s="355" t="s">
        <v>205</v>
      </c>
      <c r="M47" s="567">
        <v>0</v>
      </c>
      <c r="N47" s="317">
        <v>0</v>
      </c>
      <c r="O47" s="316" t="s">
        <v>205</v>
      </c>
      <c r="P47" s="316" t="s">
        <v>205</v>
      </c>
      <c r="Q47" s="316" t="s">
        <v>205</v>
      </c>
      <c r="R47" s="316" t="s">
        <v>205</v>
      </c>
      <c r="S47" s="545">
        <v>0</v>
      </c>
      <c r="T47" s="316" t="s">
        <v>205</v>
      </c>
      <c r="U47" s="316" t="s">
        <v>205</v>
      </c>
      <c r="V47" s="324" t="s">
        <v>205</v>
      </c>
      <c r="W47" s="356" t="s">
        <v>205</v>
      </c>
      <c r="X47" s="356" t="s">
        <v>205</v>
      </c>
      <c r="Y47" s="323">
        <v>0</v>
      </c>
      <c r="Z47" s="317">
        <v>0</v>
      </c>
      <c r="AA47" s="317" t="s">
        <v>205</v>
      </c>
      <c r="AB47" s="317" t="s">
        <v>205</v>
      </c>
      <c r="AC47" s="317" t="s">
        <v>205</v>
      </c>
      <c r="AD47" s="317" t="s">
        <v>205</v>
      </c>
      <c r="AE47" s="317">
        <v>0</v>
      </c>
      <c r="AF47" s="317" t="s">
        <v>205</v>
      </c>
      <c r="AG47" s="317" t="s">
        <v>205</v>
      </c>
      <c r="AH47" s="428"/>
      <c r="AI47"/>
      <c r="AJ47" s="103"/>
      <c r="AK47" s="103"/>
      <c r="AL47" s="103"/>
      <c r="AM47" s="103"/>
      <c r="AN47" s="103"/>
      <c r="AO47" s="103"/>
      <c r="AP47" s="103"/>
      <c r="AQ47" s="103"/>
      <c r="AR47" s="103"/>
      <c r="AS47" s="103"/>
      <c r="AT47" s="103"/>
      <c r="AU47" s="103"/>
      <c r="AV47" s="103"/>
      <c r="AW47" s="103"/>
      <c r="AX47" s="103"/>
      <c r="AY47" s="103"/>
      <c r="AZ47" s="103"/>
      <c r="BA47" s="103"/>
      <c r="BB47" s="103"/>
      <c r="BC47" s="103"/>
    </row>
    <row r="48" spans="1:55" s="256" customFormat="1" ht="31" customHeight="1">
      <c r="A48" s="256" t="s">
        <v>456</v>
      </c>
      <c r="B48" s="256" t="s">
        <v>562</v>
      </c>
      <c r="C48" s="256" t="s">
        <v>563</v>
      </c>
      <c r="D48" s="257" t="s">
        <v>564</v>
      </c>
      <c r="E48" s="549" t="s">
        <v>567</v>
      </c>
      <c r="F48" s="297" t="s">
        <v>566</v>
      </c>
      <c r="G48" s="258" t="s">
        <v>542</v>
      </c>
      <c r="H48" s="259">
        <v>4.2</v>
      </c>
      <c r="I48" s="260">
        <f>LOG(H48*1000)</f>
        <v>3.6232492903979003</v>
      </c>
      <c r="J48" s="360">
        <v>0</v>
      </c>
      <c r="K48" s="358" t="s">
        <v>205</v>
      </c>
      <c r="L48" s="358" t="s">
        <v>205</v>
      </c>
      <c r="M48" s="567">
        <v>0</v>
      </c>
      <c r="N48" s="135">
        <v>0</v>
      </c>
      <c r="O48" s="358" t="s">
        <v>205</v>
      </c>
      <c r="P48" s="358" t="s">
        <v>205</v>
      </c>
      <c r="Q48" s="358" t="s">
        <v>205</v>
      </c>
      <c r="R48" s="358" t="s">
        <v>205</v>
      </c>
      <c r="S48" s="360">
        <v>0</v>
      </c>
      <c r="T48" s="358" t="s">
        <v>205</v>
      </c>
      <c r="U48" s="358" t="s">
        <v>205</v>
      </c>
      <c r="V48" s="358" t="s">
        <v>205</v>
      </c>
      <c r="W48" s="358" t="s">
        <v>205</v>
      </c>
      <c r="X48" s="358" t="s">
        <v>205</v>
      </c>
      <c r="Y48" s="323">
        <v>0</v>
      </c>
      <c r="Z48" s="360">
        <v>0</v>
      </c>
      <c r="AA48" s="358" t="s">
        <v>205</v>
      </c>
      <c r="AB48" s="358" t="s">
        <v>205</v>
      </c>
      <c r="AC48" s="358" t="s">
        <v>205</v>
      </c>
      <c r="AD48" s="358" t="s">
        <v>205</v>
      </c>
      <c r="AE48" s="358">
        <v>0</v>
      </c>
      <c r="AF48" s="358" t="s">
        <v>205</v>
      </c>
      <c r="AG48" s="358" t="s">
        <v>205</v>
      </c>
      <c r="AH48" s="308"/>
      <c r="AI48"/>
      <c r="AJ48" s="103"/>
      <c r="AK48" s="103"/>
      <c r="AL48" s="103"/>
      <c r="AM48" s="103"/>
      <c r="AN48" s="103"/>
      <c r="AO48" s="103"/>
      <c r="AP48" s="103"/>
      <c r="AQ48" s="103"/>
      <c r="AR48" s="103"/>
      <c r="AS48" s="103"/>
      <c r="AT48" s="103"/>
      <c r="AU48" s="103"/>
      <c r="AV48" s="103"/>
      <c r="AW48" s="103"/>
      <c r="AX48" s="103"/>
      <c r="AY48" s="103"/>
      <c r="AZ48" s="103"/>
      <c r="BA48" s="103"/>
      <c r="BB48" s="103"/>
      <c r="BC48" s="103"/>
    </row>
    <row r="49" spans="1:55" s="256" customFormat="1" ht="31" customHeight="1">
      <c r="A49" s="256" t="s">
        <v>459</v>
      </c>
      <c r="B49" s="263" t="s">
        <v>562</v>
      </c>
      <c r="C49" s="263" t="s">
        <v>568</v>
      </c>
      <c r="D49" s="264" t="s">
        <v>569</v>
      </c>
      <c r="E49" s="264" t="s">
        <v>182</v>
      </c>
      <c r="F49" s="298" t="s">
        <v>570</v>
      </c>
      <c r="G49" s="265" t="s">
        <v>469</v>
      </c>
      <c r="H49" s="296">
        <v>1100</v>
      </c>
      <c r="I49" s="262">
        <v>6.0413926851582254</v>
      </c>
      <c r="J49" s="359">
        <v>0</v>
      </c>
      <c r="K49" s="355" t="s">
        <v>205</v>
      </c>
      <c r="L49" s="355" t="s">
        <v>205</v>
      </c>
      <c r="M49" s="567">
        <v>0</v>
      </c>
      <c r="N49" s="317">
        <v>0</v>
      </c>
      <c r="O49" s="316" t="s">
        <v>205</v>
      </c>
      <c r="P49" s="316" t="s">
        <v>205</v>
      </c>
      <c r="Q49" s="316" t="s">
        <v>205</v>
      </c>
      <c r="R49" s="316" t="s">
        <v>205</v>
      </c>
      <c r="S49" s="360">
        <v>0</v>
      </c>
      <c r="T49" s="316" t="s">
        <v>205</v>
      </c>
      <c r="U49" s="316" t="s">
        <v>205</v>
      </c>
      <c r="V49" s="324" t="s">
        <v>205</v>
      </c>
      <c r="W49" s="356" t="s">
        <v>205</v>
      </c>
      <c r="X49" s="356" t="s">
        <v>205</v>
      </c>
      <c r="Y49" s="323">
        <v>0</v>
      </c>
      <c r="Z49" s="317">
        <v>0</v>
      </c>
      <c r="AA49" s="317" t="s">
        <v>205</v>
      </c>
      <c r="AB49" s="317" t="s">
        <v>205</v>
      </c>
      <c r="AC49" s="317" t="s">
        <v>205</v>
      </c>
      <c r="AD49" s="317" t="s">
        <v>205</v>
      </c>
      <c r="AE49" s="317">
        <v>0</v>
      </c>
      <c r="AF49" s="317" t="s">
        <v>205</v>
      </c>
      <c r="AG49" s="317" t="s">
        <v>205</v>
      </c>
      <c r="AH49" s="308"/>
      <c r="AI49"/>
      <c r="AJ49" s="103"/>
      <c r="AK49" s="103"/>
      <c r="AL49" s="103"/>
      <c r="AM49" s="103"/>
      <c r="AN49" s="103"/>
      <c r="AO49" s="103"/>
      <c r="AP49" s="103"/>
      <c r="AQ49" s="103"/>
      <c r="AR49" s="103"/>
      <c r="AS49" s="103"/>
      <c r="AT49" s="103"/>
      <c r="AU49" s="103"/>
      <c r="AV49" s="103"/>
      <c r="AW49" s="103"/>
      <c r="AX49" s="103"/>
      <c r="AY49" s="103"/>
      <c r="AZ49" s="103"/>
      <c r="BA49" s="103"/>
      <c r="BB49" s="103"/>
      <c r="BC49" s="103"/>
    </row>
    <row r="50" spans="1:55" s="256" customFormat="1" ht="31" customHeight="1">
      <c r="A50" s="256" t="s">
        <v>459</v>
      </c>
      <c r="B50" s="263" t="s">
        <v>562</v>
      </c>
      <c r="C50" s="510" t="s">
        <v>571</v>
      </c>
      <c r="D50" s="546" t="s">
        <v>572</v>
      </c>
      <c r="E50" s="546" t="s">
        <v>573</v>
      </c>
      <c r="F50" s="298" t="s">
        <v>574</v>
      </c>
      <c r="G50" s="265" t="s">
        <v>575</v>
      </c>
      <c r="H50" s="296">
        <v>230</v>
      </c>
      <c r="I50" s="262">
        <f>LOG(H50*1000)</f>
        <v>5.3617278360175931</v>
      </c>
      <c r="J50" s="321">
        <v>2</v>
      </c>
      <c r="K50" s="369">
        <v>100.55500000000001</v>
      </c>
      <c r="L50" s="369">
        <v>55.599806204698197</v>
      </c>
      <c r="M50" s="567">
        <v>0</v>
      </c>
      <c r="N50" s="352">
        <v>0</v>
      </c>
      <c r="O50" s="320" t="s">
        <v>205</v>
      </c>
      <c r="P50" s="320" t="s">
        <v>205</v>
      </c>
      <c r="Q50" s="320" t="s">
        <v>205</v>
      </c>
      <c r="R50" s="320" t="s">
        <v>205</v>
      </c>
      <c r="S50" s="322">
        <v>0</v>
      </c>
      <c r="T50" s="320" t="s">
        <v>205</v>
      </c>
      <c r="U50" s="320" t="s">
        <v>205</v>
      </c>
      <c r="V50" s="324" t="s">
        <v>205</v>
      </c>
      <c r="W50" s="356" t="s">
        <v>205</v>
      </c>
      <c r="X50" s="356" t="s">
        <v>205</v>
      </c>
      <c r="Y50" s="323">
        <v>0</v>
      </c>
      <c r="Z50" s="352">
        <v>0</v>
      </c>
      <c r="AA50" s="352" t="s">
        <v>205</v>
      </c>
      <c r="AB50" s="352" t="s">
        <v>205</v>
      </c>
      <c r="AC50" s="352" t="s">
        <v>205</v>
      </c>
      <c r="AD50" s="352" t="s">
        <v>205</v>
      </c>
      <c r="AE50" s="352">
        <v>0</v>
      </c>
      <c r="AF50" s="352" t="s">
        <v>205</v>
      </c>
      <c r="AG50" s="352" t="s">
        <v>205</v>
      </c>
      <c r="AH50" s="308"/>
      <c r="AI50"/>
    </row>
    <row r="51" spans="1:55" s="256" customFormat="1" ht="31" customHeight="1">
      <c r="A51" s="256" t="s">
        <v>456</v>
      </c>
      <c r="B51" s="256" t="s">
        <v>576</v>
      </c>
      <c r="C51" s="256" t="s">
        <v>413</v>
      </c>
      <c r="D51" s="257" t="s">
        <v>414</v>
      </c>
      <c r="E51" s="257" t="s">
        <v>577</v>
      </c>
      <c r="F51" s="297" t="s">
        <v>578</v>
      </c>
      <c r="G51" s="258" t="s">
        <v>542</v>
      </c>
      <c r="H51" s="259">
        <v>2.1954826024672403</v>
      </c>
      <c r="I51" s="260">
        <v>3.3415300000000001</v>
      </c>
      <c r="J51" s="360">
        <v>1</v>
      </c>
      <c r="K51" s="358">
        <v>2.75</v>
      </c>
      <c r="L51" s="358" t="s">
        <v>487</v>
      </c>
      <c r="M51" s="567">
        <v>0</v>
      </c>
      <c r="N51" s="317">
        <v>0</v>
      </c>
      <c r="O51" s="316" t="s">
        <v>205</v>
      </c>
      <c r="P51" s="316" t="s">
        <v>205</v>
      </c>
      <c r="Q51" s="316" t="s">
        <v>205</v>
      </c>
      <c r="R51" s="316" t="s">
        <v>205</v>
      </c>
      <c r="S51" s="545">
        <v>0</v>
      </c>
      <c r="T51" s="316" t="s">
        <v>205</v>
      </c>
      <c r="U51" s="316" t="s">
        <v>205</v>
      </c>
      <c r="V51" s="324">
        <v>0</v>
      </c>
      <c r="W51" s="356" t="s">
        <v>205</v>
      </c>
      <c r="X51" s="356" t="s">
        <v>205</v>
      </c>
      <c r="Y51" s="323">
        <v>0</v>
      </c>
      <c r="Z51" s="317">
        <v>0</v>
      </c>
      <c r="AA51" s="317" t="s">
        <v>205</v>
      </c>
      <c r="AB51" s="317" t="s">
        <v>205</v>
      </c>
      <c r="AC51" s="317" t="s">
        <v>205</v>
      </c>
      <c r="AD51" s="317" t="s">
        <v>205</v>
      </c>
      <c r="AE51" s="317">
        <v>0</v>
      </c>
      <c r="AF51" s="317" t="s">
        <v>205</v>
      </c>
      <c r="AG51" s="317" t="s">
        <v>205</v>
      </c>
      <c r="AH51" s="308"/>
      <c r="AI51"/>
      <c r="AJ51" s="103"/>
      <c r="AK51" s="103"/>
      <c r="AL51" s="103"/>
      <c r="AM51" s="103"/>
      <c r="AN51" s="103"/>
      <c r="AO51" s="103"/>
      <c r="AP51" s="103"/>
      <c r="AQ51" s="103"/>
      <c r="AR51" s="103"/>
      <c r="AS51" s="103"/>
      <c r="AT51" s="103"/>
      <c r="AU51" s="103"/>
      <c r="AV51" s="103"/>
      <c r="AW51" s="103"/>
      <c r="AX51" s="103"/>
      <c r="AY51" s="103"/>
      <c r="AZ51" s="103"/>
      <c r="BA51" s="103"/>
      <c r="BB51" s="103"/>
      <c r="BC51" s="103"/>
    </row>
    <row r="52" spans="1:55" s="256" customFormat="1" ht="31" customHeight="1">
      <c r="A52" s="256" t="s">
        <v>456</v>
      </c>
      <c r="B52" s="256" t="s">
        <v>579</v>
      </c>
      <c r="C52" s="256" t="s">
        <v>580</v>
      </c>
      <c r="D52" s="257" t="s">
        <v>581</v>
      </c>
      <c r="E52" s="22" t="s">
        <v>582</v>
      </c>
      <c r="F52" s="297" t="s">
        <v>583</v>
      </c>
      <c r="G52" s="258" t="s">
        <v>458</v>
      </c>
      <c r="H52" s="259">
        <v>2.4224788832833402</v>
      </c>
      <c r="I52" s="260">
        <v>3.3842599999999901</v>
      </c>
      <c r="J52" s="360">
        <v>9</v>
      </c>
      <c r="K52" s="358">
        <v>2.84</v>
      </c>
      <c r="L52" s="358">
        <v>1.0810758530279001</v>
      </c>
      <c r="M52" s="567">
        <v>40</v>
      </c>
      <c r="N52" s="135">
        <v>38</v>
      </c>
      <c r="O52" s="135">
        <v>-18.3</v>
      </c>
      <c r="P52" s="135">
        <v>3.3</v>
      </c>
      <c r="Q52" s="135">
        <v>5.8</v>
      </c>
      <c r="R52" s="135">
        <v>2.2999999999999998</v>
      </c>
      <c r="S52" s="360">
        <v>0</v>
      </c>
      <c r="T52" s="316" t="s">
        <v>205</v>
      </c>
      <c r="U52" s="316" t="s">
        <v>205</v>
      </c>
      <c r="V52" s="360">
        <v>19</v>
      </c>
      <c r="W52" s="358">
        <v>4.5147368421052603</v>
      </c>
      <c r="X52" s="358">
        <v>1.78589028038322</v>
      </c>
      <c r="Y52" s="323">
        <v>100</v>
      </c>
      <c r="Z52" s="317">
        <v>98</v>
      </c>
      <c r="AA52" s="317">
        <v>-16.3</v>
      </c>
      <c r="AB52" s="317">
        <v>3.2</v>
      </c>
      <c r="AC52" s="317">
        <v>5.3</v>
      </c>
      <c r="AD52" s="317">
        <v>1.4</v>
      </c>
      <c r="AE52" s="317">
        <v>0</v>
      </c>
      <c r="AF52" s="317" t="s">
        <v>205</v>
      </c>
      <c r="AG52" s="317" t="s">
        <v>205</v>
      </c>
      <c r="AH52" s="308" t="s">
        <v>584</v>
      </c>
      <c r="AI52"/>
      <c r="AJ52" s="103"/>
      <c r="AK52" s="103"/>
      <c r="AL52" s="103"/>
      <c r="AM52" s="103"/>
      <c r="AN52" s="103"/>
      <c r="AO52" s="103"/>
      <c r="AP52" s="103"/>
      <c r="AQ52" s="103"/>
      <c r="AR52" s="103"/>
      <c r="AS52" s="103"/>
      <c r="AT52" s="103"/>
      <c r="AU52" s="103"/>
      <c r="AV52" s="103"/>
      <c r="AW52" s="103"/>
      <c r="AX52" s="103"/>
      <c r="AY52" s="103"/>
      <c r="AZ52" s="103"/>
      <c r="BA52" s="103"/>
      <c r="BB52" s="103"/>
      <c r="BC52" s="103"/>
    </row>
    <row r="53" spans="1:55" s="256" customFormat="1" ht="31" customHeight="1">
      <c r="A53" s="256" t="s">
        <v>456</v>
      </c>
      <c r="B53" s="256" t="s">
        <v>579</v>
      </c>
      <c r="C53" s="256" t="s">
        <v>580</v>
      </c>
      <c r="D53" s="257" t="s">
        <v>585</v>
      </c>
      <c r="E53" s="257" t="s">
        <v>151</v>
      </c>
      <c r="F53" s="297" t="s">
        <v>586</v>
      </c>
      <c r="G53" s="258" t="s">
        <v>458</v>
      </c>
      <c r="H53" s="259">
        <v>1.1727893134795999</v>
      </c>
      <c r="I53" s="260">
        <v>3.0692200000000001</v>
      </c>
      <c r="J53" s="360">
        <v>73</v>
      </c>
      <c r="K53" s="358">
        <v>1.0116438356164399</v>
      </c>
      <c r="L53" s="358">
        <v>0.42178856505043599</v>
      </c>
      <c r="M53" s="567">
        <v>111</v>
      </c>
      <c r="N53" s="135">
        <v>110</v>
      </c>
      <c r="O53" s="135">
        <v>-18.7</v>
      </c>
      <c r="P53" s="135">
        <v>1.9</v>
      </c>
      <c r="Q53" s="135">
        <v>4.7</v>
      </c>
      <c r="R53" s="135">
        <v>1.5</v>
      </c>
      <c r="S53" s="360">
        <v>1</v>
      </c>
      <c r="T53" s="318">
        <v>-19.100000000000001</v>
      </c>
      <c r="U53" s="316" t="s">
        <v>205</v>
      </c>
      <c r="V53" s="360">
        <v>151</v>
      </c>
      <c r="W53" s="358">
        <v>0.80225165562913903</v>
      </c>
      <c r="X53" s="358">
        <v>0.39662605761670999</v>
      </c>
      <c r="Y53" s="323">
        <v>201</v>
      </c>
      <c r="Z53" s="317">
        <v>200</v>
      </c>
      <c r="AA53" s="317">
        <v>-17.600000000000001</v>
      </c>
      <c r="AB53" s="317">
        <v>2.6</v>
      </c>
      <c r="AC53" s="317">
        <v>5.3</v>
      </c>
      <c r="AD53" s="317">
        <v>1</v>
      </c>
      <c r="AE53" s="317">
        <v>0</v>
      </c>
      <c r="AF53" s="317" t="s">
        <v>205</v>
      </c>
      <c r="AG53" s="317" t="s">
        <v>205</v>
      </c>
      <c r="AH53" s="308" t="s">
        <v>587</v>
      </c>
      <c r="AI53"/>
      <c r="AJ53" s="103"/>
      <c r="AK53" s="103"/>
      <c r="AL53" s="103"/>
      <c r="AM53" s="103"/>
      <c r="AN53" s="103"/>
      <c r="AO53" s="103"/>
      <c r="AP53" s="103"/>
      <c r="AQ53" s="103"/>
      <c r="AR53" s="103"/>
      <c r="AS53" s="103"/>
      <c r="AT53" s="103"/>
      <c r="AU53" s="103"/>
      <c r="AV53" s="103"/>
      <c r="AW53" s="103"/>
      <c r="AX53" s="103"/>
      <c r="AY53" s="103"/>
      <c r="AZ53" s="103"/>
      <c r="BA53" s="103"/>
      <c r="BB53" s="103"/>
      <c r="BC53" s="103"/>
    </row>
    <row r="54" spans="1:55" s="256" customFormat="1" ht="31" customHeight="1">
      <c r="A54" s="256" t="s">
        <v>459</v>
      </c>
      <c r="B54" s="256" t="s">
        <v>169</v>
      </c>
      <c r="C54" s="256" t="s">
        <v>588</v>
      </c>
      <c r="D54" s="257" t="s">
        <v>150</v>
      </c>
      <c r="E54" s="257" t="s">
        <v>589</v>
      </c>
      <c r="F54" s="297" t="s">
        <v>590</v>
      </c>
      <c r="G54" s="258" t="s">
        <v>469</v>
      </c>
      <c r="H54" s="296">
        <v>465</v>
      </c>
      <c r="I54" s="260">
        <v>5.6674529528899535</v>
      </c>
      <c r="J54" s="360">
        <v>279</v>
      </c>
      <c r="K54" s="358">
        <v>534.13838709677395</v>
      </c>
      <c r="L54" s="358">
        <v>239.23290760211799</v>
      </c>
      <c r="M54" s="567">
        <v>104</v>
      </c>
      <c r="N54" s="135">
        <v>5</v>
      </c>
      <c r="O54" s="135">
        <v>-13.9</v>
      </c>
      <c r="P54" s="135">
        <v>4.0999999999999996</v>
      </c>
      <c r="Q54" s="135">
        <v>7.2</v>
      </c>
      <c r="R54" s="135">
        <v>1.3</v>
      </c>
      <c r="S54" s="135">
        <v>99</v>
      </c>
      <c r="T54" s="135">
        <v>-12</v>
      </c>
      <c r="U54" s="135">
        <v>2</v>
      </c>
      <c r="V54" s="324" t="s">
        <v>205</v>
      </c>
      <c r="W54" s="356" t="s">
        <v>205</v>
      </c>
      <c r="X54" s="356" t="s">
        <v>205</v>
      </c>
      <c r="Y54" s="323">
        <v>0</v>
      </c>
      <c r="Z54" s="317">
        <v>0</v>
      </c>
      <c r="AA54" s="317" t="s">
        <v>205</v>
      </c>
      <c r="AB54" s="317" t="s">
        <v>205</v>
      </c>
      <c r="AC54" s="317" t="s">
        <v>205</v>
      </c>
      <c r="AD54" s="317" t="s">
        <v>205</v>
      </c>
      <c r="AE54" s="317">
        <v>0</v>
      </c>
      <c r="AF54" s="317" t="s">
        <v>205</v>
      </c>
      <c r="AG54" s="317" t="s">
        <v>205</v>
      </c>
      <c r="AH54" s="308"/>
      <c r="AI54"/>
      <c r="AJ54" s="103"/>
      <c r="AK54" s="103"/>
      <c r="AL54" s="103"/>
      <c r="AM54" s="103"/>
      <c r="AN54" s="103"/>
      <c r="AO54" s="103"/>
      <c r="AP54" s="103"/>
      <c r="AQ54" s="103"/>
      <c r="AR54" s="103"/>
      <c r="AS54" s="103"/>
      <c r="AT54" s="103"/>
      <c r="AU54" s="103"/>
      <c r="AV54" s="103"/>
      <c r="AW54" s="103"/>
      <c r="AX54" s="103"/>
      <c r="AY54" s="103"/>
      <c r="AZ54" s="103"/>
      <c r="BA54" s="103"/>
      <c r="BB54" s="103"/>
      <c r="BC54" s="103"/>
    </row>
    <row r="55" spans="1:55" s="256" customFormat="1" ht="31" customHeight="1">
      <c r="A55" s="256" t="s">
        <v>459</v>
      </c>
      <c r="B55" s="263" t="s">
        <v>169</v>
      </c>
      <c r="C55" s="263" t="s">
        <v>246</v>
      </c>
      <c r="D55" s="264" t="s">
        <v>247</v>
      </c>
      <c r="E55" s="264" t="s">
        <v>248</v>
      </c>
      <c r="F55" s="298" t="s">
        <v>591</v>
      </c>
      <c r="G55" s="265" t="s">
        <v>458</v>
      </c>
      <c r="H55" s="296">
        <v>275</v>
      </c>
      <c r="I55" s="262">
        <v>5.4393326938302629</v>
      </c>
      <c r="J55" s="360">
        <v>13</v>
      </c>
      <c r="K55" s="358">
        <v>287.946153846154</v>
      </c>
      <c r="L55" s="358">
        <v>87.870873306466095</v>
      </c>
      <c r="M55" s="567">
        <v>7</v>
      </c>
      <c r="N55" s="322">
        <v>0</v>
      </c>
      <c r="O55" s="320" t="s">
        <v>205</v>
      </c>
      <c r="P55" s="320" t="s">
        <v>205</v>
      </c>
      <c r="Q55" s="320" t="s">
        <v>205</v>
      </c>
      <c r="R55" s="320" t="s">
        <v>205</v>
      </c>
      <c r="S55" s="135">
        <v>7</v>
      </c>
      <c r="T55" s="135">
        <v>-20.100000000000001</v>
      </c>
      <c r="U55" s="135">
        <v>0.6</v>
      </c>
      <c r="V55" s="324" t="s">
        <v>205</v>
      </c>
      <c r="W55" s="356" t="s">
        <v>205</v>
      </c>
      <c r="X55" s="356" t="s">
        <v>205</v>
      </c>
      <c r="Y55" s="323">
        <v>0</v>
      </c>
      <c r="Z55" s="317">
        <v>0</v>
      </c>
      <c r="AA55" s="317" t="s">
        <v>205</v>
      </c>
      <c r="AB55" s="317" t="s">
        <v>205</v>
      </c>
      <c r="AC55" s="317" t="s">
        <v>205</v>
      </c>
      <c r="AD55" s="317" t="s">
        <v>205</v>
      </c>
      <c r="AE55" s="317">
        <v>0</v>
      </c>
      <c r="AF55" s="317" t="s">
        <v>205</v>
      </c>
      <c r="AG55" s="317" t="s">
        <v>205</v>
      </c>
      <c r="AH55" s="308"/>
      <c r="AI55"/>
      <c r="AJ55" s="103"/>
      <c r="AK55" s="103"/>
      <c r="AL55" s="103"/>
      <c r="AM55" s="103"/>
      <c r="AN55" s="103"/>
      <c r="AO55" s="103"/>
      <c r="AP55" s="103"/>
      <c r="AQ55" s="103"/>
      <c r="AR55" s="103"/>
      <c r="AS55" s="103"/>
      <c r="AT55" s="103"/>
      <c r="AU55" s="103"/>
      <c r="AV55" s="103"/>
      <c r="AW55" s="103"/>
      <c r="AX55" s="103"/>
      <c r="AY55" s="103"/>
      <c r="AZ55" s="103"/>
      <c r="BA55" s="103"/>
      <c r="BB55" s="103"/>
      <c r="BC55" s="103"/>
    </row>
    <row r="56" spans="1:55" s="268" customFormat="1" ht="34" customHeight="1">
      <c r="A56" s="256" t="s">
        <v>459</v>
      </c>
      <c r="B56" s="263" t="s">
        <v>592</v>
      </c>
      <c r="C56" s="263" t="s">
        <v>593</v>
      </c>
      <c r="D56" s="264" t="s">
        <v>594</v>
      </c>
      <c r="E56" s="264" t="s">
        <v>595</v>
      </c>
      <c r="F56" s="298" t="s">
        <v>596</v>
      </c>
      <c r="G56" s="265" t="s">
        <v>458</v>
      </c>
      <c r="H56" s="296">
        <v>600</v>
      </c>
      <c r="I56" s="262">
        <v>5.7781512503836439</v>
      </c>
      <c r="J56" s="360">
        <v>3</v>
      </c>
      <c r="K56" s="358">
        <v>784.55333333333294</v>
      </c>
      <c r="L56" s="358">
        <v>363.47059431724801</v>
      </c>
      <c r="M56" s="567">
        <v>0</v>
      </c>
      <c r="N56" s="317">
        <v>0</v>
      </c>
      <c r="O56" s="316" t="s">
        <v>205</v>
      </c>
      <c r="P56" s="316" t="s">
        <v>205</v>
      </c>
      <c r="Q56" s="316" t="s">
        <v>205</v>
      </c>
      <c r="R56" s="316" t="s">
        <v>205</v>
      </c>
      <c r="S56" s="360">
        <v>0</v>
      </c>
      <c r="T56" s="316" t="s">
        <v>205</v>
      </c>
      <c r="U56" s="316" t="s">
        <v>205</v>
      </c>
      <c r="V56" s="324" t="s">
        <v>205</v>
      </c>
      <c r="W56" s="356" t="s">
        <v>205</v>
      </c>
      <c r="X56" s="356" t="s">
        <v>205</v>
      </c>
      <c r="Y56" s="323">
        <v>0</v>
      </c>
      <c r="Z56" s="317">
        <v>0</v>
      </c>
      <c r="AA56" s="317" t="s">
        <v>205</v>
      </c>
      <c r="AB56" s="317" t="s">
        <v>205</v>
      </c>
      <c r="AC56" s="317" t="s">
        <v>205</v>
      </c>
      <c r="AD56" s="317" t="s">
        <v>205</v>
      </c>
      <c r="AE56" s="317">
        <v>0</v>
      </c>
      <c r="AF56" s="317" t="s">
        <v>205</v>
      </c>
      <c r="AG56" s="317" t="s">
        <v>205</v>
      </c>
      <c r="AH56" s="308"/>
      <c r="AI56"/>
      <c r="AJ56" s="103"/>
      <c r="AK56" s="103"/>
      <c r="AL56" s="103"/>
      <c r="AM56" s="103"/>
      <c r="AN56" s="103"/>
      <c r="AO56" s="103"/>
      <c r="AP56" s="103"/>
      <c r="AQ56" s="103"/>
      <c r="AR56" s="103"/>
      <c r="AS56" s="103"/>
      <c r="AT56" s="103"/>
      <c r="AU56" s="103"/>
      <c r="AV56" s="103"/>
      <c r="AW56" s="103"/>
      <c r="AX56" s="103"/>
      <c r="AY56" s="103"/>
      <c r="AZ56" s="103"/>
      <c r="BA56" s="103"/>
      <c r="BB56" s="103"/>
      <c r="BC56" s="103"/>
    </row>
    <row r="57" spans="1:55" s="268" customFormat="1" ht="34" customHeight="1">
      <c r="A57" s="256" t="s">
        <v>459</v>
      </c>
      <c r="B57" s="263" t="s">
        <v>592</v>
      </c>
      <c r="C57" s="263" t="s">
        <v>597</v>
      </c>
      <c r="D57" s="274" t="s">
        <v>598</v>
      </c>
      <c r="E57" s="257" t="s">
        <v>599</v>
      </c>
      <c r="F57" s="297" t="s">
        <v>600</v>
      </c>
      <c r="G57" s="258" t="s">
        <v>575</v>
      </c>
      <c r="H57" s="296">
        <v>1587</v>
      </c>
      <c r="I57" s="260">
        <v>6.2005769267548478</v>
      </c>
      <c r="J57" s="360">
        <v>7</v>
      </c>
      <c r="K57" s="358">
        <v>2450.0314285714298</v>
      </c>
      <c r="L57" s="358">
        <v>4873.9030214754603</v>
      </c>
      <c r="M57" s="567">
        <v>1</v>
      </c>
      <c r="N57" s="322">
        <v>0</v>
      </c>
      <c r="O57" s="318" t="s">
        <v>463</v>
      </c>
      <c r="P57" s="320" t="s">
        <v>205</v>
      </c>
      <c r="Q57" s="318" t="s">
        <v>463</v>
      </c>
      <c r="R57" s="320" t="s">
        <v>205</v>
      </c>
      <c r="S57" s="360">
        <v>0</v>
      </c>
      <c r="T57" s="316" t="s">
        <v>205</v>
      </c>
      <c r="U57" s="316" t="s">
        <v>205</v>
      </c>
      <c r="V57" s="324" t="s">
        <v>205</v>
      </c>
      <c r="W57" s="356" t="s">
        <v>205</v>
      </c>
      <c r="X57" s="356" t="s">
        <v>205</v>
      </c>
      <c r="Y57" s="323">
        <v>0</v>
      </c>
      <c r="Z57" s="317">
        <v>0</v>
      </c>
      <c r="AA57" s="317" t="s">
        <v>205</v>
      </c>
      <c r="AB57" s="317" t="s">
        <v>205</v>
      </c>
      <c r="AC57" s="317" t="s">
        <v>205</v>
      </c>
      <c r="AD57" s="317" t="s">
        <v>205</v>
      </c>
      <c r="AE57" s="317">
        <v>0</v>
      </c>
      <c r="AF57" s="317" t="s">
        <v>205</v>
      </c>
      <c r="AG57" s="317" t="s">
        <v>205</v>
      </c>
      <c r="AH57" s="308"/>
      <c r="AI57"/>
      <c r="AJ57" s="103"/>
      <c r="AK57" s="103"/>
      <c r="AL57" s="103"/>
      <c r="AM57" s="103"/>
      <c r="AN57" s="103"/>
      <c r="AO57" s="103"/>
      <c r="AP57" s="103"/>
      <c r="AQ57" s="103"/>
      <c r="AR57" s="103"/>
      <c r="AS57" s="103"/>
      <c r="AT57" s="103"/>
      <c r="AU57" s="103"/>
      <c r="AV57" s="103"/>
      <c r="AW57" s="103"/>
      <c r="AX57" s="103"/>
      <c r="AY57" s="103"/>
      <c r="AZ57" s="103"/>
      <c r="BA57" s="103"/>
      <c r="BB57" s="103"/>
      <c r="BC57" s="103"/>
    </row>
    <row r="58" spans="1:55" s="256" customFormat="1" ht="31" customHeight="1">
      <c r="A58" s="256" t="s">
        <v>459</v>
      </c>
      <c r="B58" s="263" t="s">
        <v>601</v>
      </c>
      <c r="C58" s="263" t="s">
        <v>602</v>
      </c>
      <c r="D58" s="264" t="s">
        <v>603</v>
      </c>
      <c r="E58" s="264" t="s">
        <v>151</v>
      </c>
      <c r="F58" s="298" t="s">
        <v>604</v>
      </c>
      <c r="G58" s="265" t="s">
        <v>469</v>
      </c>
      <c r="H58" s="296">
        <v>8000</v>
      </c>
      <c r="I58" s="262">
        <v>6.9030899869919438</v>
      </c>
      <c r="J58" s="360">
        <v>23</v>
      </c>
      <c r="K58" s="358">
        <v>7607.3186956521704</v>
      </c>
      <c r="L58" s="358">
        <v>1938.8894497561</v>
      </c>
      <c r="M58" s="567">
        <v>96</v>
      </c>
      <c r="N58" s="322">
        <v>0</v>
      </c>
      <c r="O58" s="318" t="s">
        <v>463</v>
      </c>
      <c r="P58" s="320" t="s">
        <v>205</v>
      </c>
      <c r="Q58" s="318" t="s">
        <v>463</v>
      </c>
      <c r="R58" s="320" t="s">
        <v>205</v>
      </c>
      <c r="S58" s="135">
        <v>91</v>
      </c>
      <c r="T58" s="135">
        <v>-11.1</v>
      </c>
      <c r="U58" s="135">
        <v>1.7</v>
      </c>
      <c r="V58" s="324" t="s">
        <v>205</v>
      </c>
      <c r="W58" s="356" t="s">
        <v>205</v>
      </c>
      <c r="X58" s="356" t="s">
        <v>205</v>
      </c>
      <c r="Y58" s="323">
        <v>0</v>
      </c>
      <c r="Z58" s="317">
        <v>0</v>
      </c>
      <c r="AA58" s="317" t="s">
        <v>205</v>
      </c>
      <c r="AB58" s="317" t="s">
        <v>205</v>
      </c>
      <c r="AC58" s="317" t="s">
        <v>205</v>
      </c>
      <c r="AD58" s="317" t="s">
        <v>205</v>
      </c>
      <c r="AE58" s="317">
        <v>0</v>
      </c>
      <c r="AF58" s="317" t="s">
        <v>205</v>
      </c>
      <c r="AG58" s="317" t="s">
        <v>205</v>
      </c>
      <c r="AH58" s="308"/>
      <c r="AI58"/>
      <c r="AJ58" s="103"/>
      <c r="AK58" s="103"/>
      <c r="AL58" s="103"/>
      <c r="AM58" s="103"/>
      <c r="AN58" s="103"/>
      <c r="AO58" s="103"/>
      <c r="AP58" s="103"/>
      <c r="AQ58" s="103"/>
      <c r="AR58" s="103"/>
      <c r="AS58" s="103"/>
      <c r="AT58" s="103"/>
      <c r="AU58" s="103"/>
      <c r="AV58" s="103"/>
      <c r="AW58" s="103"/>
      <c r="AX58" s="103"/>
      <c r="AY58" s="103"/>
      <c r="AZ58" s="103"/>
      <c r="BA58" s="103"/>
      <c r="BB58" s="103"/>
      <c r="BC58" s="103"/>
    </row>
    <row r="59" spans="1:55" s="256" customFormat="1" ht="31" customHeight="1">
      <c r="A59" s="256" t="s">
        <v>459</v>
      </c>
      <c r="B59" s="263" t="s">
        <v>601</v>
      </c>
      <c r="C59" s="263" t="s">
        <v>605</v>
      </c>
      <c r="D59" s="257" t="s">
        <v>606</v>
      </c>
      <c r="E59" s="256" t="s">
        <v>151</v>
      </c>
      <c r="F59" s="297" t="s">
        <v>607</v>
      </c>
      <c r="G59" s="258" t="s">
        <v>477</v>
      </c>
      <c r="H59" s="440">
        <v>5000</v>
      </c>
      <c r="I59" s="262">
        <f>LOG(H59*1000)</f>
        <v>6.6989700043360187</v>
      </c>
      <c r="J59" s="359">
        <v>0</v>
      </c>
      <c r="K59" s="356" t="s">
        <v>205</v>
      </c>
      <c r="L59" s="356" t="s">
        <v>205</v>
      </c>
      <c r="M59" s="567">
        <v>1</v>
      </c>
      <c r="N59" s="322">
        <v>0</v>
      </c>
      <c r="O59" s="351" t="s">
        <v>205</v>
      </c>
      <c r="P59" s="351" t="s">
        <v>205</v>
      </c>
      <c r="Q59" s="351" t="s">
        <v>205</v>
      </c>
      <c r="R59" s="351" t="s">
        <v>205</v>
      </c>
      <c r="S59" s="352">
        <v>1</v>
      </c>
      <c r="T59" s="353">
        <v>-16.2</v>
      </c>
      <c r="U59" s="320" t="s">
        <v>205</v>
      </c>
      <c r="V59" s="324" t="s">
        <v>205</v>
      </c>
      <c r="W59" s="356" t="s">
        <v>205</v>
      </c>
      <c r="X59" s="356" t="s">
        <v>205</v>
      </c>
      <c r="Y59" s="323">
        <v>0</v>
      </c>
      <c r="Z59" s="352">
        <v>0</v>
      </c>
      <c r="AA59" s="352" t="s">
        <v>205</v>
      </c>
      <c r="AB59" s="352" t="s">
        <v>205</v>
      </c>
      <c r="AC59" s="352" t="s">
        <v>205</v>
      </c>
      <c r="AD59" s="352" t="s">
        <v>205</v>
      </c>
      <c r="AE59" s="352">
        <v>0</v>
      </c>
      <c r="AF59" s="352" t="s">
        <v>205</v>
      </c>
      <c r="AG59" s="352" t="s">
        <v>205</v>
      </c>
      <c r="AH59" s="366"/>
      <c r="AI59"/>
      <c r="AJ59" s="103"/>
      <c r="AK59" s="103"/>
      <c r="AL59" s="103"/>
      <c r="AM59" s="103"/>
      <c r="AN59" s="103"/>
      <c r="AO59" s="103"/>
      <c r="AP59" s="103"/>
      <c r="AQ59" s="103"/>
      <c r="AR59" s="103"/>
      <c r="AS59" s="103"/>
      <c r="AT59" s="103"/>
      <c r="AU59" s="103"/>
      <c r="AV59" s="103"/>
      <c r="AW59" s="103"/>
      <c r="AX59" s="103"/>
      <c r="AY59" s="103"/>
      <c r="AZ59" s="103"/>
      <c r="BA59" s="103"/>
      <c r="BB59" s="103"/>
      <c r="BC59" s="103"/>
    </row>
    <row r="60" spans="1:55" s="295" customFormat="1" ht="31" customHeight="1">
      <c r="A60" s="292" t="s">
        <v>459</v>
      </c>
      <c r="B60" s="293" t="s">
        <v>601</v>
      </c>
      <c r="C60" s="293" t="s">
        <v>608</v>
      </c>
      <c r="D60" s="547" t="s">
        <v>609</v>
      </c>
      <c r="E60" s="547" t="s">
        <v>610</v>
      </c>
      <c r="F60" s="362" t="s">
        <v>611</v>
      </c>
      <c r="G60" s="363" t="s">
        <v>458</v>
      </c>
      <c r="H60" s="441">
        <v>4523.8</v>
      </c>
      <c r="I60" s="294">
        <v>6.6555033962497934</v>
      </c>
      <c r="J60" s="364">
        <v>2</v>
      </c>
      <c r="K60" s="365">
        <v>7653.7</v>
      </c>
      <c r="L60" s="365">
        <v>206.61660146270901</v>
      </c>
      <c r="M60" s="656">
        <v>36</v>
      </c>
      <c r="N60" s="548">
        <v>3</v>
      </c>
      <c r="O60" s="548">
        <v>-20.6</v>
      </c>
      <c r="P60" s="548">
        <v>3.9</v>
      </c>
      <c r="Q60" s="548">
        <v>4.7</v>
      </c>
      <c r="R60" s="548">
        <v>2.1</v>
      </c>
      <c r="S60" s="548">
        <v>31</v>
      </c>
      <c r="T60" s="548">
        <v>-19.399999999999999</v>
      </c>
      <c r="U60" s="548">
        <v>1.1000000000000001</v>
      </c>
      <c r="V60" s="325" t="s">
        <v>205</v>
      </c>
      <c r="W60" s="357" t="s">
        <v>205</v>
      </c>
      <c r="X60" s="357" t="s">
        <v>205</v>
      </c>
      <c r="Y60" s="657">
        <v>0</v>
      </c>
      <c r="Z60" s="326">
        <v>0</v>
      </c>
      <c r="AA60" s="326" t="s">
        <v>205</v>
      </c>
      <c r="AB60" s="326" t="s">
        <v>205</v>
      </c>
      <c r="AC60" s="326" t="s">
        <v>205</v>
      </c>
      <c r="AD60" s="326" t="s">
        <v>205</v>
      </c>
      <c r="AE60" s="326">
        <v>0</v>
      </c>
      <c r="AF60" s="326" t="s">
        <v>205</v>
      </c>
      <c r="AG60" s="326" t="s">
        <v>205</v>
      </c>
      <c r="AH60" s="429"/>
      <c r="AI60"/>
      <c r="AJ60" s="292"/>
      <c r="AK60" s="292"/>
      <c r="AL60" s="292"/>
      <c r="AM60" s="292"/>
      <c r="AN60" s="292"/>
      <c r="AO60" s="292"/>
      <c r="AP60" s="292"/>
      <c r="AQ60" s="292"/>
      <c r="AR60" s="292"/>
      <c r="AS60" s="292"/>
      <c r="AT60" s="292"/>
      <c r="AU60" s="292"/>
      <c r="AV60" s="292"/>
      <c r="AW60" s="292"/>
      <c r="AX60" s="292"/>
      <c r="AY60" s="292"/>
      <c r="AZ60" s="292"/>
      <c r="BA60" s="292"/>
      <c r="BB60" s="292"/>
      <c r="BC60" s="292"/>
    </row>
    <row r="61" spans="1:55" s="16" customFormat="1">
      <c r="A61" s="17"/>
      <c r="B61" s="17"/>
      <c r="C61" s="17"/>
      <c r="D61" s="17"/>
      <c r="E61" s="17"/>
      <c r="F61" s="302"/>
      <c r="G61" s="19"/>
      <c r="H61" s="64"/>
      <c r="I61" s="20"/>
      <c r="J61" s="17"/>
      <c r="K61" s="66"/>
      <c r="L61" s="66"/>
      <c r="M61" s="68"/>
      <c r="N61" s="68"/>
      <c r="O61" s="66"/>
      <c r="P61" s="66"/>
      <c r="Q61" s="66"/>
      <c r="R61" s="66"/>
      <c r="S61" s="68"/>
      <c r="T61" s="66"/>
      <c r="U61" s="66"/>
      <c r="V61" s="313"/>
      <c r="W61" s="314"/>
      <c r="X61" s="314"/>
      <c r="Y61" s="68"/>
      <c r="Z61" s="68"/>
      <c r="AA61" s="20"/>
      <c r="AB61" s="20"/>
      <c r="AC61" s="20"/>
      <c r="AD61" s="20"/>
      <c r="AE61" s="17"/>
      <c r="AF61" s="17"/>
      <c r="AG61" s="17"/>
      <c r="AH61" s="232"/>
    </row>
    <row r="62" spans="1:55" s="16" customFormat="1">
      <c r="A62" s="327" t="s">
        <v>612</v>
      </c>
      <c r="B62" s="17"/>
      <c r="C62" s="17"/>
      <c r="D62" s="17"/>
      <c r="E62" s="17"/>
      <c r="F62" s="302"/>
      <c r="G62" s="19"/>
      <c r="H62" s="64"/>
      <c r="I62" s="20"/>
      <c r="J62" s="17"/>
      <c r="K62" s="66"/>
      <c r="L62" s="66"/>
      <c r="M62" s="68"/>
      <c r="N62" s="68"/>
      <c r="O62" s="66"/>
      <c r="P62" s="66"/>
      <c r="Q62" s="66"/>
      <c r="R62" s="66"/>
      <c r="S62" s="68"/>
      <c r="T62" s="66"/>
      <c r="U62" s="66"/>
      <c r="V62" s="313"/>
      <c r="W62" s="314"/>
      <c r="X62" s="314"/>
      <c r="Y62" s="68"/>
      <c r="Z62" s="68"/>
      <c r="AA62" s="20"/>
      <c r="AB62" s="20"/>
      <c r="AC62" s="20"/>
      <c r="AD62" s="20"/>
      <c r="AE62" s="17"/>
      <c r="AF62" s="17"/>
      <c r="AG62" s="17"/>
      <c r="AH62" s="232"/>
    </row>
    <row r="63" spans="1:55" s="16" customFormat="1">
      <c r="A63" s="327" t="s">
        <v>613</v>
      </c>
      <c r="B63" s="17"/>
      <c r="C63" s="17"/>
      <c r="D63" s="17"/>
      <c r="E63" s="17"/>
      <c r="F63" s="302"/>
      <c r="G63" s="19"/>
      <c r="H63" s="64"/>
      <c r="I63" s="20"/>
      <c r="J63" s="17"/>
      <c r="K63" s="66"/>
      <c r="L63" s="66"/>
      <c r="M63" s="68"/>
      <c r="N63" s="68"/>
      <c r="O63" s="66"/>
      <c r="P63" s="66"/>
      <c r="Q63" s="66"/>
      <c r="R63" s="66"/>
      <c r="S63" s="68"/>
      <c r="T63" s="66"/>
      <c r="U63" s="66"/>
      <c r="V63" s="313"/>
      <c r="W63" s="314"/>
      <c r="X63" s="314"/>
      <c r="Y63" s="68"/>
      <c r="Z63" s="68"/>
      <c r="AA63" s="20"/>
      <c r="AB63" s="20"/>
      <c r="AC63" s="20"/>
      <c r="AD63" s="20"/>
      <c r="AE63" s="17"/>
      <c r="AF63" s="17"/>
      <c r="AG63" s="17"/>
      <c r="AH63" s="232"/>
    </row>
    <row r="64" spans="1:55" s="16" customFormat="1">
      <c r="A64" s="327" t="s">
        <v>614</v>
      </c>
      <c r="B64" s="17"/>
      <c r="C64" s="17"/>
      <c r="D64" s="17"/>
      <c r="E64" s="17"/>
      <c r="F64" s="302"/>
      <c r="G64" s="19"/>
      <c r="H64" s="64"/>
      <c r="I64" s="20"/>
      <c r="J64" s="17"/>
      <c r="K64" s="66"/>
      <c r="L64" s="66"/>
      <c r="M64" s="68"/>
      <c r="N64" s="68"/>
      <c r="O64" s="66"/>
      <c r="P64" s="66"/>
      <c r="Q64" s="66"/>
      <c r="R64" s="66"/>
      <c r="S64" s="68"/>
      <c r="T64" s="66"/>
      <c r="U64" s="66"/>
      <c r="V64" s="313"/>
      <c r="W64" s="314"/>
      <c r="X64" s="314"/>
      <c r="Y64" s="68"/>
      <c r="Z64" s="68"/>
      <c r="AA64" s="20"/>
      <c r="AB64" s="20"/>
      <c r="AC64" s="20"/>
      <c r="AD64" s="20"/>
      <c r="AE64" s="17"/>
      <c r="AF64" s="17"/>
      <c r="AG64" s="17"/>
      <c r="AH64" s="232"/>
    </row>
    <row r="65" spans="1:34" s="16" customFormat="1">
      <c r="A65" s="17"/>
      <c r="B65" s="17"/>
      <c r="C65" s="17"/>
      <c r="D65" s="17"/>
      <c r="E65" s="17"/>
      <c r="F65" s="302"/>
      <c r="G65" s="19"/>
      <c r="H65" s="64"/>
      <c r="I65" s="20"/>
      <c r="J65" s="17"/>
      <c r="K65" s="66"/>
      <c r="L65" s="66"/>
      <c r="M65" s="68"/>
      <c r="N65" s="68"/>
      <c r="O65" s="66"/>
      <c r="P65" s="66"/>
      <c r="Q65" s="66"/>
      <c r="R65" s="66"/>
      <c r="S65" s="68"/>
      <c r="T65" s="66"/>
      <c r="U65" s="66"/>
      <c r="V65" s="313"/>
      <c r="W65" s="314"/>
      <c r="X65" s="314"/>
      <c r="Y65" s="68"/>
      <c r="Z65" s="68"/>
      <c r="AA65" s="20"/>
      <c r="AB65" s="20"/>
      <c r="AC65" s="20"/>
      <c r="AD65" s="20"/>
      <c r="AE65" s="17"/>
      <c r="AF65" s="17"/>
      <c r="AG65" s="17"/>
      <c r="AH65" s="232"/>
    </row>
    <row r="66" spans="1:34" s="16" customFormat="1">
      <c r="A66" s="17"/>
      <c r="B66" s="17"/>
      <c r="C66" s="17"/>
      <c r="D66" s="17"/>
      <c r="E66" s="17"/>
      <c r="F66" s="302"/>
      <c r="G66" s="19"/>
      <c r="H66" s="64"/>
      <c r="I66" s="20"/>
      <c r="J66" s="17"/>
      <c r="K66" s="66"/>
      <c r="L66" s="66"/>
      <c r="M66" s="68"/>
      <c r="N66" s="68"/>
      <c r="O66" s="66"/>
      <c r="P66" s="66"/>
      <c r="Q66" s="66"/>
      <c r="R66" s="66"/>
      <c r="S66" s="68"/>
      <c r="T66" s="66"/>
      <c r="U66" s="66"/>
      <c r="V66" s="313"/>
      <c r="W66" s="314"/>
      <c r="X66" s="314"/>
      <c r="Y66" s="68"/>
      <c r="Z66" s="68"/>
      <c r="AA66" s="20"/>
      <c r="AB66" s="20"/>
      <c r="AC66" s="20"/>
      <c r="AD66" s="20"/>
      <c r="AE66" s="17"/>
      <c r="AF66" s="17"/>
      <c r="AG66" s="17"/>
      <c r="AH66" s="232"/>
    </row>
    <row r="67" spans="1:34" s="16" customFormat="1">
      <c r="A67" s="17"/>
      <c r="B67" s="17"/>
      <c r="C67" s="17"/>
      <c r="D67" s="17"/>
      <c r="E67" s="17"/>
      <c r="F67" s="302"/>
      <c r="G67" s="19"/>
      <c r="H67" s="64"/>
      <c r="I67" s="20"/>
      <c r="J67" s="17"/>
      <c r="K67" s="66"/>
      <c r="L67" s="66"/>
      <c r="M67" s="68"/>
      <c r="N67" s="68"/>
      <c r="O67" s="66"/>
      <c r="P67" s="66"/>
      <c r="Q67" s="66"/>
      <c r="R67" s="66"/>
      <c r="S67" s="68"/>
      <c r="T67" s="66"/>
      <c r="U67" s="66"/>
      <c r="V67" s="313"/>
      <c r="W67" s="314"/>
      <c r="X67" s="314"/>
      <c r="Y67" s="68"/>
      <c r="Z67" s="68"/>
      <c r="AA67" s="20"/>
      <c r="AB67" s="20"/>
      <c r="AC67" s="20"/>
      <c r="AD67" s="20"/>
      <c r="AE67" s="68"/>
      <c r="AF67" s="68"/>
      <c r="AG67" s="20"/>
      <c r="AH67" s="232"/>
    </row>
    <row r="68" spans="1:34" s="16" customFormat="1">
      <c r="A68" s="17"/>
      <c r="B68" s="333"/>
      <c r="F68" s="302"/>
      <c r="G68" s="19"/>
      <c r="H68" s="64"/>
      <c r="I68" s="20"/>
      <c r="J68" s="17"/>
      <c r="K68" s="66"/>
      <c r="L68" s="66"/>
      <c r="M68" s="68"/>
      <c r="N68" s="68"/>
      <c r="O68" s="66"/>
      <c r="P68" s="66"/>
      <c r="Q68" s="66"/>
      <c r="R68" s="66"/>
      <c r="S68" s="68"/>
      <c r="T68" s="66"/>
      <c r="U68" s="66"/>
      <c r="V68" s="313"/>
      <c r="W68" s="314"/>
      <c r="X68" s="314"/>
      <c r="Y68" s="68"/>
      <c r="Z68" s="68"/>
      <c r="AA68" s="20"/>
      <c r="AB68" s="20"/>
      <c r="AC68" s="20"/>
      <c r="AD68" s="20"/>
      <c r="AE68" s="68"/>
      <c r="AF68" s="68"/>
      <c r="AG68" s="20"/>
      <c r="AH68" s="232"/>
    </row>
    <row r="69" spans="1:34" s="16" customFormat="1">
      <c r="A69" s="17"/>
      <c r="B69" s="17"/>
      <c r="C69" s="17"/>
      <c r="D69" s="17"/>
      <c r="E69" s="17"/>
      <c r="F69" s="302"/>
      <c r="G69" s="19"/>
      <c r="H69" s="64"/>
      <c r="I69" s="20"/>
      <c r="J69" s="68"/>
      <c r="K69" s="66"/>
      <c r="L69" s="66"/>
      <c r="M69" s="68"/>
      <c r="N69" s="68"/>
      <c r="O69" s="66"/>
      <c r="P69" s="66"/>
      <c r="Q69" s="66"/>
      <c r="R69" s="66"/>
      <c r="S69" s="68"/>
      <c r="T69" s="66"/>
      <c r="U69" s="66"/>
      <c r="V69" s="313"/>
      <c r="W69" s="314"/>
      <c r="X69" s="314"/>
      <c r="Y69" s="68"/>
      <c r="Z69" s="68"/>
      <c r="AA69" s="20"/>
      <c r="AB69" s="20"/>
      <c r="AC69" s="20"/>
      <c r="AD69" s="20"/>
      <c r="AE69" s="68"/>
      <c r="AF69" s="68"/>
      <c r="AG69" s="20"/>
      <c r="AH69" s="232"/>
    </row>
    <row r="70" spans="1:34" s="16" customFormat="1">
      <c r="A70" s="17"/>
      <c r="B70" s="17"/>
      <c r="C70" s="17"/>
      <c r="D70" s="17"/>
      <c r="E70" s="17"/>
      <c r="F70" s="302"/>
      <c r="G70" s="19"/>
      <c r="H70" s="64"/>
      <c r="I70" s="20"/>
      <c r="J70" s="68"/>
      <c r="K70" s="66"/>
      <c r="L70" s="66"/>
      <c r="M70" s="68"/>
      <c r="N70" s="68"/>
      <c r="O70" s="66"/>
      <c r="P70" s="66"/>
      <c r="Q70" s="66"/>
      <c r="R70" s="66"/>
      <c r="S70" s="68"/>
      <c r="T70" s="66"/>
      <c r="U70" s="66"/>
      <c r="V70" s="313"/>
      <c r="W70" s="314"/>
      <c r="X70" s="314"/>
      <c r="Y70" s="68"/>
      <c r="Z70" s="68"/>
      <c r="AA70" s="20"/>
      <c r="AB70" s="20"/>
      <c r="AC70" s="20"/>
      <c r="AD70" s="20"/>
      <c r="AE70" s="68"/>
      <c r="AF70" s="68"/>
      <c r="AG70" s="20"/>
      <c r="AH70" s="232"/>
    </row>
    <row r="71" spans="1:34" s="16" customFormat="1">
      <c r="A71" s="17"/>
      <c r="B71" s="17"/>
      <c r="C71" s="17"/>
      <c r="D71" s="17"/>
      <c r="E71" s="17"/>
      <c r="F71" s="302"/>
      <c r="G71" s="19"/>
      <c r="H71" s="64"/>
      <c r="I71" s="20"/>
      <c r="J71" s="68"/>
      <c r="K71" s="66"/>
      <c r="L71" s="66"/>
      <c r="M71" s="68"/>
      <c r="N71" s="68"/>
      <c r="O71" s="66"/>
      <c r="P71" s="66"/>
      <c r="Q71" s="66"/>
      <c r="R71" s="66"/>
      <c r="S71" s="68"/>
      <c r="T71" s="66"/>
      <c r="U71" s="66"/>
      <c r="V71" s="313"/>
      <c r="W71" s="314"/>
      <c r="X71" s="314"/>
      <c r="Y71" s="68"/>
      <c r="Z71" s="68"/>
      <c r="AA71" s="20"/>
      <c r="AB71" s="20"/>
      <c r="AC71" s="20"/>
      <c r="AD71" s="20"/>
      <c r="AE71" s="68"/>
      <c r="AF71" s="68"/>
      <c r="AG71" s="20"/>
      <c r="AH71" s="232"/>
    </row>
    <row r="72" spans="1:34" s="16" customFormat="1">
      <c r="A72" s="17"/>
      <c r="B72" s="17"/>
      <c r="C72" s="17"/>
      <c r="D72" s="17"/>
      <c r="E72" s="17"/>
      <c r="F72" s="302"/>
      <c r="G72" s="19"/>
      <c r="H72" s="64"/>
      <c r="I72" s="20"/>
      <c r="J72" s="68"/>
      <c r="K72" s="66"/>
      <c r="L72" s="66"/>
      <c r="M72" s="68"/>
      <c r="N72" s="68"/>
      <c r="O72" s="66"/>
      <c r="P72" s="66"/>
      <c r="Q72" s="66"/>
      <c r="R72" s="66"/>
      <c r="S72" s="68"/>
      <c r="T72" s="66"/>
      <c r="U72" s="66"/>
      <c r="V72" s="313"/>
      <c r="W72" s="314"/>
      <c r="X72" s="314"/>
      <c r="Y72" s="68"/>
      <c r="Z72" s="68"/>
      <c r="AA72" s="20"/>
      <c r="AB72" s="20"/>
      <c r="AC72" s="20"/>
      <c r="AD72" s="20"/>
      <c r="AE72" s="68"/>
      <c r="AF72" s="68"/>
      <c r="AG72" s="20"/>
      <c r="AH72" s="232"/>
    </row>
    <row r="73" spans="1:34" s="16" customFormat="1">
      <c r="A73" s="17"/>
      <c r="B73" s="17"/>
      <c r="C73" s="17"/>
      <c r="D73" s="17"/>
      <c r="E73" s="17"/>
      <c r="F73" s="302"/>
      <c r="G73" s="19"/>
      <c r="H73" s="64"/>
      <c r="I73" s="20"/>
      <c r="J73" s="68"/>
      <c r="K73" s="66"/>
      <c r="L73" s="66"/>
      <c r="M73" s="68"/>
      <c r="N73" s="68"/>
      <c r="O73" s="66"/>
      <c r="P73" s="66"/>
      <c r="Q73" s="66"/>
      <c r="R73" s="66"/>
      <c r="S73" s="68"/>
      <c r="T73" s="66"/>
      <c r="U73" s="66"/>
      <c r="V73" s="313"/>
      <c r="W73" s="314"/>
      <c r="X73" s="314"/>
      <c r="Y73" s="68"/>
      <c r="Z73" s="68"/>
      <c r="AA73" s="20"/>
      <c r="AB73" s="20"/>
      <c r="AC73" s="20"/>
      <c r="AD73" s="20"/>
      <c r="AE73" s="68"/>
      <c r="AF73" s="68"/>
      <c r="AG73" s="20"/>
      <c r="AH73" s="232"/>
    </row>
    <row r="74" spans="1:34" s="16" customFormat="1">
      <c r="A74" s="17"/>
      <c r="B74" s="17"/>
      <c r="C74" s="17"/>
      <c r="D74" s="17"/>
      <c r="E74" s="17"/>
      <c r="F74" s="302"/>
      <c r="G74" s="19"/>
      <c r="H74" s="64"/>
      <c r="I74" s="20"/>
      <c r="J74" s="68"/>
      <c r="K74" s="66"/>
      <c r="L74" s="66"/>
      <c r="M74" s="68"/>
      <c r="N74" s="68"/>
      <c r="O74" s="66"/>
      <c r="P74" s="66"/>
      <c r="Q74" s="66"/>
      <c r="R74" s="66"/>
      <c r="S74" s="68"/>
      <c r="T74" s="66"/>
      <c r="U74" s="66"/>
      <c r="V74" s="313"/>
      <c r="W74" s="314"/>
      <c r="X74" s="314"/>
      <c r="Y74" s="68"/>
      <c r="Z74" s="68"/>
      <c r="AA74" s="20"/>
      <c r="AB74" s="20"/>
      <c r="AC74" s="20"/>
      <c r="AD74" s="20"/>
      <c r="AE74" s="68"/>
      <c r="AF74" s="68"/>
      <c r="AG74" s="20"/>
      <c r="AH74" s="232"/>
    </row>
    <row r="75" spans="1:34" s="16" customFormat="1">
      <c r="A75" s="17"/>
      <c r="B75" s="17"/>
      <c r="C75" s="17"/>
      <c r="D75" s="17"/>
      <c r="E75" s="17"/>
      <c r="F75" s="302"/>
      <c r="G75" s="19"/>
      <c r="H75" s="64"/>
      <c r="I75" s="20"/>
      <c r="J75" s="68"/>
      <c r="K75" s="66"/>
      <c r="L75" s="66"/>
      <c r="M75" s="68"/>
      <c r="N75" s="68"/>
      <c r="O75" s="66"/>
      <c r="P75" s="66"/>
      <c r="Q75" s="66"/>
      <c r="R75" s="66"/>
      <c r="S75" s="68"/>
      <c r="T75" s="66"/>
      <c r="U75" s="66"/>
      <c r="V75" s="313"/>
      <c r="W75" s="314"/>
      <c r="X75" s="314"/>
      <c r="Y75" s="68"/>
      <c r="Z75" s="68"/>
      <c r="AA75" s="20"/>
      <c r="AB75" s="20"/>
      <c r="AC75" s="20"/>
      <c r="AD75" s="20"/>
      <c r="AE75" s="68"/>
      <c r="AF75" s="68"/>
      <c r="AG75" s="20"/>
      <c r="AH75" s="232"/>
    </row>
    <row r="76" spans="1:34" s="16" customFormat="1">
      <c r="A76" s="17"/>
      <c r="B76" s="17"/>
      <c r="C76" s="17"/>
      <c r="D76" s="17"/>
      <c r="E76" s="17"/>
      <c r="F76" s="302"/>
      <c r="G76" s="19"/>
      <c r="H76" s="64"/>
      <c r="I76" s="20"/>
      <c r="J76" s="68"/>
      <c r="K76" s="66"/>
      <c r="L76" s="66"/>
      <c r="M76" s="68"/>
      <c r="N76" s="68"/>
      <c r="O76" s="66"/>
      <c r="P76" s="66"/>
      <c r="Q76" s="66"/>
      <c r="R76" s="66"/>
      <c r="S76" s="68"/>
      <c r="T76" s="66"/>
      <c r="U76" s="66"/>
      <c r="V76" s="313"/>
      <c r="W76" s="314"/>
      <c r="X76" s="314"/>
      <c r="Y76" s="68"/>
      <c r="Z76" s="20"/>
      <c r="AA76" s="20"/>
      <c r="AB76" s="20"/>
      <c r="AC76" s="20"/>
      <c r="AD76" s="20"/>
      <c r="AE76" s="68"/>
      <c r="AF76" s="68"/>
      <c r="AG76" s="20"/>
      <c r="AH76" s="232"/>
    </row>
    <row r="77" spans="1:34" s="16" customFormat="1">
      <c r="A77" s="17"/>
      <c r="B77" s="17"/>
      <c r="C77" s="17"/>
      <c r="D77" s="17"/>
      <c r="E77" s="17"/>
      <c r="F77" s="302"/>
      <c r="G77" s="19"/>
      <c r="H77" s="64"/>
      <c r="I77" s="20"/>
      <c r="J77" s="68"/>
      <c r="K77" s="66"/>
      <c r="L77" s="66"/>
      <c r="M77" s="68"/>
      <c r="N77" s="68"/>
      <c r="O77" s="66"/>
      <c r="P77" s="66"/>
      <c r="Q77" s="66"/>
      <c r="R77" s="66"/>
      <c r="S77" s="68"/>
      <c r="T77" s="66"/>
      <c r="U77" s="66"/>
      <c r="V77" s="313"/>
      <c r="W77" s="314"/>
      <c r="X77" s="314"/>
      <c r="Y77" s="68"/>
      <c r="Z77" s="20"/>
      <c r="AA77" s="20"/>
      <c r="AB77" s="20"/>
      <c r="AC77" s="20"/>
      <c r="AD77" s="20"/>
      <c r="AE77" s="68"/>
      <c r="AF77" s="68"/>
      <c r="AG77" s="20"/>
      <c r="AH77" s="232"/>
    </row>
    <row r="78" spans="1:34" s="16" customFormat="1">
      <c r="A78" s="17"/>
      <c r="B78" s="17"/>
      <c r="C78" s="17"/>
      <c r="D78" s="17"/>
      <c r="E78" s="17"/>
      <c r="F78" s="302"/>
      <c r="G78" s="19"/>
      <c r="H78" s="64"/>
      <c r="I78" s="20"/>
      <c r="J78" s="68"/>
      <c r="K78" s="66"/>
      <c r="L78" s="66"/>
      <c r="M78" s="68"/>
      <c r="N78" s="68"/>
      <c r="O78" s="66"/>
      <c r="P78" s="66"/>
      <c r="Q78" s="66"/>
      <c r="R78" s="66"/>
      <c r="S78" s="68"/>
      <c r="T78" s="66"/>
      <c r="U78" s="66"/>
      <c r="V78" s="313"/>
      <c r="W78" s="314"/>
      <c r="X78" s="314"/>
      <c r="Y78" s="68"/>
      <c r="Z78" s="20"/>
      <c r="AA78" s="20"/>
      <c r="AB78" s="20"/>
      <c r="AC78" s="20"/>
      <c r="AD78" s="20"/>
      <c r="AE78" s="68"/>
      <c r="AF78" s="68"/>
      <c r="AG78" s="20"/>
      <c r="AH78" s="232"/>
    </row>
    <row r="79" spans="1:34" s="16" customFormat="1">
      <c r="A79" s="17"/>
      <c r="B79" s="17"/>
      <c r="C79" s="17"/>
      <c r="D79" s="17"/>
      <c r="E79" s="17"/>
      <c r="F79" s="302"/>
      <c r="G79" s="19"/>
      <c r="H79" s="64"/>
      <c r="I79" s="20"/>
      <c r="J79" s="68"/>
      <c r="K79" s="66"/>
      <c r="L79" s="66"/>
      <c r="M79" s="68"/>
      <c r="N79" s="68"/>
      <c r="O79" s="66"/>
      <c r="P79" s="66"/>
      <c r="Q79" s="66"/>
      <c r="R79" s="66"/>
      <c r="S79" s="68"/>
      <c r="T79" s="66"/>
      <c r="U79" s="66"/>
      <c r="V79" s="313"/>
      <c r="W79" s="314"/>
      <c r="X79" s="314"/>
      <c r="Y79" s="68"/>
      <c r="Z79" s="20"/>
      <c r="AA79" s="20"/>
      <c r="AB79" s="20"/>
      <c r="AC79" s="20"/>
      <c r="AD79" s="20"/>
      <c r="AE79" s="68"/>
      <c r="AF79" s="68"/>
      <c r="AG79" s="20"/>
      <c r="AH79" s="232"/>
    </row>
    <row r="80" spans="1:34" s="16" customFormat="1">
      <c r="A80" s="17"/>
      <c r="B80" s="17"/>
      <c r="C80" s="17"/>
      <c r="D80" s="17"/>
      <c r="E80" s="17"/>
      <c r="F80" s="302"/>
      <c r="G80" s="19"/>
      <c r="H80" s="64"/>
      <c r="I80" s="20"/>
      <c r="J80" s="68"/>
      <c r="K80" s="66"/>
      <c r="L80" s="66"/>
      <c r="M80" s="68"/>
      <c r="N80" s="68"/>
      <c r="O80" s="66"/>
      <c r="P80" s="66"/>
      <c r="Q80" s="66"/>
      <c r="R80" s="66"/>
      <c r="S80" s="68"/>
      <c r="T80" s="66"/>
      <c r="U80" s="66"/>
      <c r="V80" s="313"/>
      <c r="W80" s="314"/>
      <c r="X80" s="314"/>
      <c r="Y80" s="68"/>
      <c r="Z80" s="20"/>
      <c r="AA80" s="20"/>
      <c r="AB80" s="20"/>
      <c r="AC80" s="20"/>
      <c r="AD80" s="20"/>
      <c r="AE80" s="68"/>
      <c r="AF80" s="68"/>
      <c r="AG80" s="20"/>
      <c r="AH80" s="232"/>
    </row>
    <row r="81" spans="1:34" s="16" customFormat="1">
      <c r="A81" s="17"/>
      <c r="B81" s="17"/>
      <c r="C81" s="17"/>
      <c r="D81" s="17"/>
      <c r="E81" s="17"/>
      <c r="F81" s="302"/>
      <c r="G81" s="19"/>
      <c r="H81" s="64"/>
      <c r="I81" s="20"/>
      <c r="J81" s="68"/>
      <c r="K81" s="66"/>
      <c r="L81" s="66"/>
      <c r="M81" s="68"/>
      <c r="N81" s="68"/>
      <c r="O81" s="66"/>
      <c r="P81" s="66"/>
      <c r="Q81" s="66"/>
      <c r="R81" s="66"/>
      <c r="S81" s="68"/>
      <c r="T81" s="66"/>
      <c r="U81" s="66"/>
      <c r="V81" s="313"/>
      <c r="W81" s="314"/>
      <c r="X81" s="314"/>
      <c r="Y81" s="68"/>
      <c r="Z81" s="20"/>
      <c r="AA81" s="20"/>
      <c r="AB81" s="20"/>
      <c r="AC81" s="20"/>
      <c r="AD81" s="20"/>
      <c r="AE81" s="68"/>
      <c r="AF81" s="68"/>
      <c r="AG81" s="20"/>
      <c r="AH81" s="232"/>
    </row>
    <row r="82" spans="1:34" s="16" customFormat="1">
      <c r="A82" s="17"/>
      <c r="B82" s="17"/>
      <c r="C82" s="17"/>
      <c r="D82" s="17"/>
      <c r="E82" s="17"/>
      <c r="F82" s="302"/>
      <c r="G82" s="19"/>
      <c r="H82" s="64"/>
      <c r="I82" s="20"/>
      <c r="J82" s="68"/>
      <c r="K82" s="66"/>
      <c r="L82" s="66"/>
      <c r="M82" s="68"/>
      <c r="N82" s="68"/>
      <c r="O82" s="66"/>
      <c r="P82" s="66"/>
      <c r="Q82" s="66"/>
      <c r="R82" s="66"/>
      <c r="S82" s="68"/>
      <c r="T82" s="66"/>
      <c r="U82" s="66"/>
      <c r="V82" s="313"/>
      <c r="W82" s="314"/>
      <c r="X82" s="314"/>
      <c r="Y82" s="68"/>
      <c r="Z82" s="20"/>
      <c r="AA82" s="20"/>
      <c r="AB82" s="20"/>
      <c r="AC82" s="20"/>
      <c r="AD82" s="20"/>
      <c r="AE82" s="68"/>
      <c r="AF82" s="68"/>
      <c r="AG82" s="20"/>
      <c r="AH82" s="232"/>
    </row>
    <row r="83" spans="1:34" s="16" customFormat="1">
      <c r="A83" s="17"/>
      <c r="B83" s="17"/>
      <c r="C83" s="17"/>
      <c r="D83" s="17"/>
      <c r="E83" s="17"/>
      <c r="F83" s="302"/>
      <c r="G83" s="19"/>
      <c r="H83" s="64"/>
      <c r="I83" s="20"/>
      <c r="J83" s="68"/>
      <c r="K83" s="66"/>
      <c r="L83" s="66"/>
      <c r="M83" s="68"/>
      <c r="N83" s="68"/>
      <c r="O83" s="66"/>
      <c r="P83" s="66"/>
      <c r="Q83" s="66"/>
      <c r="R83" s="66"/>
      <c r="S83" s="68"/>
      <c r="T83" s="66"/>
      <c r="U83" s="66"/>
      <c r="V83" s="313"/>
      <c r="W83" s="314"/>
      <c r="X83" s="314"/>
      <c r="Y83" s="68"/>
      <c r="Z83" s="20"/>
      <c r="AA83" s="20"/>
      <c r="AB83" s="20"/>
      <c r="AC83" s="20"/>
      <c r="AD83" s="20"/>
      <c r="AE83" s="68"/>
      <c r="AF83" s="68"/>
      <c r="AG83" s="20"/>
      <c r="AH83" s="232"/>
    </row>
    <row r="84" spans="1:34" s="16" customFormat="1">
      <c r="A84" s="17"/>
      <c r="B84" s="17"/>
      <c r="C84" s="17"/>
      <c r="D84" s="17"/>
      <c r="E84" s="17"/>
      <c r="F84" s="302"/>
      <c r="G84" s="19"/>
      <c r="H84" s="64"/>
      <c r="I84" s="20"/>
      <c r="J84" s="68"/>
      <c r="K84" s="66"/>
      <c r="L84" s="66"/>
      <c r="M84" s="68"/>
      <c r="N84" s="68"/>
      <c r="O84" s="66"/>
      <c r="P84" s="66"/>
      <c r="Q84" s="66"/>
      <c r="R84" s="66"/>
      <c r="S84" s="68"/>
      <c r="T84" s="66"/>
      <c r="U84" s="66"/>
      <c r="V84" s="313"/>
      <c r="W84" s="314"/>
      <c r="X84" s="314"/>
      <c r="Y84" s="68"/>
      <c r="Z84" s="20"/>
      <c r="AA84" s="20"/>
      <c r="AB84" s="20"/>
      <c r="AC84" s="20"/>
      <c r="AD84" s="20"/>
      <c r="AE84" s="68"/>
      <c r="AF84" s="68"/>
      <c r="AG84" s="20"/>
      <c r="AH84" s="232"/>
    </row>
    <row r="85" spans="1:34" s="16" customFormat="1">
      <c r="A85" s="17"/>
      <c r="B85" s="17"/>
      <c r="C85" s="17"/>
      <c r="D85" s="17"/>
      <c r="E85" s="17"/>
      <c r="F85" s="302"/>
      <c r="G85" s="19"/>
      <c r="H85" s="64"/>
      <c r="I85" s="20"/>
      <c r="J85" s="68"/>
      <c r="K85" s="66"/>
      <c r="L85" s="66"/>
      <c r="M85" s="68"/>
      <c r="N85" s="68"/>
      <c r="O85" s="66"/>
      <c r="P85" s="66"/>
      <c r="Q85" s="66"/>
      <c r="R85" s="66"/>
      <c r="S85" s="68"/>
      <c r="T85" s="66"/>
      <c r="U85" s="66"/>
      <c r="V85" s="313"/>
      <c r="W85" s="314"/>
      <c r="X85" s="314"/>
      <c r="Y85" s="68"/>
      <c r="Z85" s="20"/>
      <c r="AA85" s="20"/>
      <c r="AB85" s="20"/>
      <c r="AC85" s="20"/>
      <c r="AD85" s="20"/>
      <c r="AE85" s="68"/>
      <c r="AF85" s="68"/>
      <c r="AG85" s="20"/>
      <c r="AH85" s="232"/>
    </row>
    <row r="86" spans="1:34" s="16" customFormat="1">
      <c r="A86" s="17"/>
      <c r="B86" s="17"/>
      <c r="C86" s="17"/>
      <c r="D86" s="17"/>
      <c r="E86" s="17"/>
      <c r="F86" s="302"/>
      <c r="G86" s="19"/>
      <c r="H86" s="64"/>
      <c r="I86" s="20"/>
      <c r="J86" s="68"/>
      <c r="K86" s="66"/>
      <c r="L86" s="66"/>
      <c r="M86" s="68"/>
      <c r="N86" s="68"/>
      <c r="O86" s="66"/>
      <c r="P86" s="66"/>
      <c r="Q86" s="66"/>
      <c r="R86" s="66"/>
      <c r="S86" s="68"/>
      <c r="T86" s="66"/>
      <c r="U86" s="66"/>
      <c r="V86" s="313"/>
      <c r="W86" s="314"/>
      <c r="X86" s="314"/>
      <c r="Y86" s="68"/>
      <c r="Z86" s="20"/>
      <c r="AA86" s="20"/>
      <c r="AB86" s="20"/>
      <c r="AC86" s="20"/>
      <c r="AD86" s="20"/>
      <c r="AE86" s="68"/>
      <c r="AF86" s="68"/>
      <c r="AG86" s="20"/>
      <c r="AH86" s="232"/>
    </row>
    <row r="87" spans="1:34" s="16" customFormat="1">
      <c r="A87" s="17"/>
      <c r="B87" s="17"/>
      <c r="C87" s="17"/>
      <c r="D87" s="17"/>
      <c r="E87" s="17"/>
      <c r="F87" s="302"/>
      <c r="G87" s="19"/>
      <c r="H87" s="64"/>
      <c r="I87" s="20"/>
      <c r="J87" s="68"/>
      <c r="K87" s="66"/>
      <c r="L87" s="66"/>
      <c r="M87" s="68"/>
      <c r="N87" s="68"/>
      <c r="O87" s="66"/>
      <c r="P87" s="66"/>
      <c r="Q87" s="66"/>
      <c r="R87" s="66"/>
      <c r="S87" s="68"/>
      <c r="T87" s="66"/>
      <c r="U87" s="66"/>
      <c r="V87" s="313"/>
      <c r="W87" s="314"/>
      <c r="X87" s="314"/>
      <c r="Y87" s="68"/>
      <c r="Z87" s="20"/>
      <c r="AA87" s="20"/>
      <c r="AB87" s="20"/>
      <c r="AC87" s="20"/>
      <c r="AD87" s="20"/>
      <c r="AE87" s="68"/>
      <c r="AF87" s="68"/>
      <c r="AG87" s="20"/>
      <c r="AH87" s="232"/>
    </row>
    <row r="88" spans="1:34" s="16" customFormat="1">
      <c r="A88" s="17"/>
      <c r="B88" s="17"/>
      <c r="C88" s="17"/>
      <c r="D88" s="17"/>
      <c r="E88" s="17"/>
      <c r="F88" s="302"/>
      <c r="G88" s="19"/>
      <c r="H88" s="64"/>
      <c r="I88" s="20"/>
      <c r="J88" s="68"/>
      <c r="K88" s="66"/>
      <c r="L88" s="66"/>
      <c r="M88" s="68"/>
      <c r="N88" s="68"/>
      <c r="O88" s="66"/>
      <c r="P88" s="66"/>
      <c r="Q88" s="66"/>
      <c r="R88" s="66"/>
      <c r="S88" s="68"/>
      <c r="T88" s="66"/>
      <c r="U88" s="66"/>
      <c r="V88" s="313"/>
      <c r="W88" s="314"/>
      <c r="X88" s="314"/>
      <c r="Y88" s="68"/>
      <c r="Z88" s="20"/>
      <c r="AA88" s="20"/>
      <c r="AB88" s="20"/>
      <c r="AC88" s="20"/>
      <c r="AD88" s="20"/>
      <c r="AE88" s="68"/>
      <c r="AF88" s="68"/>
      <c r="AG88" s="20"/>
      <c r="AH88" s="232"/>
    </row>
    <row r="89" spans="1:34" s="16" customFormat="1">
      <c r="A89" s="17"/>
      <c r="B89" s="17"/>
      <c r="C89" s="17"/>
      <c r="D89" s="17"/>
      <c r="E89" s="17"/>
      <c r="F89" s="302"/>
      <c r="G89" s="19"/>
      <c r="H89" s="64"/>
      <c r="I89" s="20"/>
      <c r="J89" s="68"/>
      <c r="K89" s="66"/>
      <c r="L89" s="66"/>
      <c r="M89" s="68"/>
      <c r="N89" s="68"/>
      <c r="O89" s="66"/>
      <c r="P89" s="66"/>
      <c r="Q89" s="66"/>
      <c r="R89" s="66"/>
      <c r="S89" s="68"/>
      <c r="T89" s="66"/>
      <c r="U89" s="66"/>
      <c r="V89" s="313"/>
      <c r="W89" s="314"/>
      <c r="X89" s="314"/>
      <c r="Y89" s="68"/>
      <c r="Z89" s="20"/>
      <c r="AA89" s="20"/>
      <c r="AB89" s="20"/>
      <c r="AC89" s="20"/>
      <c r="AD89" s="20"/>
      <c r="AE89" s="68"/>
      <c r="AF89" s="68"/>
      <c r="AG89" s="20"/>
      <c r="AH89" s="232"/>
    </row>
    <row r="90" spans="1:34" s="16" customFormat="1">
      <c r="A90" s="17"/>
      <c r="B90" s="17"/>
      <c r="C90" s="17"/>
      <c r="D90" s="17"/>
      <c r="E90" s="17"/>
      <c r="F90" s="302"/>
      <c r="G90" s="19"/>
      <c r="H90" s="64"/>
      <c r="I90" s="20"/>
      <c r="J90" s="68"/>
      <c r="K90" s="66"/>
      <c r="L90" s="66"/>
      <c r="M90" s="68"/>
      <c r="N90" s="68"/>
      <c r="O90" s="66"/>
      <c r="P90" s="66"/>
      <c r="Q90" s="66"/>
      <c r="R90" s="66"/>
      <c r="S90" s="68"/>
      <c r="T90" s="66"/>
      <c r="U90" s="66"/>
      <c r="V90" s="313"/>
      <c r="W90" s="314"/>
      <c r="X90" s="314"/>
      <c r="Y90" s="68"/>
      <c r="Z90" s="20"/>
      <c r="AA90" s="20"/>
      <c r="AB90" s="20"/>
      <c r="AC90" s="20"/>
      <c r="AD90" s="20"/>
      <c r="AE90" s="68"/>
      <c r="AF90" s="68"/>
      <c r="AG90" s="20"/>
      <c r="AH90" s="232"/>
    </row>
    <row r="91" spans="1:34" s="16" customFormat="1">
      <c r="A91" s="17"/>
      <c r="B91" s="17"/>
      <c r="C91" s="17"/>
      <c r="D91" s="17"/>
      <c r="E91" s="17"/>
      <c r="F91" s="302"/>
      <c r="G91" s="19"/>
      <c r="H91" s="64"/>
      <c r="I91" s="20"/>
      <c r="J91" s="68"/>
      <c r="K91" s="66"/>
      <c r="L91" s="66"/>
      <c r="M91" s="68"/>
      <c r="N91" s="68"/>
      <c r="O91" s="66"/>
      <c r="P91" s="66"/>
      <c r="Q91" s="66"/>
      <c r="R91" s="66"/>
      <c r="S91" s="68"/>
      <c r="T91" s="66"/>
      <c r="U91" s="66"/>
      <c r="V91" s="313"/>
      <c r="W91" s="314"/>
      <c r="X91" s="314"/>
      <c r="Y91" s="68"/>
      <c r="Z91" s="20"/>
      <c r="AA91" s="20"/>
      <c r="AB91" s="20"/>
      <c r="AC91" s="20"/>
      <c r="AD91" s="20"/>
      <c r="AE91" s="68"/>
      <c r="AF91" s="68"/>
      <c r="AG91" s="20"/>
      <c r="AH91" s="232"/>
    </row>
    <row r="92" spans="1:34" s="16" customFormat="1">
      <c r="A92" s="17"/>
      <c r="B92" s="17"/>
      <c r="C92" s="17"/>
      <c r="D92" s="17"/>
      <c r="E92" s="17"/>
      <c r="F92" s="302"/>
      <c r="G92" s="19"/>
      <c r="H92" s="64"/>
      <c r="I92" s="20"/>
      <c r="J92" s="68"/>
      <c r="K92" s="66"/>
      <c r="L92" s="66"/>
      <c r="M92" s="68"/>
      <c r="N92" s="68"/>
      <c r="O92" s="66"/>
      <c r="P92" s="66"/>
      <c r="Q92" s="66"/>
      <c r="R92" s="66"/>
      <c r="S92" s="68"/>
      <c r="T92" s="66"/>
      <c r="U92" s="66"/>
      <c r="V92" s="313"/>
      <c r="W92" s="314"/>
      <c r="X92" s="314"/>
      <c r="Y92" s="68"/>
      <c r="Z92" s="20"/>
      <c r="AA92" s="20"/>
      <c r="AB92" s="20"/>
      <c r="AC92" s="20"/>
      <c r="AD92" s="20"/>
      <c r="AE92" s="68"/>
      <c r="AF92" s="68"/>
      <c r="AG92" s="20"/>
      <c r="AH92" s="232"/>
    </row>
    <row r="93" spans="1:34" s="16" customFormat="1">
      <c r="A93" s="17"/>
      <c r="B93" s="17"/>
      <c r="C93" s="17"/>
      <c r="D93" s="17"/>
      <c r="E93" s="17"/>
      <c r="F93" s="302"/>
      <c r="G93" s="19"/>
      <c r="H93" s="64"/>
      <c r="I93" s="20"/>
      <c r="J93" s="68"/>
      <c r="K93" s="66"/>
      <c r="L93" s="66"/>
      <c r="M93" s="68"/>
      <c r="N93" s="68"/>
      <c r="O93" s="66"/>
      <c r="P93" s="66"/>
      <c r="Q93" s="66"/>
      <c r="R93" s="66"/>
      <c r="S93" s="68"/>
      <c r="T93" s="66"/>
      <c r="U93" s="66"/>
      <c r="V93" s="313"/>
      <c r="W93" s="314"/>
      <c r="X93" s="314"/>
      <c r="Y93" s="68"/>
      <c r="Z93" s="20"/>
      <c r="AA93" s="20"/>
      <c r="AB93" s="20"/>
      <c r="AC93" s="20"/>
      <c r="AD93" s="20"/>
      <c r="AE93" s="68"/>
      <c r="AF93" s="68"/>
      <c r="AG93" s="20"/>
      <c r="AH93" s="232"/>
    </row>
    <row r="94" spans="1:34" s="16" customFormat="1">
      <c r="A94" s="17"/>
      <c r="B94" s="17"/>
      <c r="C94" s="17"/>
      <c r="D94" s="17"/>
      <c r="E94" s="17"/>
      <c r="F94" s="302"/>
      <c r="G94" s="19"/>
      <c r="H94" s="64"/>
      <c r="I94" s="20"/>
      <c r="J94" s="68"/>
      <c r="K94" s="66"/>
      <c r="L94" s="66"/>
      <c r="M94" s="68"/>
      <c r="N94" s="68"/>
      <c r="O94" s="66"/>
      <c r="P94" s="66"/>
      <c r="Q94" s="66"/>
      <c r="R94" s="66"/>
      <c r="S94" s="68"/>
      <c r="T94" s="66"/>
      <c r="U94" s="66"/>
      <c r="V94" s="313"/>
      <c r="W94" s="314"/>
      <c r="X94" s="314"/>
      <c r="Y94" s="68"/>
      <c r="Z94" s="20"/>
      <c r="AA94" s="20"/>
      <c r="AB94" s="20"/>
      <c r="AC94" s="20"/>
      <c r="AD94" s="20"/>
      <c r="AE94" s="68"/>
      <c r="AF94" s="68"/>
      <c r="AG94" s="20"/>
      <c r="AH94" s="232"/>
    </row>
    <row r="95" spans="1:34" s="16" customFormat="1">
      <c r="A95" s="17"/>
      <c r="B95" s="17"/>
      <c r="C95" s="17"/>
      <c r="D95" s="17"/>
      <c r="E95" s="17"/>
      <c r="F95" s="302"/>
      <c r="G95" s="19"/>
      <c r="H95" s="64"/>
      <c r="I95" s="20"/>
      <c r="J95" s="68"/>
      <c r="K95" s="66"/>
      <c r="L95" s="66"/>
      <c r="M95" s="68"/>
      <c r="N95" s="68"/>
      <c r="O95" s="66"/>
      <c r="P95" s="66"/>
      <c r="Q95" s="66"/>
      <c r="R95" s="66"/>
      <c r="S95" s="68"/>
      <c r="T95" s="66"/>
      <c r="U95" s="66"/>
      <c r="V95" s="313"/>
      <c r="W95" s="314"/>
      <c r="X95" s="314"/>
      <c r="Y95" s="68"/>
      <c r="Z95" s="20"/>
      <c r="AA95" s="20"/>
      <c r="AB95" s="20"/>
      <c r="AC95" s="20"/>
      <c r="AD95" s="20"/>
      <c r="AE95" s="68"/>
      <c r="AF95" s="68"/>
      <c r="AG95" s="20"/>
      <c r="AH95" s="232"/>
    </row>
    <row r="96" spans="1:34" s="16" customFormat="1">
      <c r="A96" s="17"/>
      <c r="B96" s="17"/>
      <c r="C96" s="17"/>
      <c r="D96" s="17"/>
      <c r="E96" s="17"/>
      <c r="F96" s="302"/>
      <c r="G96" s="19"/>
      <c r="H96" s="64"/>
      <c r="I96" s="20"/>
      <c r="J96" s="68"/>
      <c r="K96" s="66"/>
      <c r="L96" s="66"/>
      <c r="M96" s="68"/>
      <c r="N96" s="68"/>
      <c r="O96" s="66"/>
      <c r="P96" s="66"/>
      <c r="Q96" s="66"/>
      <c r="R96" s="66"/>
      <c r="S96" s="68"/>
      <c r="T96" s="66"/>
      <c r="U96" s="66"/>
      <c r="V96" s="313"/>
      <c r="W96" s="314"/>
      <c r="X96" s="314"/>
      <c r="Y96" s="68"/>
      <c r="Z96" s="20"/>
      <c r="AA96" s="20"/>
      <c r="AB96" s="20"/>
      <c r="AC96" s="20"/>
      <c r="AD96" s="20"/>
      <c r="AE96" s="68"/>
      <c r="AF96" s="68"/>
      <c r="AG96" s="20"/>
      <c r="AH96" s="232"/>
    </row>
    <row r="97" spans="1:34" s="16" customFormat="1">
      <c r="A97" s="17"/>
      <c r="B97" s="17"/>
      <c r="C97" s="17"/>
      <c r="D97" s="17"/>
      <c r="E97" s="17"/>
      <c r="F97" s="302"/>
      <c r="G97" s="19"/>
      <c r="H97" s="64"/>
      <c r="I97" s="20"/>
      <c r="J97" s="68"/>
      <c r="K97" s="66"/>
      <c r="L97" s="66"/>
      <c r="M97" s="68"/>
      <c r="N97" s="68"/>
      <c r="O97" s="66"/>
      <c r="P97" s="66"/>
      <c r="Q97" s="66"/>
      <c r="R97" s="66"/>
      <c r="S97" s="68"/>
      <c r="T97" s="66"/>
      <c r="U97" s="66"/>
      <c r="V97" s="313"/>
      <c r="W97" s="314"/>
      <c r="X97" s="314"/>
      <c r="Y97" s="68"/>
      <c r="Z97" s="20"/>
      <c r="AA97" s="20"/>
      <c r="AB97" s="20"/>
      <c r="AC97" s="20"/>
      <c r="AD97" s="20"/>
      <c r="AE97" s="68"/>
      <c r="AF97" s="68"/>
      <c r="AG97" s="20"/>
      <c r="AH97" s="232"/>
    </row>
    <row r="98" spans="1:34" s="16" customFormat="1">
      <c r="A98" s="17"/>
      <c r="B98" s="17"/>
      <c r="C98" s="17"/>
      <c r="D98" s="17"/>
      <c r="E98" s="17"/>
      <c r="F98" s="302"/>
      <c r="G98" s="19"/>
      <c r="H98" s="64"/>
      <c r="I98" s="20"/>
      <c r="J98" s="68"/>
      <c r="K98" s="66"/>
      <c r="L98" s="66"/>
      <c r="M98" s="68"/>
      <c r="N98" s="68"/>
      <c r="O98" s="66"/>
      <c r="P98" s="66"/>
      <c r="Q98" s="66"/>
      <c r="R98" s="66"/>
      <c r="S98" s="68"/>
      <c r="T98" s="66"/>
      <c r="U98" s="66"/>
      <c r="V98" s="313"/>
      <c r="W98" s="314"/>
      <c r="X98" s="314"/>
      <c r="Y98" s="68"/>
      <c r="Z98" s="20"/>
      <c r="AA98" s="20"/>
      <c r="AB98" s="20"/>
      <c r="AC98" s="20"/>
      <c r="AD98" s="20"/>
      <c r="AE98" s="68"/>
      <c r="AF98" s="68"/>
      <c r="AG98" s="20"/>
      <c r="AH98" s="232"/>
    </row>
    <row r="99" spans="1:34" s="16" customFormat="1">
      <c r="A99" s="17"/>
      <c r="B99" s="17"/>
      <c r="C99" s="17"/>
      <c r="D99" s="17"/>
      <c r="E99" s="17"/>
      <c r="F99" s="302"/>
      <c r="G99" s="19"/>
      <c r="H99" s="64"/>
      <c r="I99" s="20"/>
      <c r="J99" s="68"/>
      <c r="K99" s="66"/>
      <c r="L99" s="66"/>
      <c r="M99" s="68"/>
      <c r="N99" s="68"/>
      <c r="O99" s="66"/>
      <c r="P99" s="66"/>
      <c r="Q99" s="66"/>
      <c r="R99" s="66"/>
      <c r="S99" s="68"/>
      <c r="T99" s="66"/>
      <c r="U99" s="66"/>
      <c r="V99" s="313"/>
      <c r="W99" s="314"/>
      <c r="X99" s="314"/>
      <c r="Y99" s="68"/>
      <c r="Z99" s="20"/>
      <c r="AA99" s="20"/>
      <c r="AB99" s="20"/>
      <c r="AC99" s="20"/>
      <c r="AD99" s="20"/>
      <c r="AE99" s="68"/>
      <c r="AF99" s="68"/>
      <c r="AG99" s="20"/>
      <c r="AH99" s="232"/>
    </row>
    <row r="100" spans="1:34" s="16" customFormat="1">
      <c r="A100" s="17"/>
      <c r="B100" s="17"/>
      <c r="C100" s="17"/>
      <c r="D100" s="17"/>
      <c r="E100" s="17"/>
      <c r="F100" s="302"/>
      <c r="G100" s="19"/>
      <c r="H100" s="64"/>
      <c r="I100" s="20"/>
      <c r="J100" s="68"/>
      <c r="K100" s="66"/>
      <c r="L100" s="66"/>
      <c r="M100" s="68"/>
      <c r="N100" s="68"/>
      <c r="O100" s="66"/>
      <c r="P100" s="66"/>
      <c r="Q100" s="66"/>
      <c r="R100" s="66"/>
      <c r="S100" s="68"/>
      <c r="T100" s="66"/>
      <c r="U100" s="66"/>
      <c r="V100" s="313"/>
      <c r="W100" s="314"/>
      <c r="X100" s="314"/>
      <c r="Y100" s="68"/>
      <c r="Z100" s="20"/>
      <c r="AA100" s="20"/>
      <c r="AB100" s="20"/>
      <c r="AC100" s="20"/>
      <c r="AD100" s="20"/>
      <c r="AE100" s="68"/>
      <c r="AF100" s="68"/>
      <c r="AG100" s="20"/>
      <c r="AH100" s="232"/>
    </row>
    <row r="101" spans="1:34" s="16" customFormat="1">
      <c r="A101" s="17"/>
      <c r="B101" s="17"/>
      <c r="C101" s="17"/>
      <c r="D101" s="17"/>
      <c r="E101" s="17"/>
      <c r="F101" s="302"/>
      <c r="G101" s="19"/>
      <c r="H101" s="64"/>
      <c r="I101" s="20"/>
      <c r="J101" s="68"/>
      <c r="K101" s="66"/>
      <c r="L101" s="66"/>
      <c r="M101" s="68"/>
      <c r="N101" s="68"/>
      <c r="O101" s="66"/>
      <c r="P101" s="66"/>
      <c r="Q101" s="66"/>
      <c r="R101" s="66"/>
      <c r="S101" s="68"/>
      <c r="T101" s="66"/>
      <c r="U101" s="66"/>
      <c r="V101" s="313"/>
      <c r="W101" s="314"/>
      <c r="X101" s="314"/>
      <c r="Y101" s="68"/>
      <c r="Z101" s="20"/>
      <c r="AA101" s="20"/>
      <c r="AB101" s="20"/>
      <c r="AC101" s="20"/>
      <c r="AD101" s="20"/>
      <c r="AE101" s="68"/>
      <c r="AF101" s="68"/>
      <c r="AG101" s="20"/>
      <c r="AH101" s="232"/>
    </row>
    <row r="102" spans="1:34" s="16" customFormat="1">
      <c r="A102" s="17"/>
      <c r="B102" s="17"/>
      <c r="C102" s="17"/>
      <c r="D102" s="17"/>
      <c r="E102" s="17"/>
      <c r="F102" s="302"/>
      <c r="G102" s="19"/>
      <c r="H102" s="64"/>
      <c r="I102" s="20"/>
      <c r="J102" s="68"/>
      <c r="K102" s="66"/>
      <c r="L102" s="66"/>
      <c r="M102" s="68"/>
      <c r="N102" s="68"/>
      <c r="O102" s="66"/>
      <c r="P102" s="66"/>
      <c r="Q102" s="66"/>
      <c r="R102" s="66"/>
      <c r="S102" s="68"/>
      <c r="T102" s="66"/>
      <c r="U102" s="66"/>
      <c r="V102" s="313"/>
      <c r="W102" s="314"/>
      <c r="X102" s="314"/>
      <c r="Y102" s="68"/>
      <c r="Z102" s="20"/>
      <c r="AA102" s="20"/>
      <c r="AB102" s="20"/>
      <c r="AC102" s="20"/>
      <c r="AD102" s="20"/>
      <c r="AE102" s="68"/>
      <c r="AF102" s="68"/>
      <c r="AG102" s="20"/>
      <c r="AH102" s="232"/>
    </row>
    <row r="103" spans="1:34" s="16" customFormat="1">
      <c r="A103" s="17"/>
      <c r="B103" s="17"/>
      <c r="C103" s="17"/>
      <c r="D103" s="17"/>
      <c r="E103" s="17"/>
      <c r="F103" s="302"/>
      <c r="G103" s="19"/>
      <c r="H103" s="64"/>
      <c r="I103" s="20"/>
      <c r="J103" s="68"/>
      <c r="K103" s="66"/>
      <c r="L103" s="66"/>
      <c r="M103" s="68"/>
      <c r="N103" s="68"/>
      <c r="O103" s="66"/>
      <c r="P103" s="66"/>
      <c r="Q103" s="66"/>
      <c r="R103" s="66"/>
      <c r="S103" s="68"/>
      <c r="T103" s="66"/>
      <c r="U103" s="66"/>
      <c r="V103" s="313"/>
      <c r="W103" s="314"/>
      <c r="X103" s="314"/>
      <c r="Y103" s="68"/>
      <c r="Z103" s="20"/>
      <c r="AA103" s="20"/>
      <c r="AB103" s="20"/>
      <c r="AC103" s="20"/>
      <c r="AD103" s="20"/>
      <c r="AE103" s="68"/>
      <c r="AF103" s="68"/>
      <c r="AG103" s="20"/>
      <c r="AH103" s="232"/>
    </row>
    <row r="104" spans="1:34" s="16" customFormat="1">
      <c r="A104" s="17"/>
      <c r="B104" s="17"/>
      <c r="C104" s="17"/>
      <c r="D104" s="17"/>
      <c r="E104" s="17"/>
      <c r="F104" s="302"/>
      <c r="G104" s="19"/>
      <c r="H104" s="64"/>
      <c r="I104" s="20"/>
      <c r="J104" s="68"/>
      <c r="K104" s="66"/>
      <c r="L104" s="66"/>
      <c r="M104" s="68"/>
      <c r="N104" s="68"/>
      <c r="O104" s="66"/>
      <c r="P104" s="66"/>
      <c r="Q104" s="66"/>
      <c r="R104" s="66"/>
      <c r="S104" s="68"/>
      <c r="T104" s="66"/>
      <c r="U104" s="66"/>
      <c r="V104" s="313"/>
      <c r="W104" s="314"/>
      <c r="X104" s="314"/>
      <c r="Y104" s="68"/>
      <c r="Z104" s="20"/>
      <c r="AA104" s="20"/>
      <c r="AB104" s="20"/>
      <c r="AC104" s="20"/>
      <c r="AD104" s="20"/>
      <c r="AE104" s="68"/>
      <c r="AF104" s="68"/>
      <c r="AG104" s="20"/>
      <c r="AH104" s="232"/>
    </row>
    <row r="105" spans="1:34" s="16" customFormat="1">
      <c r="A105" s="17"/>
      <c r="B105" s="17"/>
      <c r="C105" s="17"/>
      <c r="D105" s="17"/>
      <c r="E105" s="17"/>
      <c r="F105" s="302"/>
      <c r="G105" s="19"/>
      <c r="H105" s="64"/>
      <c r="I105" s="20"/>
      <c r="J105" s="68"/>
      <c r="K105" s="66"/>
      <c r="L105" s="66"/>
      <c r="M105" s="68"/>
      <c r="N105" s="68"/>
      <c r="O105" s="66"/>
      <c r="P105" s="66"/>
      <c r="Q105" s="66"/>
      <c r="R105" s="66"/>
      <c r="S105" s="68"/>
      <c r="T105" s="66"/>
      <c r="U105" s="66"/>
      <c r="V105" s="313"/>
      <c r="W105" s="314"/>
      <c r="X105" s="314"/>
      <c r="Y105" s="68"/>
      <c r="Z105" s="20"/>
      <c r="AA105" s="20"/>
      <c r="AB105" s="20"/>
      <c r="AC105" s="20"/>
      <c r="AD105" s="20"/>
      <c r="AE105" s="68"/>
      <c r="AF105" s="68"/>
      <c r="AG105" s="20"/>
      <c r="AH105" s="232"/>
    </row>
    <row r="106" spans="1:34" s="16" customFormat="1">
      <c r="A106" s="17"/>
      <c r="B106" s="17"/>
      <c r="C106" s="17"/>
      <c r="D106" s="17"/>
      <c r="E106" s="17"/>
      <c r="F106" s="302"/>
      <c r="G106" s="19"/>
      <c r="H106" s="64"/>
      <c r="I106" s="20"/>
      <c r="J106" s="68"/>
      <c r="K106" s="66"/>
      <c r="L106" s="66"/>
      <c r="M106" s="68"/>
      <c r="N106" s="68"/>
      <c r="O106" s="66"/>
      <c r="P106" s="66"/>
      <c r="Q106" s="66"/>
      <c r="R106" s="66"/>
      <c r="S106" s="68"/>
      <c r="T106" s="66"/>
      <c r="U106" s="66"/>
      <c r="V106" s="313"/>
      <c r="W106" s="314"/>
      <c r="X106" s="314"/>
      <c r="Y106" s="68"/>
      <c r="Z106" s="20"/>
      <c r="AA106" s="20"/>
      <c r="AB106" s="20"/>
      <c r="AC106" s="20"/>
      <c r="AD106" s="20"/>
      <c r="AE106" s="68"/>
      <c r="AF106" s="68"/>
      <c r="AG106" s="20"/>
      <c r="AH106" s="232"/>
    </row>
    <row r="107" spans="1:34" s="16" customFormat="1">
      <c r="A107" s="17"/>
      <c r="B107" s="17"/>
      <c r="C107" s="17"/>
      <c r="D107" s="17"/>
      <c r="E107" s="17"/>
      <c r="F107" s="302"/>
      <c r="G107" s="19"/>
      <c r="H107" s="64"/>
      <c r="I107" s="20"/>
      <c r="J107" s="68"/>
      <c r="K107" s="66"/>
      <c r="L107" s="66"/>
      <c r="M107" s="68"/>
      <c r="N107" s="68"/>
      <c r="O107" s="66"/>
      <c r="P107" s="66"/>
      <c r="Q107" s="66"/>
      <c r="R107" s="66"/>
      <c r="S107" s="68"/>
      <c r="T107" s="66"/>
      <c r="U107" s="66"/>
      <c r="V107" s="313"/>
      <c r="W107" s="314"/>
      <c r="X107" s="314"/>
      <c r="Y107" s="68"/>
      <c r="Z107" s="20"/>
      <c r="AA107" s="20"/>
      <c r="AB107" s="20"/>
      <c r="AC107" s="20"/>
      <c r="AD107" s="20"/>
      <c r="AE107" s="68"/>
      <c r="AF107" s="68"/>
      <c r="AG107" s="20"/>
      <c r="AH107" s="232"/>
    </row>
    <row r="108" spans="1:34" s="16" customFormat="1">
      <c r="A108" s="17"/>
      <c r="B108" s="17"/>
      <c r="C108" s="17"/>
      <c r="D108" s="17"/>
      <c r="E108" s="17"/>
      <c r="F108" s="302"/>
      <c r="G108" s="19"/>
      <c r="H108" s="64"/>
      <c r="I108" s="20"/>
      <c r="J108" s="68"/>
      <c r="K108" s="66"/>
      <c r="L108" s="66"/>
      <c r="M108" s="68"/>
      <c r="N108" s="68"/>
      <c r="O108" s="66"/>
      <c r="P108" s="66"/>
      <c r="Q108" s="66"/>
      <c r="R108" s="66"/>
      <c r="S108" s="68"/>
      <c r="T108" s="66"/>
      <c r="U108" s="66"/>
      <c r="V108" s="313"/>
      <c r="W108" s="314"/>
      <c r="X108" s="314"/>
      <c r="Y108" s="68"/>
      <c r="Z108" s="20"/>
      <c r="AA108" s="20"/>
      <c r="AB108" s="20"/>
      <c r="AC108" s="20"/>
      <c r="AD108" s="20"/>
      <c r="AE108" s="68"/>
      <c r="AF108" s="68"/>
      <c r="AG108" s="20"/>
      <c r="AH108" s="232"/>
    </row>
    <row r="109" spans="1:34" s="16" customFormat="1">
      <c r="A109" s="17"/>
      <c r="B109" s="17"/>
      <c r="C109" s="17"/>
      <c r="D109" s="17"/>
      <c r="E109" s="17"/>
      <c r="F109" s="302"/>
      <c r="G109" s="19"/>
      <c r="H109" s="64"/>
      <c r="I109" s="20"/>
      <c r="J109" s="68"/>
      <c r="K109" s="66"/>
      <c r="L109" s="66"/>
      <c r="M109" s="68"/>
      <c r="N109" s="68"/>
      <c r="O109" s="66"/>
      <c r="P109" s="66"/>
      <c r="Q109" s="66"/>
      <c r="R109" s="66"/>
      <c r="S109" s="68"/>
      <c r="T109" s="66"/>
      <c r="U109" s="66"/>
      <c r="V109" s="313"/>
      <c r="W109" s="314"/>
      <c r="X109" s="314"/>
      <c r="Y109" s="68"/>
      <c r="Z109" s="20"/>
      <c r="AA109" s="20"/>
      <c r="AB109" s="20"/>
      <c r="AC109" s="20"/>
      <c r="AD109" s="20"/>
      <c r="AE109" s="68"/>
      <c r="AF109" s="68"/>
      <c r="AG109" s="20"/>
      <c r="AH109" s="232"/>
    </row>
    <row r="110" spans="1:34" s="16" customFormat="1">
      <c r="A110" s="17"/>
      <c r="B110" s="17"/>
      <c r="C110" s="17"/>
      <c r="D110" s="17"/>
      <c r="E110" s="17"/>
      <c r="F110" s="302"/>
      <c r="G110" s="19"/>
      <c r="H110" s="64"/>
      <c r="I110" s="20"/>
      <c r="J110" s="68"/>
      <c r="K110" s="66"/>
      <c r="L110" s="66"/>
      <c r="M110" s="68"/>
      <c r="N110" s="68"/>
      <c r="O110" s="66"/>
      <c r="P110" s="66"/>
      <c r="Q110" s="66"/>
      <c r="R110" s="66"/>
      <c r="S110" s="68"/>
      <c r="T110" s="66"/>
      <c r="U110" s="66"/>
      <c r="V110" s="313"/>
      <c r="W110" s="314"/>
      <c r="X110" s="314"/>
      <c r="Y110" s="68"/>
      <c r="Z110" s="20"/>
      <c r="AA110" s="20"/>
      <c r="AB110" s="20"/>
      <c r="AC110" s="20"/>
      <c r="AD110" s="20"/>
      <c r="AE110" s="68"/>
      <c r="AF110" s="68"/>
      <c r="AG110" s="20"/>
      <c r="AH110" s="232"/>
    </row>
    <row r="111" spans="1:34" s="16" customFormat="1">
      <c r="A111" s="17"/>
      <c r="B111" s="17"/>
      <c r="C111" s="17"/>
      <c r="D111" s="17"/>
      <c r="E111" s="17"/>
      <c r="F111" s="302"/>
      <c r="G111" s="19"/>
      <c r="H111" s="64"/>
      <c r="I111" s="20"/>
      <c r="J111" s="68"/>
      <c r="K111" s="66"/>
      <c r="L111" s="66"/>
      <c r="M111" s="68"/>
      <c r="N111" s="68"/>
      <c r="O111" s="66"/>
      <c r="P111" s="66"/>
      <c r="Q111" s="66"/>
      <c r="R111" s="66"/>
      <c r="S111" s="68"/>
      <c r="T111" s="66"/>
      <c r="U111" s="66"/>
      <c r="V111" s="313"/>
      <c r="W111" s="314"/>
      <c r="X111" s="314"/>
      <c r="Y111" s="68"/>
      <c r="Z111" s="20"/>
      <c r="AA111" s="20"/>
      <c r="AB111" s="20"/>
      <c r="AC111" s="20"/>
      <c r="AD111" s="20"/>
      <c r="AE111" s="68"/>
      <c r="AF111" s="68"/>
      <c r="AG111" s="20"/>
      <c r="AH111" s="232"/>
    </row>
    <row r="112" spans="1:34" s="16" customFormat="1">
      <c r="A112" s="17"/>
      <c r="B112" s="17"/>
      <c r="C112" s="17"/>
      <c r="D112" s="17"/>
      <c r="E112" s="17"/>
      <c r="F112" s="302"/>
      <c r="G112" s="19"/>
      <c r="H112" s="64"/>
      <c r="I112" s="20"/>
      <c r="J112" s="68"/>
      <c r="K112" s="66"/>
      <c r="L112" s="66"/>
      <c r="M112" s="68"/>
      <c r="N112" s="68"/>
      <c r="O112" s="66"/>
      <c r="P112" s="66"/>
      <c r="Q112" s="66"/>
      <c r="R112" s="66"/>
      <c r="S112" s="68"/>
      <c r="T112" s="66"/>
      <c r="U112" s="66"/>
      <c r="V112" s="313"/>
      <c r="W112" s="314"/>
      <c r="X112" s="314"/>
      <c r="Y112" s="68"/>
      <c r="Z112" s="20"/>
      <c r="AA112" s="20"/>
      <c r="AB112" s="20"/>
      <c r="AC112" s="20"/>
      <c r="AD112" s="20"/>
      <c r="AE112" s="68"/>
      <c r="AF112" s="68"/>
      <c r="AG112" s="20"/>
      <c r="AH112" s="232"/>
    </row>
    <row r="113" spans="1:34" s="16" customFormat="1">
      <c r="A113" s="17"/>
      <c r="B113" s="17"/>
      <c r="C113" s="17"/>
      <c r="D113" s="17"/>
      <c r="E113" s="17"/>
      <c r="F113" s="302"/>
      <c r="G113" s="19"/>
      <c r="H113" s="64"/>
      <c r="I113" s="20"/>
      <c r="J113" s="68"/>
      <c r="K113" s="66"/>
      <c r="L113" s="66"/>
      <c r="M113" s="68"/>
      <c r="N113" s="68"/>
      <c r="O113" s="66"/>
      <c r="P113" s="66"/>
      <c r="Q113" s="66"/>
      <c r="R113" s="66"/>
      <c r="S113" s="68"/>
      <c r="T113" s="66"/>
      <c r="U113" s="66"/>
      <c r="V113" s="313"/>
      <c r="W113" s="314"/>
      <c r="X113" s="314"/>
      <c r="Y113" s="68"/>
      <c r="Z113" s="20"/>
      <c r="AA113" s="20"/>
      <c r="AB113" s="20"/>
      <c r="AC113" s="20"/>
      <c r="AD113" s="20"/>
      <c r="AE113" s="68"/>
      <c r="AF113" s="68"/>
      <c r="AG113" s="20"/>
      <c r="AH113" s="232"/>
    </row>
    <row r="114" spans="1:34" s="16" customFormat="1">
      <c r="A114" s="17"/>
      <c r="B114" s="17"/>
      <c r="C114" s="17"/>
      <c r="D114" s="17"/>
      <c r="E114" s="17"/>
      <c r="F114" s="302"/>
      <c r="G114" s="19"/>
      <c r="H114" s="64"/>
      <c r="I114" s="20"/>
      <c r="J114" s="68"/>
      <c r="K114" s="66"/>
      <c r="L114" s="66"/>
      <c r="M114" s="68"/>
      <c r="N114" s="68"/>
      <c r="O114" s="66"/>
      <c r="P114" s="66"/>
      <c r="Q114" s="66"/>
      <c r="R114" s="66"/>
      <c r="S114" s="68"/>
      <c r="T114" s="66"/>
      <c r="U114" s="66"/>
      <c r="V114" s="313"/>
      <c r="W114" s="314"/>
      <c r="X114" s="314"/>
      <c r="Y114" s="68"/>
      <c r="Z114" s="20"/>
      <c r="AA114" s="20"/>
      <c r="AB114" s="20"/>
      <c r="AC114" s="20"/>
      <c r="AD114" s="20"/>
      <c r="AE114" s="68"/>
      <c r="AF114" s="68"/>
      <c r="AG114" s="20"/>
      <c r="AH114" s="232"/>
    </row>
    <row r="115" spans="1:34" s="16" customFormat="1">
      <c r="A115" s="17"/>
      <c r="B115" s="17"/>
      <c r="C115" s="17"/>
      <c r="D115" s="17"/>
      <c r="E115" s="17"/>
      <c r="F115" s="302"/>
      <c r="G115" s="19"/>
      <c r="H115" s="64"/>
      <c r="I115" s="20"/>
      <c r="J115" s="68"/>
      <c r="K115" s="66"/>
      <c r="L115" s="66"/>
      <c r="M115" s="68"/>
      <c r="N115" s="68"/>
      <c r="O115" s="66"/>
      <c r="P115" s="66"/>
      <c r="Q115" s="66"/>
      <c r="R115" s="66"/>
      <c r="S115" s="68"/>
      <c r="T115" s="66"/>
      <c r="U115" s="66"/>
      <c r="V115" s="313"/>
      <c r="W115" s="314"/>
      <c r="X115" s="314"/>
      <c r="Y115" s="68"/>
      <c r="Z115" s="20"/>
      <c r="AA115" s="20"/>
      <c r="AB115" s="20"/>
      <c r="AC115" s="20"/>
      <c r="AD115" s="20"/>
      <c r="AE115" s="68"/>
      <c r="AF115" s="68"/>
      <c r="AG115" s="20"/>
      <c r="AH115" s="232"/>
    </row>
    <row r="116" spans="1:34" s="16" customFormat="1">
      <c r="A116" s="17"/>
      <c r="B116" s="17"/>
      <c r="C116" s="17"/>
      <c r="D116" s="17"/>
      <c r="E116" s="17"/>
      <c r="F116" s="302"/>
      <c r="G116" s="19"/>
      <c r="H116" s="64"/>
      <c r="I116" s="20"/>
      <c r="J116" s="68"/>
      <c r="K116" s="66"/>
      <c r="L116" s="66"/>
      <c r="M116" s="68"/>
      <c r="N116" s="68"/>
      <c r="O116" s="66"/>
      <c r="P116" s="66"/>
      <c r="Q116" s="66"/>
      <c r="R116" s="66"/>
      <c r="S116" s="68"/>
      <c r="T116" s="66"/>
      <c r="U116" s="66"/>
      <c r="V116" s="313"/>
      <c r="W116" s="314"/>
      <c r="X116" s="314"/>
      <c r="Y116" s="68"/>
      <c r="Z116" s="20"/>
      <c r="AA116" s="20"/>
      <c r="AB116" s="20"/>
      <c r="AC116" s="20"/>
      <c r="AD116" s="20"/>
      <c r="AE116" s="68"/>
      <c r="AF116" s="68"/>
      <c r="AG116" s="20"/>
      <c r="AH116" s="232"/>
    </row>
    <row r="117" spans="1:34" s="16" customFormat="1">
      <c r="A117" s="17"/>
      <c r="B117" s="17"/>
      <c r="C117" s="17"/>
      <c r="D117" s="17"/>
      <c r="E117" s="17"/>
      <c r="F117" s="302"/>
      <c r="G117" s="19"/>
      <c r="H117" s="64"/>
      <c r="I117" s="20"/>
      <c r="J117" s="68"/>
      <c r="K117" s="66"/>
      <c r="L117" s="66"/>
      <c r="M117" s="68"/>
      <c r="N117" s="68"/>
      <c r="O117" s="66"/>
      <c r="P117" s="66"/>
      <c r="Q117" s="66"/>
      <c r="R117" s="66"/>
      <c r="S117" s="68"/>
      <c r="T117" s="66"/>
      <c r="U117" s="66"/>
      <c r="V117" s="313"/>
      <c r="W117" s="314"/>
      <c r="X117" s="314"/>
      <c r="Y117" s="68"/>
      <c r="Z117" s="20"/>
      <c r="AA117" s="20"/>
      <c r="AB117" s="20"/>
      <c r="AC117" s="20"/>
      <c r="AD117" s="20"/>
      <c r="AE117" s="68"/>
      <c r="AF117" s="68"/>
      <c r="AG117" s="20"/>
      <c r="AH117" s="232"/>
    </row>
    <row r="118" spans="1:34" s="16" customFormat="1">
      <c r="A118" s="17"/>
      <c r="B118" s="17"/>
      <c r="C118" s="17"/>
      <c r="D118" s="17"/>
      <c r="E118" s="17"/>
      <c r="F118" s="302"/>
      <c r="G118" s="19"/>
      <c r="H118" s="64"/>
      <c r="I118" s="20"/>
      <c r="J118" s="68"/>
      <c r="K118" s="66"/>
      <c r="L118" s="66"/>
      <c r="M118" s="68"/>
      <c r="N118" s="68"/>
      <c r="O118" s="66"/>
      <c r="P118" s="66"/>
      <c r="Q118" s="66"/>
      <c r="R118" s="66"/>
      <c r="S118" s="68"/>
      <c r="T118" s="66"/>
      <c r="U118" s="66"/>
      <c r="V118" s="313"/>
      <c r="W118" s="314"/>
      <c r="X118" s="314"/>
      <c r="Y118" s="68"/>
      <c r="Z118" s="20"/>
      <c r="AA118" s="20"/>
      <c r="AB118" s="20"/>
      <c r="AC118" s="20"/>
      <c r="AD118" s="20"/>
      <c r="AE118" s="68"/>
      <c r="AF118" s="68"/>
      <c r="AG118" s="20"/>
      <c r="AH118" s="232"/>
    </row>
    <row r="119" spans="1:34" s="16" customFormat="1">
      <c r="A119" s="17"/>
      <c r="B119" s="17"/>
      <c r="C119" s="17"/>
      <c r="D119" s="17"/>
      <c r="E119" s="17"/>
      <c r="F119" s="302"/>
      <c r="G119" s="19"/>
      <c r="H119" s="64"/>
      <c r="I119" s="20"/>
      <c r="J119" s="68"/>
      <c r="K119" s="66"/>
      <c r="L119" s="66"/>
      <c r="M119" s="68"/>
      <c r="N119" s="68"/>
      <c r="O119" s="66"/>
      <c r="P119" s="66"/>
      <c r="Q119" s="66"/>
      <c r="R119" s="66"/>
      <c r="S119" s="68"/>
      <c r="T119" s="66"/>
      <c r="U119" s="66"/>
      <c r="V119" s="313"/>
      <c r="W119" s="314"/>
      <c r="X119" s="314"/>
      <c r="Y119" s="68"/>
      <c r="Z119" s="20"/>
      <c r="AA119" s="20"/>
      <c r="AB119" s="20"/>
      <c r="AC119" s="20"/>
      <c r="AD119" s="20"/>
      <c r="AE119" s="68"/>
      <c r="AF119" s="68"/>
      <c r="AG119" s="20"/>
      <c r="AH119" s="232"/>
    </row>
    <row r="120" spans="1:34" s="16" customFormat="1">
      <c r="A120" s="17"/>
      <c r="B120" s="17"/>
      <c r="C120" s="17"/>
      <c r="D120" s="17"/>
      <c r="E120" s="17"/>
      <c r="F120" s="302"/>
      <c r="G120" s="19"/>
      <c r="H120" s="64"/>
      <c r="I120" s="20"/>
      <c r="J120" s="68"/>
      <c r="K120" s="66"/>
      <c r="L120" s="66"/>
      <c r="M120" s="68"/>
      <c r="N120" s="68"/>
      <c r="O120" s="66"/>
      <c r="P120" s="66"/>
      <c r="Q120" s="66"/>
      <c r="R120" s="66"/>
      <c r="S120" s="68"/>
      <c r="T120" s="66"/>
      <c r="U120" s="66"/>
      <c r="V120" s="313"/>
      <c r="W120" s="314"/>
      <c r="X120" s="314"/>
      <c r="Y120" s="68"/>
      <c r="Z120" s="20"/>
      <c r="AA120" s="20"/>
      <c r="AB120" s="20"/>
      <c r="AC120" s="20"/>
      <c r="AD120" s="20"/>
      <c r="AE120" s="68"/>
      <c r="AF120" s="68"/>
      <c r="AG120" s="20"/>
      <c r="AH120" s="232"/>
    </row>
    <row r="121" spans="1:34" s="16" customFormat="1">
      <c r="A121" s="17"/>
      <c r="B121" s="17"/>
      <c r="C121" s="17"/>
      <c r="D121" s="17"/>
      <c r="E121" s="17"/>
      <c r="F121" s="302"/>
      <c r="G121" s="19"/>
      <c r="H121" s="64"/>
      <c r="I121" s="20"/>
      <c r="J121" s="68"/>
      <c r="K121" s="66"/>
      <c r="L121" s="66"/>
      <c r="M121" s="68"/>
      <c r="N121" s="68"/>
      <c r="O121" s="66"/>
      <c r="P121" s="66"/>
      <c r="Q121" s="66"/>
      <c r="R121" s="66"/>
      <c r="S121" s="68"/>
      <c r="T121" s="66"/>
      <c r="U121" s="66"/>
      <c r="V121" s="313"/>
      <c r="W121" s="314"/>
      <c r="X121" s="314"/>
      <c r="Y121" s="68"/>
      <c r="Z121" s="20"/>
      <c r="AA121" s="20"/>
      <c r="AB121" s="20"/>
      <c r="AC121" s="20"/>
      <c r="AD121" s="20"/>
      <c r="AE121" s="68"/>
      <c r="AF121" s="68"/>
      <c r="AG121" s="20"/>
      <c r="AH121" s="232"/>
    </row>
    <row r="122" spans="1:34" s="16" customFormat="1">
      <c r="A122" s="17"/>
      <c r="B122" s="17"/>
      <c r="C122" s="17"/>
      <c r="D122" s="17"/>
      <c r="E122" s="17"/>
      <c r="F122" s="302"/>
      <c r="G122" s="19"/>
      <c r="H122" s="64"/>
      <c r="I122" s="20"/>
      <c r="J122" s="68"/>
      <c r="K122" s="66"/>
      <c r="L122" s="66"/>
      <c r="M122" s="68"/>
      <c r="N122" s="68"/>
      <c r="O122" s="66"/>
      <c r="P122" s="66"/>
      <c r="Q122" s="66"/>
      <c r="R122" s="66"/>
      <c r="S122" s="68"/>
      <c r="T122" s="66"/>
      <c r="U122" s="66"/>
      <c r="V122" s="313"/>
      <c r="W122" s="314"/>
      <c r="X122" s="314"/>
      <c r="Y122" s="68"/>
      <c r="Z122" s="20"/>
      <c r="AA122" s="20"/>
      <c r="AB122" s="20"/>
      <c r="AC122" s="20"/>
      <c r="AD122" s="20"/>
      <c r="AE122" s="68"/>
      <c r="AF122" s="68"/>
      <c r="AG122" s="20"/>
      <c r="AH122" s="232"/>
    </row>
    <row r="123" spans="1:34" s="16" customFormat="1">
      <c r="A123" s="17"/>
      <c r="B123" s="17"/>
      <c r="C123" s="17"/>
      <c r="D123" s="17"/>
      <c r="E123" s="17"/>
      <c r="F123" s="302"/>
      <c r="G123" s="19"/>
      <c r="H123" s="64"/>
      <c r="I123" s="20"/>
      <c r="J123" s="68"/>
      <c r="K123" s="66"/>
      <c r="L123" s="66"/>
      <c r="M123" s="68"/>
      <c r="N123" s="68"/>
      <c r="O123" s="66"/>
      <c r="P123" s="66"/>
      <c r="Q123" s="66"/>
      <c r="R123" s="66"/>
      <c r="S123" s="68"/>
      <c r="T123" s="66"/>
      <c r="U123" s="66"/>
      <c r="V123" s="313"/>
      <c r="W123" s="314"/>
      <c r="X123" s="314"/>
      <c r="Y123" s="68"/>
      <c r="Z123" s="20"/>
      <c r="AA123" s="20"/>
      <c r="AB123" s="20"/>
      <c r="AC123" s="20"/>
      <c r="AD123" s="20"/>
      <c r="AE123" s="68"/>
      <c r="AF123" s="68"/>
      <c r="AG123" s="20"/>
      <c r="AH123" s="232"/>
    </row>
    <row r="124" spans="1:34" s="16" customFormat="1">
      <c r="A124" s="17"/>
      <c r="B124" s="17"/>
      <c r="C124" s="17"/>
      <c r="D124" s="17"/>
      <c r="E124" s="17"/>
      <c r="F124" s="302"/>
      <c r="G124" s="19"/>
      <c r="H124" s="64"/>
      <c r="I124" s="20"/>
      <c r="J124" s="68"/>
      <c r="K124" s="66"/>
      <c r="L124" s="66"/>
      <c r="M124" s="68"/>
      <c r="N124" s="68"/>
      <c r="O124" s="66"/>
      <c r="P124" s="66"/>
      <c r="Q124" s="66"/>
      <c r="R124" s="66"/>
      <c r="S124" s="68"/>
      <c r="T124" s="66"/>
      <c r="U124" s="66"/>
      <c r="V124" s="313"/>
      <c r="W124" s="314"/>
      <c r="X124" s="314"/>
      <c r="Y124" s="68"/>
      <c r="Z124" s="20"/>
      <c r="AA124" s="20"/>
      <c r="AB124" s="20"/>
      <c r="AC124" s="20"/>
      <c r="AD124" s="20"/>
      <c r="AE124" s="68"/>
      <c r="AF124" s="68"/>
      <c r="AG124" s="20"/>
      <c r="AH124" s="232"/>
    </row>
    <row r="125" spans="1:34" s="16" customFormat="1">
      <c r="A125" s="17"/>
      <c r="B125" s="17"/>
      <c r="C125" s="17"/>
      <c r="D125" s="17"/>
      <c r="E125" s="17"/>
      <c r="F125" s="302"/>
      <c r="G125" s="19"/>
      <c r="H125" s="64"/>
      <c r="I125" s="20"/>
      <c r="J125" s="68"/>
      <c r="K125" s="66"/>
      <c r="L125" s="66"/>
      <c r="M125" s="68"/>
      <c r="N125" s="68"/>
      <c r="O125" s="66"/>
      <c r="P125" s="66"/>
      <c r="Q125" s="66"/>
      <c r="R125" s="66"/>
      <c r="S125" s="68"/>
      <c r="T125" s="66"/>
      <c r="U125" s="66"/>
      <c r="V125" s="313"/>
      <c r="W125" s="314"/>
      <c r="X125" s="314"/>
      <c r="Y125" s="68"/>
      <c r="Z125" s="20"/>
      <c r="AA125" s="20"/>
      <c r="AB125" s="20"/>
      <c r="AC125" s="20"/>
      <c r="AD125" s="20"/>
      <c r="AE125" s="68"/>
      <c r="AF125" s="68"/>
      <c r="AG125" s="20"/>
      <c r="AH125" s="232"/>
    </row>
    <row r="126" spans="1:34" s="16" customFormat="1">
      <c r="A126" s="17"/>
      <c r="B126" s="17"/>
      <c r="C126" s="17"/>
      <c r="D126" s="17"/>
      <c r="E126" s="17"/>
      <c r="F126" s="302"/>
      <c r="G126" s="19"/>
      <c r="H126" s="64"/>
      <c r="I126" s="20"/>
      <c r="J126" s="68"/>
      <c r="K126" s="66"/>
      <c r="L126" s="66"/>
      <c r="M126" s="68"/>
      <c r="N126" s="68"/>
      <c r="O126" s="66"/>
      <c r="P126" s="66"/>
      <c r="Q126" s="66"/>
      <c r="R126" s="66"/>
      <c r="S126" s="68"/>
      <c r="T126" s="66"/>
      <c r="U126" s="66"/>
      <c r="V126" s="313"/>
      <c r="W126" s="314"/>
      <c r="X126" s="314"/>
      <c r="Y126" s="68"/>
      <c r="Z126" s="20"/>
      <c r="AA126" s="20"/>
      <c r="AB126" s="20"/>
      <c r="AC126" s="20"/>
      <c r="AD126" s="20"/>
      <c r="AE126" s="68"/>
      <c r="AF126" s="68"/>
      <c r="AG126" s="20"/>
      <c r="AH126" s="232"/>
    </row>
    <row r="127" spans="1:34" s="16" customFormat="1">
      <c r="A127" s="17"/>
      <c r="B127" s="17"/>
      <c r="C127" s="17"/>
      <c r="D127" s="17"/>
      <c r="E127" s="17"/>
      <c r="F127" s="302"/>
      <c r="G127" s="19"/>
      <c r="H127" s="64"/>
      <c r="I127" s="20"/>
      <c r="J127" s="68"/>
      <c r="K127" s="66"/>
      <c r="L127" s="66"/>
      <c r="M127" s="68"/>
      <c r="N127" s="68"/>
      <c r="O127" s="66"/>
      <c r="P127" s="66"/>
      <c r="Q127" s="66"/>
      <c r="R127" s="66"/>
      <c r="S127" s="68"/>
      <c r="T127" s="66"/>
      <c r="U127" s="66"/>
      <c r="V127" s="313"/>
      <c r="W127" s="314"/>
      <c r="X127" s="314"/>
      <c r="Y127" s="68"/>
      <c r="Z127" s="20"/>
      <c r="AA127" s="20"/>
      <c r="AB127" s="20"/>
      <c r="AC127" s="20"/>
      <c r="AD127" s="20"/>
      <c r="AE127" s="68"/>
      <c r="AF127" s="68"/>
      <c r="AG127" s="20"/>
      <c r="AH127" s="232"/>
    </row>
    <row r="128" spans="1:34" s="16" customFormat="1">
      <c r="A128" s="17"/>
      <c r="B128" s="17"/>
      <c r="C128" s="17"/>
      <c r="D128" s="17"/>
      <c r="E128" s="17"/>
      <c r="F128" s="302"/>
      <c r="G128" s="19"/>
      <c r="H128" s="64"/>
      <c r="I128" s="20"/>
      <c r="J128" s="68"/>
      <c r="K128" s="66"/>
      <c r="L128" s="66"/>
      <c r="M128" s="68"/>
      <c r="N128" s="68"/>
      <c r="O128" s="66"/>
      <c r="P128" s="66"/>
      <c r="Q128" s="66"/>
      <c r="R128" s="66"/>
      <c r="S128" s="68"/>
      <c r="T128" s="66"/>
      <c r="U128" s="66"/>
      <c r="V128" s="313"/>
      <c r="W128" s="314"/>
      <c r="X128" s="314"/>
      <c r="Y128" s="68"/>
      <c r="Z128" s="20"/>
      <c r="AA128" s="20"/>
      <c r="AB128" s="20"/>
      <c r="AC128" s="20"/>
      <c r="AD128" s="20"/>
      <c r="AE128" s="68"/>
      <c r="AF128" s="68"/>
      <c r="AG128" s="20"/>
      <c r="AH128" s="232"/>
    </row>
    <row r="129" spans="1:34" s="16" customFormat="1">
      <c r="A129" s="17"/>
      <c r="B129" s="17"/>
      <c r="C129" s="17"/>
      <c r="D129" s="17"/>
      <c r="E129" s="17"/>
      <c r="F129" s="302"/>
      <c r="G129" s="19"/>
      <c r="H129" s="64"/>
      <c r="I129" s="20"/>
      <c r="J129" s="68"/>
      <c r="K129" s="66"/>
      <c r="L129" s="66"/>
      <c r="M129" s="68"/>
      <c r="N129" s="68"/>
      <c r="O129" s="66"/>
      <c r="P129" s="66"/>
      <c r="Q129" s="66"/>
      <c r="R129" s="66"/>
      <c r="S129" s="68"/>
      <c r="T129" s="66"/>
      <c r="U129" s="66"/>
      <c r="V129" s="313"/>
      <c r="W129" s="314"/>
      <c r="X129" s="314"/>
      <c r="Y129" s="68"/>
      <c r="Z129" s="20"/>
      <c r="AA129" s="20"/>
      <c r="AB129" s="20"/>
      <c r="AC129" s="20"/>
      <c r="AD129" s="20"/>
      <c r="AE129" s="68"/>
      <c r="AF129" s="68"/>
      <c r="AG129" s="20"/>
      <c r="AH129" s="232"/>
    </row>
    <row r="130" spans="1:34" s="16" customFormat="1">
      <c r="A130" s="17"/>
      <c r="B130" s="17"/>
      <c r="C130" s="17"/>
      <c r="D130" s="17"/>
      <c r="E130" s="17"/>
      <c r="F130" s="302"/>
      <c r="G130" s="19"/>
      <c r="H130" s="64"/>
      <c r="I130" s="20"/>
      <c r="J130" s="68"/>
      <c r="K130" s="66"/>
      <c r="L130" s="66"/>
      <c r="M130" s="68"/>
      <c r="N130" s="68"/>
      <c r="O130" s="66"/>
      <c r="P130" s="66"/>
      <c r="Q130" s="66"/>
      <c r="R130" s="66"/>
      <c r="S130" s="68"/>
      <c r="T130" s="66"/>
      <c r="U130" s="66"/>
      <c r="V130" s="313"/>
      <c r="W130" s="314"/>
      <c r="X130" s="314"/>
      <c r="Y130" s="68"/>
      <c r="Z130" s="20"/>
      <c r="AA130" s="20"/>
      <c r="AB130" s="20"/>
      <c r="AC130" s="20"/>
      <c r="AD130" s="20"/>
      <c r="AE130" s="68"/>
      <c r="AF130" s="68"/>
      <c r="AG130" s="20"/>
      <c r="AH130" s="232"/>
    </row>
    <row r="131" spans="1:34" s="16" customFormat="1">
      <c r="A131" s="17"/>
      <c r="B131" s="17"/>
      <c r="C131" s="17"/>
      <c r="D131" s="17"/>
      <c r="E131" s="17"/>
      <c r="F131" s="302"/>
      <c r="G131" s="19"/>
      <c r="H131" s="64"/>
      <c r="I131" s="20"/>
      <c r="J131" s="68"/>
      <c r="K131" s="66"/>
      <c r="L131" s="66"/>
      <c r="M131" s="68"/>
      <c r="N131" s="68"/>
      <c r="O131" s="66"/>
      <c r="P131" s="66"/>
      <c r="Q131" s="66"/>
      <c r="R131" s="66"/>
      <c r="S131" s="68"/>
      <c r="T131" s="66"/>
      <c r="U131" s="66"/>
      <c r="V131" s="313"/>
      <c r="W131" s="314"/>
      <c r="X131" s="314"/>
      <c r="Y131" s="68"/>
      <c r="Z131" s="20"/>
      <c r="AA131" s="20"/>
      <c r="AB131" s="20"/>
      <c r="AC131" s="20"/>
      <c r="AD131" s="20"/>
      <c r="AE131" s="68"/>
      <c r="AF131" s="68"/>
      <c r="AG131" s="20"/>
      <c r="AH131" s="232"/>
    </row>
    <row r="132" spans="1:34" s="16" customFormat="1">
      <c r="A132" s="17"/>
      <c r="B132" s="17"/>
      <c r="C132" s="17"/>
      <c r="D132" s="17"/>
      <c r="E132" s="17"/>
      <c r="F132" s="302"/>
      <c r="G132" s="19"/>
      <c r="H132" s="64"/>
      <c r="I132" s="20"/>
      <c r="J132" s="68"/>
      <c r="K132" s="66"/>
      <c r="L132" s="66"/>
      <c r="M132" s="68"/>
      <c r="N132" s="68"/>
      <c r="O132" s="66"/>
      <c r="P132" s="66"/>
      <c r="Q132" s="66"/>
      <c r="R132" s="66"/>
      <c r="S132" s="68"/>
      <c r="T132" s="66"/>
      <c r="U132" s="66"/>
      <c r="V132" s="313"/>
      <c r="W132" s="314"/>
      <c r="X132" s="314"/>
      <c r="Y132" s="68"/>
      <c r="Z132" s="20"/>
      <c r="AA132" s="20"/>
      <c r="AB132" s="20"/>
      <c r="AC132" s="20"/>
      <c r="AD132" s="20"/>
      <c r="AE132" s="68"/>
      <c r="AF132" s="68"/>
      <c r="AG132" s="20"/>
      <c r="AH132" s="232"/>
    </row>
    <row r="133" spans="1:34" s="16" customFormat="1">
      <c r="A133" s="17"/>
      <c r="B133" s="17"/>
      <c r="C133" s="17"/>
      <c r="D133" s="17"/>
      <c r="E133" s="17"/>
      <c r="F133" s="302"/>
      <c r="G133" s="19"/>
      <c r="H133" s="64"/>
      <c r="I133" s="20"/>
      <c r="J133" s="68"/>
      <c r="K133" s="66"/>
      <c r="L133" s="66"/>
      <c r="M133" s="68"/>
      <c r="N133" s="68"/>
      <c r="O133" s="66"/>
      <c r="P133" s="66"/>
      <c r="Q133" s="66"/>
      <c r="R133" s="66"/>
      <c r="S133" s="68"/>
      <c r="T133" s="66"/>
      <c r="U133" s="66"/>
      <c r="V133" s="313"/>
      <c r="W133" s="314"/>
      <c r="X133" s="314"/>
      <c r="Y133" s="68"/>
      <c r="Z133" s="20"/>
      <c r="AA133" s="20"/>
      <c r="AB133" s="20"/>
      <c r="AC133" s="20"/>
      <c r="AD133" s="20"/>
      <c r="AE133" s="68"/>
      <c r="AF133" s="68"/>
      <c r="AG133" s="20"/>
      <c r="AH133" s="232"/>
    </row>
    <row r="134" spans="1:34" s="16" customFormat="1">
      <c r="A134" s="17"/>
      <c r="B134" s="17"/>
      <c r="C134" s="17"/>
      <c r="D134" s="17"/>
      <c r="E134" s="17"/>
      <c r="F134" s="302"/>
      <c r="G134" s="19"/>
      <c r="H134" s="64"/>
      <c r="I134" s="20"/>
      <c r="J134" s="68"/>
      <c r="K134" s="66"/>
      <c r="L134" s="66"/>
      <c r="M134" s="68"/>
      <c r="N134" s="68"/>
      <c r="O134" s="66"/>
      <c r="P134" s="66"/>
      <c r="Q134" s="66"/>
      <c r="R134" s="66"/>
      <c r="S134" s="68"/>
      <c r="T134" s="66"/>
      <c r="U134" s="66"/>
      <c r="V134" s="313"/>
      <c r="W134" s="314"/>
      <c r="X134" s="314"/>
      <c r="Y134" s="68"/>
      <c r="Z134" s="20"/>
      <c r="AA134" s="20"/>
      <c r="AB134" s="20"/>
      <c r="AC134" s="20"/>
      <c r="AD134" s="20"/>
      <c r="AE134" s="68"/>
      <c r="AF134" s="68"/>
      <c r="AG134" s="20"/>
      <c r="AH134" s="232"/>
    </row>
    <row r="135" spans="1:34" s="16" customFormat="1">
      <c r="A135" s="17"/>
      <c r="B135" s="17"/>
      <c r="C135" s="17"/>
      <c r="D135" s="17">
        <f>(4.5-2.8)/2.8</f>
        <v>0.60714285714285721</v>
      </c>
      <c r="E135" s="17"/>
      <c r="F135" s="302"/>
      <c r="G135" s="19"/>
      <c r="H135" s="64"/>
      <c r="I135" s="20"/>
      <c r="J135" s="68"/>
      <c r="K135" s="66"/>
      <c r="L135" s="66"/>
      <c r="M135" s="68"/>
      <c r="N135" s="68"/>
      <c r="O135" s="66"/>
      <c r="P135" s="66"/>
      <c r="Q135" s="66"/>
      <c r="R135" s="66"/>
      <c r="S135" s="68"/>
      <c r="T135" s="66"/>
      <c r="U135" s="66"/>
      <c r="V135" s="313"/>
      <c r="W135" s="314"/>
      <c r="X135" s="314"/>
      <c r="Y135" s="68"/>
      <c r="Z135" s="20"/>
      <c r="AA135" s="20"/>
      <c r="AB135" s="20"/>
      <c r="AC135" s="20"/>
      <c r="AD135" s="20"/>
      <c r="AE135" s="68"/>
      <c r="AF135" s="68"/>
      <c r="AG135" s="20"/>
      <c r="AH135" s="232"/>
    </row>
    <row r="136" spans="1:34" s="16" customFormat="1">
      <c r="A136" s="17"/>
      <c r="B136" s="17"/>
      <c r="C136" s="17"/>
      <c r="D136" s="17"/>
      <c r="E136" s="17"/>
      <c r="F136" s="302"/>
      <c r="G136" s="19"/>
      <c r="H136" s="64"/>
      <c r="I136" s="20"/>
      <c r="J136" s="68"/>
      <c r="K136" s="66"/>
      <c r="L136" s="66"/>
      <c r="M136" s="68"/>
      <c r="N136" s="68"/>
      <c r="O136" s="66"/>
      <c r="P136" s="66"/>
      <c r="Q136" s="66"/>
      <c r="R136" s="66"/>
      <c r="S136" s="68"/>
      <c r="T136" s="66"/>
      <c r="U136" s="66"/>
      <c r="V136" s="313"/>
      <c r="W136" s="314"/>
      <c r="X136" s="314"/>
      <c r="Y136" s="68"/>
      <c r="Z136" s="20"/>
      <c r="AA136" s="20"/>
      <c r="AB136" s="20"/>
      <c r="AC136" s="20"/>
      <c r="AD136" s="20"/>
      <c r="AE136" s="68"/>
      <c r="AF136" s="68"/>
      <c r="AG136" s="20"/>
      <c r="AH136" s="232"/>
    </row>
    <row r="137" spans="1:34" s="16" customFormat="1">
      <c r="A137" s="17"/>
      <c r="B137" s="17"/>
      <c r="C137" s="17"/>
      <c r="D137" s="17"/>
      <c r="E137" s="17"/>
      <c r="F137" s="302"/>
      <c r="G137" s="19"/>
      <c r="H137" s="64"/>
      <c r="I137" s="20"/>
      <c r="J137" s="68"/>
      <c r="K137" s="66"/>
      <c r="L137" s="66"/>
      <c r="M137" s="68"/>
      <c r="N137" s="68"/>
      <c r="O137" s="66"/>
      <c r="P137" s="66"/>
      <c r="Q137" s="66"/>
      <c r="R137" s="66"/>
      <c r="S137" s="68"/>
      <c r="T137" s="66"/>
      <c r="U137" s="66"/>
      <c r="V137" s="313"/>
      <c r="W137" s="314"/>
      <c r="X137" s="314"/>
      <c r="Y137" s="68"/>
      <c r="Z137" s="20"/>
      <c r="AA137" s="20"/>
      <c r="AB137" s="20"/>
      <c r="AC137" s="20"/>
      <c r="AD137" s="20"/>
      <c r="AE137" s="68"/>
      <c r="AF137" s="68"/>
      <c r="AG137" s="20"/>
      <c r="AH137" s="232"/>
    </row>
    <row r="138" spans="1:34" s="16" customFormat="1">
      <c r="A138" s="17"/>
      <c r="B138" s="17"/>
      <c r="C138" s="17"/>
      <c r="D138" s="17"/>
      <c r="E138" s="17"/>
      <c r="F138" s="302"/>
      <c r="G138" s="19"/>
      <c r="H138" s="64"/>
      <c r="I138" s="20"/>
      <c r="J138" s="68"/>
      <c r="K138" s="66"/>
      <c r="L138" s="66"/>
      <c r="M138" s="68"/>
      <c r="N138" s="68"/>
      <c r="O138" s="66"/>
      <c r="P138" s="66"/>
      <c r="Q138" s="66"/>
      <c r="R138" s="66"/>
      <c r="S138" s="68"/>
      <c r="T138" s="66"/>
      <c r="U138" s="66"/>
      <c r="V138" s="313"/>
      <c r="W138" s="314"/>
      <c r="X138" s="314"/>
      <c r="Y138" s="68"/>
      <c r="Z138" s="20"/>
      <c r="AA138" s="20"/>
      <c r="AB138" s="20"/>
      <c r="AC138" s="20"/>
      <c r="AD138" s="20"/>
      <c r="AE138" s="68"/>
      <c r="AF138" s="68"/>
      <c r="AG138" s="20"/>
      <c r="AH138" s="232"/>
    </row>
    <row r="139" spans="1:34" s="16" customFormat="1">
      <c r="A139" s="17"/>
      <c r="B139" s="17"/>
      <c r="C139" s="17"/>
      <c r="D139" s="17"/>
      <c r="E139" s="17"/>
      <c r="F139" s="302"/>
      <c r="G139" s="19"/>
      <c r="H139" s="64"/>
      <c r="I139" s="20"/>
      <c r="J139" s="68"/>
      <c r="K139" s="66"/>
      <c r="L139" s="66"/>
      <c r="M139" s="68"/>
      <c r="N139" s="68"/>
      <c r="O139" s="66"/>
      <c r="P139" s="66"/>
      <c r="Q139" s="66"/>
      <c r="R139" s="66"/>
      <c r="S139" s="68"/>
      <c r="T139" s="66"/>
      <c r="U139" s="66"/>
      <c r="V139" s="313"/>
      <c r="W139" s="314"/>
      <c r="X139" s="314"/>
      <c r="Y139" s="68"/>
      <c r="Z139" s="20"/>
      <c r="AA139" s="20"/>
      <c r="AB139" s="20"/>
      <c r="AC139" s="20"/>
      <c r="AD139" s="20"/>
      <c r="AE139" s="68"/>
      <c r="AF139" s="68"/>
      <c r="AG139" s="20"/>
      <c r="AH139" s="232"/>
    </row>
    <row r="140" spans="1:34" s="16" customFormat="1">
      <c r="A140" s="17"/>
      <c r="B140" s="17"/>
      <c r="C140" s="17"/>
      <c r="D140" s="17"/>
      <c r="E140" s="17"/>
      <c r="F140" s="302"/>
      <c r="G140" s="19"/>
      <c r="H140" s="64"/>
      <c r="I140" s="20"/>
      <c r="J140" s="68"/>
      <c r="K140" s="66"/>
      <c r="L140" s="66"/>
      <c r="M140" s="68"/>
      <c r="N140" s="68"/>
      <c r="O140" s="66"/>
      <c r="P140" s="66"/>
      <c r="Q140" s="66"/>
      <c r="R140" s="66"/>
      <c r="S140" s="68"/>
      <c r="T140" s="66"/>
      <c r="U140" s="66"/>
      <c r="V140" s="313"/>
      <c r="W140" s="314"/>
      <c r="X140" s="314"/>
      <c r="Y140" s="68"/>
      <c r="Z140" s="20"/>
      <c r="AA140" s="20"/>
      <c r="AB140" s="20"/>
      <c r="AC140" s="20"/>
      <c r="AD140" s="20"/>
      <c r="AE140" s="68"/>
      <c r="AF140" s="68"/>
      <c r="AG140" s="20"/>
      <c r="AH140" s="232"/>
    </row>
    <row r="141" spans="1:34" s="16" customFormat="1">
      <c r="A141" s="17"/>
      <c r="B141" s="17"/>
      <c r="C141" s="17"/>
      <c r="D141" s="17"/>
      <c r="E141" s="17"/>
      <c r="F141" s="302"/>
      <c r="G141" s="19"/>
      <c r="H141" s="64"/>
      <c r="I141" s="20"/>
      <c r="J141" s="68"/>
      <c r="K141" s="66"/>
      <c r="L141" s="66"/>
      <c r="M141" s="68"/>
      <c r="N141" s="68"/>
      <c r="O141" s="66"/>
      <c r="P141" s="66"/>
      <c r="Q141" s="66"/>
      <c r="R141" s="66"/>
      <c r="S141" s="68"/>
      <c r="T141" s="66"/>
      <c r="U141" s="66"/>
      <c r="V141" s="313"/>
      <c r="W141" s="314"/>
      <c r="X141" s="314"/>
      <c r="Y141" s="68"/>
      <c r="Z141" s="20"/>
      <c r="AA141" s="20"/>
      <c r="AB141" s="20"/>
      <c r="AC141" s="20"/>
      <c r="AD141" s="20"/>
      <c r="AE141" s="68"/>
      <c r="AF141" s="68"/>
      <c r="AG141" s="20"/>
      <c r="AH141" s="232"/>
    </row>
    <row r="142" spans="1:34" s="16" customFormat="1">
      <c r="A142" s="17"/>
      <c r="B142" s="17"/>
      <c r="C142" s="17"/>
      <c r="D142" s="17"/>
      <c r="E142" s="17"/>
      <c r="F142" s="302"/>
      <c r="G142" s="19"/>
      <c r="H142" s="64"/>
      <c r="I142" s="20"/>
      <c r="J142" s="68"/>
      <c r="K142" s="66"/>
      <c r="L142" s="66"/>
      <c r="M142" s="68"/>
      <c r="N142" s="68"/>
      <c r="O142" s="66"/>
      <c r="P142" s="66"/>
      <c r="Q142" s="66"/>
      <c r="R142" s="66"/>
      <c r="S142" s="68"/>
      <c r="T142" s="66"/>
      <c r="U142" s="66"/>
      <c r="V142" s="313"/>
      <c r="W142" s="314"/>
      <c r="X142" s="314"/>
      <c r="Y142" s="68"/>
      <c r="Z142" s="20"/>
      <c r="AA142" s="20"/>
      <c r="AB142" s="20"/>
      <c r="AC142" s="20"/>
      <c r="AD142" s="20"/>
      <c r="AE142" s="68"/>
      <c r="AF142" s="68"/>
      <c r="AG142" s="20"/>
      <c r="AH142" s="232"/>
    </row>
    <row r="143" spans="1:34" s="16" customFormat="1">
      <c r="A143" s="17"/>
      <c r="B143" s="17"/>
      <c r="C143" s="17"/>
      <c r="D143" s="17"/>
      <c r="E143" s="17"/>
      <c r="F143" s="302"/>
      <c r="G143" s="19"/>
      <c r="H143" s="64"/>
      <c r="I143" s="20"/>
      <c r="J143" s="68"/>
      <c r="K143" s="66"/>
      <c r="L143" s="66"/>
      <c r="M143" s="68"/>
      <c r="N143" s="68"/>
      <c r="O143" s="66"/>
      <c r="P143" s="66"/>
      <c r="Q143" s="66"/>
      <c r="R143" s="66"/>
      <c r="S143" s="68"/>
      <c r="T143" s="66"/>
      <c r="U143" s="66"/>
      <c r="V143" s="313"/>
      <c r="W143" s="314"/>
      <c r="X143" s="314"/>
      <c r="Y143" s="68"/>
      <c r="Z143" s="20"/>
      <c r="AA143" s="20"/>
      <c r="AB143" s="20"/>
      <c r="AC143" s="20"/>
      <c r="AD143" s="20"/>
      <c r="AE143" s="68"/>
      <c r="AF143" s="68"/>
      <c r="AG143" s="20"/>
      <c r="AH143" s="232"/>
    </row>
    <row r="144" spans="1:34" s="16" customFormat="1">
      <c r="A144" s="17"/>
      <c r="B144" s="17"/>
      <c r="C144" s="17"/>
      <c r="D144" s="17"/>
      <c r="E144" s="17"/>
      <c r="F144" s="302"/>
      <c r="G144" s="19"/>
      <c r="H144" s="64"/>
      <c r="I144" s="20"/>
      <c r="J144" s="68"/>
      <c r="K144" s="66"/>
      <c r="L144" s="66"/>
      <c r="M144" s="68"/>
      <c r="N144" s="68"/>
      <c r="O144" s="66"/>
      <c r="P144" s="66"/>
      <c r="Q144" s="66"/>
      <c r="R144" s="66"/>
      <c r="S144" s="68"/>
      <c r="T144" s="66"/>
      <c r="U144" s="66"/>
      <c r="V144" s="313"/>
      <c r="W144" s="314"/>
      <c r="X144" s="314"/>
      <c r="Y144" s="68"/>
      <c r="Z144" s="20"/>
      <c r="AA144" s="20"/>
      <c r="AB144" s="20"/>
      <c r="AC144" s="20"/>
      <c r="AD144" s="20"/>
      <c r="AE144" s="68"/>
      <c r="AF144" s="68"/>
      <c r="AG144" s="20"/>
      <c r="AH144" s="232"/>
    </row>
    <row r="145" spans="1:34" s="16" customFormat="1">
      <c r="A145" s="17"/>
      <c r="B145" s="17"/>
      <c r="C145" s="17"/>
      <c r="D145" s="17"/>
      <c r="E145" s="17"/>
      <c r="F145" s="302"/>
      <c r="G145" s="19"/>
      <c r="H145" s="64"/>
      <c r="I145" s="20"/>
      <c r="J145" s="68"/>
      <c r="K145" s="66"/>
      <c r="L145" s="66"/>
      <c r="M145" s="68"/>
      <c r="N145" s="68"/>
      <c r="O145" s="66"/>
      <c r="P145" s="66"/>
      <c r="Q145" s="66"/>
      <c r="R145" s="66"/>
      <c r="S145" s="68"/>
      <c r="T145" s="66"/>
      <c r="U145" s="66"/>
      <c r="V145" s="313"/>
      <c r="W145" s="314"/>
      <c r="X145" s="314"/>
      <c r="Y145" s="68"/>
      <c r="Z145" s="20"/>
      <c r="AA145" s="20"/>
      <c r="AB145" s="20"/>
      <c r="AC145" s="20"/>
      <c r="AD145" s="20"/>
      <c r="AE145" s="68"/>
      <c r="AF145" s="68"/>
      <c r="AG145" s="20"/>
      <c r="AH145" s="232"/>
    </row>
    <row r="146" spans="1:34" s="16" customFormat="1">
      <c r="A146" s="17"/>
      <c r="B146" s="17"/>
      <c r="C146" s="17"/>
      <c r="D146" s="17"/>
      <c r="E146" s="17"/>
      <c r="F146" s="302"/>
      <c r="G146" s="19"/>
      <c r="H146" s="64"/>
      <c r="I146" s="20"/>
      <c r="J146" s="68"/>
      <c r="K146" s="66"/>
      <c r="L146" s="66"/>
      <c r="M146" s="68"/>
      <c r="N146" s="68"/>
      <c r="O146" s="66"/>
      <c r="P146" s="66"/>
      <c r="Q146" s="66"/>
      <c r="R146" s="66"/>
      <c r="S146" s="68"/>
      <c r="T146" s="66"/>
      <c r="U146" s="66"/>
      <c r="V146" s="313"/>
      <c r="W146" s="314"/>
      <c r="X146" s="314"/>
      <c r="Y146" s="68"/>
      <c r="Z146" s="20"/>
      <c r="AA146" s="20"/>
      <c r="AB146" s="20"/>
      <c r="AC146" s="20"/>
      <c r="AD146" s="20"/>
      <c r="AE146" s="68"/>
      <c r="AF146" s="68"/>
      <c r="AG146" s="20"/>
      <c r="AH146" s="232"/>
    </row>
    <row r="147" spans="1:34" s="16" customFormat="1">
      <c r="A147" s="17"/>
      <c r="B147" s="17"/>
      <c r="C147" s="17"/>
      <c r="D147" s="17"/>
      <c r="E147" s="17"/>
      <c r="F147" s="302"/>
      <c r="G147" s="19"/>
      <c r="H147" s="64"/>
      <c r="I147" s="20"/>
      <c r="J147" s="68"/>
      <c r="K147" s="66"/>
      <c r="L147" s="66"/>
      <c r="M147" s="68"/>
      <c r="N147" s="68"/>
      <c r="O147" s="66"/>
      <c r="P147" s="66"/>
      <c r="Q147" s="66"/>
      <c r="R147" s="66"/>
      <c r="S147" s="68"/>
      <c r="T147" s="66"/>
      <c r="U147" s="66"/>
      <c r="V147" s="313"/>
      <c r="W147" s="314"/>
      <c r="X147" s="314"/>
      <c r="Y147" s="68"/>
      <c r="Z147" s="20"/>
      <c r="AA147" s="20"/>
      <c r="AB147" s="20"/>
      <c r="AC147" s="20"/>
      <c r="AD147" s="20"/>
      <c r="AE147" s="68"/>
      <c r="AF147" s="68"/>
      <c r="AG147" s="20"/>
      <c r="AH147" s="232"/>
    </row>
    <row r="148" spans="1:34" s="16" customFormat="1">
      <c r="A148" s="17"/>
      <c r="B148" s="17"/>
      <c r="C148" s="17"/>
      <c r="D148" s="17"/>
      <c r="E148" s="17"/>
      <c r="F148" s="302"/>
      <c r="G148" s="19"/>
      <c r="H148" s="64"/>
      <c r="I148" s="20"/>
      <c r="J148" s="68"/>
      <c r="K148" s="66"/>
      <c r="L148" s="66"/>
      <c r="M148" s="68"/>
      <c r="N148" s="68"/>
      <c r="O148" s="66"/>
      <c r="P148" s="66"/>
      <c r="Q148" s="66"/>
      <c r="R148" s="66"/>
      <c r="S148" s="68"/>
      <c r="T148" s="66"/>
      <c r="U148" s="66"/>
      <c r="V148" s="313"/>
      <c r="W148" s="314"/>
      <c r="X148" s="314"/>
      <c r="Y148" s="68"/>
      <c r="Z148" s="20"/>
      <c r="AA148" s="20"/>
      <c r="AB148" s="20"/>
      <c r="AC148" s="20"/>
      <c r="AD148" s="20"/>
      <c r="AE148" s="68"/>
      <c r="AF148" s="68"/>
      <c r="AG148" s="20"/>
      <c r="AH148" s="232"/>
    </row>
    <row r="149" spans="1:34" s="16" customFormat="1">
      <c r="A149" s="17"/>
      <c r="B149" s="17"/>
      <c r="C149" s="17"/>
      <c r="D149" s="17"/>
      <c r="E149" s="17"/>
      <c r="F149" s="302"/>
      <c r="G149" s="19"/>
      <c r="H149" s="64"/>
      <c r="I149" s="20"/>
      <c r="J149" s="68"/>
      <c r="K149" s="66"/>
      <c r="L149" s="66"/>
      <c r="M149" s="68"/>
      <c r="N149" s="68"/>
      <c r="O149" s="66"/>
      <c r="P149" s="66"/>
      <c r="Q149" s="66"/>
      <c r="R149" s="66"/>
      <c r="S149" s="68"/>
      <c r="T149" s="66"/>
      <c r="U149" s="66"/>
      <c r="V149" s="313"/>
      <c r="W149" s="314"/>
      <c r="X149" s="314"/>
      <c r="Y149" s="68"/>
      <c r="Z149" s="20"/>
      <c r="AA149" s="20"/>
      <c r="AB149" s="20"/>
      <c r="AC149" s="20"/>
      <c r="AD149" s="20"/>
      <c r="AE149" s="68"/>
      <c r="AF149" s="68"/>
      <c r="AG149" s="20"/>
      <c r="AH149" s="232"/>
    </row>
    <row r="150" spans="1:34" s="16" customFormat="1">
      <c r="A150" s="17"/>
      <c r="B150" s="17"/>
      <c r="C150" s="17"/>
      <c r="D150" s="17"/>
      <c r="E150" s="17"/>
      <c r="F150" s="302"/>
      <c r="G150" s="19"/>
      <c r="H150" s="64"/>
      <c r="I150" s="20"/>
      <c r="J150" s="68"/>
      <c r="K150" s="66"/>
      <c r="L150" s="66"/>
      <c r="M150" s="68"/>
      <c r="N150" s="68"/>
      <c r="O150" s="66"/>
      <c r="P150" s="66"/>
      <c r="Q150" s="66"/>
      <c r="R150" s="66"/>
      <c r="S150" s="68"/>
      <c r="T150" s="66"/>
      <c r="U150" s="66"/>
      <c r="V150" s="313"/>
      <c r="W150" s="314"/>
      <c r="X150" s="314"/>
      <c r="Y150" s="68"/>
      <c r="Z150" s="20"/>
      <c r="AA150" s="20"/>
      <c r="AB150" s="20"/>
      <c r="AC150" s="20"/>
      <c r="AD150" s="20"/>
      <c r="AE150" s="68"/>
      <c r="AF150" s="68"/>
      <c r="AG150" s="20"/>
      <c r="AH150" s="232"/>
    </row>
    <row r="151" spans="1:34" s="16" customFormat="1">
      <c r="A151" s="17"/>
      <c r="B151" s="17"/>
      <c r="C151" s="17"/>
      <c r="D151" s="17"/>
      <c r="E151" s="17"/>
      <c r="F151" s="302"/>
      <c r="G151" s="19"/>
      <c r="H151" s="64"/>
      <c r="I151" s="20"/>
      <c r="J151" s="68"/>
      <c r="K151" s="66"/>
      <c r="L151" s="66"/>
      <c r="M151" s="68"/>
      <c r="N151" s="68"/>
      <c r="O151" s="66"/>
      <c r="P151" s="66"/>
      <c r="Q151" s="66"/>
      <c r="R151" s="66"/>
      <c r="S151" s="68"/>
      <c r="T151" s="66"/>
      <c r="U151" s="66"/>
      <c r="V151" s="313"/>
      <c r="W151" s="314"/>
      <c r="X151" s="314"/>
      <c r="Y151" s="68"/>
      <c r="Z151" s="20"/>
      <c r="AA151" s="20"/>
      <c r="AB151" s="20"/>
      <c r="AC151" s="20"/>
      <c r="AD151" s="20"/>
      <c r="AE151" s="68"/>
      <c r="AF151" s="68"/>
      <c r="AG151" s="20"/>
      <c r="AH151" s="232"/>
    </row>
    <row r="152" spans="1:34" s="16" customFormat="1">
      <c r="A152" s="17"/>
      <c r="B152" s="17"/>
      <c r="C152" s="17"/>
      <c r="D152" s="17"/>
      <c r="E152" s="17"/>
      <c r="F152" s="302"/>
      <c r="G152" s="19"/>
      <c r="H152" s="64"/>
      <c r="I152" s="20"/>
      <c r="J152" s="68"/>
      <c r="K152" s="66"/>
      <c r="L152" s="66"/>
      <c r="M152" s="68"/>
      <c r="N152" s="68"/>
      <c r="O152" s="66"/>
      <c r="P152" s="66"/>
      <c r="Q152" s="66"/>
      <c r="R152" s="66"/>
      <c r="S152" s="68"/>
      <c r="T152" s="66"/>
      <c r="U152" s="66"/>
      <c r="V152" s="313"/>
      <c r="W152" s="314"/>
      <c r="X152" s="314"/>
      <c r="Y152" s="68"/>
      <c r="Z152" s="20"/>
      <c r="AA152" s="20"/>
      <c r="AB152" s="20"/>
      <c r="AC152" s="20"/>
      <c r="AD152" s="20"/>
      <c r="AE152" s="68"/>
      <c r="AF152" s="68"/>
      <c r="AG152" s="20"/>
      <c r="AH152" s="232"/>
    </row>
    <row r="153" spans="1:34" s="16" customFormat="1">
      <c r="A153" s="17"/>
      <c r="B153" s="17"/>
      <c r="C153" s="17"/>
      <c r="D153" s="17"/>
      <c r="E153" s="17"/>
      <c r="F153" s="302"/>
      <c r="G153" s="19"/>
      <c r="H153" s="64"/>
      <c r="I153" s="20"/>
      <c r="J153" s="68"/>
      <c r="K153" s="66"/>
      <c r="L153" s="66"/>
      <c r="M153" s="68"/>
      <c r="N153" s="68"/>
      <c r="O153" s="66"/>
      <c r="P153" s="66"/>
      <c r="Q153" s="66"/>
      <c r="R153" s="66"/>
      <c r="S153" s="68"/>
      <c r="T153" s="66"/>
      <c r="U153" s="66"/>
      <c r="V153" s="313"/>
      <c r="W153" s="314"/>
      <c r="X153" s="314"/>
      <c r="Y153" s="68"/>
      <c r="Z153" s="20"/>
      <c r="AA153" s="20"/>
      <c r="AB153" s="20"/>
      <c r="AC153" s="20"/>
      <c r="AD153" s="20"/>
      <c r="AE153" s="68"/>
      <c r="AF153" s="68"/>
      <c r="AG153" s="20"/>
      <c r="AH153" s="232"/>
    </row>
    <row r="154" spans="1:34" s="16" customFormat="1">
      <c r="A154" s="17"/>
      <c r="B154" s="17"/>
      <c r="C154" s="17"/>
      <c r="D154" s="17"/>
      <c r="E154" s="17"/>
      <c r="F154" s="302"/>
      <c r="G154" s="19"/>
      <c r="H154" s="64"/>
      <c r="I154" s="20"/>
      <c r="J154" s="68"/>
      <c r="K154" s="66"/>
      <c r="L154" s="66"/>
      <c r="M154" s="68"/>
      <c r="N154" s="68"/>
      <c r="O154" s="66"/>
      <c r="P154" s="66"/>
      <c r="Q154" s="66"/>
      <c r="R154" s="66"/>
      <c r="S154" s="68"/>
      <c r="T154" s="66"/>
      <c r="U154" s="66"/>
      <c r="V154" s="313"/>
      <c r="W154" s="314"/>
      <c r="X154" s="314"/>
      <c r="Y154" s="68"/>
      <c r="Z154" s="20"/>
      <c r="AA154" s="20"/>
      <c r="AB154" s="20"/>
      <c r="AC154" s="20"/>
      <c r="AD154" s="20"/>
      <c r="AE154" s="68"/>
      <c r="AF154" s="68"/>
      <c r="AG154" s="20"/>
      <c r="AH154" s="232"/>
    </row>
    <row r="155" spans="1:34" s="16" customFormat="1">
      <c r="A155" s="17"/>
      <c r="B155" s="17"/>
      <c r="C155" s="17"/>
      <c r="D155" s="17"/>
      <c r="E155" s="17"/>
      <c r="F155" s="302"/>
      <c r="G155" s="19"/>
      <c r="H155" s="64"/>
      <c r="I155" s="20"/>
      <c r="J155" s="68"/>
      <c r="K155" s="66"/>
      <c r="L155" s="66"/>
      <c r="M155" s="68"/>
      <c r="N155" s="68"/>
      <c r="O155" s="66"/>
      <c r="P155" s="66"/>
      <c r="Q155" s="66"/>
      <c r="R155" s="66"/>
      <c r="S155" s="68"/>
      <c r="T155" s="66"/>
      <c r="U155" s="66"/>
      <c r="V155" s="313"/>
      <c r="W155" s="314"/>
      <c r="X155" s="314"/>
      <c r="Y155" s="68"/>
      <c r="Z155" s="20"/>
      <c r="AA155" s="20"/>
      <c r="AB155" s="20"/>
      <c r="AC155" s="20"/>
      <c r="AD155" s="20"/>
      <c r="AE155" s="68"/>
      <c r="AF155" s="68"/>
      <c r="AG155" s="20"/>
      <c r="AH155" s="232"/>
    </row>
    <row r="156" spans="1:34" s="16" customFormat="1">
      <c r="A156" s="17"/>
      <c r="B156" s="17"/>
      <c r="C156" s="17"/>
      <c r="D156" s="17"/>
      <c r="E156" s="17"/>
      <c r="F156" s="302"/>
      <c r="G156" s="19"/>
      <c r="H156" s="64"/>
      <c r="I156" s="20"/>
      <c r="J156" s="68"/>
      <c r="K156" s="66"/>
      <c r="L156" s="66"/>
      <c r="M156" s="68"/>
      <c r="N156" s="68"/>
      <c r="O156" s="66"/>
      <c r="P156" s="66"/>
      <c r="Q156" s="66"/>
      <c r="R156" s="66"/>
      <c r="S156" s="68"/>
      <c r="T156" s="66"/>
      <c r="U156" s="66"/>
      <c r="V156" s="313"/>
      <c r="W156" s="314"/>
      <c r="X156" s="314"/>
      <c r="Y156" s="68"/>
      <c r="Z156" s="20"/>
      <c r="AA156" s="20"/>
      <c r="AB156" s="20"/>
      <c r="AC156" s="20"/>
      <c r="AD156" s="20"/>
      <c r="AE156" s="68"/>
      <c r="AF156" s="68"/>
      <c r="AG156" s="20"/>
      <c r="AH156" s="232"/>
    </row>
    <row r="157" spans="1:34" s="16" customFormat="1">
      <c r="A157" s="17"/>
      <c r="B157" s="17"/>
      <c r="C157" s="17"/>
      <c r="D157" s="17"/>
      <c r="E157" s="17"/>
      <c r="F157" s="302"/>
      <c r="G157" s="19"/>
      <c r="H157" s="64"/>
      <c r="I157" s="20"/>
      <c r="J157" s="68"/>
      <c r="K157" s="66"/>
      <c r="L157" s="66"/>
      <c r="M157" s="68"/>
      <c r="N157" s="68"/>
      <c r="O157" s="66"/>
      <c r="P157" s="66"/>
      <c r="Q157" s="66"/>
      <c r="R157" s="66"/>
      <c r="S157" s="68"/>
      <c r="T157" s="66"/>
      <c r="U157" s="66"/>
      <c r="V157" s="313"/>
      <c r="W157" s="314"/>
      <c r="X157" s="314"/>
      <c r="Y157" s="68"/>
      <c r="Z157" s="20"/>
      <c r="AA157" s="20"/>
      <c r="AB157" s="20"/>
      <c r="AC157" s="20"/>
      <c r="AD157" s="20"/>
      <c r="AE157" s="68"/>
      <c r="AF157" s="68"/>
      <c r="AG157" s="20"/>
      <c r="AH157" s="232"/>
    </row>
    <row r="158" spans="1:34" s="16" customFormat="1">
      <c r="A158" s="17"/>
      <c r="B158" s="17"/>
      <c r="C158" s="17"/>
      <c r="D158" s="17"/>
      <c r="E158" s="17"/>
      <c r="F158" s="302"/>
      <c r="G158" s="19"/>
      <c r="H158" s="64"/>
      <c r="I158" s="20"/>
      <c r="J158" s="68"/>
      <c r="K158" s="66"/>
      <c r="L158" s="66"/>
      <c r="M158" s="68"/>
      <c r="N158" s="68"/>
      <c r="O158" s="66"/>
      <c r="P158" s="66"/>
      <c r="Q158" s="66"/>
      <c r="R158" s="66"/>
      <c r="S158" s="68"/>
      <c r="T158" s="66"/>
      <c r="U158" s="66"/>
      <c r="V158" s="313"/>
      <c r="W158" s="314"/>
      <c r="X158" s="314"/>
      <c r="Y158" s="68"/>
      <c r="Z158" s="20"/>
      <c r="AA158" s="20"/>
      <c r="AB158" s="20"/>
      <c r="AC158" s="20"/>
      <c r="AD158" s="20"/>
      <c r="AE158" s="68"/>
      <c r="AF158" s="68"/>
      <c r="AG158" s="20"/>
      <c r="AH158" s="232"/>
    </row>
    <row r="159" spans="1:34" s="16" customFormat="1">
      <c r="A159" s="17"/>
      <c r="B159" s="17"/>
      <c r="C159" s="17"/>
      <c r="D159" s="17"/>
      <c r="E159" s="17"/>
      <c r="F159" s="302"/>
      <c r="G159" s="19"/>
      <c r="H159" s="64"/>
      <c r="I159" s="20"/>
      <c r="J159" s="68"/>
      <c r="K159" s="66"/>
      <c r="L159" s="66"/>
      <c r="M159" s="68"/>
      <c r="N159" s="68"/>
      <c r="O159" s="66"/>
      <c r="P159" s="66"/>
      <c r="Q159" s="66"/>
      <c r="R159" s="66"/>
      <c r="S159" s="68"/>
      <c r="T159" s="66"/>
      <c r="U159" s="66"/>
      <c r="V159" s="313"/>
      <c r="W159" s="314"/>
      <c r="X159" s="314"/>
      <c r="Y159" s="68"/>
      <c r="Z159" s="20"/>
      <c r="AA159" s="20"/>
      <c r="AB159" s="20"/>
      <c r="AC159" s="20"/>
      <c r="AD159" s="20"/>
      <c r="AE159" s="68"/>
      <c r="AF159" s="68"/>
      <c r="AG159" s="20"/>
      <c r="AH159" s="232"/>
    </row>
    <row r="160" spans="1:34" s="16" customFormat="1">
      <c r="A160" s="17"/>
      <c r="B160" s="17"/>
      <c r="C160" s="17"/>
      <c r="D160" s="17"/>
      <c r="E160" s="17"/>
      <c r="F160" s="302"/>
      <c r="G160" s="19"/>
      <c r="H160" s="64"/>
      <c r="I160" s="20"/>
      <c r="J160" s="68"/>
      <c r="K160" s="66"/>
      <c r="L160" s="66"/>
      <c r="M160" s="68"/>
      <c r="N160" s="68"/>
      <c r="O160" s="66"/>
      <c r="P160" s="66"/>
      <c r="Q160" s="66"/>
      <c r="R160" s="66"/>
      <c r="S160" s="68"/>
      <c r="T160" s="66"/>
      <c r="U160" s="66"/>
      <c r="V160" s="313"/>
      <c r="W160" s="314"/>
      <c r="X160" s="314"/>
      <c r="Y160" s="68"/>
      <c r="Z160" s="20"/>
      <c r="AA160" s="20"/>
      <c r="AB160" s="20"/>
      <c r="AC160" s="20"/>
      <c r="AD160" s="20"/>
      <c r="AE160" s="68"/>
      <c r="AF160" s="68"/>
      <c r="AG160" s="20"/>
      <c r="AH160" s="232"/>
    </row>
    <row r="161" spans="1:34" s="16" customFormat="1">
      <c r="A161" s="17"/>
      <c r="B161" s="17"/>
      <c r="C161" s="17"/>
      <c r="D161" s="17"/>
      <c r="E161" s="17"/>
      <c r="F161" s="302"/>
      <c r="G161" s="19"/>
      <c r="H161" s="64"/>
      <c r="I161" s="20"/>
      <c r="J161" s="68"/>
      <c r="K161" s="66"/>
      <c r="L161" s="66"/>
      <c r="M161" s="68"/>
      <c r="N161" s="68"/>
      <c r="O161" s="66"/>
      <c r="P161" s="66"/>
      <c r="Q161" s="66"/>
      <c r="R161" s="66"/>
      <c r="S161" s="68"/>
      <c r="T161" s="66"/>
      <c r="U161" s="66"/>
      <c r="V161" s="313"/>
      <c r="W161" s="314"/>
      <c r="X161" s="314"/>
      <c r="Y161" s="68"/>
      <c r="Z161" s="20"/>
      <c r="AA161" s="20"/>
      <c r="AB161" s="20"/>
      <c r="AC161" s="20"/>
      <c r="AD161" s="20"/>
      <c r="AE161" s="68"/>
      <c r="AF161" s="68"/>
      <c r="AG161" s="20"/>
      <c r="AH161" s="232"/>
    </row>
    <row r="162" spans="1:34" s="16" customFormat="1">
      <c r="A162" s="17"/>
      <c r="B162" s="17"/>
      <c r="C162" s="17"/>
      <c r="D162" s="17"/>
      <c r="E162" s="17"/>
      <c r="F162" s="302"/>
      <c r="G162" s="19"/>
      <c r="H162" s="64"/>
      <c r="I162" s="20"/>
      <c r="J162" s="68"/>
      <c r="K162" s="66"/>
      <c r="L162" s="66"/>
      <c r="M162" s="68"/>
      <c r="N162" s="68"/>
      <c r="O162" s="66"/>
      <c r="P162" s="66"/>
      <c r="Q162" s="66"/>
      <c r="R162" s="66"/>
      <c r="S162" s="68"/>
      <c r="T162" s="66"/>
      <c r="U162" s="66"/>
      <c r="V162" s="313"/>
      <c r="W162" s="314"/>
      <c r="X162" s="314"/>
      <c r="Y162" s="68"/>
      <c r="Z162" s="20"/>
      <c r="AA162" s="20"/>
      <c r="AB162" s="20"/>
      <c r="AC162" s="20"/>
      <c r="AD162" s="20"/>
      <c r="AE162" s="68"/>
      <c r="AF162" s="68"/>
      <c r="AG162" s="20"/>
      <c r="AH162" s="232"/>
    </row>
    <row r="163" spans="1:34" s="16" customFormat="1">
      <c r="A163" s="17"/>
      <c r="B163" s="17"/>
      <c r="C163" s="17"/>
      <c r="D163" s="17"/>
      <c r="E163" s="17"/>
      <c r="F163" s="302"/>
      <c r="G163" s="19"/>
      <c r="H163" s="64"/>
      <c r="I163" s="20"/>
      <c r="J163" s="68"/>
      <c r="K163" s="66"/>
      <c r="L163" s="66"/>
      <c r="M163" s="68"/>
      <c r="N163" s="68"/>
      <c r="O163" s="66"/>
      <c r="P163" s="66"/>
      <c r="Q163" s="66"/>
      <c r="R163" s="66"/>
      <c r="S163" s="68"/>
      <c r="T163" s="66"/>
      <c r="U163" s="66"/>
      <c r="V163" s="313"/>
      <c r="W163" s="314"/>
      <c r="X163" s="314"/>
      <c r="Y163" s="68"/>
      <c r="Z163" s="20"/>
      <c r="AA163" s="20"/>
      <c r="AB163" s="20"/>
      <c r="AC163" s="20"/>
      <c r="AD163" s="20"/>
      <c r="AE163" s="68"/>
      <c r="AF163" s="68"/>
      <c r="AG163" s="20"/>
      <c r="AH163" s="232"/>
    </row>
    <row r="164" spans="1:34" s="16" customFormat="1">
      <c r="A164" s="17"/>
      <c r="B164" s="17"/>
      <c r="C164" s="17"/>
      <c r="D164" s="17"/>
      <c r="E164" s="17"/>
      <c r="F164" s="302"/>
      <c r="G164" s="19"/>
      <c r="H164" s="64"/>
      <c r="I164" s="20"/>
      <c r="J164" s="68"/>
      <c r="K164" s="66"/>
      <c r="L164" s="66"/>
      <c r="M164" s="68"/>
      <c r="N164" s="68"/>
      <c r="O164" s="66"/>
      <c r="P164" s="66"/>
      <c r="Q164" s="66"/>
      <c r="R164" s="66"/>
      <c r="S164" s="68"/>
      <c r="T164" s="66"/>
      <c r="U164" s="66"/>
      <c r="V164" s="313"/>
      <c r="W164" s="314"/>
      <c r="X164" s="314"/>
      <c r="Y164" s="68"/>
      <c r="Z164" s="20"/>
      <c r="AA164" s="20"/>
      <c r="AB164" s="20"/>
      <c r="AC164" s="20"/>
      <c r="AD164" s="20"/>
      <c r="AE164" s="68"/>
      <c r="AF164" s="68"/>
      <c r="AG164" s="20"/>
      <c r="AH164" s="232"/>
    </row>
    <row r="165" spans="1:34" s="16" customFormat="1">
      <c r="A165" s="17"/>
      <c r="B165" s="17"/>
      <c r="C165" s="17"/>
      <c r="D165" s="17"/>
      <c r="E165" s="17"/>
      <c r="F165" s="302"/>
      <c r="G165" s="19"/>
      <c r="H165" s="64"/>
      <c r="I165" s="20"/>
      <c r="J165" s="68"/>
      <c r="K165" s="66"/>
      <c r="L165" s="66"/>
      <c r="M165" s="68"/>
      <c r="N165" s="68"/>
      <c r="O165" s="66"/>
      <c r="P165" s="66"/>
      <c r="Q165" s="66"/>
      <c r="R165" s="66"/>
      <c r="S165" s="68"/>
      <c r="T165" s="66"/>
      <c r="U165" s="66"/>
      <c r="V165" s="313"/>
      <c r="W165" s="314"/>
      <c r="X165" s="314"/>
      <c r="Y165" s="68"/>
      <c r="Z165" s="20"/>
      <c r="AA165" s="20"/>
      <c r="AB165" s="20"/>
      <c r="AC165" s="20"/>
      <c r="AD165" s="20"/>
      <c r="AE165" s="68"/>
      <c r="AF165" s="68"/>
      <c r="AG165" s="20"/>
      <c r="AH165" s="232"/>
    </row>
    <row r="166" spans="1:34" s="16" customFormat="1">
      <c r="A166" s="17"/>
      <c r="B166" s="17"/>
      <c r="C166" s="17"/>
      <c r="D166" s="17"/>
      <c r="E166" s="17"/>
      <c r="F166" s="302"/>
      <c r="G166" s="19"/>
      <c r="H166" s="64"/>
      <c r="I166" s="20"/>
      <c r="J166" s="68"/>
      <c r="K166" s="66"/>
      <c r="L166" s="66"/>
      <c r="M166" s="68"/>
      <c r="N166" s="68"/>
      <c r="O166" s="66"/>
      <c r="P166" s="66"/>
      <c r="Q166" s="66"/>
      <c r="R166" s="66"/>
      <c r="S166" s="68"/>
      <c r="T166" s="66"/>
      <c r="U166" s="66"/>
      <c r="V166" s="313"/>
      <c r="W166" s="314"/>
      <c r="X166" s="314"/>
      <c r="Y166" s="68"/>
      <c r="Z166" s="20"/>
      <c r="AA166" s="20"/>
      <c r="AB166" s="20"/>
      <c r="AC166" s="20"/>
      <c r="AD166" s="20"/>
      <c r="AE166" s="68"/>
      <c r="AF166" s="68"/>
      <c r="AG166" s="20"/>
      <c r="AH166" s="232"/>
    </row>
    <row r="167" spans="1:34" s="16" customFormat="1">
      <c r="A167" s="17"/>
      <c r="B167" s="17"/>
      <c r="C167" s="17"/>
      <c r="D167" s="17"/>
      <c r="E167" s="17"/>
      <c r="F167" s="302"/>
      <c r="G167" s="19"/>
      <c r="H167" s="64"/>
      <c r="I167" s="20"/>
      <c r="J167" s="68"/>
      <c r="K167" s="66"/>
      <c r="L167" s="66"/>
      <c r="M167" s="68"/>
      <c r="N167" s="68"/>
      <c r="O167" s="66"/>
      <c r="P167" s="66"/>
      <c r="Q167" s="66"/>
      <c r="R167" s="66"/>
      <c r="S167" s="68"/>
      <c r="T167" s="66"/>
      <c r="U167" s="66"/>
      <c r="V167" s="313"/>
      <c r="W167" s="314"/>
      <c r="X167" s="314"/>
      <c r="Y167" s="68"/>
      <c r="Z167" s="20"/>
      <c r="AA167" s="20"/>
      <c r="AB167" s="20"/>
      <c r="AC167" s="20"/>
      <c r="AD167" s="20"/>
      <c r="AE167" s="68"/>
      <c r="AF167" s="68"/>
      <c r="AG167" s="20"/>
      <c r="AH167" s="232"/>
    </row>
    <row r="168" spans="1:34" s="16" customFormat="1">
      <c r="A168" s="17"/>
      <c r="B168" s="17"/>
      <c r="C168" s="17"/>
      <c r="D168" s="17"/>
      <c r="E168" s="17"/>
      <c r="F168" s="302"/>
      <c r="G168" s="19"/>
      <c r="H168" s="64"/>
      <c r="I168" s="20"/>
      <c r="J168" s="68"/>
      <c r="K168" s="66"/>
      <c r="L168" s="66"/>
      <c r="M168" s="68"/>
      <c r="N168" s="68"/>
      <c r="O168" s="66"/>
      <c r="P168" s="66"/>
      <c r="Q168" s="66"/>
      <c r="R168" s="66"/>
      <c r="S168" s="68"/>
      <c r="T168" s="66"/>
      <c r="U168" s="66"/>
      <c r="V168" s="313"/>
      <c r="W168" s="314"/>
      <c r="X168" s="314"/>
      <c r="Y168" s="68"/>
      <c r="Z168" s="20"/>
      <c r="AA168" s="20"/>
      <c r="AB168" s="20"/>
      <c r="AC168" s="20"/>
      <c r="AD168" s="20"/>
      <c r="AE168" s="68"/>
      <c r="AF168" s="68"/>
      <c r="AG168" s="20"/>
      <c r="AH168" s="232"/>
    </row>
    <row r="169" spans="1:34" s="16" customFormat="1">
      <c r="A169" s="17"/>
      <c r="B169" s="17"/>
      <c r="C169" s="17"/>
      <c r="D169" s="17"/>
      <c r="E169" s="17"/>
      <c r="F169" s="302"/>
      <c r="G169" s="19"/>
      <c r="H169" s="64"/>
      <c r="I169" s="20"/>
      <c r="J169" s="68"/>
      <c r="K169" s="66"/>
      <c r="L169" s="66"/>
      <c r="M169" s="68"/>
      <c r="N169" s="68"/>
      <c r="O169" s="66"/>
      <c r="P169" s="66"/>
      <c r="Q169" s="66"/>
      <c r="R169" s="66"/>
      <c r="S169" s="68"/>
      <c r="T169" s="66"/>
      <c r="U169" s="66"/>
      <c r="V169" s="313"/>
      <c r="W169" s="314"/>
      <c r="X169" s="314"/>
      <c r="Y169" s="68"/>
      <c r="Z169" s="20"/>
      <c r="AA169" s="20"/>
      <c r="AB169" s="20"/>
      <c r="AC169" s="20"/>
      <c r="AD169" s="20"/>
      <c r="AE169" s="68"/>
      <c r="AF169" s="68"/>
      <c r="AG169" s="20"/>
      <c r="AH169" s="232"/>
    </row>
    <row r="170" spans="1:34" s="16" customFormat="1">
      <c r="A170" s="17"/>
      <c r="B170" s="17"/>
      <c r="C170" s="17"/>
      <c r="D170" s="17"/>
      <c r="E170" s="17"/>
      <c r="F170" s="302"/>
      <c r="G170" s="19"/>
      <c r="H170" s="64"/>
      <c r="I170" s="20"/>
      <c r="J170" s="68"/>
      <c r="K170" s="66"/>
      <c r="L170" s="66"/>
      <c r="M170" s="68"/>
      <c r="N170" s="68"/>
      <c r="O170" s="66"/>
      <c r="P170" s="66"/>
      <c r="Q170" s="66"/>
      <c r="R170" s="66"/>
      <c r="S170" s="68"/>
      <c r="T170" s="66"/>
      <c r="U170" s="66"/>
      <c r="V170" s="313"/>
      <c r="W170" s="314"/>
      <c r="X170" s="314"/>
      <c r="Y170" s="68"/>
      <c r="Z170" s="20"/>
      <c r="AA170" s="20"/>
      <c r="AB170" s="20"/>
      <c r="AC170" s="20"/>
      <c r="AD170" s="20"/>
      <c r="AE170" s="68"/>
      <c r="AF170" s="68"/>
      <c r="AG170" s="20"/>
      <c r="AH170" s="232"/>
    </row>
    <row r="171" spans="1:34" s="16" customFormat="1">
      <c r="A171" s="17"/>
      <c r="B171" s="17"/>
      <c r="C171" s="17"/>
      <c r="D171" s="17"/>
      <c r="E171" s="17"/>
      <c r="F171" s="302"/>
      <c r="G171" s="19"/>
      <c r="H171" s="64"/>
      <c r="I171" s="20"/>
      <c r="J171" s="68"/>
      <c r="K171" s="66"/>
      <c r="L171" s="66"/>
      <c r="M171" s="68"/>
      <c r="N171" s="68"/>
      <c r="O171" s="66"/>
      <c r="P171" s="66"/>
      <c r="Q171" s="66"/>
      <c r="R171" s="66"/>
      <c r="S171" s="68"/>
      <c r="T171" s="66"/>
      <c r="U171" s="66"/>
      <c r="V171" s="313"/>
      <c r="W171" s="314"/>
      <c r="X171" s="314"/>
      <c r="Y171" s="68"/>
      <c r="Z171" s="20"/>
      <c r="AA171" s="20"/>
      <c r="AB171" s="20"/>
      <c r="AC171" s="20"/>
      <c r="AD171" s="20"/>
      <c r="AE171" s="68"/>
      <c r="AF171" s="68"/>
      <c r="AG171" s="20"/>
      <c r="AH171" s="232"/>
    </row>
    <row r="172" spans="1:34" s="16" customFormat="1">
      <c r="A172" s="17"/>
      <c r="B172" s="17"/>
      <c r="C172" s="17"/>
      <c r="D172" s="17"/>
      <c r="E172" s="17"/>
      <c r="F172" s="302"/>
      <c r="G172" s="19"/>
      <c r="H172" s="64"/>
      <c r="I172" s="20"/>
      <c r="J172" s="68"/>
      <c r="K172" s="66"/>
      <c r="L172" s="66"/>
      <c r="M172" s="68"/>
      <c r="N172" s="68"/>
      <c r="O172" s="66"/>
      <c r="P172" s="66"/>
      <c r="Q172" s="66"/>
      <c r="R172" s="66"/>
      <c r="S172" s="68"/>
      <c r="T172" s="66"/>
      <c r="U172" s="66"/>
      <c r="V172" s="313"/>
      <c r="W172" s="314"/>
      <c r="X172" s="314"/>
      <c r="Y172" s="68"/>
      <c r="Z172" s="20"/>
      <c r="AA172" s="20"/>
      <c r="AB172" s="20"/>
      <c r="AC172" s="20"/>
      <c r="AD172" s="20"/>
      <c r="AE172" s="68"/>
      <c r="AF172" s="68"/>
      <c r="AG172" s="20"/>
      <c r="AH172" s="232"/>
    </row>
    <row r="173" spans="1:34" s="16" customFormat="1">
      <c r="A173" s="17"/>
      <c r="B173" s="17"/>
      <c r="C173" s="17"/>
      <c r="D173" s="17"/>
      <c r="E173" s="17"/>
      <c r="F173" s="302"/>
      <c r="G173" s="19"/>
      <c r="H173" s="64"/>
      <c r="I173" s="20"/>
      <c r="J173" s="68"/>
      <c r="K173" s="66"/>
      <c r="L173" s="66"/>
      <c r="M173" s="68"/>
      <c r="N173" s="68"/>
      <c r="O173" s="66"/>
      <c r="P173" s="66"/>
      <c r="Q173" s="66"/>
      <c r="R173" s="66"/>
      <c r="S173" s="68"/>
      <c r="T173" s="66"/>
      <c r="U173" s="66"/>
      <c r="V173" s="313"/>
      <c r="W173" s="314"/>
      <c r="X173" s="314"/>
      <c r="Y173" s="68"/>
      <c r="Z173" s="20"/>
      <c r="AA173" s="20"/>
      <c r="AB173" s="20"/>
      <c r="AC173" s="20"/>
      <c r="AD173" s="20"/>
      <c r="AE173" s="68"/>
      <c r="AF173" s="68"/>
      <c r="AG173" s="20"/>
      <c r="AH173" s="232"/>
    </row>
    <row r="174" spans="1:34" s="16" customFormat="1">
      <c r="A174" s="17"/>
      <c r="B174" s="17"/>
      <c r="C174" s="17"/>
      <c r="D174" s="17"/>
      <c r="E174" s="17"/>
      <c r="F174" s="302"/>
      <c r="G174" s="19"/>
      <c r="H174" s="64"/>
      <c r="I174" s="20"/>
      <c r="J174" s="68"/>
      <c r="K174" s="66"/>
      <c r="L174" s="66"/>
      <c r="M174" s="68"/>
      <c r="N174" s="68"/>
      <c r="O174" s="66"/>
      <c r="P174" s="66"/>
      <c r="Q174" s="66"/>
      <c r="R174" s="66"/>
      <c r="S174" s="68"/>
      <c r="T174" s="66"/>
      <c r="U174" s="66"/>
      <c r="V174" s="313"/>
      <c r="W174" s="314"/>
      <c r="X174" s="314"/>
      <c r="Y174" s="68"/>
      <c r="Z174" s="20"/>
      <c r="AA174" s="20"/>
      <c r="AB174" s="20"/>
      <c r="AC174" s="20"/>
      <c r="AD174" s="20"/>
      <c r="AE174" s="68"/>
      <c r="AF174" s="68"/>
      <c r="AG174" s="20"/>
      <c r="AH174" s="232"/>
    </row>
    <row r="175" spans="1:34" s="16" customFormat="1">
      <c r="A175" s="17"/>
      <c r="B175" s="17"/>
      <c r="C175" s="17"/>
      <c r="D175" s="17"/>
      <c r="E175" s="17"/>
      <c r="F175" s="302"/>
      <c r="G175" s="19"/>
      <c r="H175" s="64"/>
      <c r="I175" s="20"/>
      <c r="J175" s="68"/>
      <c r="K175" s="66"/>
      <c r="L175" s="66"/>
      <c r="M175" s="68"/>
      <c r="N175" s="68"/>
      <c r="O175" s="66"/>
      <c r="P175" s="66"/>
      <c r="Q175" s="66"/>
      <c r="R175" s="66"/>
      <c r="S175" s="68"/>
      <c r="T175" s="66"/>
      <c r="U175" s="66"/>
      <c r="V175" s="313"/>
      <c r="W175" s="314"/>
      <c r="X175" s="314"/>
      <c r="Y175" s="68"/>
      <c r="Z175" s="20"/>
      <c r="AA175" s="20"/>
      <c r="AB175" s="20"/>
      <c r="AC175" s="20"/>
      <c r="AD175" s="20"/>
      <c r="AE175" s="68"/>
      <c r="AF175" s="68"/>
      <c r="AG175" s="20"/>
      <c r="AH175" s="232"/>
    </row>
    <row r="176" spans="1:34" s="16" customFormat="1">
      <c r="A176" s="17"/>
      <c r="B176" s="17"/>
      <c r="C176" s="17"/>
      <c r="D176" s="17"/>
      <c r="E176" s="17"/>
      <c r="F176" s="302"/>
      <c r="G176" s="19"/>
      <c r="H176" s="64"/>
      <c r="I176" s="20"/>
      <c r="J176" s="68"/>
      <c r="K176" s="66"/>
      <c r="L176" s="66"/>
      <c r="M176" s="68"/>
      <c r="N176" s="68"/>
      <c r="O176" s="66"/>
      <c r="P176" s="66"/>
      <c r="Q176" s="66"/>
      <c r="R176" s="66"/>
      <c r="S176" s="68"/>
      <c r="T176" s="66"/>
      <c r="U176" s="66"/>
      <c r="V176" s="313"/>
      <c r="W176" s="314"/>
      <c r="X176" s="314"/>
      <c r="Y176" s="68"/>
      <c r="Z176" s="20"/>
      <c r="AA176" s="20"/>
      <c r="AB176" s="20"/>
      <c r="AC176" s="20"/>
      <c r="AD176" s="20"/>
      <c r="AE176" s="68"/>
      <c r="AF176" s="68"/>
      <c r="AG176" s="20"/>
      <c r="AH176" s="232"/>
    </row>
    <row r="177" spans="1:34" s="16" customFormat="1">
      <c r="A177" s="17"/>
      <c r="B177" s="17"/>
      <c r="C177" s="17"/>
      <c r="D177" s="17"/>
      <c r="E177" s="17"/>
      <c r="F177" s="302"/>
      <c r="G177" s="19"/>
      <c r="H177" s="64"/>
      <c r="I177" s="20"/>
      <c r="J177" s="68"/>
      <c r="K177" s="66"/>
      <c r="L177" s="66"/>
      <c r="M177" s="68"/>
      <c r="N177" s="68"/>
      <c r="O177" s="66"/>
      <c r="P177" s="66"/>
      <c r="Q177" s="66"/>
      <c r="R177" s="66"/>
      <c r="S177" s="68"/>
      <c r="T177" s="66"/>
      <c r="U177" s="66"/>
      <c r="V177" s="313"/>
      <c r="W177" s="314"/>
      <c r="X177" s="314"/>
      <c r="Y177" s="68"/>
      <c r="Z177" s="20"/>
      <c r="AA177" s="20"/>
      <c r="AB177" s="20"/>
      <c r="AC177" s="20"/>
      <c r="AD177" s="20"/>
      <c r="AE177" s="68"/>
      <c r="AF177" s="68"/>
      <c r="AG177" s="20"/>
      <c r="AH177" s="232"/>
    </row>
    <row r="178" spans="1:34" s="16" customFormat="1">
      <c r="A178" s="17"/>
      <c r="B178" s="17"/>
      <c r="C178" s="17"/>
      <c r="D178" s="17"/>
      <c r="E178" s="17"/>
      <c r="F178" s="302"/>
      <c r="G178" s="19"/>
      <c r="H178" s="64"/>
      <c r="I178" s="20"/>
      <c r="J178" s="68"/>
      <c r="K178" s="66"/>
      <c r="L178" s="66"/>
      <c r="M178" s="68"/>
      <c r="N178" s="68"/>
      <c r="O178" s="66"/>
      <c r="P178" s="66"/>
      <c r="Q178" s="66"/>
      <c r="R178" s="66"/>
      <c r="S178" s="68"/>
      <c r="T178" s="66"/>
      <c r="U178" s="66"/>
      <c r="V178" s="313"/>
      <c r="W178" s="314"/>
      <c r="X178" s="314"/>
      <c r="Y178" s="68"/>
      <c r="Z178" s="20"/>
      <c r="AA178" s="20"/>
      <c r="AB178" s="20"/>
      <c r="AC178" s="20"/>
      <c r="AD178" s="20"/>
      <c r="AE178" s="68"/>
      <c r="AF178" s="68"/>
      <c r="AG178" s="20"/>
      <c r="AH178" s="232"/>
    </row>
    <row r="179" spans="1:34" s="16" customFormat="1">
      <c r="A179" s="17"/>
      <c r="B179" s="17"/>
      <c r="C179" s="17"/>
      <c r="D179" s="17"/>
      <c r="E179" s="17"/>
      <c r="F179" s="302"/>
      <c r="G179" s="19"/>
      <c r="H179" s="64"/>
      <c r="I179" s="20"/>
      <c r="J179" s="68"/>
      <c r="K179" s="66"/>
      <c r="L179" s="66"/>
      <c r="M179" s="68"/>
      <c r="N179" s="68"/>
      <c r="O179" s="66"/>
      <c r="P179" s="66"/>
      <c r="Q179" s="66"/>
      <c r="R179" s="66"/>
      <c r="S179" s="68"/>
      <c r="T179" s="66"/>
      <c r="U179" s="66"/>
      <c r="V179" s="313"/>
      <c r="W179" s="314"/>
      <c r="X179" s="314"/>
      <c r="Y179" s="68"/>
      <c r="Z179" s="20"/>
      <c r="AA179" s="20"/>
      <c r="AB179" s="20"/>
      <c r="AC179" s="20"/>
      <c r="AD179" s="20"/>
      <c r="AE179" s="68"/>
      <c r="AF179" s="68"/>
      <c r="AG179" s="20"/>
      <c r="AH179" s="232"/>
    </row>
    <row r="180" spans="1:34" s="16" customFormat="1">
      <c r="A180" s="17"/>
      <c r="B180" s="17"/>
      <c r="C180" s="17"/>
      <c r="D180" s="17"/>
      <c r="E180" s="17"/>
      <c r="F180" s="302"/>
      <c r="G180" s="19"/>
      <c r="H180" s="64"/>
      <c r="I180" s="20"/>
      <c r="J180" s="68"/>
      <c r="K180" s="66"/>
      <c r="L180" s="66"/>
      <c r="M180" s="68"/>
      <c r="N180" s="68"/>
      <c r="O180" s="66"/>
      <c r="P180" s="66"/>
      <c r="Q180" s="66"/>
      <c r="R180" s="66"/>
      <c r="S180" s="68"/>
      <c r="T180" s="66"/>
      <c r="U180" s="66"/>
      <c r="V180" s="313"/>
      <c r="W180" s="314"/>
      <c r="X180" s="314"/>
      <c r="Y180" s="68"/>
      <c r="Z180" s="20"/>
      <c r="AA180" s="20"/>
      <c r="AB180" s="20"/>
      <c r="AC180" s="20"/>
      <c r="AD180" s="20"/>
      <c r="AE180" s="68"/>
      <c r="AF180" s="68"/>
      <c r="AG180" s="20"/>
      <c r="AH180" s="232"/>
    </row>
    <row r="181" spans="1:34" s="16" customFormat="1">
      <c r="A181" s="17"/>
      <c r="B181" s="17"/>
      <c r="C181" s="17"/>
      <c r="D181" s="17"/>
      <c r="E181" s="17"/>
      <c r="F181" s="302"/>
      <c r="G181" s="19"/>
      <c r="H181" s="64"/>
      <c r="I181" s="20"/>
      <c r="J181" s="68"/>
      <c r="K181" s="66"/>
      <c r="L181" s="66"/>
      <c r="M181" s="68"/>
      <c r="N181" s="68"/>
      <c r="O181" s="66"/>
      <c r="P181" s="66"/>
      <c r="Q181" s="66"/>
      <c r="R181" s="66"/>
      <c r="S181" s="68"/>
      <c r="T181" s="66"/>
      <c r="U181" s="66"/>
      <c r="V181" s="313"/>
      <c r="W181" s="314"/>
      <c r="X181" s="314"/>
      <c r="Y181" s="68"/>
      <c r="Z181" s="20"/>
      <c r="AA181" s="20"/>
      <c r="AB181" s="20"/>
      <c r="AC181" s="20"/>
      <c r="AD181" s="20"/>
      <c r="AE181" s="68"/>
      <c r="AF181" s="68"/>
      <c r="AG181" s="20"/>
      <c r="AH181" s="232"/>
    </row>
    <row r="182" spans="1:34" s="16" customFormat="1">
      <c r="A182" s="17"/>
      <c r="B182" s="17"/>
      <c r="C182" s="17"/>
      <c r="D182" s="17"/>
      <c r="E182" s="17"/>
      <c r="F182" s="302"/>
      <c r="G182" s="19"/>
      <c r="H182" s="64"/>
      <c r="I182" s="20"/>
      <c r="J182" s="68"/>
      <c r="K182" s="66"/>
      <c r="L182" s="66"/>
      <c r="M182" s="68"/>
      <c r="N182" s="68"/>
      <c r="O182" s="66"/>
      <c r="P182" s="66"/>
      <c r="Q182" s="66"/>
      <c r="R182" s="66"/>
      <c r="S182" s="68"/>
      <c r="T182" s="66"/>
      <c r="U182" s="66"/>
      <c r="V182" s="313"/>
      <c r="W182" s="314"/>
      <c r="X182" s="314"/>
      <c r="Y182" s="68"/>
      <c r="Z182" s="20"/>
      <c r="AA182" s="20"/>
      <c r="AB182" s="20"/>
      <c r="AC182" s="20"/>
      <c r="AD182" s="20"/>
      <c r="AE182" s="68"/>
      <c r="AF182" s="68"/>
      <c r="AG182" s="20"/>
      <c r="AH182" s="232"/>
    </row>
    <row r="183" spans="1:34" s="16" customFormat="1">
      <c r="A183" s="17"/>
      <c r="B183" s="17"/>
      <c r="C183" s="17"/>
      <c r="D183" s="17"/>
      <c r="E183" s="17"/>
      <c r="F183" s="302"/>
      <c r="G183" s="19"/>
      <c r="H183" s="64"/>
      <c r="I183" s="20"/>
      <c r="J183" s="68"/>
      <c r="K183" s="66"/>
      <c r="L183" s="66"/>
      <c r="M183" s="68"/>
      <c r="N183" s="68"/>
      <c r="O183" s="66"/>
      <c r="P183" s="66"/>
      <c r="Q183" s="66"/>
      <c r="R183" s="66"/>
      <c r="S183" s="68"/>
      <c r="T183" s="66"/>
      <c r="U183" s="66"/>
      <c r="V183" s="313"/>
      <c r="W183" s="314"/>
      <c r="X183" s="314"/>
      <c r="Y183" s="68"/>
      <c r="Z183" s="20"/>
      <c r="AA183" s="20"/>
      <c r="AB183" s="20"/>
      <c r="AC183" s="20"/>
      <c r="AD183" s="20"/>
      <c r="AE183" s="68"/>
      <c r="AF183" s="68"/>
      <c r="AG183" s="20"/>
      <c r="AH183" s="232"/>
    </row>
    <row r="184" spans="1:34" s="16" customFormat="1">
      <c r="A184" s="17"/>
      <c r="B184" s="17"/>
      <c r="C184" s="17"/>
      <c r="D184" s="17"/>
      <c r="E184" s="17"/>
      <c r="F184" s="302"/>
      <c r="G184" s="19"/>
      <c r="H184" s="64"/>
      <c r="I184" s="20"/>
      <c r="J184" s="68"/>
      <c r="K184" s="66"/>
      <c r="L184" s="66"/>
      <c r="M184" s="68"/>
      <c r="N184" s="68"/>
      <c r="O184" s="66"/>
      <c r="P184" s="66"/>
      <c r="Q184" s="66"/>
      <c r="R184" s="66"/>
      <c r="S184" s="68"/>
      <c r="T184" s="66"/>
      <c r="U184" s="66"/>
      <c r="V184" s="313"/>
      <c r="W184" s="314"/>
      <c r="X184" s="314"/>
      <c r="Y184" s="68"/>
      <c r="Z184" s="20"/>
      <c r="AA184" s="20"/>
      <c r="AB184" s="20"/>
      <c r="AC184" s="20"/>
      <c r="AD184" s="20"/>
      <c r="AE184" s="68"/>
      <c r="AF184" s="68"/>
      <c r="AG184" s="20"/>
      <c r="AH184" s="232"/>
    </row>
    <row r="185" spans="1:34" s="16" customFormat="1">
      <c r="A185" s="17"/>
      <c r="B185" s="17"/>
      <c r="C185" s="17"/>
      <c r="D185" s="17"/>
      <c r="E185" s="17"/>
      <c r="F185" s="302"/>
      <c r="G185" s="19"/>
      <c r="H185" s="64"/>
      <c r="I185" s="20"/>
      <c r="J185" s="68"/>
      <c r="K185" s="66"/>
      <c r="L185" s="66"/>
      <c r="M185" s="68"/>
      <c r="N185" s="68"/>
      <c r="O185" s="66"/>
      <c r="P185" s="66"/>
      <c r="Q185" s="66"/>
      <c r="R185" s="66"/>
      <c r="S185" s="68"/>
      <c r="T185" s="66"/>
      <c r="U185" s="66"/>
      <c r="V185" s="313"/>
      <c r="W185" s="314"/>
      <c r="X185" s="314"/>
      <c r="Y185" s="68"/>
      <c r="Z185" s="20"/>
      <c r="AA185" s="20"/>
      <c r="AB185" s="20"/>
      <c r="AC185" s="20"/>
      <c r="AD185" s="20"/>
      <c r="AE185" s="68"/>
      <c r="AF185" s="68"/>
      <c r="AG185" s="20"/>
      <c r="AH185" s="232"/>
    </row>
    <row r="186" spans="1:34" s="16" customFormat="1">
      <c r="A186" s="17"/>
      <c r="B186" s="17"/>
      <c r="C186" s="17"/>
      <c r="D186" s="17"/>
      <c r="E186" s="17"/>
      <c r="F186" s="302"/>
      <c r="G186" s="19"/>
      <c r="H186" s="64"/>
      <c r="I186" s="20"/>
      <c r="J186" s="68"/>
      <c r="K186" s="66"/>
      <c r="L186" s="66"/>
      <c r="M186" s="68"/>
      <c r="N186" s="68"/>
      <c r="O186" s="66"/>
      <c r="P186" s="66"/>
      <c r="Q186" s="66"/>
      <c r="R186" s="66"/>
      <c r="S186" s="68"/>
      <c r="T186" s="66"/>
      <c r="U186" s="66"/>
      <c r="V186" s="313"/>
      <c r="W186" s="314"/>
      <c r="X186" s="314"/>
      <c r="Y186" s="68"/>
      <c r="Z186" s="20"/>
      <c r="AA186" s="20"/>
      <c r="AB186" s="20"/>
      <c r="AC186" s="20"/>
      <c r="AD186" s="20"/>
      <c r="AE186" s="68"/>
      <c r="AF186" s="68"/>
      <c r="AG186" s="20"/>
      <c r="AH186" s="232"/>
    </row>
    <row r="187" spans="1:34" s="16" customFormat="1">
      <c r="A187" s="17"/>
      <c r="B187" s="17"/>
      <c r="C187" s="17"/>
      <c r="D187" s="17"/>
      <c r="E187" s="17"/>
      <c r="F187" s="302"/>
      <c r="G187" s="19"/>
      <c r="H187" s="64"/>
      <c r="I187" s="20"/>
      <c r="J187" s="68"/>
      <c r="K187" s="66"/>
      <c r="L187" s="66"/>
      <c r="M187" s="68"/>
      <c r="N187" s="68"/>
      <c r="O187" s="66"/>
      <c r="P187" s="66"/>
      <c r="Q187" s="66"/>
      <c r="R187" s="66"/>
      <c r="S187" s="68"/>
      <c r="T187" s="66"/>
      <c r="U187" s="66"/>
      <c r="V187" s="313"/>
      <c r="W187" s="314"/>
      <c r="X187" s="314"/>
      <c r="Y187" s="68"/>
      <c r="Z187" s="20"/>
      <c r="AA187" s="20"/>
      <c r="AB187" s="20"/>
      <c r="AC187" s="20"/>
      <c r="AD187" s="20"/>
      <c r="AE187" s="68"/>
      <c r="AF187" s="68"/>
      <c r="AG187" s="20"/>
      <c r="AH187" s="232"/>
    </row>
    <row r="188" spans="1:34" s="16" customFormat="1">
      <c r="A188" s="17"/>
      <c r="B188" s="17"/>
      <c r="C188" s="17"/>
      <c r="D188" s="17"/>
      <c r="E188" s="17"/>
      <c r="F188" s="302"/>
      <c r="G188" s="19"/>
      <c r="H188" s="64"/>
      <c r="I188" s="20"/>
      <c r="J188" s="68"/>
      <c r="K188" s="66"/>
      <c r="L188" s="66"/>
      <c r="M188" s="68"/>
      <c r="N188" s="68"/>
      <c r="O188" s="66"/>
      <c r="P188" s="66"/>
      <c r="Q188" s="66"/>
      <c r="R188" s="66"/>
      <c r="S188" s="68"/>
      <c r="T188" s="66"/>
      <c r="U188" s="66"/>
      <c r="V188" s="313"/>
      <c r="W188" s="314"/>
      <c r="X188" s="314"/>
      <c r="Y188" s="68"/>
      <c r="Z188" s="20"/>
      <c r="AA188" s="20"/>
      <c r="AB188" s="20"/>
      <c r="AC188" s="20"/>
      <c r="AD188" s="20"/>
      <c r="AE188" s="68"/>
      <c r="AF188" s="68"/>
      <c r="AG188" s="20"/>
      <c r="AH188" s="232"/>
    </row>
    <row r="189" spans="1:34" s="16" customFormat="1">
      <c r="A189" s="17"/>
      <c r="B189" s="17"/>
      <c r="C189" s="17"/>
      <c r="D189" s="17"/>
      <c r="E189" s="17"/>
      <c r="F189" s="302"/>
      <c r="G189" s="19"/>
      <c r="H189" s="64"/>
      <c r="I189" s="20"/>
      <c r="J189" s="68"/>
      <c r="K189" s="66"/>
      <c r="L189" s="66"/>
      <c r="M189" s="68"/>
      <c r="N189" s="68"/>
      <c r="O189" s="66"/>
      <c r="P189" s="66"/>
      <c r="Q189" s="66"/>
      <c r="R189" s="66"/>
      <c r="S189" s="68"/>
      <c r="T189" s="66"/>
      <c r="U189" s="66"/>
      <c r="V189" s="313"/>
      <c r="W189" s="314"/>
      <c r="X189" s="314"/>
      <c r="Y189" s="68"/>
      <c r="Z189" s="20"/>
      <c r="AA189" s="20"/>
      <c r="AB189" s="20"/>
      <c r="AC189" s="20"/>
      <c r="AD189" s="20"/>
      <c r="AE189" s="68"/>
      <c r="AF189" s="68"/>
      <c r="AG189" s="20"/>
      <c r="AH189" s="232"/>
    </row>
    <row r="190" spans="1:34" s="16" customFormat="1">
      <c r="A190" s="17"/>
      <c r="B190" s="17"/>
      <c r="C190" s="17"/>
      <c r="D190" s="17"/>
      <c r="E190" s="17"/>
      <c r="F190" s="302"/>
      <c r="G190" s="19"/>
      <c r="H190" s="64"/>
      <c r="I190" s="20"/>
      <c r="J190" s="68"/>
      <c r="K190" s="66"/>
      <c r="L190" s="66"/>
      <c r="M190" s="68"/>
      <c r="N190" s="68"/>
      <c r="O190" s="66"/>
      <c r="P190" s="66"/>
      <c r="Q190" s="66"/>
      <c r="R190" s="66"/>
      <c r="S190" s="68"/>
      <c r="T190" s="66"/>
      <c r="U190" s="66"/>
      <c r="V190" s="313"/>
      <c r="W190" s="314"/>
      <c r="X190" s="314"/>
      <c r="Y190" s="68"/>
      <c r="Z190" s="20"/>
      <c r="AA190" s="20"/>
      <c r="AB190" s="20"/>
      <c r="AC190" s="20"/>
      <c r="AD190" s="20"/>
      <c r="AE190" s="68"/>
      <c r="AF190" s="68"/>
      <c r="AG190" s="20"/>
      <c r="AH190" s="232"/>
    </row>
    <row r="191" spans="1:34" s="16" customFormat="1">
      <c r="A191" s="17"/>
      <c r="B191" s="17"/>
      <c r="C191" s="17"/>
      <c r="D191" s="17"/>
      <c r="E191" s="17"/>
      <c r="F191" s="302"/>
      <c r="G191" s="19"/>
      <c r="H191" s="64"/>
      <c r="I191" s="20"/>
      <c r="J191" s="68"/>
      <c r="K191" s="66"/>
      <c r="L191" s="66"/>
      <c r="M191" s="68"/>
      <c r="N191" s="68"/>
      <c r="O191" s="66"/>
      <c r="P191" s="66"/>
      <c r="Q191" s="66"/>
      <c r="R191" s="66"/>
      <c r="S191" s="68"/>
      <c r="T191" s="66"/>
      <c r="U191" s="66"/>
      <c r="V191" s="313"/>
      <c r="W191" s="314"/>
      <c r="X191" s="314"/>
      <c r="Y191" s="68"/>
      <c r="Z191" s="20"/>
      <c r="AA191" s="20"/>
      <c r="AB191" s="20"/>
      <c r="AC191" s="20"/>
      <c r="AD191" s="20"/>
      <c r="AE191" s="68"/>
      <c r="AF191" s="68"/>
      <c r="AG191" s="20"/>
      <c r="AH191" s="232"/>
    </row>
    <row r="192" spans="1:34" s="16" customFormat="1">
      <c r="A192" s="17"/>
      <c r="B192" s="17"/>
      <c r="C192" s="17"/>
      <c r="D192" s="17"/>
      <c r="E192" s="17"/>
      <c r="F192" s="302"/>
      <c r="G192" s="19"/>
      <c r="H192" s="64"/>
      <c r="I192" s="20"/>
      <c r="J192" s="68"/>
      <c r="K192" s="66"/>
      <c r="L192" s="66"/>
      <c r="M192" s="68"/>
      <c r="N192" s="68"/>
      <c r="O192" s="66"/>
      <c r="P192" s="66"/>
      <c r="Q192" s="66"/>
      <c r="R192" s="66"/>
      <c r="S192" s="68"/>
      <c r="T192" s="66"/>
      <c r="U192" s="66"/>
      <c r="V192" s="313"/>
      <c r="W192" s="314"/>
      <c r="X192" s="314"/>
      <c r="Y192" s="68"/>
      <c r="Z192" s="20"/>
      <c r="AA192" s="20"/>
      <c r="AB192" s="20"/>
      <c r="AC192" s="20"/>
      <c r="AD192" s="20"/>
      <c r="AE192" s="68"/>
      <c r="AF192" s="68"/>
      <c r="AG192" s="20"/>
      <c r="AH192" s="232"/>
    </row>
    <row r="193" spans="1:34" s="16" customFormat="1">
      <c r="A193" s="17"/>
      <c r="B193" s="17"/>
      <c r="C193" s="17"/>
      <c r="D193" s="17"/>
      <c r="E193" s="17"/>
      <c r="F193" s="302"/>
      <c r="G193" s="19"/>
      <c r="H193" s="64"/>
      <c r="I193" s="20"/>
      <c r="J193" s="68"/>
      <c r="K193" s="66"/>
      <c r="L193" s="66"/>
      <c r="M193" s="68"/>
      <c r="N193" s="68"/>
      <c r="O193" s="66"/>
      <c r="P193" s="66"/>
      <c r="Q193" s="66"/>
      <c r="R193" s="66"/>
      <c r="S193" s="68"/>
      <c r="T193" s="66"/>
      <c r="U193" s="66"/>
      <c r="V193" s="313"/>
      <c r="W193" s="314"/>
      <c r="X193" s="314"/>
      <c r="Y193" s="68"/>
      <c r="Z193" s="20"/>
      <c r="AA193" s="20"/>
      <c r="AB193" s="20"/>
      <c r="AC193" s="20"/>
      <c r="AD193" s="20"/>
      <c r="AE193" s="68"/>
      <c r="AF193" s="68"/>
      <c r="AG193" s="20"/>
      <c r="AH193" s="232"/>
    </row>
    <row r="194" spans="1:34" s="16" customFormat="1">
      <c r="A194" s="17"/>
      <c r="B194" s="17"/>
      <c r="C194" s="17"/>
      <c r="D194" s="17"/>
      <c r="E194" s="17"/>
      <c r="F194" s="302"/>
      <c r="G194" s="19"/>
      <c r="H194" s="64"/>
      <c r="I194" s="20"/>
      <c r="J194" s="68"/>
      <c r="K194" s="66"/>
      <c r="L194" s="66"/>
      <c r="M194" s="68"/>
      <c r="N194" s="68"/>
      <c r="O194" s="66"/>
      <c r="P194" s="66"/>
      <c r="Q194" s="66"/>
      <c r="R194" s="66"/>
      <c r="S194" s="68"/>
      <c r="T194" s="66"/>
      <c r="U194" s="66"/>
      <c r="V194" s="313"/>
      <c r="W194" s="314"/>
      <c r="X194" s="314"/>
      <c r="Y194" s="68"/>
      <c r="Z194" s="20"/>
      <c r="AA194" s="20"/>
      <c r="AB194" s="20"/>
      <c r="AC194" s="20"/>
      <c r="AD194" s="20"/>
      <c r="AE194" s="68"/>
      <c r="AF194" s="68"/>
      <c r="AG194" s="20"/>
      <c r="AH194" s="232"/>
    </row>
    <row r="195" spans="1:34" s="16" customFormat="1">
      <c r="A195" s="17"/>
      <c r="B195" s="17"/>
      <c r="C195" s="17"/>
      <c r="D195" s="17"/>
      <c r="E195" s="17"/>
      <c r="F195" s="302"/>
      <c r="G195" s="19"/>
      <c r="H195" s="64"/>
      <c r="I195" s="20"/>
      <c r="J195" s="68"/>
      <c r="K195" s="66"/>
      <c r="L195" s="66"/>
      <c r="M195" s="68"/>
      <c r="N195" s="68"/>
      <c r="O195" s="66"/>
      <c r="P195" s="66"/>
      <c r="Q195" s="66"/>
      <c r="R195" s="66"/>
      <c r="S195" s="68"/>
      <c r="T195" s="66"/>
      <c r="U195" s="66"/>
      <c r="V195" s="313"/>
      <c r="W195" s="314"/>
      <c r="X195" s="314"/>
      <c r="Y195" s="68"/>
      <c r="Z195" s="20"/>
      <c r="AA195" s="20"/>
      <c r="AB195" s="20"/>
      <c r="AC195" s="20"/>
      <c r="AD195" s="20"/>
      <c r="AE195" s="68"/>
      <c r="AF195" s="68"/>
      <c r="AG195" s="20"/>
      <c r="AH195" s="232"/>
    </row>
    <row r="196" spans="1:34" s="16" customFormat="1">
      <c r="A196" s="17"/>
      <c r="B196" s="17"/>
      <c r="C196" s="17"/>
      <c r="D196" s="17"/>
      <c r="E196" s="17"/>
      <c r="F196" s="302"/>
      <c r="G196" s="19"/>
      <c r="H196" s="64"/>
      <c r="I196" s="20"/>
      <c r="J196" s="68"/>
      <c r="K196" s="66"/>
      <c r="L196" s="66"/>
      <c r="M196" s="68"/>
      <c r="N196" s="68"/>
      <c r="O196" s="66"/>
      <c r="P196" s="66"/>
      <c r="Q196" s="66"/>
      <c r="R196" s="66"/>
      <c r="S196" s="68"/>
      <c r="T196" s="66"/>
      <c r="U196" s="66"/>
      <c r="V196" s="313"/>
      <c r="W196" s="314"/>
      <c r="X196" s="314"/>
      <c r="Y196" s="68"/>
      <c r="Z196" s="20"/>
      <c r="AA196" s="20"/>
      <c r="AB196" s="20"/>
      <c r="AC196" s="20"/>
      <c r="AD196" s="20"/>
      <c r="AE196" s="68"/>
      <c r="AF196" s="68"/>
      <c r="AG196" s="20"/>
      <c r="AH196" s="232"/>
    </row>
    <row r="197" spans="1:34" s="16" customFormat="1">
      <c r="A197" s="17"/>
      <c r="B197" s="17"/>
      <c r="C197" s="17"/>
      <c r="D197" s="17"/>
      <c r="E197" s="17"/>
      <c r="F197" s="302"/>
      <c r="G197" s="19"/>
      <c r="H197" s="64"/>
      <c r="I197" s="20"/>
      <c r="J197" s="68"/>
      <c r="K197" s="66"/>
      <c r="L197" s="66"/>
      <c r="M197" s="68"/>
      <c r="N197" s="68"/>
      <c r="O197" s="66"/>
      <c r="P197" s="66"/>
      <c r="Q197" s="66"/>
      <c r="R197" s="66"/>
      <c r="S197" s="68"/>
      <c r="T197" s="66"/>
      <c r="U197" s="66"/>
      <c r="V197" s="313"/>
      <c r="W197" s="314"/>
      <c r="X197" s="314"/>
      <c r="Y197" s="68"/>
      <c r="Z197" s="20"/>
      <c r="AA197" s="20"/>
      <c r="AB197" s="20"/>
      <c r="AC197" s="20"/>
      <c r="AD197" s="20"/>
      <c r="AE197" s="68"/>
      <c r="AF197" s="68"/>
      <c r="AG197" s="20"/>
      <c r="AH197" s="232"/>
    </row>
    <row r="198" spans="1:34" s="16" customFormat="1">
      <c r="A198" s="17"/>
      <c r="B198" s="17"/>
      <c r="C198" s="17"/>
      <c r="D198" s="17"/>
      <c r="E198" s="17"/>
      <c r="F198" s="302"/>
      <c r="G198" s="19"/>
      <c r="H198" s="64"/>
      <c r="I198" s="20"/>
      <c r="J198" s="68"/>
      <c r="K198" s="66"/>
      <c r="L198" s="66"/>
      <c r="M198" s="68"/>
      <c r="N198" s="68"/>
      <c r="O198" s="66"/>
      <c r="P198" s="66"/>
      <c r="Q198" s="66"/>
      <c r="R198" s="66"/>
      <c r="S198" s="68"/>
      <c r="T198" s="66"/>
      <c r="U198" s="66"/>
      <c r="V198" s="313"/>
      <c r="W198" s="314"/>
      <c r="X198" s="314"/>
      <c r="Y198" s="68"/>
      <c r="Z198" s="20"/>
      <c r="AA198" s="20"/>
      <c r="AB198" s="20"/>
      <c r="AC198" s="20"/>
      <c r="AD198" s="20"/>
      <c r="AE198" s="68"/>
      <c r="AF198" s="68"/>
      <c r="AG198" s="20"/>
      <c r="AH198" s="232"/>
    </row>
    <row r="199" spans="1:34" s="16" customFormat="1">
      <c r="A199" s="17"/>
      <c r="B199" s="17"/>
      <c r="C199" s="17"/>
      <c r="D199" s="17"/>
      <c r="E199" s="17"/>
      <c r="F199" s="302"/>
      <c r="G199" s="19"/>
      <c r="H199" s="64"/>
      <c r="I199" s="20"/>
      <c r="J199" s="68"/>
      <c r="K199" s="66"/>
      <c r="L199" s="66"/>
      <c r="M199" s="68"/>
      <c r="N199" s="68"/>
      <c r="O199" s="66"/>
      <c r="P199" s="66"/>
      <c r="Q199" s="66"/>
      <c r="R199" s="66"/>
      <c r="S199" s="68"/>
      <c r="T199" s="66"/>
      <c r="U199" s="66"/>
      <c r="V199" s="313"/>
      <c r="W199" s="314"/>
      <c r="X199" s="314"/>
      <c r="Y199" s="68"/>
      <c r="Z199" s="20"/>
      <c r="AA199" s="20"/>
      <c r="AB199" s="20"/>
      <c r="AC199" s="20"/>
      <c r="AD199" s="20"/>
      <c r="AE199" s="68"/>
      <c r="AF199" s="68"/>
      <c r="AG199" s="20"/>
      <c r="AH199" s="232"/>
    </row>
    <row r="200" spans="1:34" s="16" customFormat="1">
      <c r="A200" s="17"/>
      <c r="B200" s="17"/>
      <c r="C200" s="17"/>
      <c r="D200" s="17"/>
      <c r="E200" s="17"/>
      <c r="F200" s="302"/>
      <c r="G200" s="19"/>
      <c r="H200" s="64"/>
      <c r="I200" s="20"/>
      <c r="J200" s="68"/>
      <c r="K200" s="66"/>
      <c r="L200" s="66"/>
      <c r="M200" s="68"/>
      <c r="N200" s="68"/>
      <c r="O200" s="66"/>
      <c r="P200" s="66"/>
      <c r="Q200" s="66"/>
      <c r="R200" s="66"/>
      <c r="S200" s="68"/>
      <c r="T200" s="66"/>
      <c r="U200" s="66"/>
      <c r="V200" s="313"/>
      <c r="W200" s="314"/>
      <c r="X200" s="314"/>
      <c r="Y200" s="68"/>
      <c r="Z200" s="20"/>
      <c r="AA200" s="20"/>
      <c r="AB200" s="20"/>
      <c r="AC200" s="20"/>
      <c r="AD200" s="20"/>
      <c r="AE200" s="68"/>
      <c r="AF200" s="68"/>
      <c r="AG200" s="20"/>
      <c r="AH200" s="232"/>
    </row>
    <row r="201" spans="1:34" s="16" customFormat="1">
      <c r="A201" s="17"/>
      <c r="B201" s="17"/>
      <c r="C201" s="17"/>
      <c r="D201" s="17"/>
      <c r="E201" s="17"/>
      <c r="F201" s="302"/>
      <c r="G201" s="19"/>
      <c r="H201" s="64"/>
      <c r="I201" s="20"/>
      <c r="J201" s="68"/>
      <c r="K201" s="66"/>
      <c r="L201" s="66"/>
      <c r="M201" s="68"/>
      <c r="N201" s="68"/>
      <c r="O201" s="66"/>
      <c r="P201" s="66"/>
      <c r="Q201" s="66"/>
      <c r="R201" s="66"/>
      <c r="S201" s="68"/>
      <c r="T201" s="66"/>
      <c r="U201" s="66"/>
      <c r="V201" s="313"/>
      <c r="W201" s="314"/>
      <c r="X201" s="314"/>
      <c r="Y201" s="68"/>
      <c r="Z201" s="20"/>
      <c r="AA201" s="20"/>
      <c r="AB201" s="20"/>
      <c r="AC201" s="20"/>
      <c r="AD201" s="20"/>
      <c r="AE201" s="68"/>
      <c r="AF201" s="68"/>
      <c r="AG201" s="20"/>
      <c r="AH201" s="232"/>
    </row>
    <row r="202" spans="1:34" s="16" customFormat="1">
      <c r="A202" s="17"/>
      <c r="B202" s="17"/>
      <c r="C202" s="17"/>
      <c r="D202" s="17"/>
      <c r="E202" s="17"/>
      <c r="F202" s="302"/>
      <c r="G202" s="19"/>
      <c r="H202" s="64"/>
      <c r="I202" s="20"/>
      <c r="J202" s="68"/>
      <c r="K202" s="66"/>
      <c r="L202" s="66"/>
      <c r="M202" s="68"/>
      <c r="N202" s="68"/>
      <c r="O202" s="66"/>
      <c r="P202" s="66"/>
      <c r="Q202" s="66"/>
      <c r="R202" s="66"/>
      <c r="S202" s="68"/>
      <c r="T202" s="66"/>
      <c r="U202" s="66"/>
      <c r="V202" s="313"/>
      <c r="W202" s="314"/>
      <c r="X202" s="314"/>
      <c r="Y202" s="68"/>
      <c r="Z202" s="20"/>
      <c r="AA202" s="20"/>
      <c r="AB202" s="20"/>
      <c r="AC202" s="20"/>
      <c r="AD202" s="20"/>
      <c r="AE202" s="68"/>
      <c r="AF202" s="68"/>
      <c r="AG202" s="20"/>
      <c r="AH202" s="232"/>
    </row>
    <row r="203" spans="1:34" s="16" customFormat="1">
      <c r="A203" s="17"/>
      <c r="B203" s="17"/>
      <c r="C203" s="17"/>
      <c r="D203" s="17"/>
      <c r="E203" s="17"/>
      <c r="F203" s="302"/>
      <c r="G203" s="19"/>
      <c r="H203" s="64"/>
      <c r="I203" s="20"/>
      <c r="J203" s="68"/>
      <c r="K203" s="66"/>
      <c r="L203" s="66"/>
      <c r="M203" s="68"/>
      <c r="N203" s="68"/>
      <c r="O203" s="66"/>
      <c r="P203" s="66"/>
      <c r="Q203" s="66"/>
      <c r="R203" s="66"/>
      <c r="S203" s="68"/>
      <c r="T203" s="66"/>
      <c r="U203" s="66"/>
      <c r="V203" s="313"/>
      <c r="W203" s="314"/>
      <c r="X203" s="314"/>
      <c r="Y203" s="68"/>
      <c r="Z203" s="20"/>
      <c r="AA203" s="20"/>
      <c r="AB203" s="20"/>
      <c r="AC203" s="20"/>
      <c r="AD203" s="20"/>
      <c r="AE203" s="68"/>
      <c r="AF203" s="68"/>
      <c r="AG203" s="20"/>
      <c r="AH203" s="232"/>
    </row>
    <row r="204" spans="1:34" s="16" customFormat="1">
      <c r="A204" s="17"/>
      <c r="B204" s="17"/>
      <c r="C204" s="17"/>
      <c r="D204" s="17"/>
      <c r="E204" s="17"/>
      <c r="F204" s="302"/>
      <c r="G204" s="19"/>
      <c r="H204" s="64"/>
      <c r="I204" s="20"/>
      <c r="J204" s="68"/>
      <c r="K204" s="66"/>
      <c r="L204" s="66"/>
      <c r="M204" s="68"/>
      <c r="N204" s="68"/>
      <c r="O204" s="66"/>
      <c r="P204" s="66"/>
      <c r="Q204" s="66"/>
      <c r="R204" s="66"/>
      <c r="S204" s="68"/>
      <c r="T204" s="66"/>
      <c r="U204" s="66"/>
      <c r="V204" s="313"/>
      <c r="W204" s="314"/>
      <c r="X204" s="314"/>
      <c r="Y204" s="68"/>
      <c r="Z204" s="20"/>
      <c r="AA204" s="20"/>
      <c r="AB204" s="20"/>
      <c r="AC204" s="20"/>
      <c r="AD204" s="20"/>
      <c r="AE204" s="68"/>
      <c r="AF204" s="68"/>
      <c r="AG204" s="20"/>
      <c r="AH204" s="232"/>
    </row>
    <row r="205" spans="1:34" s="16" customFormat="1">
      <c r="A205" s="17"/>
      <c r="B205" s="17"/>
      <c r="C205" s="17"/>
      <c r="D205" s="17"/>
      <c r="E205" s="17"/>
      <c r="F205" s="302"/>
      <c r="G205" s="19"/>
      <c r="H205" s="64"/>
      <c r="I205" s="20"/>
      <c r="J205" s="68"/>
      <c r="K205" s="66"/>
      <c r="L205" s="66"/>
      <c r="M205" s="68"/>
      <c r="N205" s="68"/>
      <c r="O205" s="66"/>
      <c r="P205" s="66"/>
      <c r="Q205" s="66"/>
      <c r="R205" s="66"/>
      <c r="S205" s="68"/>
      <c r="T205" s="66"/>
      <c r="U205" s="66"/>
      <c r="V205" s="313"/>
      <c r="W205" s="314"/>
      <c r="X205" s="314"/>
      <c r="Y205" s="68"/>
      <c r="Z205" s="20"/>
      <c r="AA205" s="20"/>
      <c r="AB205" s="20"/>
      <c r="AC205" s="20"/>
      <c r="AD205" s="20"/>
      <c r="AE205" s="68"/>
      <c r="AF205" s="68"/>
      <c r="AG205" s="20"/>
      <c r="AH205" s="232"/>
    </row>
    <row r="206" spans="1:34" s="16" customFormat="1">
      <c r="A206" s="17"/>
      <c r="B206" s="17"/>
      <c r="C206" s="17"/>
      <c r="D206" s="17"/>
      <c r="E206" s="17"/>
      <c r="F206" s="302"/>
      <c r="G206" s="19"/>
      <c r="H206" s="64"/>
      <c r="I206" s="20"/>
      <c r="J206" s="68"/>
      <c r="K206" s="66"/>
      <c r="L206" s="66"/>
      <c r="M206" s="68"/>
      <c r="N206" s="68"/>
      <c r="O206" s="66"/>
      <c r="P206" s="66"/>
      <c r="Q206" s="66"/>
      <c r="R206" s="66"/>
      <c r="S206" s="68"/>
      <c r="T206" s="66"/>
      <c r="U206" s="66"/>
      <c r="V206" s="313"/>
      <c r="W206" s="314"/>
      <c r="X206" s="314"/>
      <c r="Y206" s="68"/>
      <c r="Z206" s="20"/>
      <c r="AA206" s="20"/>
      <c r="AB206" s="20"/>
      <c r="AC206" s="20"/>
      <c r="AD206" s="20"/>
      <c r="AE206" s="68"/>
      <c r="AF206" s="68"/>
      <c r="AG206" s="20"/>
      <c r="AH206" s="232"/>
    </row>
    <row r="207" spans="1:34" s="16" customFormat="1">
      <c r="A207" s="17"/>
      <c r="B207" s="17"/>
      <c r="C207" s="17"/>
      <c r="D207" s="17"/>
      <c r="E207" s="17"/>
      <c r="F207" s="302"/>
      <c r="G207" s="19"/>
      <c r="H207" s="64"/>
      <c r="I207" s="20"/>
      <c r="J207" s="68"/>
      <c r="K207" s="66"/>
      <c r="L207" s="66"/>
      <c r="M207" s="68"/>
      <c r="N207" s="68"/>
      <c r="O207" s="66"/>
      <c r="P207" s="66"/>
      <c r="Q207" s="66"/>
      <c r="R207" s="66"/>
      <c r="S207" s="68"/>
      <c r="T207" s="66"/>
      <c r="U207" s="66"/>
      <c r="V207" s="313"/>
      <c r="W207" s="314"/>
      <c r="X207" s="314"/>
      <c r="Y207" s="68"/>
      <c r="Z207" s="20"/>
      <c r="AA207" s="20"/>
      <c r="AB207" s="20"/>
      <c r="AC207" s="20"/>
      <c r="AD207" s="20"/>
      <c r="AE207" s="68"/>
      <c r="AF207" s="68"/>
      <c r="AG207" s="20"/>
      <c r="AH207" s="232"/>
    </row>
    <row r="208" spans="1:34" s="16" customFormat="1">
      <c r="A208" s="17"/>
      <c r="B208" s="17"/>
      <c r="C208" s="17"/>
      <c r="D208" s="17"/>
      <c r="E208" s="17"/>
      <c r="F208" s="302"/>
      <c r="G208" s="19"/>
      <c r="H208" s="64"/>
      <c r="I208" s="20"/>
      <c r="J208" s="68"/>
      <c r="K208" s="66"/>
      <c r="L208" s="66"/>
      <c r="M208" s="68"/>
      <c r="N208" s="68"/>
      <c r="O208" s="66"/>
      <c r="P208" s="66"/>
      <c r="Q208" s="66"/>
      <c r="R208" s="66"/>
      <c r="S208" s="68"/>
      <c r="T208" s="66"/>
      <c r="U208" s="66"/>
      <c r="V208" s="313"/>
      <c r="W208" s="314"/>
      <c r="X208" s="314"/>
      <c r="Y208" s="68"/>
      <c r="Z208" s="20"/>
      <c r="AA208" s="20"/>
      <c r="AB208" s="20"/>
      <c r="AC208" s="20"/>
      <c r="AD208" s="20"/>
      <c r="AE208" s="68"/>
      <c r="AF208" s="68"/>
      <c r="AG208" s="20"/>
      <c r="AH208" s="232"/>
    </row>
    <row r="209" spans="1:34" s="16" customFormat="1">
      <c r="A209" s="17"/>
      <c r="B209" s="17"/>
      <c r="C209" s="17"/>
      <c r="D209" s="17"/>
      <c r="E209" s="17"/>
      <c r="F209" s="302"/>
      <c r="G209" s="19"/>
      <c r="H209" s="64"/>
      <c r="I209" s="20"/>
      <c r="J209" s="68"/>
      <c r="K209" s="66"/>
      <c r="L209" s="66"/>
      <c r="M209" s="68"/>
      <c r="N209" s="68"/>
      <c r="O209" s="66"/>
      <c r="P209" s="66"/>
      <c r="Q209" s="66"/>
      <c r="R209" s="66"/>
      <c r="S209" s="68"/>
      <c r="T209" s="66"/>
      <c r="U209" s="66"/>
      <c r="V209" s="313"/>
      <c r="W209" s="314"/>
      <c r="X209" s="314"/>
      <c r="Y209" s="68"/>
      <c r="Z209" s="20"/>
      <c r="AA209" s="20"/>
      <c r="AB209" s="20"/>
      <c r="AC209" s="20"/>
      <c r="AD209" s="20"/>
      <c r="AE209" s="68"/>
      <c r="AF209" s="68"/>
      <c r="AG209" s="20"/>
      <c r="AH209" s="232"/>
    </row>
    <row r="210" spans="1:34" s="16" customFormat="1">
      <c r="A210" s="17"/>
      <c r="B210" s="17"/>
      <c r="C210" s="17"/>
      <c r="D210" s="17"/>
      <c r="E210" s="17"/>
      <c r="F210" s="302"/>
      <c r="G210" s="19"/>
      <c r="H210" s="64"/>
      <c r="I210" s="20"/>
      <c r="J210" s="68"/>
      <c r="K210" s="66"/>
      <c r="L210" s="66"/>
      <c r="M210" s="68"/>
      <c r="N210" s="68"/>
      <c r="O210" s="66"/>
      <c r="P210" s="66"/>
      <c r="Q210" s="66"/>
      <c r="R210" s="66"/>
      <c r="S210" s="68"/>
      <c r="T210" s="66"/>
      <c r="U210" s="66"/>
      <c r="V210" s="313"/>
      <c r="W210" s="314"/>
      <c r="X210" s="314"/>
      <c r="Y210" s="68"/>
      <c r="Z210" s="20"/>
      <c r="AA210" s="20"/>
      <c r="AB210" s="20"/>
      <c r="AC210" s="20"/>
      <c r="AD210" s="20"/>
      <c r="AE210" s="68"/>
      <c r="AF210" s="68"/>
      <c r="AG210" s="20"/>
      <c r="AH210" s="232"/>
    </row>
    <row r="211" spans="1:34" s="16" customFormat="1">
      <c r="A211" s="17"/>
      <c r="B211" s="17"/>
      <c r="C211" s="17"/>
      <c r="D211" s="17"/>
      <c r="E211" s="17"/>
      <c r="F211" s="302"/>
      <c r="G211" s="19"/>
      <c r="H211" s="64"/>
      <c r="I211" s="20"/>
      <c r="J211" s="68"/>
      <c r="K211" s="66"/>
      <c r="L211" s="66"/>
      <c r="M211" s="68"/>
      <c r="N211" s="68"/>
      <c r="O211" s="66"/>
      <c r="P211" s="66"/>
      <c r="Q211" s="66"/>
      <c r="R211" s="66"/>
      <c r="S211" s="68"/>
      <c r="T211" s="66"/>
      <c r="U211" s="66"/>
      <c r="V211" s="313"/>
      <c r="W211" s="314"/>
      <c r="X211" s="314"/>
      <c r="Y211" s="68"/>
      <c r="Z211" s="20"/>
      <c r="AA211" s="20"/>
      <c r="AB211" s="20"/>
      <c r="AC211" s="20"/>
      <c r="AD211" s="20"/>
      <c r="AE211" s="68"/>
      <c r="AF211" s="68"/>
      <c r="AG211" s="20"/>
      <c r="AH211" s="232"/>
    </row>
    <row r="212" spans="1:34" s="16" customFormat="1">
      <c r="A212" s="17"/>
      <c r="B212" s="17"/>
      <c r="C212" s="17"/>
      <c r="D212" s="17"/>
      <c r="E212" s="17"/>
      <c r="F212" s="302"/>
      <c r="G212" s="19"/>
      <c r="H212" s="64"/>
      <c r="I212" s="20"/>
      <c r="J212" s="68"/>
      <c r="K212" s="66"/>
      <c r="L212" s="66"/>
      <c r="M212" s="68"/>
      <c r="N212" s="68"/>
      <c r="O212" s="66"/>
      <c r="P212" s="66"/>
      <c r="Q212" s="66"/>
      <c r="R212" s="66"/>
      <c r="S212" s="68"/>
      <c r="T212" s="66"/>
      <c r="U212" s="66"/>
      <c r="V212" s="313"/>
      <c r="W212" s="314"/>
      <c r="X212" s="314"/>
      <c r="Y212" s="68"/>
      <c r="Z212" s="20"/>
      <c r="AA212" s="20"/>
      <c r="AB212" s="20"/>
      <c r="AC212" s="20"/>
      <c r="AD212" s="20"/>
      <c r="AE212" s="68"/>
      <c r="AF212" s="68"/>
      <c r="AG212" s="20"/>
      <c r="AH212" s="232"/>
    </row>
    <row r="213" spans="1:34" s="16" customFormat="1">
      <c r="A213" s="17"/>
      <c r="B213" s="17"/>
      <c r="C213" s="17"/>
      <c r="D213" s="17"/>
      <c r="E213" s="17"/>
      <c r="F213" s="302"/>
      <c r="G213" s="19"/>
      <c r="H213" s="64"/>
      <c r="I213" s="20"/>
      <c r="J213" s="68"/>
      <c r="K213" s="66"/>
      <c r="L213" s="66"/>
      <c r="M213" s="68"/>
      <c r="N213" s="68"/>
      <c r="O213" s="66"/>
      <c r="P213" s="66"/>
      <c r="Q213" s="66"/>
      <c r="R213" s="66"/>
      <c r="S213" s="68"/>
      <c r="T213" s="66"/>
      <c r="U213" s="66"/>
      <c r="V213" s="313"/>
      <c r="W213" s="314"/>
      <c r="X213" s="314"/>
      <c r="Y213" s="68"/>
      <c r="Z213" s="20"/>
      <c r="AA213" s="20"/>
      <c r="AB213" s="20"/>
      <c r="AC213" s="20"/>
      <c r="AD213" s="20"/>
      <c r="AE213" s="68"/>
      <c r="AF213" s="68"/>
      <c r="AG213" s="20"/>
      <c r="AH213" s="232"/>
    </row>
    <row r="214" spans="1:34" s="16" customFormat="1">
      <c r="A214" s="17"/>
      <c r="B214" s="17"/>
      <c r="C214" s="17"/>
      <c r="D214" s="17"/>
      <c r="E214" s="17"/>
      <c r="F214" s="302"/>
      <c r="G214" s="19"/>
      <c r="H214" s="64"/>
      <c r="I214" s="20"/>
      <c r="J214" s="68"/>
      <c r="K214" s="66"/>
      <c r="L214" s="66"/>
      <c r="M214" s="68"/>
      <c r="N214" s="68"/>
      <c r="O214" s="66"/>
      <c r="P214" s="66"/>
      <c r="Q214" s="66"/>
      <c r="R214" s="66"/>
      <c r="S214" s="68"/>
      <c r="T214" s="66"/>
      <c r="U214" s="66"/>
      <c r="V214" s="313"/>
      <c r="W214" s="314"/>
      <c r="X214" s="314"/>
      <c r="Y214" s="68"/>
      <c r="Z214" s="20"/>
      <c r="AA214" s="20"/>
      <c r="AB214" s="20"/>
      <c r="AC214" s="20"/>
      <c r="AD214" s="20"/>
      <c r="AE214" s="68"/>
      <c r="AF214" s="68"/>
      <c r="AG214" s="20"/>
      <c r="AH214" s="232"/>
    </row>
    <row r="215" spans="1:34" s="16" customFormat="1">
      <c r="A215" s="17"/>
      <c r="B215" s="17"/>
      <c r="C215" s="17"/>
      <c r="D215" s="17"/>
      <c r="E215" s="17"/>
      <c r="F215" s="302"/>
      <c r="G215" s="19"/>
      <c r="H215" s="64"/>
      <c r="I215" s="20"/>
      <c r="J215" s="68"/>
      <c r="K215" s="66"/>
      <c r="L215" s="66"/>
      <c r="M215" s="68"/>
      <c r="N215" s="68"/>
      <c r="O215" s="66"/>
      <c r="P215" s="66"/>
      <c r="Q215" s="66"/>
      <c r="R215" s="66"/>
      <c r="S215" s="68"/>
      <c r="T215" s="66"/>
      <c r="U215" s="66"/>
      <c r="V215" s="313"/>
      <c r="W215" s="314"/>
      <c r="X215" s="314"/>
      <c r="Y215" s="68"/>
      <c r="Z215" s="20"/>
      <c r="AA215" s="20"/>
      <c r="AB215" s="20"/>
      <c r="AC215" s="20"/>
      <c r="AD215" s="20"/>
      <c r="AE215" s="68"/>
      <c r="AF215" s="68"/>
      <c r="AG215" s="20"/>
      <c r="AH215" s="232"/>
    </row>
    <row r="216" spans="1:34" s="16" customFormat="1">
      <c r="A216" s="17"/>
      <c r="B216" s="17"/>
      <c r="C216" s="17"/>
      <c r="D216" s="17"/>
      <c r="E216" s="17"/>
      <c r="F216" s="302"/>
      <c r="G216" s="19"/>
      <c r="H216" s="64"/>
      <c r="I216" s="20"/>
      <c r="J216" s="68"/>
      <c r="K216" s="66"/>
      <c r="L216" s="66"/>
      <c r="M216" s="68"/>
      <c r="N216" s="68"/>
      <c r="O216" s="66"/>
      <c r="P216" s="66"/>
      <c r="Q216" s="66"/>
      <c r="R216" s="66"/>
      <c r="S216" s="68"/>
      <c r="T216" s="66"/>
      <c r="U216" s="66"/>
      <c r="V216" s="313"/>
      <c r="W216" s="314"/>
      <c r="X216" s="314"/>
      <c r="Y216" s="68"/>
      <c r="Z216" s="20"/>
      <c r="AA216" s="20"/>
      <c r="AB216" s="20"/>
      <c r="AC216" s="20"/>
      <c r="AD216" s="20"/>
      <c r="AE216" s="68"/>
      <c r="AF216" s="68"/>
      <c r="AG216" s="20"/>
      <c r="AH216" s="232"/>
    </row>
    <row r="217" spans="1:34" s="16" customFormat="1">
      <c r="A217" s="17"/>
      <c r="B217" s="17"/>
      <c r="C217" s="17"/>
      <c r="D217" s="17"/>
      <c r="E217" s="17"/>
      <c r="F217" s="302"/>
      <c r="G217" s="19"/>
      <c r="H217" s="64"/>
      <c r="I217" s="20"/>
      <c r="J217" s="68"/>
      <c r="K217" s="66"/>
      <c r="L217" s="66"/>
      <c r="M217" s="68"/>
      <c r="N217" s="68"/>
      <c r="O217" s="66"/>
      <c r="P217" s="66"/>
      <c r="Q217" s="66"/>
      <c r="R217" s="66"/>
      <c r="S217" s="68"/>
      <c r="T217" s="66"/>
      <c r="U217" s="66"/>
      <c r="V217" s="313"/>
      <c r="W217" s="314"/>
      <c r="X217" s="314"/>
      <c r="Y217" s="68"/>
      <c r="Z217" s="20"/>
      <c r="AA217" s="20"/>
      <c r="AB217" s="20"/>
      <c r="AC217" s="20"/>
      <c r="AD217" s="20"/>
      <c r="AE217" s="68"/>
      <c r="AF217" s="68"/>
      <c r="AG217" s="20"/>
      <c r="AH217" s="232"/>
    </row>
    <row r="218" spans="1:34" s="16" customFormat="1">
      <c r="A218" s="17"/>
      <c r="B218" s="17"/>
      <c r="C218" s="17"/>
      <c r="D218" s="17"/>
      <c r="E218" s="17"/>
      <c r="F218" s="302"/>
      <c r="G218" s="19"/>
      <c r="H218" s="64"/>
      <c r="I218" s="20"/>
      <c r="J218" s="68"/>
      <c r="K218" s="66"/>
      <c r="L218" s="66"/>
      <c r="M218" s="68"/>
      <c r="N218" s="68"/>
      <c r="O218" s="66"/>
      <c r="P218" s="66"/>
      <c r="Q218" s="66"/>
      <c r="R218" s="66"/>
      <c r="S218" s="68"/>
      <c r="T218" s="66"/>
      <c r="U218" s="66"/>
      <c r="V218" s="313"/>
      <c r="W218" s="314"/>
      <c r="X218" s="314"/>
      <c r="Y218" s="68"/>
      <c r="Z218" s="20"/>
      <c r="AA218" s="20"/>
      <c r="AB218" s="20"/>
      <c r="AC218" s="20"/>
      <c r="AD218" s="20"/>
      <c r="AE218" s="68"/>
      <c r="AF218" s="68"/>
      <c r="AG218" s="20"/>
      <c r="AH218" s="232"/>
    </row>
    <row r="219" spans="1:34" s="16" customFormat="1">
      <c r="A219" s="17"/>
      <c r="B219" s="17"/>
      <c r="C219" s="17"/>
      <c r="D219" s="17"/>
      <c r="E219" s="17"/>
      <c r="F219" s="302"/>
      <c r="G219" s="19"/>
      <c r="H219" s="64"/>
      <c r="I219" s="20"/>
      <c r="J219" s="68"/>
      <c r="K219" s="66"/>
      <c r="L219" s="66"/>
      <c r="M219" s="68"/>
      <c r="N219" s="68"/>
      <c r="O219" s="66"/>
      <c r="P219" s="66"/>
      <c r="Q219" s="66"/>
      <c r="R219" s="66"/>
      <c r="S219" s="68"/>
      <c r="T219" s="66"/>
      <c r="U219" s="66"/>
      <c r="V219" s="313"/>
      <c r="W219" s="314"/>
      <c r="X219" s="314"/>
      <c r="Y219" s="68"/>
      <c r="Z219" s="20"/>
      <c r="AA219" s="20"/>
      <c r="AB219" s="20"/>
      <c r="AC219" s="20"/>
      <c r="AD219" s="20"/>
      <c r="AE219" s="68"/>
      <c r="AF219" s="68"/>
      <c r="AG219" s="20"/>
      <c r="AH219" s="232"/>
    </row>
    <row r="220" spans="1:34" s="16" customFormat="1">
      <c r="A220" s="17"/>
      <c r="B220" s="17"/>
      <c r="C220" s="17"/>
      <c r="D220" s="17"/>
      <c r="E220" s="17"/>
      <c r="F220" s="302"/>
      <c r="G220" s="19"/>
      <c r="H220" s="64"/>
      <c r="I220" s="20"/>
      <c r="J220" s="68"/>
      <c r="K220" s="66"/>
      <c r="L220" s="66"/>
      <c r="M220" s="68"/>
      <c r="N220" s="68"/>
      <c r="O220" s="66"/>
      <c r="P220" s="66"/>
      <c r="Q220" s="66"/>
      <c r="R220" s="66"/>
      <c r="S220" s="68"/>
      <c r="T220" s="66"/>
      <c r="U220" s="66"/>
      <c r="V220" s="313"/>
      <c r="W220" s="314"/>
      <c r="X220" s="314"/>
      <c r="Y220" s="68"/>
      <c r="Z220" s="20"/>
      <c r="AA220" s="20"/>
      <c r="AB220" s="20"/>
      <c r="AC220" s="20"/>
      <c r="AD220" s="20"/>
      <c r="AE220" s="68"/>
      <c r="AF220" s="68"/>
      <c r="AG220" s="20"/>
      <c r="AH220" s="232"/>
    </row>
    <row r="221" spans="1:34" s="16" customFormat="1">
      <c r="A221" s="17"/>
      <c r="B221" s="17"/>
      <c r="C221" s="17"/>
      <c r="D221" s="17"/>
      <c r="E221" s="17"/>
      <c r="F221" s="302"/>
      <c r="G221" s="19"/>
      <c r="H221" s="64"/>
      <c r="I221" s="20"/>
      <c r="J221" s="68"/>
      <c r="K221" s="66"/>
      <c r="L221" s="66"/>
      <c r="M221" s="68"/>
      <c r="N221" s="68"/>
      <c r="O221" s="66"/>
      <c r="P221" s="66"/>
      <c r="Q221" s="66"/>
      <c r="R221" s="66"/>
      <c r="S221" s="68"/>
      <c r="T221" s="66"/>
      <c r="U221" s="66"/>
      <c r="V221" s="313"/>
      <c r="W221" s="314"/>
      <c r="X221" s="314"/>
      <c r="Y221" s="68"/>
      <c r="Z221" s="20"/>
      <c r="AA221" s="20"/>
      <c r="AB221" s="20"/>
      <c r="AC221" s="20"/>
      <c r="AD221" s="20"/>
      <c r="AE221" s="68"/>
      <c r="AF221" s="68"/>
      <c r="AG221" s="20"/>
      <c r="AH221" s="232"/>
    </row>
    <row r="222" spans="1:34" s="16" customFormat="1">
      <c r="A222" s="17"/>
      <c r="B222" s="17"/>
      <c r="C222" s="17"/>
      <c r="D222" s="17"/>
      <c r="E222" s="17"/>
      <c r="F222" s="302"/>
      <c r="G222" s="19"/>
      <c r="H222" s="64"/>
      <c r="I222" s="20"/>
      <c r="J222" s="68"/>
      <c r="K222" s="66"/>
      <c r="L222" s="66"/>
      <c r="M222" s="68"/>
      <c r="N222" s="68"/>
      <c r="O222" s="66"/>
      <c r="P222" s="66"/>
      <c r="Q222" s="66"/>
      <c r="R222" s="66"/>
      <c r="S222" s="68"/>
      <c r="T222" s="66"/>
      <c r="U222" s="66"/>
      <c r="V222" s="313"/>
      <c r="W222" s="314"/>
      <c r="X222" s="314"/>
      <c r="Y222" s="68"/>
      <c r="Z222" s="20"/>
      <c r="AA222" s="20"/>
      <c r="AB222" s="20"/>
      <c r="AC222" s="20"/>
      <c r="AD222" s="20"/>
      <c r="AE222" s="68"/>
      <c r="AF222" s="68"/>
      <c r="AG222" s="20"/>
      <c r="AH222" s="232"/>
    </row>
    <row r="223" spans="1:34" s="16" customFormat="1">
      <c r="A223" s="17"/>
      <c r="B223" s="17"/>
      <c r="C223" s="17"/>
      <c r="D223" s="17"/>
      <c r="E223" s="17"/>
      <c r="F223" s="302"/>
      <c r="G223" s="19"/>
      <c r="H223" s="64"/>
      <c r="I223" s="20"/>
      <c r="J223" s="68"/>
      <c r="K223" s="66"/>
      <c r="L223" s="66"/>
      <c r="M223" s="68"/>
      <c r="N223" s="68"/>
      <c r="O223" s="66"/>
      <c r="P223" s="66"/>
      <c r="Q223" s="66"/>
      <c r="R223" s="66"/>
      <c r="S223" s="68"/>
      <c r="T223" s="66"/>
      <c r="U223" s="66"/>
      <c r="V223" s="313"/>
      <c r="W223" s="314"/>
      <c r="X223" s="314"/>
      <c r="Y223" s="68"/>
      <c r="Z223" s="20"/>
      <c r="AA223" s="20"/>
      <c r="AB223" s="20"/>
      <c r="AC223" s="20"/>
      <c r="AD223" s="20"/>
      <c r="AE223" s="68"/>
      <c r="AF223" s="68"/>
      <c r="AG223" s="20"/>
      <c r="AH223" s="232"/>
    </row>
    <row r="224" spans="1:34" s="16" customFormat="1">
      <c r="A224" s="17"/>
      <c r="B224" s="17"/>
      <c r="C224" s="17"/>
      <c r="D224" s="17"/>
      <c r="E224" s="17"/>
      <c r="F224" s="302"/>
      <c r="G224" s="19"/>
      <c r="H224" s="64"/>
      <c r="I224" s="20"/>
      <c r="J224" s="68"/>
      <c r="K224" s="66"/>
      <c r="L224" s="66"/>
      <c r="M224" s="68"/>
      <c r="N224" s="68"/>
      <c r="O224" s="66"/>
      <c r="P224" s="66"/>
      <c r="Q224" s="66"/>
      <c r="R224" s="66"/>
      <c r="S224" s="68"/>
      <c r="T224" s="66"/>
      <c r="U224" s="66"/>
      <c r="V224" s="313"/>
      <c r="W224" s="314"/>
      <c r="X224" s="314"/>
      <c r="Y224" s="68"/>
      <c r="Z224" s="20"/>
      <c r="AA224" s="20"/>
      <c r="AB224" s="20"/>
      <c r="AC224" s="20"/>
      <c r="AD224" s="20"/>
      <c r="AE224" s="68"/>
      <c r="AF224" s="68"/>
      <c r="AG224" s="20"/>
      <c r="AH224" s="232"/>
    </row>
    <row r="225" spans="1:34" s="16" customFormat="1">
      <c r="A225" s="17"/>
      <c r="B225" s="17"/>
      <c r="C225" s="17"/>
      <c r="D225" s="17"/>
      <c r="E225" s="17"/>
      <c r="F225" s="302"/>
      <c r="G225" s="19"/>
      <c r="H225" s="64"/>
      <c r="I225" s="20"/>
      <c r="J225" s="68"/>
      <c r="K225" s="66"/>
      <c r="L225" s="66"/>
      <c r="M225" s="68"/>
      <c r="N225" s="68"/>
      <c r="O225" s="66"/>
      <c r="P225" s="66"/>
      <c r="Q225" s="66"/>
      <c r="R225" s="66"/>
      <c r="S225" s="68"/>
      <c r="T225" s="66"/>
      <c r="U225" s="66"/>
      <c r="V225" s="313"/>
      <c r="W225" s="314"/>
      <c r="X225" s="314"/>
      <c r="Y225" s="68"/>
      <c r="Z225" s="20"/>
      <c r="AA225" s="20"/>
      <c r="AB225" s="20"/>
      <c r="AC225" s="20"/>
      <c r="AD225" s="20"/>
      <c r="AE225" s="68"/>
      <c r="AF225" s="68"/>
      <c r="AG225" s="20"/>
      <c r="AH225" s="232"/>
    </row>
    <row r="226" spans="1:34" s="16" customFormat="1">
      <c r="A226" s="17"/>
      <c r="B226" s="17"/>
      <c r="C226" s="17"/>
      <c r="D226" s="17"/>
      <c r="E226" s="17"/>
      <c r="F226" s="302"/>
      <c r="G226" s="19"/>
      <c r="H226" s="64"/>
      <c r="I226" s="20"/>
      <c r="J226" s="68"/>
      <c r="K226" s="66"/>
      <c r="L226" s="66"/>
      <c r="M226" s="68"/>
      <c r="N226" s="68"/>
      <c r="O226" s="66"/>
      <c r="P226" s="66"/>
      <c r="Q226" s="66"/>
      <c r="R226" s="66"/>
      <c r="S226" s="68"/>
      <c r="T226" s="66"/>
      <c r="U226" s="66"/>
      <c r="V226" s="313"/>
      <c r="W226" s="314"/>
      <c r="X226" s="314"/>
      <c r="Y226" s="68"/>
      <c r="Z226" s="20"/>
      <c r="AA226" s="20"/>
      <c r="AB226" s="20"/>
      <c r="AC226" s="20"/>
      <c r="AD226" s="20"/>
      <c r="AE226" s="68"/>
      <c r="AF226" s="68"/>
      <c r="AG226" s="20"/>
      <c r="AH226" s="232"/>
    </row>
    <row r="227" spans="1:34" s="16" customFormat="1">
      <c r="A227" s="17"/>
      <c r="B227" s="17"/>
      <c r="C227" s="17"/>
      <c r="D227" s="17"/>
      <c r="E227" s="17"/>
      <c r="F227" s="302"/>
      <c r="G227" s="19"/>
      <c r="H227" s="64"/>
      <c r="I227" s="20"/>
      <c r="J227" s="68"/>
      <c r="K227" s="66"/>
      <c r="L227" s="66"/>
      <c r="M227" s="68"/>
      <c r="N227" s="68"/>
      <c r="O227" s="66"/>
      <c r="P227" s="66"/>
      <c r="Q227" s="66"/>
      <c r="R227" s="66"/>
      <c r="S227" s="68"/>
      <c r="T227" s="66"/>
      <c r="U227" s="66"/>
      <c r="V227" s="313"/>
      <c r="W227" s="314"/>
      <c r="X227" s="314"/>
      <c r="Y227" s="68"/>
      <c r="Z227" s="20"/>
      <c r="AA227" s="20"/>
      <c r="AB227" s="20"/>
      <c r="AC227" s="20"/>
      <c r="AD227" s="20"/>
      <c r="AE227" s="68"/>
      <c r="AF227" s="68"/>
      <c r="AG227" s="20"/>
      <c r="AH227" s="232"/>
    </row>
    <row r="228" spans="1:34" s="16" customFormat="1">
      <c r="A228" s="17"/>
      <c r="B228" s="17"/>
      <c r="C228" s="17"/>
      <c r="D228" s="17"/>
      <c r="E228" s="17"/>
      <c r="F228" s="302"/>
      <c r="G228" s="19"/>
      <c r="H228" s="64"/>
      <c r="I228" s="20"/>
      <c r="J228" s="68"/>
      <c r="K228" s="66"/>
      <c r="L228" s="66"/>
      <c r="M228" s="68"/>
      <c r="N228" s="68"/>
      <c r="O228" s="66"/>
      <c r="P228" s="66"/>
      <c r="Q228" s="66"/>
      <c r="R228" s="66"/>
      <c r="S228" s="68"/>
      <c r="T228" s="66"/>
      <c r="U228" s="66"/>
      <c r="V228" s="313"/>
      <c r="W228" s="314"/>
      <c r="X228" s="314"/>
      <c r="Y228" s="68"/>
      <c r="Z228" s="20"/>
      <c r="AA228" s="20"/>
      <c r="AB228" s="20"/>
      <c r="AC228" s="20"/>
      <c r="AD228" s="20"/>
      <c r="AE228" s="68"/>
      <c r="AF228" s="68"/>
      <c r="AG228" s="20"/>
      <c r="AH228" s="232"/>
    </row>
    <row r="229" spans="1:34" s="16" customFormat="1">
      <c r="A229" s="17"/>
      <c r="B229" s="17"/>
      <c r="C229" s="17"/>
      <c r="D229" s="17"/>
      <c r="E229" s="17"/>
      <c r="F229" s="302"/>
      <c r="G229" s="19"/>
      <c r="H229" s="64"/>
      <c r="I229" s="20"/>
      <c r="J229" s="68"/>
      <c r="K229" s="66"/>
      <c r="L229" s="66"/>
      <c r="M229" s="68"/>
      <c r="N229" s="68"/>
      <c r="O229" s="66"/>
      <c r="P229" s="66"/>
      <c r="Q229" s="66"/>
      <c r="R229" s="66"/>
      <c r="S229" s="68"/>
      <c r="T229" s="66"/>
      <c r="U229" s="66"/>
      <c r="V229" s="313"/>
      <c r="W229" s="314"/>
      <c r="X229" s="314"/>
      <c r="Y229" s="68"/>
      <c r="Z229" s="20"/>
      <c r="AA229" s="20"/>
      <c r="AB229" s="20"/>
      <c r="AC229" s="20"/>
      <c r="AD229" s="20"/>
      <c r="AE229" s="68"/>
      <c r="AF229" s="68"/>
      <c r="AG229" s="20"/>
      <c r="AH229" s="232"/>
    </row>
    <row r="230" spans="1:34" s="16" customFormat="1">
      <c r="A230" s="17"/>
      <c r="B230" s="17"/>
      <c r="C230" s="17"/>
      <c r="D230" s="17"/>
      <c r="E230" s="17"/>
      <c r="F230" s="302"/>
      <c r="G230" s="19"/>
      <c r="H230" s="64"/>
      <c r="I230" s="20"/>
      <c r="J230" s="68"/>
      <c r="K230" s="66"/>
      <c r="L230" s="66"/>
      <c r="M230" s="68"/>
      <c r="N230" s="68"/>
      <c r="O230" s="66"/>
      <c r="P230" s="66"/>
      <c r="Q230" s="66"/>
      <c r="R230" s="66"/>
      <c r="S230" s="68"/>
      <c r="T230" s="66"/>
      <c r="U230" s="66"/>
      <c r="V230" s="313"/>
      <c r="W230" s="314"/>
      <c r="X230" s="314"/>
      <c r="Y230" s="68"/>
      <c r="Z230" s="20"/>
      <c r="AA230" s="20"/>
      <c r="AB230" s="20"/>
      <c r="AC230" s="20"/>
      <c r="AD230" s="20"/>
      <c r="AE230" s="68"/>
      <c r="AF230" s="68"/>
      <c r="AG230" s="20"/>
      <c r="AH230" s="232"/>
    </row>
    <row r="231" spans="1:34" s="16" customFormat="1">
      <c r="A231" s="17"/>
      <c r="B231" s="17"/>
      <c r="C231" s="17"/>
      <c r="D231" s="17"/>
      <c r="E231" s="17"/>
      <c r="F231" s="302"/>
      <c r="G231" s="19"/>
      <c r="H231" s="64"/>
      <c r="I231" s="20"/>
      <c r="J231" s="68"/>
      <c r="K231" s="66"/>
      <c r="L231" s="66"/>
      <c r="M231" s="68"/>
      <c r="N231" s="68"/>
      <c r="O231" s="66"/>
      <c r="P231" s="66"/>
      <c r="Q231" s="66"/>
      <c r="R231" s="66"/>
      <c r="S231" s="68"/>
      <c r="T231" s="66"/>
      <c r="U231" s="66"/>
      <c r="V231" s="313"/>
      <c r="W231" s="314"/>
      <c r="X231" s="314"/>
      <c r="Y231" s="68"/>
      <c r="Z231" s="20"/>
      <c r="AA231" s="20"/>
      <c r="AB231" s="20"/>
      <c r="AC231" s="20"/>
      <c r="AD231" s="20"/>
      <c r="AE231" s="68"/>
      <c r="AF231" s="68"/>
      <c r="AG231" s="20"/>
      <c r="AH231" s="232"/>
    </row>
    <row r="232" spans="1:34" s="16" customFormat="1">
      <c r="A232" s="17"/>
      <c r="B232" s="17"/>
      <c r="C232" s="17"/>
      <c r="D232" s="17"/>
      <c r="E232" s="17"/>
      <c r="F232" s="302"/>
      <c r="G232" s="19"/>
      <c r="H232" s="64"/>
      <c r="I232" s="20"/>
      <c r="J232" s="68"/>
      <c r="K232" s="66"/>
      <c r="L232" s="66"/>
      <c r="M232" s="68"/>
      <c r="N232" s="68"/>
      <c r="O232" s="66"/>
      <c r="P232" s="66"/>
      <c r="Q232" s="66"/>
      <c r="R232" s="66"/>
      <c r="S232" s="68"/>
      <c r="T232" s="66"/>
      <c r="U232" s="66"/>
      <c r="V232" s="313"/>
      <c r="W232" s="314"/>
      <c r="X232" s="314"/>
      <c r="Y232" s="68"/>
      <c r="Z232" s="20"/>
      <c r="AA232" s="20"/>
      <c r="AB232" s="20"/>
      <c r="AC232" s="20"/>
      <c r="AD232" s="20"/>
      <c r="AE232" s="68"/>
      <c r="AF232" s="68"/>
      <c r="AG232" s="20"/>
      <c r="AH232" s="232"/>
    </row>
    <row r="233" spans="1:34" s="16" customFormat="1">
      <c r="A233" s="17"/>
      <c r="B233" s="17"/>
      <c r="C233" s="17"/>
      <c r="D233" s="17"/>
      <c r="E233" s="17"/>
      <c r="F233" s="302"/>
      <c r="G233" s="19"/>
      <c r="H233" s="64"/>
      <c r="I233" s="20"/>
      <c r="J233" s="68"/>
      <c r="K233" s="66"/>
      <c r="L233" s="66"/>
      <c r="M233" s="68"/>
      <c r="N233" s="68"/>
      <c r="O233" s="66"/>
      <c r="P233" s="66"/>
      <c r="Q233" s="66"/>
      <c r="R233" s="66"/>
      <c r="S233" s="68"/>
      <c r="T233" s="66"/>
      <c r="U233" s="66"/>
      <c r="V233" s="313"/>
      <c r="W233" s="314"/>
      <c r="X233" s="314"/>
      <c r="Y233" s="68"/>
      <c r="Z233" s="20"/>
      <c r="AA233" s="20"/>
      <c r="AB233" s="20"/>
      <c r="AC233" s="20"/>
      <c r="AD233" s="20"/>
      <c r="AE233" s="68"/>
      <c r="AF233" s="68"/>
      <c r="AG233" s="20"/>
      <c r="AH233" s="232"/>
    </row>
    <row r="234" spans="1:34" s="16" customFormat="1">
      <c r="A234" s="17"/>
      <c r="B234" s="17"/>
      <c r="C234" s="17"/>
      <c r="D234" s="17"/>
      <c r="E234" s="17"/>
      <c r="F234" s="302"/>
      <c r="G234" s="19"/>
      <c r="H234" s="64"/>
      <c r="I234" s="20"/>
      <c r="J234" s="68"/>
      <c r="K234" s="66"/>
      <c r="L234" s="66"/>
      <c r="M234" s="68"/>
      <c r="N234" s="68"/>
      <c r="O234" s="66"/>
      <c r="P234" s="66"/>
      <c r="Q234" s="66"/>
      <c r="R234" s="66"/>
      <c r="S234" s="68"/>
      <c r="T234" s="66"/>
      <c r="U234" s="66"/>
      <c r="V234" s="313"/>
      <c r="W234" s="314"/>
      <c r="X234" s="314"/>
      <c r="Y234" s="68"/>
      <c r="Z234" s="20"/>
      <c r="AA234" s="20"/>
      <c r="AB234" s="20"/>
      <c r="AC234" s="20"/>
      <c r="AD234" s="20"/>
      <c r="AE234" s="68"/>
      <c r="AF234" s="68"/>
      <c r="AG234" s="20"/>
      <c r="AH234" s="232"/>
    </row>
    <row r="235" spans="1:34" s="16" customFormat="1">
      <c r="A235" s="17"/>
      <c r="B235" s="17"/>
      <c r="C235" s="17"/>
      <c r="D235" s="17"/>
      <c r="E235" s="17"/>
      <c r="F235" s="302"/>
      <c r="G235" s="19"/>
      <c r="H235" s="64"/>
      <c r="I235" s="20"/>
      <c r="J235" s="68"/>
      <c r="K235" s="66"/>
      <c r="L235" s="66"/>
      <c r="M235" s="68"/>
      <c r="N235" s="68"/>
      <c r="O235" s="66"/>
      <c r="P235" s="66"/>
      <c r="Q235" s="66"/>
      <c r="R235" s="66"/>
      <c r="S235" s="68"/>
      <c r="T235" s="66"/>
      <c r="U235" s="66"/>
      <c r="V235" s="313"/>
      <c r="W235" s="314"/>
      <c r="X235" s="314"/>
      <c r="Y235" s="68"/>
      <c r="Z235" s="20"/>
      <c r="AA235" s="20"/>
      <c r="AB235" s="20"/>
      <c r="AC235" s="20"/>
      <c r="AD235" s="20"/>
      <c r="AE235" s="68"/>
      <c r="AF235" s="68"/>
      <c r="AG235" s="20"/>
      <c r="AH235" s="232"/>
    </row>
    <row r="236" spans="1:34" s="16" customFormat="1">
      <c r="A236" s="17"/>
      <c r="B236" s="17"/>
      <c r="C236" s="17"/>
      <c r="D236" s="17"/>
      <c r="E236" s="17"/>
      <c r="F236" s="302"/>
      <c r="G236" s="19"/>
      <c r="H236" s="64"/>
      <c r="I236" s="20"/>
      <c r="J236" s="68"/>
      <c r="K236" s="66"/>
      <c r="L236" s="66"/>
      <c r="M236" s="68"/>
      <c r="N236" s="68"/>
      <c r="O236" s="66"/>
      <c r="P236" s="66"/>
      <c r="Q236" s="66"/>
      <c r="R236" s="66"/>
      <c r="S236" s="68"/>
      <c r="T236" s="66"/>
      <c r="U236" s="66"/>
      <c r="V236" s="313"/>
      <c r="W236" s="314"/>
      <c r="X236" s="314"/>
      <c r="Y236" s="68"/>
      <c r="Z236" s="20"/>
      <c r="AA236" s="20"/>
      <c r="AB236" s="20"/>
      <c r="AC236" s="20"/>
      <c r="AD236" s="20"/>
      <c r="AE236" s="68"/>
      <c r="AF236" s="68"/>
      <c r="AG236" s="20"/>
      <c r="AH236" s="232"/>
    </row>
    <row r="237" spans="1:34" s="16" customFormat="1">
      <c r="A237" s="17"/>
      <c r="B237" s="17"/>
      <c r="C237" s="17"/>
      <c r="D237" s="17"/>
      <c r="E237" s="17"/>
      <c r="F237" s="302"/>
      <c r="G237" s="19"/>
      <c r="H237" s="64"/>
      <c r="I237" s="20"/>
      <c r="J237" s="68"/>
      <c r="K237" s="66"/>
      <c r="L237" s="66"/>
      <c r="M237" s="68"/>
      <c r="N237" s="68"/>
      <c r="O237" s="66"/>
      <c r="P237" s="66"/>
      <c r="Q237" s="66"/>
      <c r="R237" s="66"/>
      <c r="S237" s="68"/>
      <c r="T237" s="66"/>
      <c r="U237" s="66"/>
      <c r="V237" s="313"/>
      <c r="W237" s="314"/>
      <c r="X237" s="314"/>
      <c r="Y237" s="68"/>
      <c r="Z237" s="20"/>
      <c r="AA237" s="20"/>
      <c r="AB237" s="20"/>
      <c r="AC237" s="20"/>
      <c r="AD237" s="20"/>
      <c r="AE237" s="68"/>
      <c r="AF237" s="68"/>
      <c r="AG237" s="20"/>
      <c r="AH237" s="232"/>
    </row>
    <row r="238" spans="1:34" s="16" customFormat="1">
      <c r="A238" s="17"/>
      <c r="B238" s="17"/>
      <c r="C238" s="17"/>
      <c r="D238" s="17"/>
      <c r="E238" s="17"/>
      <c r="F238" s="302"/>
      <c r="G238" s="19"/>
      <c r="H238" s="64"/>
      <c r="I238" s="20"/>
      <c r="J238" s="68"/>
      <c r="K238" s="66"/>
      <c r="L238" s="66"/>
      <c r="M238" s="68"/>
      <c r="N238" s="68"/>
      <c r="O238" s="66"/>
      <c r="P238" s="66"/>
      <c r="Q238" s="66"/>
      <c r="R238" s="66"/>
      <c r="S238" s="68"/>
      <c r="T238" s="66"/>
      <c r="U238" s="66"/>
      <c r="V238" s="313"/>
      <c r="W238" s="314"/>
      <c r="X238" s="314"/>
      <c r="Y238" s="68"/>
      <c r="Z238" s="20"/>
      <c r="AA238" s="20"/>
      <c r="AB238" s="20"/>
      <c r="AC238" s="20"/>
      <c r="AD238" s="20"/>
      <c r="AE238" s="68"/>
      <c r="AF238" s="68"/>
      <c r="AG238" s="20"/>
      <c r="AH238" s="232"/>
    </row>
    <row r="239" spans="1:34" s="16" customFormat="1">
      <c r="A239" s="17"/>
      <c r="B239" s="17"/>
      <c r="C239" s="17"/>
      <c r="D239" s="17"/>
      <c r="E239" s="17"/>
      <c r="F239" s="302"/>
      <c r="G239" s="19"/>
      <c r="H239" s="64"/>
      <c r="I239" s="20"/>
      <c r="J239" s="68"/>
      <c r="K239" s="66"/>
      <c r="L239" s="66"/>
      <c r="M239" s="68"/>
      <c r="N239" s="68"/>
      <c r="O239" s="66"/>
      <c r="P239" s="66"/>
      <c r="Q239" s="66"/>
      <c r="R239" s="66"/>
      <c r="S239" s="68"/>
      <c r="T239" s="66"/>
      <c r="U239" s="66"/>
      <c r="V239" s="313"/>
      <c r="W239" s="314"/>
      <c r="X239" s="314"/>
      <c r="Y239" s="68"/>
      <c r="Z239" s="20"/>
      <c r="AA239" s="20"/>
      <c r="AB239" s="20"/>
      <c r="AC239" s="20"/>
      <c r="AD239" s="20"/>
      <c r="AE239" s="68"/>
      <c r="AF239" s="68"/>
      <c r="AG239" s="20"/>
      <c r="AH239" s="232"/>
    </row>
    <row r="240" spans="1:34" s="16" customFormat="1">
      <c r="A240" s="17"/>
      <c r="B240" s="17"/>
      <c r="C240" s="17"/>
      <c r="D240" s="17"/>
      <c r="E240" s="17"/>
      <c r="F240" s="302"/>
      <c r="G240" s="19"/>
      <c r="H240" s="64"/>
      <c r="I240" s="20"/>
      <c r="J240" s="68"/>
      <c r="K240" s="66"/>
      <c r="L240" s="66"/>
      <c r="M240" s="68"/>
      <c r="N240" s="68"/>
      <c r="O240" s="66"/>
      <c r="P240" s="66"/>
      <c r="Q240" s="66"/>
      <c r="R240" s="66"/>
      <c r="S240" s="68"/>
      <c r="T240" s="66"/>
      <c r="U240" s="66"/>
      <c r="V240" s="313"/>
      <c r="W240" s="314"/>
      <c r="X240" s="314"/>
      <c r="Y240" s="68"/>
      <c r="Z240" s="20"/>
      <c r="AA240" s="20"/>
      <c r="AB240" s="20"/>
      <c r="AC240" s="20"/>
      <c r="AD240" s="20"/>
      <c r="AE240" s="68"/>
      <c r="AF240" s="68"/>
      <c r="AG240" s="20"/>
      <c r="AH240" s="232"/>
    </row>
    <row r="241" spans="1:34" s="16" customFormat="1">
      <c r="A241" s="17"/>
      <c r="B241" s="17"/>
      <c r="C241" s="17"/>
      <c r="D241" s="17"/>
      <c r="E241" s="17"/>
      <c r="F241" s="302"/>
      <c r="G241" s="19"/>
      <c r="H241" s="64"/>
      <c r="I241" s="20"/>
      <c r="J241" s="68"/>
      <c r="K241" s="66"/>
      <c r="L241" s="66"/>
      <c r="M241" s="68"/>
      <c r="N241" s="68"/>
      <c r="O241" s="66"/>
      <c r="P241" s="66"/>
      <c r="Q241" s="66"/>
      <c r="R241" s="66"/>
      <c r="S241" s="68"/>
      <c r="T241" s="66"/>
      <c r="U241" s="66"/>
      <c r="V241" s="313"/>
      <c r="W241" s="314"/>
      <c r="X241" s="314"/>
      <c r="Y241" s="68"/>
      <c r="Z241" s="20"/>
      <c r="AA241" s="20"/>
      <c r="AB241" s="20"/>
      <c r="AC241" s="20"/>
      <c r="AD241" s="20"/>
      <c r="AE241" s="68"/>
      <c r="AF241" s="68"/>
      <c r="AG241" s="20"/>
      <c r="AH241" s="232"/>
    </row>
    <row r="242" spans="1:34" s="16" customFormat="1">
      <c r="A242" s="17"/>
      <c r="B242" s="17"/>
      <c r="C242" s="17"/>
      <c r="D242" s="17"/>
      <c r="E242" s="17"/>
      <c r="F242" s="302"/>
      <c r="G242" s="19"/>
      <c r="H242" s="64"/>
      <c r="I242" s="20"/>
      <c r="J242" s="68"/>
      <c r="K242" s="66"/>
      <c r="L242" s="66"/>
      <c r="M242" s="68"/>
      <c r="N242" s="68"/>
      <c r="O242" s="66"/>
      <c r="P242" s="66"/>
      <c r="Q242" s="66"/>
      <c r="R242" s="66"/>
      <c r="S242" s="68"/>
      <c r="T242" s="66"/>
      <c r="U242" s="66"/>
      <c r="V242" s="313"/>
      <c r="W242" s="314"/>
      <c r="X242" s="314"/>
      <c r="Y242" s="68"/>
      <c r="Z242" s="20"/>
      <c r="AA242" s="20"/>
      <c r="AB242" s="20"/>
      <c r="AC242" s="20"/>
      <c r="AD242" s="20"/>
      <c r="AE242" s="68"/>
      <c r="AF242" s="68"/>
      <c r="AG242" s="20"/>
      <c r="AH242" s="232"/>
    </row>
    <row r="243" spans="1:34" s="16" customFormat="1">
      <c r="A243" s="17"/>
      <c r="B243" s="17"/>
      <c r="C243" s="17"/>
      <c r="D243" s="17"/>
      <c r="E243" s="17"/>
      <c r="F243" s="302"/>
      <c r="G243" s="19"/>
      <c r="H243" s="64"/>
      <c r="I243" s="20"/>
      <c r="J243" s="68"/>
      <c r="K243" s="66"/>
      <c r="L243" s="66"/>
      <c r="M243" s="68"/>
      <c r="N243" s="68"/>
      <c r="O243" s="66"/>
      <c r="P243" s="66"/>
      <c r="Q243" s="66"/>
      <c r="R243" s="66"/>
      <c r="S243" s="68"/>
      <c r="T243" s="66"/>
      <c r="U243" s="66"/>
      <c r="V243" s="313"/>
      <c r="W243" s="314"/>
      <c r="X243" s="314"/>
      <c r="Y243" s="68"/>
      <c r="Z243" s="20"/>
      <c r="AA243" s="20"/>
      <c r="AB243" s="20"/>
      <c r="AC243" s="20"/>
      <c r="AD243" s="20"/>
      <c r="AE243" s="68"/>
      <c r="AF243" s="68"/>
      <c r="AG243" s="20"/>
      <c r="AH243" s="232"/>
    </row>
    <row r="244" spans="1:34" s="16" customFormat="1">
      <c r="A244" s="17"/>
      <c r="B244" s="17"/>
      <c r="C244" s="17"/>
      <c r="D244" s="17"/>
      <c r="E244" s="17"/>
      <c r="F244" s="302"/>
      <c r="G244" s="19"/>
      <c r="H244" s="64"/>
      <c r="I244" s="20"/>
      <c r="J244" s="68"/>
      <c r="K244" s="66"/>
      <c r="L244" s="66"/>
      <c r="M244" s="68"/>
      <c r="N244" s="68"/>
      <c r="O244" s="66"/>
      <c r="P244" s="66"/>
      <c r="Q244" s="66"/>
      <c r="R244" s="66"/>
      <c r="S244" s="68"/>
      <c r="T244" s="66"/>
      <c r="U244" s="66"/>
      <c r="V244" s="313"/>
      <c r="W244" s="314"/>
      <c r="X244" s="314"/>
      <c r="Y244" s="68"/>
      <c r="Z244" s="20"/>
      <c r="AA244" s="20"/>
      <c r="AB244" s="20"/>
      <c r="AC244" s="20"/>
      <c r="AD244" s="20"/>
      <c r="AE244" s="68"/>
      <c r="AF244" s="68"/>
      <c r="AG244" s="20"/>
      <c r="AH244" s="232"/>
    </row>
    <row r="245" spans="1:34" s="16" customFormat="1">
      <c r="A245" s="17"/>
      <c r="B245" s="17"/>
      <c r="C245" s="17"/>
      <c r="D245" s="17"/>
      <c r="E245" s="17"/>
      <c r="F245" s="302"/>
      <c r="G245" s="19"/>
      <c r="H245" s="64"/>
      <c r="I245" s="20"/>
      <c r="J245" s="68"/>
      <c r="K245" s="66"/>
      <c r="L245" s="66"/>
      <c r="M245" s="68"/>
      <c r="N245" s="68"/>
      <c r="O245" s="66"/>
      <c r="P245" s="66"/>
      <c r="Q245" s="66"/>
      <c r="R245" s="66"/>
      <c r="S245" s="68"/>
      <c r="T245" s="66"/>
      <c r="U245" s="66"/>
      <c r="V245" s="313"/>
      <c r="W245" s="314"/>
      <c r="X245" s="314"/>
      <c r="Y245" s="68"/>
      <c r="Z245" s="20"/>
      <c r="AA245" s="20"/>
      <c r="AB245" s="20"/>
      <c r="AC245" s="20"/>
      <c r="AD245" s="20"/>
      <c r="AE245" s="68"/>
      <c r="AF245" s="68"/>
      <c r="AG245" s="20"/>
      <c r="AH245" s="232"/>
    </row>
    <row r="246" spans="1:34" s="16" customFormat="1">
      <c r="A246" s="17"/>
      <c r="B246" s="17"/>
      <c r="C246" s="17"/>
      <c r="D246" s="17"/>
      <c r="E246" s="17"/>
      <c r="F246" s="302"/>
      <c r="G246" s="19"/>
      <c r="H246" s="64"/>
      <c r="I246" s="20"/>
      <c r="J246" s="68"/>
      <c r="K246" s="66"/>
      <c r="L246" s="66"/>
      <c r="M246" s="68"/>
      <c r="N246" s="68"/>
      <c r="O246" s="66"/>
      <c r="P246" s="66"/>
      <c r="Q246" s="66"/>
      <c r="R246" s="66"/>
      <c r="S246" s="68"/>
      <c r="T246" s="66"/>
      <c r="U246" s="66"/>
      <c r="V246" s="313"/>
      <c r="W246" s="314"/>
      <c r="X246" s="314"/>
      <c r="Y246" s="68"/>
      <c r="Z246" s="20"/>
      <c r="AA246" s="20"/>
      <c r="AB246" s="20"/>
      <c r="AC246" s="20"/>
      <c r="AD246" s="20"/>
      <c r="AE246" s="68"/>
      <c r="AF246" s="68"/>
      <c r="AG246" s="20"/>
      <c r="AH246" s="232"/>
    </row>
    <row r="247" spans="1:34" s="16" customFormat="1">
      <c r="A247" s="17"/>
      <c r="B247" s="17"/>
      <c r="C247" s="17"/>
      <c r="D247" s="17"/>
      <c r="E247" s="17"/>
      <c r="F247" s="302"/>
      <c r="G247" s="19"/>
      <c r="H247" s="64"/>
      <c r="I247" s="20"/>
      <c r="J247" s="68"/>
      <c r="K247" s="66"/>
      <c r="L247" s="66"/>
      <c r="M247" s="68"/>
      <c r="N247" s="68"/>
      <c r="O247" s="66"/>
      <c r="P247" s="66"/>
      <c r="Q247" s="66"/>
      <c r="R247" s="66"/>
      <c r="S247" s="68"/>
      <c r="T247" s="66"/>
      <c r="U247" s="66"/>
      <c r="V247" s="313"/>
      <c r="W247" s="314"/>
      <c r="X247" s="314"/>
      <c r="Y247" s="68"/>
      <c r="Z247" s="20"/>
      <c r="AA247" s="20"/>
      <c r="AB247" s="20"/>
      <c r="AC247" s="20"/>
      <c r="AD247" s="20"/>
      <c r="AE247" s="68"/>
      <c r="AF247" s="68"/>
      <c r="AG247" s="20"/>
      <c r="AH247" s="232"/>
    </row>
    <row r="248" spans="1:34" s="16" customFormat="1">
      <c r="A248" s="17"/>
      <c r="B248" s="17"/>
      <c r="C248" s="17"/>
      <c r="D248" s="17"/>
      <c r="E248" s="17"/>
      <c r="F248" s="302"/>
      <c r="G248" s="19"/>
      <c r="H248" s="64"/>
      <c r="I248" s="20"/>
      <c r="J248" s="68"/>
      <c r="K248" s="66"/>
      <c r="L248" s="66"/>
      <c r="M248" s="68"/>
      <c r="N248" s="68"/>
      <c r="O248" s="66"/>
      <c r="P248" s="66"/>
      <c r="Q248" s="66"/>
      <c r="R248" s="66"/>
      <c r="S248" s="68"/>
      <c r="T248" s="66"/>
      <c r="U248" s="66"/>
      <c r="V248" s="313"/>
      <c r="W248" s="314"/>
      <c r="X248" s="314"/>
      <c r="Y248" s="68"/>
      <c r="Z248" s="20"/>
      <c r="AA248" s="20"/>
      <c r="AB248" s="20"/>
      <c r="AC248" s="20"/>
      <c r="AD248" s="20"/>
      <c r="AE248" s="68"/>
      <c r="AF248" s="68"/>
      <c r="AG248" s="20"/>
      <c r="AH248" s="232"/>
    </row>
    <row r="249" spans="1:34" s="16" customFormat="1">
      <c r="A249" s="17"/>
      <c r="B249" s="17"/>
      <c r="C249" s="17"/>
      <c r="D249" s="17"/>
      <c r="E249" s="17"/>
      <c r="F249" s="302"/>
      <c r="G249" s="19"/>
      <c r="H249" s="64"/>
      <c r="I249" s="20"/>
      <c r="J249" s="68"/>
      <c r="K249" s="66"/>
      <c r="L249" s="66"/>
      <c r="M249" s="68"/>
      <c r="N249" s="68"/>
      <c r="O249" s="66"/>
      <c r="P249" s="66"/>
      <c r="Q249" s="66"/>
      <c r="R249" s="66"/>
      <c r="S249" s="68"/>
      <c r="T249" s="66"/>
      <c r="U249" s="66"/>
      <c r="V249" s="313"/>
      <c r="W249" s="314"/>
      <c r="X249" s="314"/>
      <c r="Y249" s="68"/>
      <c r="Z249" s="20"/>
      <c r="AA249" s="20"/>
      <c r="AB249" s="20"/>
      <c r="AC249" s="20"/>
      <c r="AD249" s="20"/>
      <c r="AE249" s="68"/>
      <c r="AF249" s="68"/>
      <c r="AG249" s="20"/>
      <c r="AH249" s="232"/>
    </row>
    <row r="250" spans="1:34" s="16" customFormat="1">
      <c r="A250" s="17"/>
      <c r="B250" s="17"/>
      <c r="C250" s="17"/>
      <c r="D250" s="17"/>
      <c r="E250" s="17"/>
      <c r="F250" s="302"/>
      <c r="G250" s="19"/>
      <c r="H250" s="64"/>
      <c r="I250" s="20"/>
      <c r="J250" s="68"/>
      <c r="K250" s="66"/>
      <c r="L250" s="66"/>
      <c r="M250" s="68"/>
      <c r="N250" s="68"/>
      <c r="O250" s="66"/>
      <c r="P250" s="66"/>
      <c r="Q250" s="66"/>
      <c r="R250" s="66"/>
      <c r="S250" s="68"/>
      <c r="T250" s="66"/>
      <c r="U250" s="66"/>
      <c r="V250" s="313"/>
      <c r="W250" s="314"/>
      <c r="X250" s="314"/>
      <c r="Y250" s="68"/>
      <c r="Z250" s="20"/>
      <c r="AA250" s="20"/>
      <c r="AB250" s="20"/>
      <c r="AC250" s="20"/>
      <c r="AD250" s="20"/>
      <c r="AE250" s="68"/>
      <c r="AF250" s="68"/>
      <c r="AG250" s="20"/>
      <c r="AH250" s="232"/>
    </row>
    <row r="251" spans="1:34" s="16" customFormat="1">
      <c r="A251" s="17"/>
      <c r="B251" s="17"/>
      <c r="C251" s="17"/>
      <c r="D251" s="17"/>
      <c r="E251" s="17"/>
      <c r="F251" s="302"/>
      <c r="G251" s="19"/>
      <c r="H251" s="64"/>
      <c r="I251" s="20"/>
      <c r="J251" s="68"/>
      <c r="K251" s="66"/>
      <c r="L251" s="66"/>
      <c r="M251" s="68"/>
      <c r="N251" s="68"/>
      <c r="O251" s="66"/>
      <c r="P251" s="66"/>
      <c r="Q251" s="66"/>
      <c r="R251" s="66"/>
      <c r="S251" s="68"/>
      <c r="T251" s="66"/>
      <c r="U251" s="66"/>
      <c r="V251" s="313"/>
      <c r="W251" s="314"/>
      <c r="X251" s="314"/>
      <c r="Y251" s="68"/>
      <c r="Z251" s="20"/>
      <c r="AA251" s="20"/>
      <c r="AB251" s="20"/>
      <c r="AC251" s="20"/>
      <c r="AD251" s="20"/>
      <c r="AE251" s="68"/>
      <c r="AF251" s="68"/>
      <c r="AG251" s="20"/>
      <c r="AH251" s="232"/>
    </row>
    <row r="252" spans="1:34" s="16" customFormat="1">
      <c r="A252" s="17"/>
      <c r="B252" s="17"/>
      <c r="C252" s="17"/>
      <c r="D252" s="17"/>
      <c r="E252" s="17"/>
      <c r="F252" s="302"/>
      <c r="G252" s="19"/>
      <c r="H252" s="64"/>
      <c r="I252" s="20"/>
      <c r="J252" s="68"/>
      <c r="K252" s="66"/>
      <c r="L252" s="66"/>
      <c r="M252" s="68"/>
      <c r="N252" s="68"/>
      <c r="O252" s="66"/>
      <c r="P252" s="66"/>
      <c r="Q252" s="66"/>
      <c r="R252" s="66"/>
      <c r="S252" s="68"/>
      <c r="T252" s="66"/>
      <c r="U252" s="66"/>
      <c r="V252" s="313"/>
      <c r="W252" s="314"/>
      <c r="X252" s="314"/>
      <c r="Y252" s="68"/>
      <c r="Z252" s="20"/>
      <c r="AA252" s="20"/>
      <c r="AB252" s="20"/>
      <c r="AC252" s="20"/>
      <c r="AD252" s="20"/>
      <c r="AE252" s="68"/>
      <c r="AF252" s="68"/>
      <c r="AG252" s="20"/>
      <c r="AH252" s="232"/>
    </row>
    <row r="253" spans="1:34" s="16" customFormat="1">
      <c r="A253" s="17"/>
      <c r="B253" s="17"/>
      <c r="C253" s="17"/>
      <c r="D253" s="17"/>
      <c r="E253" s="17"/>
      <c r="F253" s="302"/>
      <c r="G253" s="19"/>
      <c r="H253" s="64"/>
      <c r="I253" s="20"/>
      <c r="J253" s="68"/>
      <c r="K253" s="66"/>
      <c r="L253" s="66"/>
      <c r="M253" s="68"/>
      <c r="N253" s="68"/>
      <c r="O253" s="66"/>
      <c r="P253" s="66"/>
      <c r="Q253" s="66"/>
      <c r="R253" s="66"/>
      <c r="S253" s="68"/>
      <c r="T253" s="66"/>
      <c r="U253" s="66"/>
      <c r="V253" s="313"/>
      <c r="W253" s="314"/>
      <c r="X253" s="314"/>
      <c r="Y253" s="68"/>
      <c r="Z253" s="20"/>
      <c r="AA253" s="20"/>
      <c r="AB253" s="20"/>
      <c r="AC253" s="20"/>
      <c r="AD253" s="20"/>
      <c r="AE253" s="68"/>
      <c r="AF253" s="68"/>
      <c r="AG253" s="20"/>
      <c r="AH253" s="232"/>
    </row>
    <row r="254" spans="1:34" s="16" customFormat="1">
      <c r="A254" s="17"/>
      <c r="B254" s="17"/>
      <c r="C254" s="17"/>
      <c r="D254" s="17"/>
      <c r="E254" s="17"/>
      <c r="F254" s="302"/>
      <c r="G254" s="19"/>
      <c r="H254" s="64"/>
      <c r="I254" s="20"/>
      <c r="J254" s="68"/>
      <c r="K254" s="66"/>
      <c r="L254" s="66"/>
      <c r="M254" s="68"/>
      <c r="N254" s="68"/>
      <c r="O254" s="66"/>
      <c r="P254" s="66"/>
      <c r="Q254" s="66"/>
      <c r="R254" s="66"/>
      <c r="S254" s="68"/>
      <c r="T254" s="66"/>
      <c r="U254" s="66"/>
      <c r="V254" s="313"/>
      <c r="W254" s="314"/>
      <c r="X254" s="314"/>
      <c r="Y254" s="68"/>
      <c r="Z254" s="20"/>
      <c r="AA254" s="20"/>
      <c r="AB254" s="20"/>
      <c r="AC254" s="20"/>
      <c r="AD254" s="20"/>
      <c r="AE254" s="68"/>
      <c r="AF254" s="68"/>
      <c r="AG254" s="20"/>
      <c r="AH254" s="232"/>
    </row>
    <row r="255" spans="1:34" s="16" customFormat="1">
      <c r="A255" s="17"/>
      <c r="B255" s="17"/>
      <c r="C255" s="17"/>
      <c r="D255" s="17"/>
      <c r="E255" s="17"/>
      <c r="F255" s="302"/>
      <c r="G255" s="19"/>
      <c r="H255" s="64"/>
      <c r="I255" s="20"/>
      <c r="J255" s="68"/>
      <c r="K255" s="66"/>
      <c r="L255" s="66"/>
      <c r="M255" s="68"/>
      <c r="N255" s="68"/>
      <c r="O255" s="66"/>
      <c r="P255" s="66"/>
      <c r="Q255" s="66"/>
      <c r="R255" s="66"/>
      <c r="S255" s="68"/>
      <c r="T255" s="66"/>
      <c r="U255" s="66"/>
      <c r="V255" s="313"/>
      <c r="W255" s="314"/>
      <c r="X255" s="314"/>
      <c r="Y255" s="68"/>
      <c r="Z255" s="20"/>
      <c r="AA255" s="20"/>
      <c r="AB255" s="20"/>
      <c r="AC255" s="20"/>
      <c r="AD255" s="20"/>
      <c r="AE255" s="68"/>
      <c r="AF255" s="68"/>
      <c r="AG255" s="20"/>
      <c r="AH255" s="232"/>
    </row>
    <row r="256" spans="1:34" s="16" customFormat="1">
      <c r="A256" s="17"/>
      <c r="B256" s="17"/>
      <c r="C256" s="17"/>
      <c r="D256" s="17"/>
      <c r="E256" s="17"/>
      <c r="F256" s="302"/>
      <c r="G256" s="19"/>
      <c r="H256" s="64"/>
      <c r="I256" s="20"/>
      <c r="J256" s="68"/>
      <c r="K256" s="66"/>
      <c r="L256" s="66"/>
      <c r="M256" s="68"/>
      <c r="N256" s="68"/>
      <c r="O256" s="66"/>
      <c r="P256" s="66"/>
      <c r="Q256" s="66"/>
      <c r="R256" s="66"/>
      <c r="S256" s="68"/>
      <c r="T256" s="66"/>
      <c r="U256" s="66"/>
      <c r="V256" s="313"/>
      <c r="W256" s="314"/>
      <c r="X256" s="314"/>
      <c r="Y256" s="68"/>
      <c r="Z256" s="20"/>
      <c r="AA256" s="20"/>
      <c r="AB256" s="20"/>
      <c r="AC256" s="20"/>
      <c r="AD256" s="20"/>
      <c r="AE256" s="68"/>
      <c r="AF256" s="68"/>
      <c r="AG256" s="20"/>
      <c r="AH256" s="232"/>
    </row>
    <row r="257" spans="1:34" s="16" customFormat="1">
      <c r="A257" s="17"/>
      <c r="B257" s="17"/>
      <c r="C257" s="17"/>
      <c r="D257" s="17"/>
      <c r="E257" s="17"/>
      <c r="F257" s="302"/>
      <c r="G257" s="19"/>
      <c r="H257" s="64"/>
      <c r="I257" s="20"/>
      <c r="J257" s="68"/>
      <c r="K257" s="66"/>
      <c r="L257" s="66"/>
      <c r="M257" s="68"/>
      <c r="N257" s="68"/>
      <c r="O257" s="66"/>
      <c r="P257" s="66"/>
      <c r="Q257" s="66"/>
      <c r="R257" s="66"/>
      <c r="S257" s="68"/>
      <c r="T257" s="66"/>
      <c r="U257" s="66"/>
      <c r="V257" s="313"/>
      <c r="W257" s="314"/>
      <c r="X257" s="314"/>
      <c r="Y257" s="68"/>
      <c r="Z257" s="20"/>
      <c r="AA257" s="20"/>
      <c r="AB257" s="20"/>
      <c r="AC257" s="20"/>
      <c r="AD257" s="20"/>
      <c r="AE257" s="68"/>
      <c r="AF257" s="68"/>
      <c r="AG257" s="20"/>
      <c r="AH257" s="232"/>
    </row>
    <row r="258" spans="1:34" s="16" customFormat="1">
      <c r="A258" s="17"/>
      <c r="B258" s="17"/>
      <c r="C258" s="17"/>
      <c r="D258" s="17"/>
      <c r="E258" s="17"/>
      <c r="F258" s="302"/>
      <c r="G258" s="19"/>
      <c r="H258" s="64"/>
      <c r="I258" s="20"/>
      <c r="J258" s="68"/>
      <c r="K258" s="66"/>
      <c r="L258" s="66"/>
      <c r="M258" s="68"/>
      <c r="N258" s="68"/>
      <c r="O258" s="66"/>
      <c r="P258" s="66"/>
      <c r="Q258" s="66"/>
      <c r="R258" s="66"/>
      <c r="S258" s="68"/>
      <c r="T258" s="66"/>
      <c r="U258" s="66"/>
      <c r="V258" s="313"/>
      <c r="W258" s="314"/>
      <c r="X258" s="314"/>
      <c r="Y258" s="68"/>
      <c r="Z258" s="20"/>
      <c r="AA258" s="20"/>
      <c r="AB258" s="20"/>
      <c r="AC258" s="20"/>
      <c r="AD258" s="20"/>
      <c r="AE258" s="68"/>
      <c r="AF258" s="68"/>
      <c r="AG258" s="20"/>
      <c r="AH258" s="232"/>
    </row>
    <row r="259" spans="1:34" s="16" customFormat="1">
      <c r="A259" s="17"/>
      <c r="B259" s="17"/>
      <c r="C259" s="17"/>
      <c r="D259" s="17"/>
      <c r="E259" s="17"/>
      <c r="F259" s="302"/>
      <c r="G259" s="19"/>
      <c r="H259" s="64"/>
      <c r="I259" s="20"/>
      <c r="J259" s="68"/>
      <c r="K259" s="66"/>
      <c r="L259" s="66"/>
      <c r="M259" s="68"/>
      <c r="N259" s="68"/>
      <c r="O259" s="66"/>
      <c r="P259" s="66"/>
      <c r="Q259" s="66"/>
      <c r="R259" s="66"/>
      <c r="S259" s="68"/>
      <c r="T259" s="66"/>
      <c r="U259" s="66"/>
      <c r="V259" s="313"/>
      <c r="W259" s="314"/>
      <c r="X259" s="314"/>
      <c r="Y259" s="68"/>
      <c r="Z259" s="20"/>
      <c r="AA259" s="20"/>
      <c r="AB259" s="20"/>
      <c r="AC259" s="20"/>
      <c r="AD259" s="20"/>
      <c r="AE259" s="68"/>
      <c r="AF259" s="68"/>
      <c r="AG259" s="20"/>
      <c r="AH259" s="232"/>
    </row>
    <row r="260" spans="1:34" s="16" customFormat="1">
      <c r="A260" s="17"/>
      <c r="B260" s="17"/>
      <c r="C260" s="17"/>
      <c r="D260" s="17"/>
      <c r="E260" s="17"/>
      <c r="F260" s="302"/>
      <c r="G260" s="19"/>
      <c r="H260" s="64"/>
      <c r="I260" s="20"/>
      <c r="J260" s="68"/>
      <c r="K260" s="66"/>
      <c r="L260" s="66"/>
      <c r="M260" s="68"/>
      <c r="N260" s="68"/>
      <c r="O260" s="66"/>
      <c r="P260" s="66"/>
      <c r="Q260" s="66"/>
      <c r="R260" s="66"/>
      <c r="S260" s="68"/>
      <c r="T260" s="66"/>
      <c r="U260" s="66"/>
      <c r="V260" s="313"/>
      <c r="W260" s="314"/>
      <c r="X260" s="314"/>
      <c r="Y260" s="68"/>
      <c r="Z260" s="20"/>
      <c r="AA260" s="20"/>
      <c r="AB260" s="20"/>
      <c r="AC260" s="20"/>
      <c r="AD260" s="20"/>
      <c r="AE260" s="68"/>
      <c r="AF260" s="68"/>
      <c r="AG260" s="20"/>
      <c r="AH260" s="232"/>
    </row>
    <row r="261" spans="1:34" s="16" customFormat="1">
      <c r="A261" s="17"/>
      <c r="B261" s="17"/>
      <c r="C261" s="17"/>
      <c r="D261" s="17"/>
      <c r="E261" s="17"/>
      <c r="F261" s="302"/>
      <c r="G261" s="19"/>
      <c r="H261" s="64"/>
      <c r="I261" s="20"/>
      <c r="J261" s="68"/>
      <c r="K261" s="66"/>
      <c r="L261" s="66"/>
      <c r="M261" s="68"/>
      <c r="N261" s="68"/>
      <c r="O261" s="66"/>
      <c r="P261" s="66"/>
      <c r="Q261" s="66"/>
      <c r="R261" s="66"/>
      <c r="S261" s="68"/>
      <c r="T261" s="66"/>
      <c r="U261" s="66"/>
      <c r="V261" s="313"/>
      <c r="W261" s="314"/>
      <c r="X261" s="314"/>
      <c r="Y261" s="68"/>
      <c r="Z261" s="20"/>
      <c r="AA261" s="20"/>
      <c r="AB261" s="20"/>
      <c r="AC261" s="20"/>
      <c r="AD261" s="20"/>
      <c r="AE261" s="68"/>
      <c r="AF261" s="68"/>
      <c r="AG261" s="20"/>
      <c r="AH261" s="232"/>
    </row>
    <row r="262" spans="1:34" s="16" customFormat="1">
      <c r="A262" s="17"/>
      <c r="B262" s="17"/>
      <c r="C262" s="17"/>
      <c r="D262" s="17"/>
      <c r="E262" s="17"/>
      <c r="F262" s="302"/>
      <c r="G262" s="19"/>
      <c r="H262" s="64"/>
      <c r="I262" s="20"/>
      <c r="J262" s="68"/>
      <c r="K262" s="66"/>
      <c r="L262" s="66"/>
      <c r="M262" s="68"/>
      <c r="N262" s="68"/>
      <c r="O262" s="66"/>
      <c r="P262" s="66"/>
      <c r="Q262" s="66"/>
      <c r="R262" s="66"/>
      <c r="S262" s="68"/>
      <c r="T262" s="66"/>
      <c r="U262" s="66"/>
      <c r="V262" s="313"/>
      <c r="W262" s="314"/>
      <c r="X262" s="314"/>
      <c r="Y262" s="68"/>
      <c r="Z262" s="20"/>
      <c r="AA262" s="20"/>
      <c r="AB262" s="20"/>
      <c r="AC262" s="20"/>
      <c r="AD262" s="20"/>
      <c r="AE262" s="68"/>
      <c r="AF262" s="68"/>
      <c r="AG262" s="20"/>
      <c r="AH262" s="232"/>
    </row>
    <row r="263" spans="1:34" s="16" customFormat="1">
      <c r="A263" s="17"/>
      <c r="B263" s="17"/>
      <c r="C263" s="17"/>
      <c r="D263" s="17"/>
      <c r="E263" s="17"/>
      <c r="F263" s="302"/>
      <c r="G263" s="19"/>
      <c r="H263" s="64"/>
      <c r="I263" s="20"/>
      <c r="J263" s="68"/>
      <c r="K263" s="66"/>
      <c r="L263" s="66"/>
      <c r="M263" s="68"/>
      <c r="N263" s="68"/>
      <c r="O263" s="66"/>
      <c r="P263" s="66"/>
      <c r="Q263" s="66"/>
      <c r="R263" s="66"/>
      <c r="S263" s="68"/>
      <c r="T263" s="66"/>
      <c r="U263" s="66"/>
      <c r="V263" s="313"/>
      <c r="W263" s="314"/>
      <c r="X263" s="314"/>
      <c r="Y263" s="68"/>
      <c r="Z263" s="20"/>
      <c r="AA263" s="20"/>
      <c r="AB263" s="20"/>
      <c r="AC263" s="20"/>
      <c r="AD263" s="20"/>
      <c r="AE263" s="68"/>
      <c r="AF263" s="68"/>
      <c r="AG263" s="20"/>
      <c r="AH263" s="232"/>
    </row>
    <row r="264" spans="1:34" s="16" customFormat="1">
      <c r="A264" s="17"/>
      <c r="B264" s="17"/>
      <c r="C264" s="17"/>
      <c r="D264" s="17"/>
      <c r="E264" s="17"/>
      <c r="F264" s="302"/>
      <c r="G264" s="19"/>
      <c r="H264" s="64"/>
      <c r="I264" s="20"/>
      <c r="J264" s="68"/>
      <c r="K264" s="66"/>
      <c r="L264" s="66"/>
      <c r="M264" s="68"/>
      <c r="N264" s="68"/>
      <c r="O264" s="66"/>
      <c r="P264" s="66"/>
      <c r="Q264" s="66"/>
      <c r="R264" s="66"/>
      <c r="S264" s="68"/>
      <c r="T264" s="66"/>
      <c r="U264" s="66"/>
      <c r="V264" s="313"/>
      <c r="W264" s="314"/>
      <c r="X264" s="314"/>
      <c r="Y264" s="68"/>
      <c r="Z264" s="20"/>
      <c r="AA264" s="20"/>
      <c r="AB264" s="20"/>
      <c r="AC264" s="20"/>
      <c r="AD264" s="20"/>
      <c r="AE264" s="68"/>
      <c r="AF264" s="68"/>
      <c r="AG264" s="20"/>
      <c r="AH264" s="232"/>
    </row>
    <row r="265" spans="1:34" s="16" customFormat="1">
      <c r="A265" s="17"/>
      <c r="B265" s="17"/>
      <c r="C265" s="17"/>
      <c r="D265" s="17"/>
      <c r="E265" s="17"/>
      <c r="F265" s="302"/>
      <c r="G265" s="19"/>
      <c r="H265" s="64"/>
      <c r="I265" s="20"/>
      <c r="J265" s="68"/>
      <c r="K265" s="66"/>
      <c r="L265" s="66"/>
      <c r="M265" s="68"/>
      <c r="N265" s="68"/>
      <c r="O265" s="66"/>
      <c r="P265" s="66"/>
      <c r="Q265" s="66"/>
      <c r="R265" s="66"/>
      <c r="S265" s="68"/>
      <c r="T265" s="66"/>
      <c r="U265" s="66"/>
      <c r="V265" s="313"/>
      <c r="W265" s="314"/>
      <c r="X265" s="314"/>
      <c r="Y265" s="68"/>
      <c r="Z265" s="20"/>
      <c r="AA265" s="20"/>
      <c r="AB265" s="20"/>
      <c r="AC265" s="20"/>
      <c r="AD265" s="20"/>
      <c r="AE265" s="68"/>
      <c r="AF265" s="68"/>
      <c r="AG265" s="20"/>
      <c r="AH265" s="232"/>
    </row>
    <row r="266" spans="1:34" s="16" customFormat="1">
      <c r="A266" s="17"/>
      <c r="B266" s="17"/>
      <c r="C266" s="17"/>
      <c r="D266" s="17"/>
      <c r="E266" s="17"/>
      <c r="F266" s="302"/>
      <c r="G266" s="19"/>
      <c r="H266" s="64"/>
      <c r="I266" s="20"/>
      <c r="J266" s="68"/>
      <c r="K266" s="66"/>
      <c r="L266" s="66"/>
      <c r="M266" s="68"/>
      <c r="N266" s="68"/>
      <c r="O266" s="66"/>
      <c r="P266" s="66"/>
      <c r="Q266" s="66"/>
      <c r="R266" s="66"/>
      <c r="S266" s="68"/>
      <c r="T266" s="66"/>
      <c r="U266" s="66"/>
      <c r="V266" s="313"/>
      <c r="W266" s="314"/>
      <c r="X266" s="314"/>
      <c r="Y266" s="68"/>
      <c r="Z266" s="20"/>
      <c r="AA266" s="20"/>
      <c r="AB266" s="20"/>
      <c r="AC266" s="20"/>
      <c r="AD266" s="20"/>
      <c r="AE266" s="68"/>
      <c r="AF266" s="68"/>
      <c r="AG266" s="20"/>
      <c r="AH266" s="232"/>
    </row>
    <row r="267" spans="1:34" s="16" customFormat="1">
      <c r="A267" s="17"/>
      <c r="B267" s="17"/>
      <c r="C267" s="17"/>
      <c r="D267" s="17"/>
      <c r="E267" s="17"/>
      <c r="F267" s="302"/>
      <c r="G267" s="19"/>
      <c r="H267" s="64"/>
      <c r="I267" s="20"/>
      <c r="J267" s="68"/>
      <c r="K267" s="66"/>
      <c r="L267" s="66"/>
      <c r="M267" s="68"/>
      <c r="N267" s="68"/>
      <c r="O267" s="66"/>
      <c r="P267" s="66"/>
      <c r="Q267" s="66"/>
      <c r="R267" s="66"/>
      <c r="S267" s="68"/>
      <c r="T267" s="66"/>
      <c r="U267" s="66"/>
      <c r="V267" s="313"/>
      <c r="W267" s="314"/>
      <c r="X267" s="314"/>
      <c r="Y267" s="68"/>
      <c r="Z267" s="20"/>
      <c r="AA267" s="20"/>
      <c r="AB267" s="20"/>
      <c r="AC267" s="20"/>
      <c r="AD267" s="20"/>
      <c r="AE267" s="68"/>
      <c r="AF267" s="68"/>
      <c r="AG267" s="20"/>
      <c r="AH267" s="232"/>
    </row>
    <row r="268" spans="1:34" s="16" customFormat="1">
      <c r="A268" s="17"/>
      <c r="B268" s="17"/>
      <c r="C268" s="17"/>
      <c r="D268" s="17"/>
      <c r="E268" s="17"/>
      <c r="F268" s="302"/>
      <c r="G268" s="19"/>
      <c r="H268" s="64"/>
      <c r="I268" s="20"/>
      <c r="J268" s="68"/>
      <c r="K268" s="66"/>
      <c r="L268" s="66"/>
      <c r="M268" s="68"/>
      <c r="N268" s="68"/>
      <c r="O268" s="66"/>
      <c r="P268" s="66"/>
      <c r="Q268" s="66"/>
      <c r="R268" s="66"/>
      <c r="S268" s="68"/>
      <c r="T268" s="66"/>
      <c r="U268" s="66"/>
      <c r="V268" s="313"/>
      <c r="W268" s="314"/>
      <c r="X268" s="314"/>
      <c r="Y268" s="68"/>
      <c r="Z268" s="20"/>
      <c r="AA268" s="20"/>
      <c r="AB268" s="20"/>
      <c r="AC268" s="20"/>
      <c r="AD268" s="20"/>
      <c r="AE268" s="68"/>
      <c r="AF268" s="68"/>
      <c r="AG268" s="20"/>
      <c r="AH268" s="232"/>
    </row>
    <row r="269" spans="1:34" s="16" customFormat="1">
      <c r="A269" s="17"/>
      <c r="B269" s="17"/>
      <c r="C269" s="17"/>
      <c r="D269" s="17"/>
      <c r="E269" s="17"/>
      <c r="F269" s="302"/>
      <c r="G269" s="19"/>
      <c r="H269" s="64"/>
      <c r="I269" s="20"/>
      <c r="J269" s="68"/>
      <c r="K269" s="66"/>
      <c r="L269" s="66"/>
      <c r="M269" s="68"/>
      <c r="N269" s="68"/>
      <c r="O269" s="66"/>
      <c r="P269" s="66"/>
      <c r="Q269" s="66"/>
      <c r="R269" s="66"/>
      <c r="S269" s="68"/>
      <c r="T269" s="66"/>
      <c r="U269" s="66"/>
      <c r="V269" s="313"/>
      <c r="W269" s="314"/>
      <c r="X269" s="314"/>
      <c r="Y269" s="68"/>
      <c r="Z269" s="20"/>
      <c r="AA269" s="20"/>
      <c r="AB269" s="20"/>
      <c r="AC269" s="20"/>
      <c r="AD269" s="20"/>
      <c r="AE269" s="68"/>
      <c r="AF269" s="68"/>
      <c r="AG269" s="20"/>
      <c r="AH269" s="232"/>
    </row>
    <row r="270" spans="1:34" s="16" customFormat="1">
      <c r="A270" s="17"/>
      <c r="B270" s="17"/>
      <c r="C270" s="17"/>
      <c r="D270" s="17"/>
      <c r="E270" s="17"/>
      <c r="F270" s="302"/>
      <c r="G270" s="19"/>
      <c r="H270" s="64"/>
      <c r="I270" s="20"/>
      <c r="J270" s="68"/>
      <c r="K270" s="66"/>
      <c r="L270" s="66"/>
      <c r="M270" s="68"/>
      <c r="N270" s="68"/>
      <c r="O270" s="66"/>
      <c r="P270" s="66"/>
      <c r="Q270" s="66"/>
      <c r="R270" s="66"/>
      <c r="S270" s="68"/>
      <c r="T270" s="66"/>
      <c r="U270" s="66"/>
      <c r="V270" s="313"/>
      <c r="W270" s="314"/>
      <c r="X270" s="314"/>
      <c r="Y270" s="68"/>
      <c r="Z270" s="20"/>
      <c r="AA270" s="20"/>
      <c r="AB270" s="20"/>
      <c r="AC270" s="20"/>
      <c r="AD270" s="20"/>
      <c r="AE270" s="68"/>
      <c r="AF270" s="68"/>
      <c r="AG270" s="20"/>
      <c r="AH270" s="232"/>
    </row>
    <row r="271" spans="1:34" s="16" customFormat="1">
      <c r="A271" s="17"/>
      <c r="B271" s="17"/>
      <c r="C271" s="17"/>
      <c r="D271" s="17"/>
      <c r="E271" s="17"/>
      <c r="F271" s="302"/>
      <c r="G271" s="19"/>
      <c r="H271" s="64"/>
      <c r="I271" s="20"/>
      <c r="J271" s="68"/>
      <c r="K271" s="66"/>
      <c r="L271" s="66"/>
      <c r="M271" s="68"/>
      <c r="N271" s="68"/>
      <c r="O271" s="66"/>
      <c r="P271" s="66"/>
      <c r="Q271" s="66"/>
      <c r="R271" s="66"/>
      <c r="S271" s="68"/>
      <c r="T271" s="66"/>
      <c r="U271" s="66"/>
      <c r="V271" s="313"/>
      <c r="W271" s="314"/>
      <c r="X271" s="314"/>
      <c r="Y271" s="68"/>
      <c r="Z271" s="20"/>
      <c r="AA271" s="20"/>
      <c r="AB271" s="20"/>
      <c r="AC271" s="20"/>
      <c r="AD271" s="20"/>
      <c r="AE271" s="68"/>
      <c r="AF271" s="68"/>
      <c r="AG271" s="20"/>
      <c r="AH271" s="232"/>
    </row>
    <row r="272" spans="1:34" s="16" customFormat="1">
      <c r="A272" s="17"/>
      <c r="B272" s="17"/>
      <c r="C272" s="17"/>
      <c r="D272" s="17"/>
      <c r="E272" s="17"/>
      <c r="F272" s="302"/>
      <c r="G272" s="19"/>
      <c r="H272" s="64"/>
      <c r="I272" s="20"/>
      <c r="J272" s="68"/>
      <c r="K272" s="66"/>
      <c r="L272" s="66"/>
      <c r="M272" s="68"/>
      <c r="N272" s="68"/>
      <c r="O272" s="66"/>
      <c r="P272" s="66"/>
      <c r="Q272" s="66"/>
      <c r="R272" s="66"/>
      <c r="S272" s="68"/>
      <c r="T272" s="66"/>
      <c r="U272" s="66"/>
      <c r="V272" s="313"/>
      <c r="W272" s="314"/>
      <c r="X272" s="314"/>
      <c r="Y272" s="68"/>
      <c r="Z272" s="20"/>
      <c r="AA272" s="20"/>
      <c r="AB272" s="20"/>
      <c r="AC272" s="20"/>
      <c r="AD272" s="20"/>
      <c r="AE272" s="68"/>
      <c r="AF272" s="68"/>
      <c r="AG272" s="20"/>
      <c r="AH272" s="232"/>
    </row>
    <row r="273" spans="1:34" s="16" customFormat="1">
      <c r="A273" s="17"/>
      <c r="B273" s="17"/>
      <c r="C273" s="17"/>
      <c r="D273" s="17"/>
      <c r="E273" s="17"/>
      <c r="F273" s="302"/>
      <c r="G273" s="19"/>
      <c r="H273" s="64"/>
      <c r="I273" s="20"/>
      <c r="J273" s="68"/>
      <c r="K273" s="66"/>
      <c r="L273" s="66"/>
      <c r="M273" s="68"/>
      <c r="N273" s="68"/>
      <c r="O273" s="66"/>
      <c r="P273" s="66"/>
      <c r="Q273" s="66"/>
      <c r="R273" s="66"/>
      <c r="S273" s="68"/>
      <c r="T273" s="66"/>
      <c r="U273" s="66"/>
      <c r="V273" s="313"/>
      <c r="W273" s="314"/>
      <c r="X273" s="314"/>
      <c r="Y273" s="68"/>
      <c r="Z273" s="20"/>
      <c r="AA273" s="20"/>
      <c r="AB273" s="20"/>
      <c r="AC273" s="20"/>
      <c r="AD273" s="20"/>
      <c r="AE273" s="68"/>
      <c r="AF273" s="68"/>
      <c r="AG273" s="20"/>
      <c r="AH273" s="232"/>
    </row>
    <row r="274" spans="1:34" s="16" customFormat="1">
      <c r="A274" s="17"/>
      <c r="B274" s="17"/>
      <c r="C274" s="17"/>
      <c r="D274" s="17"/>
      <c r="E274" s="17"/>
      <c r="F274" s="302"/>
      <c r="G274" s="19"/>
      <c r="H274" s="64"/>
      <c r="I274" s="20"/>
      <c r="J274" s="68"/>
      <c r="K274" s="66"/>
      <c r="L274" s="66"/>
      <c r="M274" s="68"/>
      <c r="N274" s="68"/>
      <c r="O274" s="66"/>
      <c r="P274" s="66"/>
      <c r="Q274" s="66"/>
      <c r="R274" s="66"/>
      <c r="S274" s="68"/>
      <c r="T274" s="66"/>
      <c r="U274" s="66"/>
      <c r="V274" s="313"/>
      <c r="W274" s="314"/>
      <c r="X274" s="314"/>
      <c r="Y274" s="68"/>
      <c r="Z274" s="20"/>
      <c r="AA274" s="20"/>
      <c r="AB274" s="20"/>
      <c r="AC274" s="20"/>
      <c r="AD274" s="20"/>
      <c r="AE274" s="68"/>
      <c r="AF274" s="68"/>
      <c r="AG274" s="20"/>
      <c r="AH274" s="232"/>
    </row>
    <row r="275" spans="1:34" s="16" customFormat="1">
      <c r="A275" s="17"/>
      <c r="B275" s="17"/>
      <c r="C275" s="17"/>
      <c r="D275" s="17"/>
      <c r="E275" s="17"/>
      <c r="F275" s="302"/>
      <c r="G275" s="19"/>
      <c r="H275" s="64"/>
      <c r="I275" s="20"/>
      <c r="J275" s="68"/>
      <c r="K275" s="66"/>
      <c r="L275" s="66"/>
      <c r="M275" s="68"/>
      <c r="N275" s="68"/>
      <c r="O275" s="66"/>
      <c r="P275" s="66"/>
      <c r="Q275" s="66"/>
      <c r="R275" s="66"/>
      <c r="S275" s="68"/>
      <c r="T275" s="66"/>
      <c r="U275" s="66"/>
      <c r="V275" s="313"/>
      <c r="W275" s="314"/>
      <c r="X275" s="314"/>
      <c r="Y275" s="68"/>
      <c r="Z275" s="20"/>
      <c r="AA275" s="20"/>
      <c r="AB275" s="20"/>
      <c r="AC275" s="20"/>
      <c r="AD275" s="20"/>
      <c r="AE275" s="68"/>
      <c r="AF275" s="68"/>
      <c r="AG275" s="20"/>
      <c r="AH275" s="232"/>
    </row>
    <row r="276" spans="1:34" s="16" customFormat="1">
      <c r="A276" s="17"/>
      <c r="B276" s="17"/>
      <c r="C276" s="17"/>
      <c r="D276" s="17"/>
      <c r="E276" s="17"/>
      <c r="F276" s="302"/>
      <c r="G276" s="19"/>
      <c r="H276" s="64"/>
      <c r="I276" s="20"/>
      <c r="J276" s="68"/>
      <c r="K276" s="66"/>
      <c r="L276" s="66"/>
      <c r="M276" s="68"/>
      <c r="N276" s="68"/>
      <c r="O276" s="66"/>
      <c r="P276" s="66"/>
      <c r="Q276" s="66"/>
      <c r="R276" s="66"/>
      <c r="S276" s="68"/>
      <c r="T276" s="66"/>
      <c r="U276" s="66"/>
      <c r="V276" s="313"/>
      <c r="W276" s="314"/>
      <c r="X276" s="314"/>
      <c r="Y276" s="68"/>
      <c r="Z276" s="20"/>
      <c r="AA276" s="20"/>
      <c r="AB276" s="20"/>
      <c r="AC276" s="20"/>
      <c r="AD276" s="20"/>
      <c r="AE276" s="68"/>
      <c r="AF276" s="68"/>
      <c r="AG276" s="20"/>
      <c r="AH276" s="232"/>
    </row>
    <row r="277" spans="1:34" s="16" customFormat="1">
      <c r="A277" s="17"/>
      <c r="B277" s="17"/>
      <c r="C277" s="17"/>
      <c r="D277" s="17"/>
      <c r="E277" s="17"/>
      <c r="F277" s="302"/>
      <c r="G277" s="19"/>
      <c r="H277" s="64"/>
      <c r="I277" s="20"/>
      <c r="J277" s="68"/>
      <c r="K277" s="66"/>
      <c r="L277" s="66"/>
      <c r="M277" s="68"/>
      <c r="N277" s="68"/>
      <c r="O277" s="66"/>
      <c r="P277" s="66"/>
      <c r="Q277" s="66"/>
      <c r="R277" s="66"/>
      <c r="S277" s="68"/>
      <c r="T277" s="66"/>
      <c r="U277" s="66"/>
      <c r="V277" s="313"/>
      <c r="W277" s="314"/>
      <c r="X277" s="314"/>
      <c r="Y277" s="68"/>
      <c r="Z277" s="20"/>
      <c r="AA277" s="20"/>
      <c r="AB277" s="20"/>
      <c r="AC277" s="20"/>
      <c r="AD277" s="20"/>
      <c r="AE277" s="68"/>
      <c r="AF277" s="68"/>
      <c r="AG277" s="20"/>
      <c r="AH277" s="232"/>
    </row>
    <row r="278" spans="1:34" s="16" customFormat="1">
      <c r="A278" s="17"/>
      <c r="B278" s="17"/>
      <c r="C278" s="17"/>
      <c r="D278" s="17"/>
      <c r="E278" s="17"/>
      <c r="F278" s="302"/>
      <c r="G278" s="19"/>
      <c r="H278" s="64"/>
      <c r="I278" s="20"/>
      <c r="J278" s="68"/>
      <c r="K278" s="66"/>
      <c r="L278" s="66"/>
      <c r="M278" s="68"/>
      <c r="N278" s="68"/>
      <c r="O278" s="66"/>
      <c r="P278" s="66"/>
      <c r="Q278" s="66"/>
      <c r="R278" s="66"/>
      <c r="S278" s="68"/>
      <c r="T278" s="66"/>
      <c r="U278" s="66"/>
      <c r="V278" s="313"/>
      <c r="W278" s="314"/>
      <c r="X278" s="314"/>
      <c r="Y278" s="68"/>
      <c r="Z278" s="20"/>
      <c r="AA278" s="20"/>
      <c r="AB278" s="20"/>
      <c r="AC278" s="20"/>
      <c r="AD278" s="20"/>
      <c r="AE278" s="68"/>
      <c r="AF278" s="68"/>
      <c r="AG278" s="20"/>
      <c r="AH278" s="232"/>
    </row>
    <row r="279" spans="1:34" s="16" customFormat="1">
      <c r="A279" s="17"/>
      <c r="B279" s="17"/>
      <c r="C279" s="17"/>
      <c r="D279" s="17"/>
      <c r="E279" s="17"/>
      <c r="F279" s="302"/>
      <c r="G279" s="19"/>
      <c r="H279" s="64"/>
      <c r="I279" s="20"/>
      <c r="J279" s="68"/>
      <c r="K279" s="66"/>
      <c r="L279" s="66"/>
      <c r="M279" s="68"/>
      <c r="N279" s="68"/>
      <c r="O279" s="66"/>
      <c r="P279" s="66"/>
      <c r="Q279" s="66"/>
      <c r="R279" s="66"/>
      <c r="S279" s="68"/>
      <c r="T279" s="66"/>
      <c r="U279" s="66"/>
      <c r="V279" s="313"/>
      <c r="W279" s="314"/>
      <c r="X279" s="314"/>
      <c r="Y279" s="68"/>
      <c r="Z279" s="20"/>
      <c r="AA279" s="20"/>
      <c r="AB279" s="20"/>
      <c r="AC279" s="20"/>
      <c r="AD279" s="20"/>
      <c r="AE279" s="68"/>
      <c r="AF279" s="68"/>
      <c r="AG279" s="20"/>
      <c r="AH279" s="232"/>
    </row>
    <row r="280" spans="1:34" s="16" customFormat="1">
      <c r="A280" s="17"/>
      <c r="B280" s="17"/>
      <c r="C280" s="17"/>
      <c r="D280" s="17"/>
      <c r="E280" s="17"/>
      <c r="F280" s="302"/>
      <c r="G280" s="19"/>
      <c r="H280" s="64"/>
      <c r="I280" s="20"/>
      <c r="J280" s="68"/>
      <c r="K280" s="66"/>
      <c r="L280" s="66"/>
      <c r="M280" s="68"/>
      <c r="N280" s="68"/>
      <c r="O280" s="66"/>
      <c r="P280" s="66"/>
      <c r="Q280" s="66"/>
      <c r="R280" s="66"/>
      <c r="S280" s="68"/>
      <c r="T280" s="66"/>
      <c r="U280" s="66"/>
      <c r="V280" s="313"/>
      <c r="W280" s="314"/>
      <c r="X280" s="314"/>
      <c r="Y280" s="68"/>
      <c r="Z280" s="20"/>
      <c r="AA280" s="20"/>
      <c r="AB280" s="20"/>
      <c r="AC280" s="20"/>
      <c r="AD280" s="20"/>
      <c r="AE280" s="68"/>
      <c r="AF280" s="68"/>
      <c r="AG280" s="20"/>
      <c r="AH280" s="232"/>
    </row>
    <row r="281" spans="1:34" s="16" customFormat="1">
      <c r="A281" s="17"/>
      <c r="B281" s="17"/>
      <c r="C281" s="17"/>
      <c r="D281" s="17"/>
      <c r="E281" s="17"/>
      <c r="F281" s="302"/>
      <c r="G281" s="19"/>
      <c r="H281" s="64"/>
      <c r="I281" s="20"/>
      <c r="J281" s="68"/>
      <c r="K281" s="66"/>
      <c r="L281" s="66"/>
      <c r="M281" s="68"/>
      <c r="N281" s="68"/>
      <c r="O281" s="66"/>
      <c r="P281" s="66"/>
      <c r="Q281" s="66"/>
      <c r="R281" s="66"/>
      <c r="S281" s="68"/>
      <c r="T281" s="66"/>
      <c r="U281" s="66"/>
      <c r="V281" s="313"/>
      <c r="W281" s="314"/>
      <c r="X281" s="314"/>
      <c r="Y281" s="68"/>
      <c r="Z281" s="20"/>
      <c r="AA281" s="20"/>
      <c r="AB281" s="20"/>
      <c r="AC281" s="20"/>
      <c r="AD281" s="20"/>
      <c r="AE281" s="68"/>
      <c r="AF281" s="68"/>
      <c r="AG281" s="20"/>
      <c r="AH281" s="232"/>
    </row>
    <row r="282" spans="1:34" s="16" customFormat="1">
      <c r="A282" s="17"/>
      <c r="B282" s="17"/>
      <c r="C282" s="17"/>
      <c r="D282" s="17"/>
      <c r="E282" s="17"/>
      <c r="F282" s="302"/>
      <c r="G282" s="19"/>
      <c r="H282" s="64"/>
      <c r="I282" s="20"/>
      <c r="J282" s="68"/>
      <c r="K282" s="66"/>
      <c r="L282" s="66"/>
      <c r="M282" s="68"/>
      <c r="N282" s="68"/>
      <c r="O282" s="66"/>
      <c r="P282" s="66"/>
      <c r="Q282" s="66"/>
      <c r="R282" s="66"/>
      <c r="S282" s="68"/>
      <c r="T282" s="66"/>
      <c r="U282" s="66"/>
      <c r="V282" s="313"/>
      <c r="W282" s="314"/>
      <c r="X282" s="314"/>
      <c r="Y282" s="68"/>
      <c r="Z282" s="20"/>
      <c r="AA282" s="20"/>
      <c r="AB282" s="20"/>
      <c r="AC282" s="20"/>
      <c r="AD282" s="20"/>
      <c r="AE282" s="68"/>
      <c r="AF282" s="68"/>
      <c r="AG282" s="20"/>
      <c r="AH282" s="232"/>
    </row>
    <row r="283" spans="1:34" s="16" customFormat="1">
      <c r="A283" s="17"/>
      <c r="B283" s="17"/>
      <c r="C283" s="17"/>
      <c r="D283" s="17"/>
      <c r="E283" s="17"/>
      <c r="F283" s="302"/>
      <c r="G283" s="19"/>
      <c r="H283" s="64"/>
      <c r="I283" s="20"/>
      <c r="J283" s="68"/>
      <c r="K283" s="66"/>
      <c r="L283" s="66"/>
      <c r="M283" s="68"/>
      <c r="N283" s="68"/>
      <c r="O283" s="66"/>
      <c r="P283" s="66"/>
      <c r="Q283" s="66"/>
      <c r="R283" s="66"/>
      <c r="S283" s="68"/>
      <c r="T283" s="66"/>
      <c r="U283" s="66"/>
      <c r="V283" s="313"/>
      <c r="W283" s="314"/>
      <c r="X283" s="314"/>
      <c r="Y283" s="68"/>
      <c r="Z283" s="20"/>
      <c r="AA283" s="20"/>
      <c r="AB283" s="20"/>
      <c r="AC283" s="20"/>
      <c r="AD283" s="20"/>
      <c r="AE283" s="68"/>
      <c r="AF283" s="68"/>
      <c r="AG283" s="20"/>
      <c r="AH283" s="232"/>
    </row>
    <row r="284" spans="1:34" s="16" customFormat="1">
      <c r="A284" s="17"/>
      <c r="B284" s="17"/>
      <c r="C284" s="17"/>
      <c r="D284" s="17"/>
      <c r="E284" s="17"/>
      <c r="F284" s="302"/>
      <c r="G284" s="19"/>
      <c r="H284" s="64"/>
      <c r="I284" s="20"/>
      <c r="J284" s="68"/>
      <c r="K284" s="66"/>
      <c r="L284" s="66"/>
      <c r="M284" s="68"/>
      <c r="N284" s="68"/>
      <c r="O284" s="66"/>
      <c r="P284" s="66"/>
      <c r="Q284" s="66"/>
      <c r="R284" s="66"/>
      <c r="S284" s="68"/>
      <c r="T284" s="66"/>
      <c r="U284" s="66"/>
      <c r="V284" s="313"/>
      <c r="W284" s="314"/>
      <c r="X284" s="314"/>
      <c r="Y284" s="68"/>
      <c r="Z284" s="20"/>
      <c r="AA284" s="20"/>
      <c r="AB284" s="20"/>
      <c r="AC284" s="20"/>
      <c r="AD284" s="20"/>
      <c r="AE284" s="68"/>
      <c r="AF284" s="68"/>
      <c r="AG284" s="20"/>
      <c r="AH284" s="232"/>
    </row>
    <row r="285" spans="1:34" s="16" customFormat="1">
      <c r="A285" s="17"/>
      <c r="B285" s="17"/>
      <c r="C285" s="17"/>
      <c r="D285" s="17"/>
      <c r="E285" s="17"/>
      <c r="F285" s="302"/>
      <c r="G285" s="19"/>
      <c r="H285" s="64"/>
      <c r="I285" s="20"/>
      <c r="J285" s="68"/>
      <c r="K285" s="66"/>
      <c r="L285" s="66"/>
      <c r="M285" s="68"/>
      <c r="N285" s="68"/>
      <c r="O285" s="66"/>
      <c r="P285" s="66"/>
      <c r="Q285" s="66"/>
      <c r="R285" s="66"/>
      <c r="S285" s="68"/>
      <c r="T285" s="66"/>
      <c r="U285" s="66"/>
      <c r="V285" s="313"/>
      <c r="W285" s="314"/>
      <c r="X285" s="314"/>
      <c r="Y285" s="68"/>
      <c r="Z285" s="20"/>
      <c r="AA285" s="20"/>
      <c r="AB285" s="20"/>
      <c r="AC285" s="20"/>
      <c r="AD285" s="20"/>
      <c r="AE285" s="68"/>
      <c r="AF285" s="68"/>
      <c r="AG285" s="20"/>
      <c r="AH285" s="232"/>
    </row>
    <row r="286" spans="1:34" s="16" customFormat="1">
      <c r="A286" s="17"/>
      <c r="B286" s="17"/>
      <c r="C286" s="17"/>
      <c r="D286" s="17"/>
      <c r="E286" s="17"/>
      <c r="F286" s="302"/>
      <c r="G286" s="19"/>
      <c r="H286" s="64"/>
      <c r="I286" s="20"/>
      <c r="J286" s="68"/>
      <c r="K286" s="66"/>
      <c r="L286" s="66"/>
      <c r="M286" s="68"/>
      <c r="N286" s="68"/>
      <c r="O286" s="66"/>
      <c r="P286" s="66"/>
      <c r="Q286" s="66"/>
      <c r="R286" s="66"/>
      <c r="S286" s="68"/>
      <c r="T286" s="66"/>
      <c r="U286" s="66"/>
      <c r="V286" s="313"/>
      <c r="W286" s="314"/>
      <c r="X286" s="314"/>
      <c r="Y286" s="68"/>
      <c r="Z286" s="20"/>
      <c r="AA286" s="20"/>
      <c r="AB286" s="20"/>
      <c r="AC286" s="20"/>
      <c r="AD286" s="20"/>
      <c r="AE286" s="68"/>
      <c r="AF286" s="68"/>
      <c r="AG286" s="20"/>
      <c r="AH286" s="232"/>
    </row>
    <row r="287" spans="1:34" s="16" customFormat="1">
      <c r="A287" s="17"/>
      <c r="B287" s="17"/>
      <c r="C287" s="17"/>
      <c r="D287" s="17"/>
      <c r="E287" s="17"/>
      <c r="F287" s="302"/>
      <c r="G287" s="19"/>
      <c r="H287" s="64"/>
      <c r="I287" s="20"/>
      <c r="J287" s="68"/>
      <c r="K287" s="66"/>
      <c r="L287" s="66"/>
      <c r="M287" s="68"/>
      <c r="N287" s="68"/>
      <c r="O287" s="66"/>
      <c r="P287" s="66"/>
      <c r="Q287" s="66"/>
      <c r="R287" s="66"/>
      <c r="S287" s="68"/>
      <c r="T287" s="66"/>
      <c r="U287" s="66"/>
      <c r="V287" s="313"/>
      <c r="W287" s="314"/>
      <c r="X287" s="314"/>
      <c r="Y287" s="68"/>
      <c r="Z287" s="20"/>
      <c r="AA287" s="20"/>
      <c r="AB287" s="20"/>
      <c r="AC287" s="20"/>
      <c r="AD287" s="20"/>
      <c r="AE287" s="68"/>
      <c r="AF287" s="68"/>
      <c r="AG287" s="20"/>
      <c r="AH287" s="232"/>
    </row>
    <row r="288" spans="1:34" s="16" customFormat="1">
      <c r="A288" s="17"/>
      <c r="B288" s="17"/>
      <c r="C288" s="17"/>
      <c r="D288" s="17"/>
      <c r="E288" s="17"/>
      <c r="F288" s="302"/>
      <c r="G288" s="19"/>
      <c r="H288" s="64"/>
      <c r="I288" s="20"/>
      <c r="J288" s="68"/>
      <c r="K288" s="66"/>
      <c r="L288" s="66"/>
      <c r="M288" s="68"/>
      <c r="N288" s="68"/>
      <c r="O288" s="66"/>
      <c r="P288" s="66"/>
      <c r="Q288" s="66"/>
      <c r="R288" s="66"/>
      <c r="S288" s="68"/>
      <c r="T288" s="66"/>
      <c r="U288" s="66"/>
      <c r="V288" s="313"/>
      <c r="W288" s="314"/>
      <c r="X288" s="314"/>
      <c r="Y288" s="68"/>
      <c r="Z288" s="20"/>
      <c r="AA288" s="20"/>
      <c r="AB288" s="20"/>
      <c r="AC288" s="20"/>
      <c r="AD288" s="20"/>
      <c r="AE288" s="68"/>
      <c r="AF288" s="68"/>
      <c r="AG288" s="20"/>
      <c r="AH288" s="232"/>
    </row>
    <row r="289" spans="1:34" s="16" customFormat="1">
      <c r="A289" s="17"/>
      <c r="B289" s="17"/>
      <c r="C289" s="17"/>
      <c r="D289" s="17"/>
      <c r="E289" s="17"/>
      <c r="F289" s="302"/>
      <c r="G289" s="19"/>
      <c r="H289" s="64"/>
      <c r="I289" s="20"/>
      <c r="J289" s="68"/>
      <c r="K289" s="66"/>
      <c r="L289" s="66"/>
      <c r="M289" s="68"/>
      <c r="N289" s="68"/>
      <c r="O289" s="66"/>
      <c r="P289" s="66"/>
      <c r="Q289" s="66"/>
      <c r="R289" s="66"/>
      <c r="S289" s="68"/>
      <c r="T289" s="66"/>
      <c r="U289" s="66"/>
      <c r="V289" s="313"/>
      <c r="W289" s="314"/>
      <c r="X289" s="314"/>
      <c r="Y289" s="68"/>
      <c r="Z289" s="20"/>
      <c r="AA289" s="20"/>
      <c r="AB289" s="20"/>
      <c r="AC289" s="20"/>
      <c r="AD289" s="20"/>
      <c r="AE289" s="68"/>
      <c r="AF289" s="68"/>
      <c r="AG289" s="20"/>
      <c r="AH289" s="232"/>
    </row>
    <row r="290" spans="1:34" s="16" customFormat="1">
      <c r="A290" s="17"/>
      <c r="B290" s="17"/>
      <c r="C290" s="17"/>
      <c r="D290" s="17"/>
      <c r="E290" s="17"/>
      <c r="F290" s="302"/>
      <c r="G290" s="19"/>
      <c r="H290" s="64"/>
      <c r="I290" s="20"/>
      <c r="J290" s="68"/>
      <c r="K290" s="66"/>
      <c r="L290" s="66"/>
      <c r="M290" s="68"/>
      <c r="N290" s="68"/>
      <c r="O290" s="66"/>
      <c r="P290" s="66"/>
      <c r="Q290" s="66"/>
      <c r="R290" s="66"/>
      <c r="S290" s="68"/>
      <c r="T290" s="66"/>
      <c r="U290" s="66"/>
      <c r="V290" s="313"/>
      <c r="W290" s="314"/>
      <c r="X290" s="314"/>
      <c r="Y290" s="68"/>
      <c r="Z290" s="20"/>
      <c r="AA290" s="20"/>
      <c r="AB290" s="20"/>
      <c r="AC290" s="20"/>
      <c r="AD290" s="20"/>
      <c r="AE290" s="68"/>
      <c r="AF290" s="68"/>
      <c r="AG290" s="20"/>
      <c r="AH290" s="232"/>
    </row>
    <row r="291" spans="1:34" s="16" customFormat="1">
      <c r="A291" s="17"/>
      <c r="B291" s="17"/>
      <c r="C291" s="17"/>
      <c r="D291" s="17"/>
      <c r="E291" s="17"/>
      <c r="F291" s="302"/>
      <c r="G291" s="19"/>
      <c r="H291" s="64"/>
      <c r="I291" s="20"/>
      <c r="J291" s="68"/>
      <c r="K291" s="66"/>
      <c r="L291" s="66"/>
      <c r="M291" s="68"/>
      <c r="N291" s="68"/>
      <c r="O291" s="66"/>
      <c r="P291" s="66"/>
      <c r="Q291" s="66"/>
      <c r="R291" s="66"/>
      <c r="S291" s="68"/>
      <c r="T291" s="66"/>
      <c r="U291" s="66"/>
      <c r="V291" s="313"/>
      <c r="W291" s="314"/>
      <c r="X291" s="314"/>
      <c r="Y291" s="68"/>
      <c r="Z291" s="20"/>
      <c r="AA291" s="20"/>
      <c r="AB291" s="20"/>
      <c r="AC291" s="20"/>
      <c r="AD291" s="20"/>
      <c r="AE291" s="68"/>
      <c r="AF291" s="68"/>
      <c r="AG291" s="20"/>
      <c r="AH291" s="232"/>
    </row>
    <row r="292" spans="1:34" s="16" customFormat="1">
      <c r="A292" s="17"/>
      <c r="B292" s="17"/>
      <c r="C292" s="17"/>
      <c r="D292" s="17"/>
      <c r="E292" s="17"/>
      <c r="F292" s="302"/>
      <c r="G292" s="19"/>
      <c r="H292" s="64"/>
      <c r="I292" s="20"/>
      <c r="J292" s="68"/>
      <c r="K292" s="66"/>
      <c r="L292" s="66"/>
      <c r="M292" s="68"/>
      <c r="N292" s="68"/>
      <c r="O292" s="66"/>
      <c r="P292" s="66"/>
      <c r="Q292" s="66"/>
      <c r="R292" s="66"/>
      <c r="S292" s="68"/>
      <c r="T292" s="66"/>
      <c r="U292" s="66"/>
      <c r="V292" s="313"/>
      <c r="W292" s="314"/>
      <c r="X292" s="314"/>
      <c r="Y292" s="68"/>
      <c r="Z292" s="20"/>
      <c r="AA292" s="20"/>
      <c r="AB292" s="20"/>
      <c r="AC292" s="20"/>
      <c r="AD292" s="20"/>
      <c r="AE292" s="68"/>
      <c r="AF292" s="68"/>
      <c r="AG292" s="20"/>
      <c r="AH292" s="232"/>
    </row>
    <row r="293" spans="1:34" s="16" customFormat="1">
      <c r="A293" s="17"/>
      <c r="B293" s="17"/>
      <c r="C293" s="17"/>
      <c r="D293" s="17"/>
      <c r="E293" s="17"/>
      <c r="F293" s="302"/>
      <c r="G293" s="19"/>
      <c r="H293" s="64"/>
      <c r="I293" s="20"/>
      <c r="J293" s="68"/>
      <c r="K293" s="66"/>
      <c r="L293" s="66"/>
      <c r="M293" s="68"/>
      <c r="N293" s="68"/>
      <c r="O293" s="66"/>
      <c r="P293" s="66"/>
      <c r="Q293" s="66"/>
      <c r="R293" s="66"/>
      <c r="S293" s="68"/>
      <c r="T293" s="66"/>
      <c r="U293" s="66"/>
      <c r="V293" s="313"/>
      <c r="W293" s="314"/>
      <c r="X293" s="314"/>
      <c r="Y293" s="68"/>
      <c r="Z293" s="20"/>
      <c r="AA293" s="20"/>
      <c r="AB293" s="20"/>
      <c r="AC293" s="20"/>
      <c r="AD293" s="20"/>
      <c r="AE293" s="68"/>
      <c r="AF293" s="68"/>
      <c r="AG293" s="20"/>
      <c r="AH293" s="232"/>
    </row>
    <row r="294" spans="1:34" s="16" customFormat="1">
      <c r="A294" s="17"/>
      <c r="B294" s="17"/>
      <c r="C294" s="17"/>
      <c r="D294" s="17"/>
      <c r="E294" s="17"/>
      <c r="F294" s="302"/>
      <c r="G294" s="19"/>
      <c r="H294" s="64"/>
      <c r="I294" s="20"/>
      <c r="J294" s="68"/>
      <c r="K294" s="66"/>
      <c r="L294" s="66"/>
      <c r="M294" s="68"/>
      <c r="N294" s="68"/>
      <c r="O294" s="66"/>
      <c r="P294" s="66"/>
      <c r="Q294" s="66"/>
      <c r="R294" s="66"/>
      <c r="S294" s="68"/>
      <c r="T294" s="66"/>
      <c r="U294" s="66"/>
      <c r="V294" s="313"/>
      <c r="W294" s="314"/>
      <c r="X294" s="314"/>
      <c r="Y294" s="68"/>
      <c r="Z294" s="20"/>
      <c r="AA294" s="20"/>
      <c r="AB294" s="20"/>
      <c r="AC294" s="20"/>
      <c r="AD294" s="20"/>
      <c r="AE294" s="68"/>
      <c r="AF294" s="68"/>
      <c r="AG294" s="20"/>
      <c r="AH294" s="232"/>
    </row>
    <row r="295" spans="1:34" s="16" customFormat="1">
      <c r="A295" s="17"/>
      <c r="B295" s="17"/>
      <c r="C295" s="17"/>
      <c r="D295" s="17"/>
      <c r="E295" s="17"/>
      <c r="F295" s="302"/>
      <c r="G295" s="19"/>
      <c r="H295" s="64"/>
      <c r="I295" s="20"/>
      <c r="J295" s="68"/>
      <c r="K295" s="66"/>
      <c r="L295" s="66"/>
      <c r="M295" s="68"/>
      <c r="N295" s="68"/>
      <c r="O295" s="66"/>
      <c r="P295" s="66"/>
      <c r="Q295" s="66"/>
      <c r="R295" s="66"/>
      <c r="S295" s="68"/>
      <c r="T295" s="66"/>
      <c r="U295" s="66"/>
      <c r="V295" s="313"/>
      <c r="W295" s="314"/>
      <c r="X295" s="314"/>
      <c r="Y295" s="68"/>
      <c r="Z295" s="20"/>
      <c r="AA295" s="20"/>
      <c r="AB295" s="20"/>
      <c r="AC295" s="20"/>
      <c r="AD295" s="20"/>
      <c r="AE295" s="68"/>
      <c r="AF295" s="68"/>
      <c r="AG295" s="20"/>
      <c r="AH295" s="232"/>
    </row>
    <row r="296" spans="1:34" s="16" customFormat="1">
      <c r="A296" s="17"/>
      <c r="B296" s="17"/>
      <c r="C296" s="17"/>
      <c r="D296" s="17"/>
      <c r="E296" s="17"/>
      <c r="F296" s="302"/>
      <c r="G296" s="19"/>
      <c r="H296" s="64"/>
      <c r="I296" s="20"/>
      <c r="J296" s="68"/>
      <c r="K296" s="66"/>
      <c r="L296" s="66"/>
      <c r="M296" s="68"/>
      <c r="N296" s="68"/>
      <c r="O296" s="66"/>
      <c r="P296" s="66"/>
      <c r="Q296" s="66"/>
      <c r="R296" s="66"/>
      <c r="S296" s="68"/>
      <c r="T296" s="66"/>
      <c r="U296" s="66"/>
      <c r="V296" s="313"/>
      <c r="W296" s="314"/>
      <c r="X296" s="314"/>
      <c r="Y296" s="68"/>
      <c r="Z296" s="20"/>
      <c r="AA296" s="20"/>
      <c r="AB296" s="20"/>
      <c r="AC296" s="20"/>
      <c r="AD296" s="20"/>
      <c r="AE296" s="68"/>
      <c r="AF296" s="68"/>
      <c r="AG296" s="20"/>
      <c r="AH296" s="232"/>
    </row>
    <row r="297" spans="1:34" s="16" customFormat="1">
      <c r="A297" s="17"/>
      <c r="B297" s="17"/>
      <c r="C297" s="17"/>
      <c r="D297" s="17"/>
      <c r="E297" s="17"/>
      <c r="F297" s="302"/>
      <c r="G297" s="19"/>
      <c r="H297" s="64"/>
      <c r="I297" s="20"/>
      <c r="J297" s="68"/>
      <c r="K297" s="66"/>
      <c r="L297" s="66"/>
      <c r="M297" s="68"/>
      <c r="N297" s="68"/>
      <c r="O297" s="66"/>
      <c r="P297" s="66"/>
      <c r="Q297" s="66"/>
      <c r="R297" s="66"/>
      <c r="S297" s="68"/>
      <c r="T297" s="66"/>
      <c r="U297" s="66"/>
      <c r="V297" s="313"/>
      <c r="W297" s="314"/>
      <c r="X297" s="314"/>
      <c r="Y297" s="68"/>
      <c r="Z297" s="20"/>
      <c r="AA297" s="20"/>
      <c r="AB297" s="20"/>
      <c r="AC297" s="20"/>
      <c r="AD297" s="20"/>
      <c r="AE297" s="68"/>
      <c r="AF297" s="68"/>
      <c r="AG297" s="20"/>
      <c r="AH297" s="232"/>
    </row>
    <row r="298" spans="1:34" s="16" customFormat="1">
      <c r="A298" s="17"/>
      <c r="B298" s="17"/>
      <c r="C298" s="17"/>
      <c r="D298" s="17"/>
      <c r="E298" s="17"/>
      <c r="F298" s="302"/>
      <c r="G298" s="19"/>
      <c r="H298" s="64"/>
      <c r="I298" s="20"/>
      <c r="J298" s="68"/>
      <c r="K298" s="66"/>
      <c r="L298" s="66"/>
      <c r="M298" s="68"/>
      <c r="N298" s="68"/>
      <c r="O298" s="66"/>
      <c r="P298" s="66"/>
      <c r="Q298" s="66"/>
      <c r="R298" s="66"/>
      <c r="S298" s="68"/>
      <c r="T298" s="66"/>
      <c r="U298" s="66"/>
      <c r="V298" s="313"/>
      <c r="W298" s="314"/>
      <c r="X298" s="314"/>
      <c r="Y298" s="68"/>
      <c r="Z298" s="20"/>
      <c r="AA298" s="20"/>
      <c r="AB298" s="20"/>
      <c r="AC298" s="20"/>
      <c r="AD298" s="20"/>
      <c r="AE298" s="68"/>
      <c r="AF298" s="68"/>
      <c r="AG298" s="20"/>
      <c r="AH298" s="232"/>
    </row>
    <row r="299" spans="1:34" s="16" customFormat="1">
      <c r="A299" s="17"/>
      <c r="B299" s="17"/>
      <c r="C299" s="17"/>
      <c r="D299" s="17"/>
      <c r="E299" s="17"/>
      <c r="F299" s="302"/>
      <c r="G299" s="19"/>
      <c r="H299" s="64"/>
      <c r="I299" s="20"/>
      <c r="J299" s="68"/>
      <c r="K299" s="66"/>
      <c r="L299" s="66"/>
      <c r="M299" s="68"/>
      <c r="N299" s="68"/>
      <c r="O299" s="66"/>
      <c r="P299" s="66"/>
      <c r="Q299" s="66"/>
      <c r="R299" s="66"/>
      <c r="S299" s="68"/>
      <c r="T299" s="66"/>
      <c r="U299" s="66"/>
      <c r="V299" s="313"/>
      <c r="W299" s="314"/>
      <c r="X299" s="314"/>
      <c r="Y299" s="68"/>
      <c r="Z299" s="20"/>
      <c r="AA299" s="20"/>
      <c r="AB299" s="20"/>
      <c r="AC299" s="20"/>
      <c r="AD299" s="20"/>
      <c r="AE299" s="68"/>
      <c r="AF299" s="68"/>
      <c r="AG299" s="20"/>
      <c r="AH299" s="232"/>
    </row>
    <row r="300" spans="1:34" s="16" customFormat="1">
      <c r="A300" s="17"/>
      <c r="B300" s="17"/>
      <c r="C300" s="17"/>
      <c r="D300" s="17"/>
      <c r="E300" s="17"/>
      <c r="F300" s="302"/>
      <c r="G300" s="19"/>
      <c r="H300" s="64"/>
      <c r="I300" s="20"/>
      <c r="J300" s="68"/>
      <c r="K300" s="66"/>
      <c r="L300" s="66"/>
      <c r="M300" s="68"/>
      <c r="N300" s="68"/>
      <c r="O300" s="66"/>
      <c r="P300" s="66"/>
      <c r="Q300" s="66"/>
      <c r="R300" s="66"/>
      <c r="S300" s="68"/>
      <c r="T300" s="66"/>
      <c r="U300" s="66"/>
      <c r="V300" s="313"/>
      <c r="W300" s="314"/>
      <c r="X300" s="314"/>
      <c r="Y300" s="68"/>
      <c r="Z300" s="20"/>
      <c r="AA300" s="20"/>
      <c r="AB300" s="20"/>
      <c r="AC300" s="20"/>
      <c r="AD300" s="20"/>
      <c r="AE300" s="68"/>
      <c r="AF300" s="68"/>
      <c r="AG300" s="20"/>
      <c r="AH300" s="232"/>
    </row>
    <row r="301" spans="1:34" s="16" customFormat="1">
      <c r="A301" s="17"/>
      <c r="B301" s="17"/>
      <c r="C301" s="17"/>
      <c r="D301" s="17"/>
      <c r="E301" s="17"/>
      <c r="F301" s="302"/>
      <c r="G301" s="19"/>
      <c r="H301" s="64"/>
      <c r="I301" s="20"/>
      <c r="J301" s="68"/>
      <c r="K301" s="66"/>
      <c r="L301" s="66"/>
      <c r="M301" s="68"/>
      <c r="N301" s="68"/>
      <c r="O301" s="66"/>
      <c r="P301" s="66"/>
      <c r="Q301" s="66"/>
      <c r="R301" s="66"/>
      <c r="S301" s="68"/>
      <c r="T301" s="66"/>
      <c r="U301" s="66"/>
      <c r="V301" s="313"/>
      <c r="W301" s="314"/>
      <c r="X301" s="314"/>
      <c r="Y301" s="68"/>
      <c r="Z301" s="20"/>
      <c r="AA301" s="20"/>
      <c r="AB301" s="20"/>
      <c r="AC301" s="20"/>
      <c r="AD301" s="20"/>
      <c r="AE301" s="68"/>
      <c r="AF301" s="68"/>
      <c r="AG301" s="20"/>
      <c r="AH301" s="232"/>
    </row>
    <row r="302" spans="1:34" s="16" customFormat="1">
      <c r="A302" s="17"/>
      <c r="B302" s="17"/>
      <c r="C302" s="17"/>
      <c r="D302" s="17"/>
      <c r="E302" s="17"/>
      <c r="F302" s="302"/>
      <c r="G302" s="19"/>
      <c r="H302" s="64"/>
      <c r="I302" s="20"/>
      <c r="J302" s="68"/>
      <c r="K302" s="66"/>
      <c r="L302" s="66"/>
      <c r="M302" s="68"/>
      <c r="N302" s="68"/>
      <c r="O302" s="66"/>
      <c r="P302" s="66"/>
      <c r="Q302" s="66"/>
      <c r="R302" s="66"/>
      <c r="S302" s="68"/>
      <c r="T302" s="66"/>
      <c r="U302" s="66"/>
      <c r="V302" s="313"/>
      <c r="W302" s="314"/>
      <c r="X302" s="314"/>
      <c r="Y302" s="68"/>
      <c r="Z302" s="20"/>
      <c r="AA302" s="20"/>
      <c r="AB302" s="20"/>
      <c r="AC302" s="20"/>
      <c r="AD302" s="20"/>
      <c r="AE302" s="68"/>
      <c r="AF302" s="68"/>
      <c r="AG302" s="20"/>
      <c r="AH302" s="232"/>
    </row>
    <row r="303" spans="1:34" s="16" customFormat="1">
      <c r="A303" s="17"/>
      <c r="B303" s="17"/>
      <c r="C303" s="17"/>
      <c r="D303" s="17"/>
      <c r="E303" s="17"/>
      <c r="F303" s="302"/>
      <c r="G303" s="19"/>
      <c r="H303" s="64"/>
      <c r="I303" s="20"/>
      <c r="J303" s="68"/>
      <c r="K303" s="66"/>
      <c r="L303" s="66"/>
      <c r="M303" s="68"/>
      <c r="N303" s="68"/>
      <c r="O303" s="66"/>
      <c r="P303" s="66"/>
      <c r="Q303" s="66"/>
      <c r="R303" s="66"/>
      <c r="S303" s="68"/>
      <c r="T303" s="66"/>
      <c r="U303" s="66"/>
      <c r="V303" s="313"/>
      <c r="W303" s="314"/>
      <c r="X303" s="314"/>
      <c r="Y303" s="68"/>
      <c r="Z303" s="20"/>
      <c r="AA303" s="20"/>
      <c r="AB303" s="20"/>
      <c r="AC303" s="20"/>
      <c r="AD303" s="20"/>
      <c r="AE303" s="68"/>
      <c r="AF303" s="68"/>
      <c r="AG303" s="20"/>
      <c r="AH303" s="232"/>
    </row>
    <row r="304" spans="1:34" s="16" customFormat="1">
      <c r="A304" s="17"/>
      <c r="B304" s="17"/>
      <c r="C304" s="17"/>
      <c r="D304" s="17"/>
      <c r="E304" s="17"/>
      <c r="F304" s="302"/>
      <c r="G304" s="19"/>
      <c r="H304" s="64"/>
      <c r="I304" s="20"/>
      <c r="J304" s="68"/>
      <c r="K304" s="66"/>
      <c r="L304" s="66"/>
      <c r="M304" s="68"/>
      <c r="N304" s="68"/>
      <c r="O304" s="66"/>
      <c r="P304" s="66"/>
      <c r="Q304" s="66"/>
      <c r="R304" s="66"/>
      <c r="S304" s="68"/>
      <c r="T304" s="66"/>
      <c r="U304" s="66"/>
      <c r="V304" s="313"/>
      <c r="W304" s="314"/>
      <c r="X304" s="314"/>
      <c r="Y304" s="68"/>
      <c r="Z304" s="20"/>
      <c r="AA304" s="20"/>
      <c r="AB304" s="20"/>
      <c r="AC304" s="20"/>
      <c r="AD304" s="20"/>
      <c r="AE304" s="68"/>
      <c r="AF304" s="68"/>
      <c r="AG304" s="20"/>
      <c r="AH304" s="232"/>
    </row>
    <row r="305" spans="1:34" s="16" customFormat="1">
      <c r="A305" s="17"/>
      <c r="B305" s="17"/>
      <c r="C305" s="17"/>
      <c r="D305" s="17"/>
      <c r="E305" s="17"/>
      <c r="F305" s="302"/>
      <c r="G305" s="19"/>
      <c r="H305" s="64"/>
      <c r="I305" s="20"/>
      <c r="J305" s="68"/>
      <c r="K305" s="66"/>
      <c r="L305" s="66"/>
      <c r="M305" s="68"/>
      <c r="N305" s="68"/>
      <c r="O305" s="66"/>
      <c r="P305" s="66"/>
      <c r="Q305" s="66"/>
      <c r="R305" s="66"/>
      <c r="S305" s="68"/>
      <c r="T305" s="66"/>
      <c r="U305" s="66"/>
      <c r="V305" s="313"/>
      <c r="W305" s="314"/>
      <c r="X305" s="314"/>
      <c r="Y305" s="68"/>
      <c r="Z305" s="20"/>
      <c r="AA305" s="20"/>
      <c r="AB305" s="20"/>
      <c r="AC305" s="20"/>
      <c r="AD305" s="20"/>
      <c r="AE305" s="68"/>
      <c r="AF305" s="68"/>
      <c r="AG305" s="20"/>
      <c r="AH305" s="232"/>
    </row>
    <row r="306" spans="1:34" s="16" customFormat="1">
      <c r="A306" s="17"/>
      <c r="B306" s="17"/>
      <c r="C306" s="17"/>
      <c r="D306" s="17"/>
      <c r="E306" s="17"/>
      <c r="F306" s="302"/>
      <c r="G306" s="19"/>
      <c r="H306" s="64"/>
      <c r="I306" s="20"/>
      <c r="J306" s="68"/>
      <c r="K306" s="66"/>
      <c r="L306" s="66"/>
      <c r="M306" s="68"/>
      <c r="N306" s="68"/>
      <c r="O306" s="66"/>
      <c r="P306" s="66"/>
      <c r="Q306" s="66"/>
      <c r="R306" s="66"/>
      <c r="S306" s="68"/>
      <c r="T306" s="66"/>
      <c r="U306" s="66"/>
      <c r="V306" s="313"/>
      <c r="W306" s="314"/>
      <c r="X306" s="314"/>
      <c r="Y306" s="68"/>
      <c r="Z306" s="20"/>
      <c r="AA306" s="20"/>
      <c r="AB306" s="20"/>
      <c r="AC306" s="20"/>
      <c r="AD306" s="20"/>
      <c r="AE306" s="68"/>
      <c r="AF306" s="68"/>
      <c r="AG306" s="20"/>
      <c r="AH306" s="232"/>
    </row>
    <row r="307" spans="1:34" s="16" customFormat="1">
      <c r="A307" s="17"/>
      <c r="B307" s="17"/>
      <c r="C307" s="17"/>
      <c r="D307" s="17"/>
      <c r="E307" s="17"/>
      <c r="F307" s="302"/>
      <c r="G307" s="19"/>
      <c r="H307" s="64"/>
      <c r="I307" s="20"/>
      <c r="J307" s="68"/>
      <c r="K307" s="66"/>
      <c r="L307" s="66"/>
      <c r="M307" s="68"/>
      <c r="N307" s="68"/>
      <c r="O307" s="66"/>
      <c r="P307" s="66"/>
      <c r="Q307" s="66"/>
      <c r="R307" s="66"/>
      <c r="S307" s="68"/>
      <c r="T307" s="66"/>
      <c r="U307" s="66"/>
      <c r="V307" s="313"/>
      <c r="W307" s="314"/>
      <c r="X307" s="314"/>
      <c r="Y307" s="68"/>
      <c r="Z307" s="20"/>
      <c r="AA307" s="20"/>
      <c r="AB307" s="20"/>
      <c r="AC307" s="20"/>
      <c r="AD307" s="20"/>
      <c r="AE307" s="68"/>
      <c r="AF307" s="68"/>
      <c r="AG307" s="20"/>
      <c r="AH307" s="232"/>
    </row>
    <row r="308" spans="1:34" s="16" customFormat="1">
      <c r="A308" s="17"/>
      <c r="B308" s="17"/>
      <c r="C308" s="17"/>
      <c r="D308" s="17"/>
      <c r="E308" s="17"/>
      <c r="F308" s="302"/>
      <c r="G308" s="19"/>
      <c r="H308" s="64"/>
      <c r="I308" s="20"/>
      <c r="J308" s="68"/>
      <c r="K308" s="66"/>
      <c r="L308" s="66"/>
      <c r="M308" s="68"/>
      <c r="N308" s="68"/>
      <c r="O308" s="66"/>
      <c r="P308" s="66"/>
      <c r="Q308" s="66"/>
      <c r="R308" s="66"/>
      <c r="S308" s="68"/>
      <c r="T308" s="66"/>
      <c r="U308" s="66"/>
      <c r="V308" s="313"/>
      <c r="W308" s="314"/>
      <c r="X308" s="314"/>
      <c r="Y308" s="68"/>
      <c r="Z308" s="20"/>
      <c r="AA308" s="20"/>
      <c r="AB308" s="20"/>
      <c r="AC308" s="20"/>
      <c r="AD308" s="20"/>
      <c r="AE308" s="68"/>
      <c r="AF308" s="68"/>
      <c r="AG308" s="20"/>
      <c r="AH308" s="232"/>
    </row>
    <row r="309" spans="1:34" s="16" customFormat="1">
      <c r="A309" s="17"/>
      <c r="B309" s="17"/>
      <c r="C309" s="17"/>
      <c r="D309" s="17"/>
      <c r="E309" s="17"/>
      <c r="F309" s="302"/>
      <c r="G309" s="19"/>
      <c r="H309" s="64"/>
      <c r="I309" s="20"/>
      <c r="J309" s="68"/>
      <c r="K309" s="66"/>
      <c r="L309" s="66"/>
      <c r="M309" s="68"/>
      <c r="N309" s="68"/>
      <c r="O309" s="66"/>
      <c r="P309" s="66"/>
      <c r="Q309" s="66"/>
      <c r="R309" s="66"/>
      <c r="S309" s="68"/>
      <c r="T309" s="66"/>
      <c r="U309" s="66"/>
      <c r="V309" s="313"/>
      <c r="W309" s="314"/>
      <c r="X309" s="314"/>
      <c r="Y309" s="68"/>
      <c r="Z309" s="20"/>
      <c r="AA309" s="20"/>
      <c r="AB309" s="20"/>
      <c r="AC309" s="20"/>
      <c r="AD309" s="20"/>
      <c r="AE309" s="68"/>
      <c r="AF309" s="68"/>
      <c r="AG309" s="20"/>
      <c r="AH309" s="232"/>
    </row>
    <row r="310" spans="1:34" s="16" customFormat="1">
      <c r="A310" s="17"/>
      <c r="B310" s="17"/>
      <c r="C310" s="17"/>
      <c r="D310" s="17"/>
      <c r="E310" s="17"/>
      <c r="F310" s="302"/>
      <c r="G310" s="19"/>
      <c r="H310" s="64"/>
      <c r="I310" s="20"/>
      <c r="J310" s="68"/>
      <c r="K310" s="66"/>
      <c r="L310" s="66"/>
      <c r="M310" s="68"/>
      <c r="N310" s="68"/>
      <c r="O310" s="66"/>
      <c r="P310" s="66"/>
      <c r="Q310" s="66"/>
      <c r="R310" s="66"/>
      <c r="S310" s="68"/>
      <c r="T310" s="66"/>
      <c r="U310" s="66"/>
      <c r="V310" s="313"/>
      <c r="W310" s="314"/>
      <c r="X310" s="314"/>
      <c r="Y310" s="68"/>
      <c r="Z310" s="20"/>
      <c r="AA310" s="20"/>
      <c r="AB310" s="20"/>
      <c r="AC310" s="20"/>
      <c r="AD310" s="20"/>
      <c r="AE310" s="68"/>
      <c r="AF310" s="68"/>
      <c r="AG310" s="20"/>
      <c r="AH310" s="232"/>
    </row>
    <row r="311" spans="1:34" s="16" customFormat="1">
      <c r="A311" s="17"/>
      <c r="B311" s="17"/>
      <c r="C311" s="17"/>
      <c r="D311" s="17"/>
      <c r="E311" s="17"/>
      <c r="F311" s="302"/>
      <c r="G311" s="19"/>
      <c r="H311" s="64"/>
      <c r="I311" s="20"/>
      <c r="J311" s="68"/>
      <c r="K311" s="66"/>
      <c r="L311" s="66"/>
      <c r="M311" s="68"/>
      <c r="N311" s="68"/>
      <c r="O311" s="66"/>
      <c r="P311" s="66"/>
      <c r="Q311" s="66"/>
      <c r="R311" s="66"/>
      <c r="S311" s="68"/>
      <c r="T311" s="66"/>
      <c r="U311" s="66"/>
      <c r="V311" s="313"/>
      <c r="W311" s="314"/>
      <c r="X311" s="314"/>
      <c r="Y311" s="68"/>
      <c r="Z311" s="20"/>
      <c r="AA311" s="20"/>
      <c r="AB311" s="20"/>
      <c r="AC311" s="20"/>
      <c r="AD311" s="20"/>
      <c r="AE311" s="68"/>
      <c r="AF311" s="68"/>
      <c r="AG311" s="20"/>
      <c r="AH311" s="232"/>
    </row>
    <row r="312" spans="1:34" s="16" customFormat="1">
      <c r="A312" s="17"/>
      <c r="B312" s="17"/>
      <c r="C312" s="17"/>
      <c r="D312" s="17"/>
      <c r="E312" s="17"/>
      <c r="F312" s="302"/>
      <c r="G312" s="19"/>
      <c r="H312" s="64"/>
      <c r="I312" s="20"/>
      <c r="J312" s="68"/>
      <c r="K312" s="66"/>
      <c r="L312" s="66"/>
      <c r="M312" s="68"/>
      <c r="N312" s="68"/>
      <c r="O312" s="66"/>
      <c r="P312" s="66"/>
      <c r="Q312" s="66"/>
      <c r="R312" s="66"/>
      <c r="S312" s="68"/>
      <c r="T312" s="66"/>
      <c r="U312" s="66"/>
      <c r="V312" s="313"/>
      <c r="W312" s="314"/>
      <c r="X312" s="314"/>
      <c r="Y312" s="68"/>
      <c r="Z312" s="20"/>
      <c r="AA312" s="20"/>
      <c r="AB312" s="20"/>
      <c r="AC312" s="20"/>
      <c r="AD312" s="20"/>
      <c r="AE312" s="68"/>
      <c r="AF312" s="68"/>
      <c r="AG312" s="20"/>
      <c r="AH312" s="232"/>
    </row>
    <row r="313" spans="1:34" s="16" customFormat="1">
      <c r="A313" s="17"/>
      <c r="B313" s="17"/>
      <c r="C313" s="17"/>
      <c r="D313" s="17"/>
      <c r="E313" s="17"/>
      <c r="F313" s="302"/>
      <c r="G313" s="19"/>
      <c r="H313" s="64"/>
      <c r="I313" s="20"/>
      <c r="J313" s="68"/>
      <c r="K313" s="66"/>
      <c r="L313" s="66"/>
      <c r="M313" s="68"/>
      <c r="N313" s="68"/>
      <c r="O313" s="66"/>
      <c r="P313" s="66"/>
      <c r="Q313" s="66"/>
      <c r="R313" s="66"/>
      <c r="S313" s="68"/>
      <c r="T313" s="66"/>
      <c r="U313" s="66"/>
      <c r="V313" s="313"/>
      <c r="W313" s="314"/>
      <c r="X313" s="314"/>
      <c r="Y313" s="68"/>
      <c r="Z313" s="20"/>
      <c r="AA313" s="20"/>
      <c r="AB313" s="20"/>
      <c r="AC313" s="20"/>
      <c r="AD313" s="20"/>
      <c r="AE313" s="68"/>
      <c r="AF313" s="68"/>
      <c r="AG313" s="20"/>
      <c r="AH313" s="232"/>
    </row>
    <row r="314" spans="1:34" s="16" customFormat="1">
      <c r="A314" s="17"/>
      <c r="B314" s="17"/>
      <c r="C314" s="17"/>
      <c r="D314" s="17"/>
      <c r="E314" s="17"/>
      <c r="F314" s="302"/>
      <c r="G314" s="19"/>
      <c r="H314" s="64"/>
      <c r="I314" s="20"/>
      <c r="J314" s="68"/>
      <c r="K314" s="66"/>
      <c r="L314" s="66"/>
      <c r="M314" s="68"/>
      <c r="N314" s="68"/>
      <c r="O314" s="66"/>
      <c r="P314" s="66"/>
      <c r="Q314" s="66"/>
      <c r="R314" s="66"/>
      <c r="S314" s="68"/>
      <c r="T314" s="66"/>
      <c r="U314" s="66"/>
      <c r="V314" s="313"/>
      <c r="W314" s="314"/>
      <c r="X314" s="314"/>
      <c r="Y314" s="68"/>
      <c r="Z314" s="20"/>
      <c r="AA314" s="20"/>
      <c r="AB314" s="20"/>
      <c r="AC314" s="20"/>
      <c r="AD314" s="20"/>
      <c r="AE314" s="68"/>
      <c r="AF314" s="68"/>
      <c r="AG314" s="20"/>
      <c r="AH314" s="232"/>
    </row>
    <row r="315" spans="1:34" s="16" customFormat="1">
      <c r="A315" s="17"/>
      <c r="B315" s="17"/>
      <c r="C315" s="17"/>
      <c r="D315" s="17"/>
      <c r="E315" s="17"/>
      <c r="F315" s="302"/>
      <c r="G315" s="19"/>
      <c r="H315" s="64"/>
      <c r="I315" s="20"/>
      <c r="J315" s="68"/>
      <c r="K315" s="66"/>
      <c r="L315" s="66"/>
      <c r="M315" s="68"/>
      <c r="N315" s="68"/>
      <c r="O315" s="66"/>
      <c r="P315" s="66"/>
      <c r="Q315" s="66"/>
      <c r="R315" s="66"/>
      <c r="S315" s="68"/>
      <c r="T315" s="66"/>
      <c r="U315" s="66"/>
      <c r="V315" s="313"/>
      <c r="W315" s="314"/>
      <c r="X315" s="314"/>
      <c r="Y315" s="68"/>
      <c r="Z315" s="20"/>
      <c r="AA315" s="20"/>
      <c r="AB315" s="20"/>
      <c r="AC315" s="20"/>
      <c r="AD315" s="20"/>
      <c r="AE315" s="68"/>
      <c r="AF315" s="68"/>
      <c r="AG315" s="20"/>
      <c r="AH315" s="232"/>
    </row>
    <row r="316" spans="1:34" s="16" customFormat="1">
      <c r="A316" s="17"/>
      <c r="B316" s="17"/>
      <c r="C316" s="17"/>
      <c r="D316" s="17"/>
      <c r="E316" s="17"/>
      <c r="F316" s="302"/>
      <c r="G316" s="19"/>
      <c r="H316" s="64"/>
      <c r="I316" s="20"/>
      <c r="J316" s="68"/>
      <c r="K316" s="66"/>
      <c r="L316" s="66"/>
      <c r="M316" s="68"/>
      <c r="N316" s="68"/>
      <c r="O316" s="66"/>
      <c r="P316" s="66"/>
      <c r="Q316" s="66"/>
      <c r="R316" s="66"/>
      <c r="S316" s="68"/>
      <c r="T316" s="66"/>
      <c r="U316" s="66"/>
      <c r="V316" s="313"/>
      <c r="W316" s="314"/>
      <c r="X316" s="314"/>
      <c r="Y316" s="68"/>
      <c r="Z316" s="20"/>
      <c r="AA316" s="20"/>
      <c r="AB316" s="20"/>
      <c r="AC316" s="20"/>
      <c r="AD316" s="20"/>
      <c r="AE316" s="68"/>
      <c r="AF316" s="68"/>
      <c r="AG316" s="20"/>
      <c r="AH316" s="232"/>
    </row>
    <row r="317" spans="1:34" s="16" customFormat="1">
      <c r="A317" s="17"/>
      <c r="B317" s="17"/>
      <c r="C317" s="17"/>
      <c r="D317" s="17"/>
      <c r="E317" s="17"/>
      <c r="F317" s="302"/>
      <c r="G317" s="19"/>
      <c r="H317" s="64"/>
      <c r="I317" s="20"/>
      <c r="J317" s="68"/>
      <c r="K317" s="66"/>
      <c r="L317" s="66"/>
      <c r="M317" s="68"/>
      <c r="N317" s="68"/>
      <c r="O317" s="66"/>
      <c r="P317" s="66"/>
      <c r="Q317" s="66"/>
      <c r="R317" s="66"/>
      <c r="S317" s="68"/>
      <c r="T317" s="66"/>
      <c r="U317" s="66"/>
      <c r="V317" s="313"/>
      <c r="W317" s="314"/>
      <c r="X317" s="314"/>
      <c r="Y317" s="68"/>
      <c r="Z317" s="20"/>
      <c r="AA317" s="20"/>
      <c r="AB317" s="20"/>
      <c r="AC317" s="20"/>
      <c r="AD317" s="20"/>
      <c r="AE317" s="68"/>
      <c r="AF317" s="68"/>
      <c r="AG317" s="20"/>
      <c r="AH317" s="232"/>
    </row>
    <row r="318" spans="1:34" s="16" customFormat="1">
      <c r="A318" s="17"/>
      <c r="B318" s="17"/>
      <c r="C318" s="17"/>
      <c r="D318" s="17"/>
      <c r="E318" s="17"/>
      <c r="F318" s="302"/>
      <c r="G318" s="19"/>
      <c r="H318" s="64"/>
      <c r="I318" s="20"/>
      <c r="J318" s="68"/>
      <c r="K318" s="66"/>
      <c r="L318" s="66"/>
      <c r="M318" s="68"/>
      <c r="N318" s="68"/>
      <c r="O318" s="66"/>
      <c r="P318" s="66"/>
      <c r="Q318" s="66"/>
      <c r="R318" s="66"/>
      <c r="S318" s="68"/>
      <c r="T318" s="66"/>
      <c r="U318" s="66"/>
      <c r="V318" s="313"/>
      <c r="W318" s="314"/>
      <c r="X318" s="314"/>
      <c r="Y318" s="68"/>
      <c r="Z318" s="20"/>
      <c r="AA318" s="20"/>
      <c r="AB318" s="20"/>
      <c r="AC318" s="20"/>
      <c r="AD318" s="20"/>
      <c r="AE318" s="68"/>
      <c r="AF318" s="68"/>
      <c r="AG318" s="20"/>
      <c r="AH318" s="232"/>
    </row>
    <row r="319" spans="1:34" s="16" customFormat="1">
      <c r="A319" s="17"/>
      <c r="B319" s="17"/>
      <c r="C319" s="17"/>
      <c r="D319" s="17"/>
      <c r="E319" s="17"/>
      <c r="F319" s="302"/>
      <c r="G319" s="19"/>
      <c r="H319" s="64"/>
      <c r="I319" s="20"/>
      <c r="J319" s="68"/>
      <c r="K319" s="66"/>
      <c r="L319" s="66"/>
      <c r="M319" s="68"/>
      <c r="N319" s="68"/>
      <c r="O319" s="66"/>
      <c r="P319" s="66"/>
      <c r="Q319" s="66"/>
      <c r="R319" s="66"/>
      <c r="S319" s="68"/>
      <c r="T319" s="66"/>
      <c r="U319" s="66"/>
      <c r="V319" s="313"/>
      <c r="W319" s="314"/>
      <c r="X319" s="314"/>
      <c r="Y319" s="68"/>
      <c r="Z319" s="20"/>
      <c r="AA319" s="20"/>
      <c r="AB319" s="20"/>
      <c r="AC319" s="20"/>
      <c r="AD319" s="20"/>
      <c r="AE319" s="68"/>
      <c r="AF319" s="68"/>
      <c r="AG319" s="20"/>
      <c r="AH319" s="232"/>
    </row>
    <row r="320" spans="1:34" s="16" customFormat="1">
      <c r="A320" s="17"/>
      <c r="B320" s="17"/>
      <c r="C320" s="17"/>
      <c r="D320" s="17"/>
      <c r="E320" s="17"/>
      <c r="F320" s="302"/>
      <c r="G320" s="19"/>
      <c r="H320" s="64"/>
      <c r="I320" s="20"/>
      <c r="J320" s="68"/>
      <c r="K320" s="66"/>
      <c r="L320" s="66"/>
      <c r="M320" s="68"/>
      <c r="N320" s="68"/>
      <c r="O320" s="66"/>
      <c r="P320" s="66"/>
      <c r="Q320" s="66"/>
      <c r="R320" s="66"/>
      <c r="S320" s="68"/>
      <c r="T320" s="66"/>
      <c r="U320" s="66"/>
      <c r="V320" s="313"/>
      <c r="W320" s="314"/>
      <c r="X320" s="314"/>
      <c r="Y320" s="68"/>
      <c r="Z320" s="20"/>
      <c r="AA320" s="20"/>
      <c r="AB320" s="20"/>
      <c r="AC320" s="20"/>
      <c r="AD320" s="20"/>
      <c r="AE320" s="68"/>
      <c r="AF320" s="68"/>
      <c r="AG320" s="20"/>
      <c r="AH320" s="232"/>
    </row>
    <row r="321" spans="1:34" s="16" customFormat="1">
      <c r="A321" s="17"/>
      <c r="B321" s="17"/>
      <c r="C321" s="17"/>
      <c r="D321" s="17"/>
      <c r="E321" s="17"/>
      <c r="F321" s="302"/>
      <c r="G321" s="19"/>
      <c r="H321" s="64"/>
      <c r="I321" s="20"/>
      <c r="J321" s="68"/>
      <c r="K321" s="66"/>
      <c r="L321" s="66"/>
      <c r="M321" s="68"/>
      <c r="N321" s="68"/>
      <c r="O321" s="66"/>
      <c r="P321" s="66"/>
      <c r="Q321" s="66"/>
      <c r="R321" s="66"/>
      <c r="S321" s="68"/>
      <c r="T321" s="66"/>
      <c r="U321" s="66"/>
      <c r="V321" s="313"/>
      <c r="W321" s="314"/>
      <c r="X321" s="314"/>
      <c r="Y321" s="68"/>
      <c r="Z321" s="20"/>
      <c r="AA321" s="20"/>
      <c r="AB321" s="20"/>
      <c r="AC321" s="20"/>
      <c r="AD321" s="20"/>
      <c r="AE321" s="68"/>
      <c r="AF321" s="68"/>
      <c r="AG321" s="20"/>
      <c r="AH321" s="232"/>
    </row>
    <row r="322" spans="1:34" s="16" customFormat="1">
      <c r="A322" s="17"/>
      <c r="B322" s="17"/>
      <c r="C322" s="17"/>
      <c r="D322" s="17"/>
      <c r="E322" s="17"/>
      <c r="F322" s="302"/>
      <c r="G322" s="19"/>
      <c r="H322" s="64"/>
      <c r="I322" s="20"/>
      <c r="J322" s="68"/>
      <c r="K322" s="66"/>
      <c r="L322" s="66"/>
      <c r="M322" s="68"/>
      <c r="N322" s="68"/>
      <c r="O322" s="66"/>
      <c r="P322" s="66"/>
      <c r="Q322" s="66"/>
      <c r="R322" s="66"/>
      <c r="S322" s="68"/>
      <c r="T322" s="66"/>
      <c r="U322" s="66"/>
      <c r="V322" s="313"/>
      <c r="W322" s="314"/>
      <c r="X322" s="314"/>
      <c r="Y322" s="68"/>
      <c r="Z322" s="20"/>
      <c r="AA322" s="20"/>
      <c r="AB322" s="20"/>
      <c r="AC322" s="20"/>
      <c r="AD322" s="20"/>
      <c r="AE322" s="68"/>
      <c r="AF322" s="68"/>
      <c r="AG322" s="20"/>
      <c r="AH322" s="232"/>
    </row>
    <row r="323" spans="1:34" s="16" customFormat="1">
      <c r="A323" s="17"/>
      <c r="B323" s="17"/>
      <c r="C323" s="17"/>
      <c r="D323" s="17"/>
      <c r="E323" s="17"/>
      <c r="F323" s="302"/>
      <c r="G323" s="19"/>
      <c r="H323" s="64"/>
      <c r="I323" s="20"/>
      <c r="J323" s="68"/>
      <c r="K323" s="66"/>
      <c r="L323" s="66"/>
      <c r="M323" s="68"/>
      <c r="N323" s="68"/>
      <c r="O323" s="66"/>
      <c r="P323" s="66"/>
      <c r="Q323" s="66"/>
      <c r="R323" s="66"/>
      <c r="S323" s="68"/>
      <c r="T323" s="66"/>
      <c r="U323" s="66"/>
      <c r="V323" s="313"/>
      <c r="W323" s="314"/>
      <c r="X323" s="314"/>
      <c r="Y323" s="68"/>
      <c r="Z323" s="20"/>
      <c r="AA323" s="20"/>
      <c r="AB323" s="20"/>
      <c r="AC323" s="20"/>
      <c r="AD323" s="20"/>
      <c r="AE323" s="68"/>
      <c r="AF323" s="68"/>
      <c r="AG323" s="20"/>
      <c r="AH323" s="232"/>
    </row>
    <row r="324" spans="1:34" s="16" customFormat="1">
      <c r="A324" s="17"/>
      <c r="B324" s="17"/>
      <c r="C324" s="17"/>
      <c r="D324" s="17"/>
      <c r="E324" s="17"/>
      <c r="F324" s="302"/>
      <c r="G324" s="19"/>
      <c r="H324" s="64"/>
      <c r="I324" s="20"/>
      <c r="J324" s="68"/>
      <c r="K324" s="66"/>
      <c r="L324" s="66"/>
      <c r="M324" s="68"/>
      <c r="N324" s="68"/>
      <c r="O324" s="66"/>
      <c r="P324" s="66"/>
      <c r="Q324" s="66"/>
      <c r="R324" s="66"/>
      <c r="S324" s="68"/>
      <c r="T324" s="66"/>
      <c r="U324" s="66"/>
      <c r="V324" s="313"/>
      <c r="W324" s="314"/>
      <c r="X324" s="314"/>
      <c r="Y324" s="68"/>
      <c r="Z324" s="20"/>
      <c r="AA324" s="20"/>
      <c r="AB324" s="20"/>
      <c r="AC324" s="20"/>
      <c r="AD324" s="20"/>
      <c r="AE324" s="68"/>
      <c r="AF324" s="68"/>
      <c r="AG324" s="20"/>
      <c r="AH324" s="232"/>
    </row>
    <row r="325" spans="1:34" s="16" customFormat="1">
      <c r="A325" s="17"/>
      <c r="B325" s="17"/>
      <c r="C325" s="17"/>
      <c r="D325" s="17"/>
      <c r="E325" s="17"/>
      <c r="F325" s="302"/>
      <c r="G325" s="19"/>
      <c r="H325" s="64"/>
      <c r="I325" s="20"/>
      <c r="J325" s="68"/>
      <c r="K325" s="66"/>
      <c r="L325" s="66"/>
      <c r="M325" s="68"/>
      <c r="N325" s="68"/>
      <c r="O325" s="66"/>
      <c r="P325" s="66"/>
      <c r="Q325" s="66"/>
      <c r="R325" s="66"/>
      <c r="S325" s="68"/>
      <c r="T325" s="66"/>
      <c r="U325" s="66"/>
      <c r="V325" s="313"/>
      <c r="W325" s="314"/>
      <c r="X325" s="314"/>
      <c r="Y325" s="68"/>
      <c r="Z325" s="20"/>
      <c r="AA325" s="20"/>
      <c r="AB325" s="20"/>
      <c r="AC325" s="20"/>
      <c r="AD325" s="20"/>
      <c r="AE325" s="68"/>
      <c r="AF325" s="68"/>
      <c r="AG325" s="20"/>
      <c r="AH325" s="232"/>
    </row>
    <row r="326" spans="1:34" s="16" customFormat="1">
      <c r="A326" s="17"/>
      <c r="B326" s="17"/>
      <c r="C326" s="17"/>
      <c r="D326" s="17"/>
      <c r="E326" s="17"/>
      <c r="F326" s="302"/>
      <c r="G326" s="19"/>
      <c r="H326" s="64"/>
      <c r="I326" s="20"/>
      <c r="J326" s="68"/>
      <c r="K326" s="66"/>
      <c r="L326" s="66"/>
      <c r="M326" s="68"/>
      <c r="N326" s="68"/>
      <c r="O326" s="66"/>
      <c r="P326" s="66"/>
      <c r="Q326" s="66"/>
      <c r="R326" s="66"/>
      <c r="S326" s="68"/>
      <c r="T326" s="66"/>
      <c r="U326" s="66"/>
      <c r="V326" s="313"/>
      <c r="W326" s="314"/>
      <c r="X326" s="314"/>
      <c r="Y326" s="68"/>
      <c r="Z326" s="20"/>
      <c r="AA326" s="20"/>
      <c r="AB326" s="20"/>
      <c r="AC326" s="20"/>
      <c r="AD326" s="20"/>
      <c r="AE326" s="68"/>
      <c r="AF326" s="68"/>
      <c r="AG326" s="20"/>
      <c r="AH326" s="232"/>
    </row>
    <row r="327" spans="1:34" s="16" customFormat="1">
      <c r="A327" s="17"/>
      <c r="B327" s="17"/>
      <c r="C327" s="17"/>
      <c r="D327" s="17"/>
      <c r="E327" s="17"/>
      <c r="F327" s="302"/>
      <c r="G327" s="19"/>
      <c r="H327" s="64"/>
      <c r="I327" s="20"/>
      <c r="J327" s="68"/>
      <c r="K327" s="66"/>
      <c r="L327" s="66"/>
      <c r="M327" s="68"/>
      <c r="N327" s="68"/>
      <c r="O327" s="66"/>
      <c r="P327" s="66"/>
      <c r="Q327" s="66"/>
      <c r="R327" s="66"/>
      <c r="S327" s="68"/>
      <c r="T327" s="66"/>
      <c r="U327" s="66"/>
      <c r="V327" s="313"/>
      <c r="W327" s="314"/>
      <c r="X327" s="314"/>
      <c r="Y327" s="68"/>
      <c r="Z327" s="20"/>
      <c r="AA327" s="20"/>
      <c r="AB327" s="20"/>
      <c r="AC327" s="20"/>
      <c r="AD327" s="20"/>
      <c r="AE327" s="68"/>
      <c r="AF327" s="68"/>
      <c r="AG327" s="20"/>
      <c r="AH327" s="232"/>
    </row>
    <row r="328" spans="1:34" s="16" customFormat="1">
      <c r="A328" s="17"/>
      <c r="B328" s="17"/>
      <c r="C328" s="17"/>
      <c r="D328" s="17"/>
      <c r="E328" s="17"/>
      <c r="F328" s="302"/>
      <c r="G328" s="19"/>
      <c r="H328" s="64"/>
      <c r="I328" s="20"/>
      <c r="J328" s="68"/>
      <c r="K328" s="66"/>
      <c r="L328" s="66"/>
      <c r="M328" s="68"/>
      <c r="N328" s="68"/>
      <c r="O328" s="66"/>
      <c r="P328" s="66"/>
      <c r="Q328" s="66"/>
      <c r="R328" s="66"/>
      <c r="S328" s="68"/>
      <c r="T328" s="66"/>
      <c r="U328" s="66"/>
      <c r="V328" s="313"/>
      <c r="W328" s="314"/>
      <c r="X328" s="314"/>
      <c r="Y328" s="68"/>
      <c r="Z328" s="20"/>
      <c r="AA328" s="20"/>
      <c r="AB328" s="20"/>
      <c r="AC328" s="20"/>
      <c r="AD328" s="20"/>
      <c r="AE328" s="68"/>
      <c r="AF328" s="68"/>
      <c r="AG328" s="20"/>
      <c r="AH328" s="232"/>
    </row>
    <row r="329" spans="1:34" s="16" customFormat="1">
      <c r="A329" s="17"/>
      <c r="B329" s="17"/>
      <c r="C329" s="17"/>
      <c r="D329" s="17"/>
      <c r="E329" s="17"/>
      <c r="F329" s="302"/>
      <c r="G329" s="19"/>
      <c r="H329" s="64"/>
      <c r="I329" s="20"/>
      <c r="J329" s="68"/>
      <c r="K329" s="66"/>
      <c r="L329" s="66"/>
      <c r="M329" s="68"/>
      <c r="N329" s="68"/>
      <c r="O329" s="66"/>
      <c r="P329" s="66"/>
      <c r="Q329" s="66"/>
      <c r="R329" s="66"/>
      <c r="S329" s="68"/>
      <c r="T329" s="66"/>
      <c r="U329" s="66"/>
      <c r="V329" s="313"/>
      <c r="W329" s="314"/>
      <c r="X329" s="314"/>
      <c r="Y329" s="68"/>
      <c r="Z329" s="20"/>
      <c r="AA329" s="20"/>
      <c r="AB329" s="20"/>
      <c r="AC329" s="20"/>
      <c r="AD329" s="20"/>
      <c r="AE329" s="68"/>
      <c r="AF329" s="68"/>
      <c r="AG329" s="20"/>
      <c r="AH329" s="232"/>
    </row>
    <row r="330" spans="1:34" s="16" customFormat="1">
      <c r="A330" s="17"/>
      <c r="B330" s="17"/>
      <c r="C330" s="17"/>
      <c r="D330" s="17"/>
      <c r="E330" s="17"/>
      <c r="F330" s="302"/>
      <c r="G330" s="19"/>
      <c r="H330" s="64"/>
      <c r="I330" s="20"/>
      <c r="J330" s="68"/>
      <c r="K330" s="66"/>
      <c r="L330" s="66"/>
      <c r="M330" s="68"/>
      <c r="N330" s="68"/>
      <c r="O330" s="66"/>
      <c r="P330" s="66"/>
      <c r="Q330" s="66"/>
      <c r="R330" s="66"/>
      <c r="S330" s="68"/>
      <c r="T330" s="66"/>
      <c r="U330" s="66"/>
      <c r="V330" s="313"/>
      <c r="W330" s="314"/>
      <c r="X330" s="314"/>
      <c r="Y330" s="68"/>
      <c r="Z330" s="20"/>
      <c r="AA330" s="20"/>
      <c r="AB330" s="20"/>
      <c r="AC330" s="20"/>
      <c r="AD330" s="20"/>
      <c r="AE330" s="68"/>
      <c r="AF330" s="68"/>
      <c r="AG330" s="20"/>
      <c r="AH330" s="232"/>
    </row>
    <row r="331" spans="1:34" s="16" customFormat="1">
      <c r="A331" s="17"/>
      <c r="B331" s="17"/>
      <c r="C331" s="17"/>
      <c r="D331" s="17"/>
      <c r="E331" s="17"/>
      <c r="F331" s="302"/>
      <c r="G331" s="19"/>
      <c r="H331" s="64"/>
      <c r="I331" s="20"/>
      <c r="J331" s="68"/>
      <c r="K331" s="66"/>
      <c r="L331" s="66"/>
      <c r="M331" s="68"/>
      <c r="N331" s="68"/>
      <c r="O331" s="66"/>
      <c r="P331" s="66"/>
      <c r="Q331" s="66"/>
      <c r="R331" s="66"/>
      <c r="S331" s="68"/>
      <c r="T331" s="66"/>
      <c r="U331" s="66"/>
      <c r="V331" s="313"/>
      <c r="W331" s="314"/>
      <c r="X331" s="314"/>
      <c r="Y331" s="68"/>
      <c r="Z331" s="20"/>
      <c r="AA331" s="20"/>
      <c r="AB331" s="20"/>
      <c r="AC331" s="20"/>
      <c r="AD331" s="20"/>
      <c r="AE331" s="68"/>
      <c r="AF331" s="68"/>
      <c r="AG331" s="20"/>
      <c r="AH331" s="232"/>
    </row>
    <row r="332" spans="1:34" s="16" customFormat="1">
      <c r="A332" s="17"/>
      <c r="B332" s="17"/>
      <c r="C332" s="17"/>
      <c r="D332" s="17"/>
      <c r="E332" s="17"/>
      <c r="F332" s="302"/>
      <c r="G332" s="19"/>
      <c r="H332" s="64"/>
      <c r="I332" s="20"/>
      <c r="J332" s="68"/>
      <c r="K332" s="66"/>
      <c r="L332" s="66"/>
      <c r="M332" s="68"/>
      <c r="N332" s="68"/>
      <c r="O332" s="66"/>
      <c r="P332" s="66"/>
      <c r="Q332" s="66"/>
      <c r="R332" s="66"/>
      <c r="S332" s="68"/>
      <c r="T332" s="66"/>
      <c r="U332" s="66"/>
      <c r="V332" s="313"/>
      <c r="W332" s="314"/>
      <c r="X332" s="314"/>
      <c r="Y332" s="68"/>
      <c r="Z332" s="20"/>
      <c r="AA332" s="20"/>
      <c r="AB332" s="20"/>
      <c r="AC332" s="20"/>
      <c r="AD332" s="20"/>
      <c r="AE332" s="68"/>
      <c r="AF332" s="68"/>
      <c r="AG332" s="20"/>
      <c r="AH332" s="232"/>
    </row>
    <row r="333" spans="1:34" s="16" customFormat="1">
      <c r="A333" s="17"/>
      <c r="B333" s="17"/>
      <c r="C333" s="17"/>
      <c r="D333" s="17"/>
      <c r="E333" s="17"/>
      <c r="F333" s="302"/>
      <c r="G333" s="19"/>
      <c r="H333" s="64"/>
      <c r="I333" s="20"/>
      <c r="J333" s="68"/>
      <c r="K333" s="66"/>
      <c r="L333" s="66"/>
      <c r="M333" s="68"/>
      <c r="N333" s="68"/>
      <c r="O333" s="66"/>
      <c r="P333" s="66"/>
      <c r="Q333" s="66"/>
      <c r="R333" s="66"/>
      <c r="S333" s="68"/>
      <c r="T333" s="66"/>
      <c r="U333" s="66"/>
      <c r="V333" s="313"/>
      <c r="W333" s="314"/>
      <c r="X333" s="314"/>
      <c r="Y333" s="68"/>
      <c r="Z333" s="20"/>
      <c r="AA333" s="20"/>
      <c r="AB333" s="20"/>
      <c r="AC333" s="20"/>
      <c r="AD333" s="20"/>
      <c r="AE333" s="68"/>
      <c r="AF333" s="68"/>
      <c r="AG333" s="20"/>
      <c r="AH333" s="232"/>
    </row>
    <row r="334" spans="1:34" s="16" customFormat="1">
      <c r="A334" s="17"/>
      <c r="B334" s="17"/>
      <c r="C334" s="17"/>
      <c r="D334" s="17"/>
      <c r="E334" s="17"/>
      <c r="F334" s="302"/>
      <c r="G334" s="19"/>
      <c r="H334" s="64"/>
      <c r="I334" s="20"/>
      <c r="J334" s="68"/>
      <c r="K334" s="66"/>
      <c r="L334" s="66"/>
      <c r="M334" s="68"/>
      <c r="N334" s="68"/>
      <c r="O334" s="66"/>
      <c r="P334" s="66"/>
      <c r="Q334" s="66"/>
      <c r="R334" s="66"/>
      <c r="S334" s="68"/>
      <c r="T334" s="66"/>
      <c r="U334" s="66"/>
      <c r="V334" s="313"/>
      <c r="W334" s="314"/>
      <c r="X334" s="314"/>
      <c r="Y334" s="68"/>
      <c r="Z334" s="20"/>
      <c r="AA334" s="20"/>
      <c r="AB334" s="20"/>
      <c r="AC334" s="20"/>
      <c r="AD334" s="20"/>
      <c r="AE334" s="68"/>
      <c r="AF334" s="68"/>
      <c r="AG334" s="20"/>
      <c r="AH334" s="232"/>
    </row>
    <row r="335" spans="1:34" s="16" customFormat="1">
      <c r="A335" s="17"/>
      <c r="B335" s="17"/>
      <c r="C335" s="17"/>
      <c r="D335" s="17"/>
      <c r="E335" s="17"/>
      <c r="F335" s="302"/>
      <c r="G335" s="19"/>
      <c r="H335" s="64"/>
      <c r="I335" s="20"/>
      <c r="J335" s="68"/>
      <c r="K335" s="66"/>
      <c r="L335" s="66"/>
      <c r="M335" s="68"/>
      <c r="N335" s="68"/>
      <c r="O335" s="66"/>
      <c r="P335" s="66"/>
      <c r="Q335" s="66"/>
      <c r="R335" s="66"/>
      <c r="S335" s="68"/>
      <c r="T335" s="66"/>
      <c r="U335" s="66"/>
      <c r="V335" s="313"/>
      <c r="W335" s="314"/>
      <c r="X335" s="314"/>
      <c r="Y335" s="68"/>
      <c r="Z335" s="20"/>
      <c r="AA335" s="20"/>
      <c r="AB335" s="20"/>
      <c r="AC335" s="20"/>
      <c r="AD335" s="20"/>
      <c r="AE335" s="68"/>
      <c r="AF335" s="68"/>
      <c r="AG335" s="20"/>
      <c r="AH335" s="232"/>
    </row>
    <row r="336" spans="1:34" s="16" customFormat="1">
      <c r="A336" s="17"/>
      <c r="B336" s="17"/>
      <c r="C336" s="17"/>
      <c r="D336" s="17"/>
      <c r="E336" s="17"/>
      <c r="F336" s="302"/>
      <c r="G336" s="19"/>
      <c r="H336" s="64"/>
      <c r="I336" s="20"/>
      <c r="J336" s="68"/>
      <c r="K336" s="66"/>
      <c r="L336" s="66"/>
      <c r="M336" s="68"/>
      <c r="N336" s="68"/>
      <c r="O336" s="66"/>
      <c r="P336" s="66"/>
      <c r="Q336" s="66"/>
      <c r="R336" s="66"/>
      <c r="S336" s="68"/>
      <c r="T336" s="66"/>
      <c r="U336" s="66"/>
      <c r="V336" s="313"/>
      <c r="W336" s="314"/>
      <c r="X336" s="314"/>
      <c r="Y336" s="68"/>
      <c r="Z336" s="20"/>
      <c r="AA336" s="20"/>
      <c r="AB336" s="20"/>
      <c r="AC336" s="20"/>
      <c r="AD336" s="20"/>
      <c r="AE336" s="68"/>
      <c r="AF336" s="68"/>
      <c r="AG336" s="20"/>
      <c r="AH336" s="232"/>
    </row>
    <row r="337" spans="1:34" s="16" customFormat="1">
      <c r="A337" s="17"/>
      <c r="B337" s="17"/>
      <c r="C337" s="17"/>
      <c r="D337" s="17"/>
      <c r="E337" s="17"/>
      <c r="F337" s="302"/>
      <c r="G337" s="19"/>
      <c r="H337" s="64"/>
      <c r="I337" s="20"/>
      <c r="J337" s="68"/>
      <c r="K337" s="66"/>
      <c r="L337" s="66"/>
      <c r="M337" s="68"/>
      <c r="N337" s="68"/>
      <c r="O337" s="66"/>
      <c r="P337" s="66"/>
      <c r="Q337" s="66"/>
      <c r="R337" s="66"/>
      <c r="S337" s="68"/>
      <c r="T337" s="66"/>
      <c r="U337" s="66"/>
      <c r="V337" s="313"/>
      <c r="W337" s="314"/>
      <c r="X337" s="314"/>
      <c r="Y337" s="68"/>
      <c r="Z337" s="20"/>
      <c r="AA337" s="20"/>
      <c r="AB337" s="20"/>
      <c r="AC337" s="20"/>
      <c r="AD337" s="20"/>
      <c r="AE337" s="68"/>
      <c r="AF337" s="68"/>
      <c r="AG337" s="20"/>
      <c r="AH337" s="232"/>
    </row>
    <row r="338" spans="1:34" s="16" customFormat="1">
      <c r="A338" s="17"/>
      <c r="B338" s="17"/>
      <c r="C338" s="17"/>
      <c r="D338" s="17"/>
      <c r="E338" s="17"/>
      <c r="F338" s="302"/>
      <c r="G338" s="19"/>
      <c r="H338" s="64"/>
      <c r="I338" s="20"/>
      <c r="J338" s="68"/>
      <c r="K338" s="66"/>
      <c r="L338" s="66"/>
      <c r="M338" s="68"/>
      <c r="N338" s="68"/>
      <c r="O338" s="66"/>
      <c r="P338" s="66"/>
      <c r="Q338" s="66"/>
      <c r="R338" s="66"/>
      <c r="S338" s="68"/>
      <c r="T338" s="66"/>
      <c r="U338" s="66"/>
      <c r="V338" s="313"/>
      <c r="W338" s="314"/>
      <c r="X338" s="314"/>
      <c r="Y338" s="68"/>
      <c r="Z338" s="20"/>
      <c r="AA338" s="20"/>
      <c r="AB338" s="20"/>
      <c r="AC338" s="20"/>
      <c r="AD338" s="20"/>
      <c r="AE338" s="68"/>
      <c r="AF338" s="68"/>
      <c r="AG338" s="20"/>
      <c r="AH338" s="232"/>
    </row>
    <row r="339" spans="1:34" s="16" customFormat="1">
      <c r="A339" s="17"/>
      <c r="B339" s="17"/>
      <c r="C339" s="17"/>
      <c r="D339" s="17"/>
      <c r="E339" s="17"/>
      <c r="F339" s="302"/>
      <c r="G339" s="19"/>
      <c r="H339" s="64"/>
      <c r="I339" s="20"/>
      <c r="J339" s="68"/>
      <c r="K339" s="66"/>
      <c r="L339" s="66"/>
      <c r="M339" s="68"/>
      <c r="N339" s="68"/>
      <c r="O339" s="66"/>
      <c r="P339" s="66"/>
      <c r="Q339" s="66"/>
      <c r="R339" s="66"/>
      <c r="S339" s="68"/>
      <c r="T339" s="66"/>
      <c r="U339" s="66"/>
      <c r="V339" s="313"/>
      <c r="W339" s="314"/>
      <c r="X339" s="314"/>
      <c r="Y339" s="68"/>
      <c r="Z339" s="20"/>
      <c r="AA339" s="20"/>
      <c r="AB339" s="20"/>
      <c r="AC339" s="20"/>
      <c r="AD339" s="20"/>
      <c r="AE339" s="68"/>
      <c r="AF339" s="68"/>
      <c r="AG339" s="20"/>
      <c r="AH339" s="232"/>
    </row>
    <row r="340" spans="1:34" s="16" customFormat="1">
      <c r="A340" s="17"/>
      <c r="B340" s="17"/>
      <c r="C340" s="17"/>
      <c r="D340" s="17"/>
      <c r="E340" s="17"/>
      <c r="F340" s="302"/>
      <c r="G340" s="19"/>
      <c r="H340" s="64"/>
      <c r="I340" s="20"/>
      <c r="J340" s="68"/>
      <c r="K340" s="66"/>
      <c r="L340" s="66"/>
      <c r="M340" s="68"/>
      <c r="N340" s="68"/>
      <c r="O340" s="66"/>
      <c r="P340" s="66"/>
      <c r="Q340" s="66"/>
      <c r="R340" s="66"/>
      <c r="S340" s="68"/>
      <c r="T340" s="66"/>
      <c r="U340" s="66"/>
      <c r="V340" s="313"/>
      <c r="W340" s="314"/>
      <c r="X340" s="314"/>
      <c r="Y340" s="68"/>
      <c r="Z340" s="20"/>
      <c r="AA340" s="20"/>
      <c r="AB340" s="20"/>
      <c r="AC340" s="20"/>
      <c r="AD340" s="20"/>
      <c r="AE340" s="68"/>
      <c r="AF340" s="68"/>
      <c r="AG340" s="20"/>
      <c r="AH340" s="232"/>
    </row>
    <row r="341" spans="1:34" s="16" customFormat="1">
      <c r="A341" s="17"/>
      <c r="B341" s="17"/>
      <c r="C341" s="17"/>
      <c r="D341" s="17"/>
      <c r="E341" s="17"/>
      <c r="F341" s="302"/>
      <c r="G341" s="19"/>
      <c r="H341" s="64"/>
      <c r="I341" s="20"/>
      <c r="J341" s="68"/>
      <c r="K341" s="66"/>
      <c r="L341" s="66"/>
      <c r="M341" s="68"/>
      <c r="N341" s="68"/>
      <c r="O341" s="66"/>
      <c r="P341" s="66"/>
      <c r="Q341" s="66"/>
      <c r="R341" s="66"/>
      <c r="S341" s="68"/>
      <c r="T341" s="66"/>
      <c r="U341" s="66"/>
      <c r="V341" s="313"/>
      <c r="W341" s="314"/>
      <c r="X341" s="314"/>
      <c r="Y341" s="68"/>
      <c r="Z341" s="20"/>
      <c r="AA341" s="20"/>
      <c r="AB341" s="20"/>
      <c r="AC341" s="20"/>
      <c r="AD341" s="20"/>
      <c r="AE341" s="68"/>
      <c r="AF341" s="68"/>
      <c r="AG341" s="20"/>
      <c r="AH341" s="232"/>
    </row>
    <row r="342" spans="1:34" s="16" customFormat="1">
      <c r="A342" s="17"/>
      <c r="B342" s="17"/>
      <c r="C342" s="17"/>
      <c r="D342" s="17"/>
      <c r="E342" s="17"/>
      <c r="F342" s="302"/>
      <c r="G342" s="19"/>
      <c r="H342" s="64"/>
      <c r="I342" s="20"/>
      <c r="J342" s="68"/>
      <c r="K342" s="66"/>
      <c r="L342" s="66"/>
      <c r="M342" s="68"/>
      <c r="N342" s="68"/>
      <c r="O342" s="66"/>
      <c r="P342" s="66"/>
      <c r="Q342" s="66"/>
      <c r="R342" s="66"/>
      <c r="S342" s="68"/>
      <c r="T342" s="66"/>
      <c r="U342" s="66"/>
      <c r="V342" s="313"/>
      <c r="W342" s="314"/>
      <c r="X342" s="314"/>
      <c r="Y342" s="68"/>
      <c r="Z342" s="20"/>
      <c r="AA342" s="20"/>
      <c r="AB342" s="20"/>
      <c r="AC342" s="20"/>
      <c r="AD342" s="20"/>
      <c r="AE342" s="68"/>
      <c r="AF342" s="68"/>
      <c r="AG342" s="20"/>
      <c r="AH342" s="232"/>
    </row>
    <row r="343" spans="1:34" s="16" customFormat="1">
      <c r="A343" s="17"/>
      <c r="B343" s="17"/>
      <c r="C343" s="17"/>
      <c r="D343" s="17"/>
      <c r="E343" s="17"/>
      <c r="F343" s="302"/>
      <c r="G343" s="19"/>
      <c r="H343" s="64"/>
      <c r="I343" s="20"/>
      <c r="J343" s="68"/>
      <c r="K343" s="66"/>
      <c r="L343" s="66"/>
      <c r="M343" s="68"/>
      <c r="N343" s="68"/>
      <c r="O343" s="66"/>
      <c r="P343" s="66"/>
      <c r="Q343" s="66"/>
      <c r="R343" s="66"/>
      <c r="S343" s="68"/>
      <c r="T343" s="66"/>
      <c r="U343" s="66"/>
      <c r="V343" s="313"/>
      <c r="W343" s="314"/>
      <c r="X343" s="314"/>
      <c r="Y343" s="68"/>
      <c r="Z343" s="20"/>
      <c r="AA343" s="20"/>
      <c r="AB343" s="20"/>
      <c r="AC343" s="20"/>
      <c r="AD343" s="20"/>
      <c r="AE343" s="68"/>
      <c r="AF343" s="68"/>
      <c r="AG343" s="20"/>
      <c r="AH343" s="232"/>
    </row>
    <row r="344" spans="1:34" s="16" customFormat="1">
      <c r="A344" s="17"/>
      <c r="B344" s="17"/>
      <c r="C344" s="17"/>
      <c r="D344" s="17"/>
      <c r="E344" s="17"/>
      <c r="F344" s="302"/>
      <c r="G344" s="19"/>
      <c r="H344" s="64"/>
      <c r="I344" s="20"/>
      <c r="J344" s="68"/>
      <c r="K344" s="66"/>
      <c r="L344" s="66"/>
      <c r="M344" s="68"/>
      <c r="N344" s="68"/>
      <c r="O344" s="66"/>
      <c r="P344" s="66"/>
      <c r="Q344" s="66"/>
      <c r="R344" s="66"/>
      <c r="S344" s="68"/>
      <c r="T344" s="66"/>
      <c r="U344" s="66"/>
      <c r="V344" s="313"/>
      <c r="W344" s="314"/>
      <c r="X344" s="314"/>
      <c r="Y344" s="68"/>
      <c r="Z344" s="20"/>
      <c r="AA344" s="20"/>
      <c r="AB344" s="20"/>
      <c r="AC344" s="20"/>
      <c r="AD344" s="20"/>
      <c r="AE344" s="68"/>
      <c r="AF344" s="68"/>
      <c r="AG344" s="20"/>
      <c r="AH344" s="232"/>
    </row>
    <row r="345" spans="1:34" s="16" customFormat="1">
      <c r="A345" s="17"/>
      <c r="B345" s="17"/>
      <c r="C345" s="17"/>
      <c r="D345" s="17"/>
      <c r="E345" s="17"/>
      <c r="F345" s="302"/>
      <c r="G345" s="19"/>
      <c r="H345" s="64"/>
      <c r="I345" s="20"/>
      <c r="J345" s="68"/>
      <c r="K345" s="66"/>
      <c r="L345" s="66"/>
      <c r="M345" s="68"/>
      <c r="N345" s="68"/>
      <c r="O345" s="66"/>
      <c r="P345" s="66"/>
      <c r="Q345" s="66"/>
      <c r="R345" s="66"/>
      <c r="S345" s="68"/>
      <c r="T345" s="66"/>
      <c r="U345" s="66"/>
      <c r="V345" s="313"/>
      <c r="W345" s="314"/>
      <c r="X345" s="314"/>
      <c r="Y345" s="68"/>
      <c r="Z345" s="20"/>
      <c r="AA345" s="20"/>
      <c r="AB345" s="20"/>
      <c r="AC345" s="20"/>
      <c r="AD345" s="20"/>
      <c r="AE345" s="68"/>
      <c r="AF345" s="68"/>
      <c r="AG345" s="20"/>
      <c r="AH345" s="232"/>
    </row>
    <row r="346" spans="1:34" s="16" customFormat="1">
      <c r="A346" s="17"/>
      <c r="B346" s="17"/>
      <c r="C346" s="17"/>
      <c r="D346" s="17"/>
      <c r="E346" s="17"/>
      <c r="F346" s="302"/>
      <c r="G346" s="19"/>
      <c r="H346" s="64"/>
      <c r="I346" s="20"/>
      <c r="J346" s="68"/>
      <c r="K346" s="66"/>
      <c r="L346" s="66"/>
      <c r="M346" s="68"/>
      <c r="N346" s="68"/>
      <c r="O346" s="66"/>
      <c r="P346" s="66"/>
      <c r="Q346" s="66"/>
      <c r="R346" s="66"/>
      <c r="S346" s="68"/>
      <c r="T346" s="66"/>
      <c r="U346" s="66"/>
      <c r="V346" s="313"/>
      <c r="W346" s="314"/>
      <c r="X346" s="314"/>
      <c r="Y346" s="68"/>
      <c r="Z346" s="20"/>
      <c r="AA346" s="20"/>
      <c r="AB346" s="20"/>
      <c r="AC346" s="20"/>
      <c r="AD346" s="20"/>
      <c r="AE346" s="68"/>
      <c r="AF346" s="68"/>
      <c r="AG346" s="20"/>
      <c r="AH346" s="232"/>
    </row>
    <row r="347" spans="1:34" s="16" customFormat="1">
      <c r="A347" s="17"/>
      <c r="B347" s="17"/>
      <c r="C347" s="17"/>
      <c r="D347" s="17"/>
      <c r="E347" s="17"/>
      <c r="F347" s="302"/>
      <c r="G347" s="19"/>
      <c r="H347" s="64"/>
      <c r="I347" s="20"/>
      <c r="J347" s="68"/>
      <c r="K347" s="66"/>
      <c r="L347" s="66"/>
      <c r="M347" s="68"/>
      <c r="N347" s="68"/>
      <c r="O347" s="66"/>
      <c r="P347" s="66"/>
      <c r="Q347" s="66"/>
      <c r="R347" s="66"/>
      <c r="S347" s="68"/>
      <c r="T347" s="66"/>
      <c r="U347" s="66"/>
      <c r="V347" s="313"/>
      <c r="W347" s="314"/>
      <c r="X347" s="314"/>
      <c r="Y347" s="68"/>
      <c r="Z347" s="20"/>
      <c r="AA347" s="20"/>
      <c r="AB347" s="20"/>
      <c r="AC347" s="20"/>
      <c r="AD347" s="20"/>
      <c r="AE347" s="68"/>
      <c r="AF347" s="68"/>
      <c r="AG347" s="20"/>
      <c r="AH347" s="232"/>
    </row>
    <row r="348" spans="1:34" s="16" customFormat="1">
      <c r="A348" s="17"/>
      <c r="B348" s="17"/>
      <c r="C348" s="17"/>
      <c r="D348" s="17"/>
      <c r="E348" s="17"/>
      <c r="F348" s="302"/>
      <c r="G348" s="19"/>
      <c r="H348" s="64"/>
      <c r="I348" s="20"/>
      <c r="J348" s="68"/>
      <c r="K348" s="66"/>
      <c r="L348" s="66"/>
      <c r="M348" s="68"/>
      <c r="N348" s="68"/>
      <c r="O348" s="66"/>
      <c r="P348" s="66"/>
      <c r="Q348" s="66"/>
      <c r="R348" s="66"/>
      <c r="S348" s="68"/>
      <c r="T348" s="66"/>
      <c r="U348" s="66"/>
      <c r="V348" s="313"/>
      <c r="W348" s="314"/>
      <c r="X348" s="314"/>
      <c r="Y348" s="68"/>
      <c r="Z348" s="20"/>
      <c r="AA348" s="20"/>
      <c r="AB348" s="20"/>
      <c r="AC348" s="20"/>
      <c r="AD348" s="20"/>
      <c r="AE348" s="68"/>
      <c r="AF348" s="68"/>
      <c r="AG348" s="20"/>
      <c r="AH348" s="232"/>
    </row>
    <row r="349" spans="1:34" s="16" customFormat="1">
      <c r="A349" s="17"/>
      <c r="B349" s="17"/>
      <c r="C349" s="17"/>
      <c r="D349" s="17"/>
      <c r="E349" s="17"/>
      <c r="F349" s="302"/>
      <c r="G349" s="19"/>
      <c r="H349" s="64"/>
      <c r="I349" s="20"/>
      <c r="J349" s="68"/>
      <c r="K349" s="66"/>
      <c r="L349" s="66"/>
      <c r="M349" s="68"/>
      <c r="N349" s="68"/>
      <c r="O349" s="66"/>
      <c r="P349" s="66"/>
      <c r="Q349" s="66"/>
      <c r="R349" s="66"/>
      <c r="S349" s="68"/>
      <c r="T349" s="66"/>
      <c r="U349" s="66"/>
      <c r="V349" s="313"/>
      <c r="W349" s="314"/>
      <c r="X349" s="314"/>
      <c r="Y349" s="68"/>
      <c r="Z349" s="20"/>
      <c r="AA349" s="20"/>
      <c r="AB349" s="20"/>
      <c r="AC349" s="20"/>
      <c r="AD349" s="20"/>
      <c r="AE349" s="68"/>
      <c r="AF349" s="68"/>
      <c r="AG349" s="20"/>
      <c r="AH349" s="232"/>
    </row>
    <row r="350" spans="1:34" s="16" customFormat="1">
      <c r="A350" s="17"/>
      <c r="B350" s="17"/>
      <c r="C350" s="17"/>
      <c r="D350" s="17"/>
      <c r="E350" s="17"/>
      <c r="F350" s="302"/>
      <c r="G350" s="19"/>
      <c r="H350" s="64"/>
      <c r="I350" s="20"/>
      <c r="J350" s="68"/>
      <c r="K350" s="66"/>
      <c r="L350" s="66"/>
      <c r="M350" s="68"/>
      <c r="N350" s="68"/>
      <c r="O350" s="66"/>
      <c r="P350" s="66"/>
      <c r="Q350" s="66"/>
      <c r="R350" s="66"/>
      <c r="S350" s="68"/>
      <c r="T350" s="66"/>
      <c r="U350" s="66"/>
      <c r="V350" s="313"/>
      <c r="W350" s="314"/>
      <c r="X350" s="314"/>
      <c r="Y350" s="68"/>
      <c r="Z350" s="20"/>
      <c r="AA350" s="20"/>
      <c r="AB350" s="20"/>
      <c r="AC350" s="20"/>
      <c r="AD350" s="20"/>
      <c r="AE350" s="68"/>
      <c r="AF350" s="68"/>
      <c r="AG350" s="20"/>
      <c r="AH350" s="232"/>
    </row>
    <row r="351" spans="1:34" s="16" customFormat="1">
      <c r="A351" s="17"/>
      <c r="B351" s="17"/>
      <c r="C351" s="17"/>
      <c r="D351" s="17"/>
      <c r="E351" s="17"/>
      <c r="F351" s="302"/>
      <c r="G351" s="19"/>
      <c r="H351" s="64"/>
      <c r="I351" s="20"/>
      <c r="J351" s="68"/>
      <c r="K351" s="66"/>
      <c r="L351" s="66"/>
      <c r="M351" s="68"/>
      <c r="N351" s="68"/>
      <c r="O351" s="66"/>
      <c r="P351" s="66"/>
      <c r="Q351" s="66"/>
      <c r="R351" s="66"/>
      <c r="S351" s="68"/>
      <c r="T351" s="66"/>
      <c r="U351" s="66"/>
      <c r="V351" s="313"/>
      <c r="W351" s="314"/>
      <c r="X351" s="314"/>
      <c r="Y351" s="68"/>
      <c r="Z351" s="20"/>
      <c r="AA351" s="20"/>
      <c r="AB351" s="20"/>
      <c r="AC351" s="20"/>
      <c r="AD351" s="20"/>
      <c r="AE351" s="68"/>
      <c r="AF351" s="68"/>
      <c r="AG351" s="20"/>
      <c r="AH351" s="232"/>
    </row>
    <row r="352" spans="1:34" s="16" customFormat="1">
      <c r="A352" s="17"/>
      <c r="B352" s="17"/>
      <c r="C352" s="17"/>
      <c r="D352" s="17"/>
      <c r="E352" s="17"/>
      <c r="F352" s="302"/>
      <c r="G352" s="19"/>
      <c r="H352" s="64"/>
      <c r="I352" s="20"/>
      <c r="J352" s="68"/>
      <c r="K352" s="66"/>
      <c r="L352" s="66"/>
      <c r="M352" s="68"/>
      <c r="N352" s="68"/>
      <c r="O352" s="66"/>
      <c r="P352" s="66"/>
      <c r="Q352" s="66"/>
      <c r="R352" s="66"/>
      <c r="S352" s="68"/>
      <c r="T352" s="66"/>
      <c r="U352" s="66"/>
      <c r="V352" s="313"/>
      <c r="W352" s="314"/>
      <c r="X352" s="314"/>
      <c r="Y352" s="68"/>
      <c r="Z352" s="20"/>
      <c r="AA352" s="20"/>
      <c r="AB352" s="20"/>
      <c r="AC352" s="20"/>
      <c r="AD352" s="20"/>
      <c r="AE352" s="68"/>
      <c r="AF352" s="68"/>
      <c r="AG352" s="20"/>
      <c r="AH352" s="232"/>
    </row>
    <row r="353" spans="1:34" s="16" customFormat="1">
      <c r="A353" s="17"/>
      <c r="B353" s="17"/>
      <c r="C353" s="17"/>
      <c r="D353" s="17"/>
      <c r="E353" s="17"/>
      <c r="F353" s="302"/>
      <c r="G353" s="19"/>
      <c r="H353" s="64"/>
      <c r="I353" s="20"/>
      <c r="J353" s="68"/>
      <c r="K353" s="66"/>
      <c r="L353" s="66"/>
      <c r="M353" s="68"/>
      <c r="N353" s="68"/>
      <c r="O353" s="66"/>
      <c r="P353" s="66"/>
      <c r="Q353" s="66"/>
      <c r="R353" s="66"/>
      <c r="S353" s="68"/>
      <c r="T353" s="66"/>
      <c r="U353" s="66"/>
      <c r="V353" s="313"/>
      <c r="W353" s="314"/>
      <c r="X353" s="314"/>
      <c r="Y353" s="68"/>
      <c r="Z353" s="20"/>
      <c r="AA353" s="20"/>
      <c r="AB353" s="20"/>
      <c r="AC353" s="20"/>
      <c r="AD353" s="20"/>
      <c r="AE353" s="68"/>
      <c r="AF353" s="68"/>
      <c r="AG353" s="20"/>
      <c r="AH353" s="232"/>
    </row>
    <row r="354" spans="1:34" s="16" customFormat="1">
      <c r="A354" s="17"/>
      <c r="B354" s="17"/>
      <c r="C354" s="17"/>
      <c r="D354" s="17"/>
      <c r="E354" s="17"/>
      <c r="F354" s="302"/>
      <c r="G354" s="19"/>
      <c r="H354" s="64"/>
      <c r="I354" s="20"/>
      <c r="J354" s="68"/>
      <c r="K354" s="66"/>
      <c r="L354" s="66"/>
      <c r="M354" s="68"/>
      <c r="N354" s="68"/>
      <c r="O354" s="66"/>
      <c r="P354" s="66"/>
      <c r="Q354" s="66"/>
      <c r="R354" s="66"/>
      <c r="S354" s="68"/>
      <c r="T354" s="66"/>
      <c r="U354" s="66"/>
      <c r="V354" s="313"/>
      <c r="W354" s="314"/>
      <c r="X354" s="314"/>
      <c r="Y354" s="68"/>
      <c r="Z354" s="20"/>
      <c r="AA354" s="20"/>
      <c r="AB354" s="20"/>
      <c r="AC354" s="20"/>
      <c r="AD354" s="20"/>
      <c r="AE354" s="68"/>
      <c r="AF354" s="68"/>
      <c r="AG354" s="20"/>
      <c r="AH354" s="232"/>
    </row>
    <row r="355" spans="1:34" s="16" customFormat="1">
      <c r="A355" s="17"/>
      <c r="B355" s="17"/>
      <c r="C355" s="17"/>
      <c r="D355" s="17"/>
      <c r="E355" s="17"/>
      <c r="F355" s="302"/>
      <c r="G355" s="19"/>
      <c r="H355" s="64"/>
      <c r="I355" s="20"/>
      <c r="J355" s="68"/>
      <c r="K355" s="66"/>
      <c r="L355" s="66"/>
      <c r="M355" s="68"/>
      <c r="N355" s="68"/>
      <c r="O355" s="66"/>
      <c r="P355" s="66"/>
      <c r="Q355" s="66"/>
      <c r="R355" s="66"/>
      <c r="S355" s="68"/>
      <c r="T355" s="66"/>
      <c r="U355" s="66"/>
      <c r="V355" s="313"/>
      <c r="W355" s="314"/>
      <c r="X355" s="314"/>
      <c r="Y355" s="68"/>
      <c r="Z355" s="20"/>
      <c r="AA355" s="20"/>
      <c r="AB355" s="20"/>
      <c r="AC355" s="20"/>
      <c r="AD355" s="20"/>
      <c r="AE355" s="68"/>
      <c r="AF355" s="68"/>
      <c r="AG355" s="20"/>
      <c r="AH355" s="232"/>
    </row>
    <row r="356" spans="1:34" s="16" customFormat="1">
      <c r="A356" s="17"/>
      <c r="B356" s="17"/>
      <c r="C356" s="17"/>
      <c r="D356" s="17"/>
      <c r="E356" s="17"/>
      <c r="F356" s="302"/>
      <c r="G356" s="19"/>
      <c r="H356" s="64"/>
      <c r="I356" s="20"/>
      <c r="J356" s="68"/>
      <c r="K356" s="66"/>
      <c r="L356" s="66"/>
      <c r="M356" s="68"/>
      <c r="N356" s="68"/>
      <c r="O356" s="66"/>
      <c r="P356" s="66"/>
      <c r="Q356" s="66"/>
      <c r="R356" s="66"/>
      <c r="S356" s="68"/>
      <c r="T356" s="66"/>
      <c r="U356" s="66"/>
      <c r="V356" s="313"/>
      <c r="W356" s="314"/>
      <c r="X356" s="314"/>
      <c r="Y356" s="68"/>
      <c r="Z356" s="20"/>
      <c r="AA356" s="20"/>
      <c r="AB356" s="20"/>
      <c r="AC356" s="20"/>
      <c r="AD356" s="20"/>
      <c r="AE356" s="68"/>
      <c r="AF356" s="68"/>
      <c r="AG356" s="20"/>
      <c r="AH356" s="232"/>
    </row>
    <row r="357" spans="1:34" s="16" customFormat="1">
      <c r="A357" s="17"/>
      <c r="B357" s="17"/>
      <c r="C357" s="17"/>
      <c r="D357" s="17"/>
      <c r="E357" s="17"/>
      <c r="F357" s="302"/>
      <c r="G357" s="19"/>
      <c r="H357" s="64"/>
      <c r="I357" s="20"/>
      <c r="J357" s="68"/>
      <c r="K357" s="66"/>
      <c r="L357" s="66"/>
      <c r="M357" s="68"/>
      <c r="N357" s="68"/>
      <c r="O357" s="66"/>
      <c r="P357" s="66"/>
      <c r="Q357" s="66"/>
      <c r="R357" s="66"/>
      <c r="S357" s="68"/>
      <c r="T357" s="66"/>
      <c r="U357" s="66"/>
      <c r="V357" s="313"/>
      <c r="W357" s="314"/>
      <c r="X357" s="314"/>
      <c r="Y357" s="68"/>
      <c r="Z357" s="20"/>
      <c r="AA357" s="20"/>
      <c r="AB357" s="20"/>
      <c r="AC357" s="20"/>
      <c r="AD357" s="20"/>
      <c r="AE357" s="68"/>
      <c r="AF357" s="68"/>
      <c r="AG357" s="20"/>
      <c r="AH357" s="232"/>
    </row>
    <row r="358" spans="1:34" s="16" customFormat="1">
      <c r="A358" s="17"/>
      <c r="B358" s="17"/>
      <c r="C358" s="17"/>
      <c r="D358" s="17"/>
      <c r="E358" s="17"/>
      <c r="F358" s="302"/>
      <c r="G358" s="19"/>
      <c r="H358" s="64"/>
      <c r="I358" s="20"/>
      <c r="J358" s="68"/>
      <c r="K358" s="66"/>
      <c r="L358" s="66"/>
      <c r="M358" s="68"/>
      <c r="N358" s="68"/>
      <c r="O358" s="66"/>
      <c r="P358" s="66"/>
      <c r="Q358" s="66"/>
      <c r="R358" s="66"/>
      <c r="S358" s="68"/>
      <c r="T358" s="66"/>
      <c r="U358" s="66"/>
      <c r="V358" s="313"/>
      <c r="W358" s="314"/>
      <c r="X358" s="314"/>
      <c r="Y358" s="68"/>
      <c r="Z358" s="20"/>
      <c r="AA358" s="20"/>
      <c r="AB358" s="20"/>
      <c r="AC358" s="20"/>
      <c r="AD358" s="20"/>
      <c r="AE358" s="68"/>
      <c r="AF358" s="68"/>
      <c r="AG358" s="20"/>
      <c r="AH358" s="232"/>
    </row>
    <row r="359" spans="1:34" s="16" customFormat="1">
      <c r="A359" s="17"/>
      <c r="B359" s="17"/>
      <c r="C359" s="17"/>
      <c r="D359" s="17"/>
      <c r="E359" s="17"/>
      <c r="F359" s="302"/>
      <c r="G359" s="19"/>
      <c r="H359" s="64"/>
      <c r="I359" s="20"/>
      <c r="J359" s="68"/>
      <c r="K359" s="66"/>
      <c r="L359" s="66"/>
      <c r="M359" s="68"/>
      <c r="N359" s="68"/>
      <c r="O359" s="66"/>
      <c r="P359" s="66"/>
      <c r="Q359" s="66"/>
      <c r="R359" s="66"/>
      <c r="S359" s="68"/>
      <c r="T359" s="66"/>
      <c r="U359" s="66"/>
      <c r="V359" s="313"/>
      <c r="W359" s="314"/>
      <c r="X359" s="314"/>
      <c r="Y359" s="68"/>
      <c r="Z359" s="20"/>
      <c r="AA359" s="20"/>
      <c r="AB359" s="20"/>
      <c r="AC359" s="20"/>
      <c r="AD359" s="20"/>
      <c r="AE359" s="68"/>
      <c r="AF359" s="68"/>
      <c r="AG359" s="20"/>
      <c r="AH359" s="232"/>
    </row>
    <row r="360" spans="1:34" s="16" customFormat="1">
      <c r="A360" s="17"/>
      <c r="B360" s="17"/>
      <c r="C360" s="17"/>
      <c r="D360" s="17"/>
      <c r="E360" s="17"/>
      <c r="F360" s="302"/>
      <c r="G360" s="19"/>
      <c r="H360" s="64"/>
      <c r="I360" s="20"/>
      <c r="J360" s="68"/>
      <c r="K360" s="66"/>
      <c r="L360" s="66"/>
      <c r="M360" s="68"/>
      <c r="N360" s="68"/>
      <c r="O360" s="66"/>
      <c r="P360" s="66"/>
      <c r="Q360" s="66"/>
      <c r="R360" s="66"/>
      <c r="S360" s="68"/>
      <c r="T360" s="66"/>
      <c r="U360" s="66"/>
      <c r="V360" s="313"/>
      <c r="W360" s="314"/>
      <c r="X360" s="314"/>
      <c r="Y360" s="68"/>
      <c r="Z360" s="20"/>
      <c r="AA360" s="20"/>
      <c r="AB360" s="20"/>
      <c r="AC360" s="20"/>
      <c r="AD360" s="20"/>
      <c r="AE360" s="68"/>
      <c r="AF360" s="68"/>
      <c r="AG360" s="20"/>
      <c r="AH360" s="232"/>
    </row>
    <row r="361" spans="1:34" s="16" customFormat="1">
      <c r="A361" s="17"/>
      <c r="B361" s="17"/>
      <c r="C361" s="17"/>
      <c r="D361" s="17"/>
      <c r="E361" s="17"/>
      <c r="F361" s="302"/>
      <c r="G361" s="19"/>
      <c r="H361" s="64"/>
      <c r="I361" s="20"/>
      <c r="J361" s="68"/>
      <c r="K361" s="66"/>
      <c r="L361" s="66"/>
      <c r="M361" s="68"/>
      <c r="N361" s="68"/>
      <c r="O361" s="66"/>
      <c r="P361" s="66"/>
      <c r="Q361" s="66"/>
      <c r="R361" s="66"/>
      <c r="S361" s="68"/>
      <c r="T361" s="66"/>
      <c r="U361" s="66"/>
      <c r="V361" s="313"/>
      <c r="W361" s="314"/>
      <c r="X361" s="314"/>
      <c r="Y361" s="68"/>
      <c r="Z361" s="20"/>
      <c r="AA361" s="20"/>
      <c r="AB361" s="20"/>
      <c r="AC361" s="20"/>
      <c r="AD361" s="20"/>
      <c r="AE361" s="68"/>
      <c r="AF361" s="68"/>
      <c r="AG361" s="20"/>
      <c r="AH361" s="232"/>
    </row>
    <row r="362" spans="1:34" s="16" customFormat="1">
      <c r="A362" s="17"/>
      <c r="B362" s="17"/>
      <c r="C362" s="17"/>
      <c r="D362" s="17"/>
      <c r="E362" s="17"/>
      <c r="F362" s="302"/>
      <c r="G362" s="19"/>
      <c r="H362" s="64"/>
      <c r="I362" s="20"/>
      <c r="J362" s="68"/>
      <c r="K362" s="66"/>
      <c r="L362" s="66"/>
      <c r="M362" s="68"/>
      <c r="N362" s="68"/>
      <c r="O362" s="66"/>
      <c r="P362" s="66"/>
      <c r="Q362" s="66"/>
      <c r="R362" s="66"/>
      <c r="S362" s="68"/>
      <c r="T362" s="66"/>
      <c r="U362" s="66"/>
      <c r="V362" s="313"/>
      <c r="W362" s="314"/>
      <c r="X362" s="314"/>
      <c r="Y362" s="68"/>
      <c r="Z362" s="20"/>
      <c r="AA362" s="20"/>
      <c r="AB362" s="20"/>
      <c r="AC362" s="20"/>
      <c r="AD362" s="20"/>
      <c r="AE362" s="68"/>
      <c r="AF362" s="68"/>
      <c r="AG362" s="20"/>
      <c r="AH362" s="232"/>
    </row>
    <row r="363" spans="1:34" s="16" customFormat="1">
      <c r="A363" s="17"/>
      <c r="B363" s="17"/>
      <c r="C363" s="17"/>
      <c r="D363" s="17"/>
      <c r="E363" s="17"/>
      <c r="F363" s="302"/>
      <c r="G363" s="19"/>
      <c r="H363" s="64"/>
      <c r="I363" s="20"/>
      <c r="J363" s="68"/>
      <c r="K363" s="66"/>
      <c r="L363" s="66"/>
      <c r="M363" s="68"/>
      <c r="N363" s="68"/>
      <c r="O363" s="66"/>
      <c r="P363" s="66"/>
      <c r="Q363" s="66"/>
      <c r="R363" s="66"/>
      <c r="S363" s="68"/>
      <c r="T363" s="66"/>
      <c r="U363" s="66"/>
      <c r="V363" s="313"/>
      <c r="W363" s="314"/>
      <c r="X363" s="314"/>
      <c r="Y363" s="68"/>
      <c r="Z363" s="20"/>
      <c r="AA363" s="20"/>
      <c r="AB363" s="20"/>
      <c r="AC363" s="20"/>
      <c r="AD363" s="20"/>
      <c r="AE363" s="68"/>
      <c r="AF363" s="68"/>
      <c r="AG363" s="20"/>
      <c r="AH363" s="232"/>
    </row>
    <row r="364" spans="1:34" s="16" customFormat="1">
      <c r="A364" s="17"/>
      <c r="B364" s="17"/>
      <c r="C364" s="17"/>
      <c r="D364" s="17"/>
      <c r="E364" s="17"/>
      <c r="F364" s="302"/>
      <c r="G364" s="19"/>
      <c r="H364" s="64"/>
      <c r="I364" s="20"/>
      <c r="J364" s="68"/>
      <c r="K364" s="66"/>
      <c r="L364" s="66"/>
      <c r="M364" s="68"/>
      <c r="N364" s="68"/>
      <c r="O364" s="66"/>
      <c r="P364" s="66"/>
      <c r="Q364" s="66"/>
      <c r="R364" s="66"/>
      <c r="S364" s="68"/>
      <c r="T364" s="66"/>
      <c r="U364" s="66"/>
      <c r="V364" s="313"/>
      <c r="W364" s="314"/>
      <c r="X364" s="314"/>
      <c r="Y364" s="68"/>
      <c r="Z364" s="20"/>
      <c r="AA364" s="20"/>
      <c r="AB364" s="20"/>
      <c r="AC364" s="20"/>
      <c r="AD364" s="20"/>
      <c r="AE364" s="68"/>
      <c r="AF364" s="68"/>
      <c r="AG364" s="20"/>
      <c r="AH364" s="232"/>
    </row>
    <row r="365" spans="1:34" s="16" customFormat="1">
      <c r="A365" s="17"/>
      <c r="B365" s="17"/>
      <c r="C365" s="17"/>
      <c r="D365" s="17"/>
      <c r="E365" s="17"/>
      <c r="F365" s="302"/>
      <c r="G365" s="19"/>
      <c r="H365" s="64"/>
      <c r="I365" s="20"/>
      <c r="J365" s="68"/>
      <c r="K365" s="66"/>
      <c r="L365" s="66"/>
      <c r="M365" s="68"/>
      <c r="N365" s="68"/>
      <c r="O365" s="66"/>
      <c r="P365" s="66"/>
      <c r="Q365" s="66"/>
      <c r="R365" s="66"/>
      <c r="S365" s="68"/>
      <c r="T365" s="66"/>
      <c r="U365" s="66"/>
      <c r="V365" s="313"/>
      <c r="W365" s="314"/>
      <c r="X365" s="314"/>
      <c r="Y365" s="68"/>
      <c r="Z365" s="20"/>
      <c r="AA365" s="20"/>
      <c r="AB365" s="20"/>
      <c r="AC365" s="20"/>
      <c r="AD365" s="20"/>
      <c r="AE365" s="68"/>
      <c r="AF365" s="68"/>
      <c r="AG365" s="20"/>
      <c r="AH365" s="232"/>
    </row>
    <row r="366" spans="1:34" s="16" customFormat="1">
      <c r="A366" s="17"/>
      <c r="B366" s="17"/>
      <c r="C366" s="17"/>
      <c r="D366" s="17"/>
      <c r="E366" s="17"/>
      <c r="F366" s="302"/>
      <c r="G366" s="19"/>
      <c r="H366" s="64"/>
      <c r="I366" s="20"/>
      <c r="J366" s="68"/>
      <c r="K366" s="66"/>
      <c r="L366" s="66"/>
      <c r="M366" s="68"/>
      <c r="N366" s="68"/>
      <c r="O366" s="66"/>
      <c r="P366" s="66"/>
      <c r="Q366" s="66"/>
      <c r="R366" s="66"/>
      <c r="S366" s="68"/>
      <c r="T366" s="66"/>
      <c r="U366" s="66"/>
      <c r="V366" s="313"/>
      <c r="W366" s="314"/>
      <c r="X366" s="314"/>
      <c r="Y366" s="68"/>
      <c r="Z366" s="20"/>
      <c r="AA366" s="20"/>
      <c r="AB366" s="20"/>
      <c r="AC366" s="20"/>
      <c r="AD366" s="20"/>
      <c r="AE366" s="68"/>
      <c r="AF366" s="68"/>
      <c r="AG366" s="20"/>
      <c r="AH366" s="232"/>
    </row>
    <row r="367" spans="1:34" s="16" customFormat="1">
      <c r="A367" s="17"/>
      <c r="B367" s="17"/>
      <c r="C367" s="17"/>
      <c r="D367" s="17"/>
      <c r="E367" s="17"/>
      <c r="F367" s="302"/>
      <c r="G367" s="19"/>
      <c r="H367" s="64"/>
      <c r="I367" s="20"/>
      <c r="J367" s="68"/>
      <c r="K367" s="66"/>
      <c r="L367" s="66"/>
      <c r="M367" s="68"/>
      <c r="N367" s="68"/>
      <c r="O367" s="66"/>
      <c r="P367" s="66"/>
      <c r="Q367" s="66"/>
      <c r="R367" s="66"/>
      <c r="S367" s="68"/>
      <c r="T367" s="66"/>
      <c r="U367" s="66"/>
      <c r="V367" s="313"/>
      <c r="W367" s="314"/>
      <c r="X367" s="314"/>
      <c r="Y367" s="68"/>
      <c r="Z367" s="20"/>
      <c r="AA367" s="20"/>
      <c r="AB367" s="20"/>
      <c r="AC367" s="20"/>
      <c r="AD367" s="20"/>
      <c r="AE367" s="68"/>
      <c r="AF367" s="68"/>
      <c r="AG367" s="20"/>
      <c r="AH367" s="232"/>
    </row>
    <row r="368" spans="1:34" s="16" customFormat="1">
      <c r="A368" s="17"/>
      <c r="B368" s="17"/>
      <c r="C368" s="17"/>
      <c r="D368" s="17"/>
      <c r="E368" s="17"/>
      <c r="F368" s="302"/>
      <c r="G368" s="19"/>
      <c r="H368" s="64"/>
      <c r="I368" s="20"/>
      <c r="J368" s="68"/>
      <c r="K368" s="66"/>
      <c r="L368" s="66"/>
      <c r="M368" s="68"/>
      <c r="N368" s="68"/>
      <c r="O368" s="66"/>
      <c r="P368" s="66"/>
      <c r="Q368" s="66"/>
      <c r="R368" s="66"/>
      <c r="S368" s="68"/>
      <c r="T368" s="66"/>
      <c r="U368" s="66"/>
      <c r="V368" s="313"/>
      <c r="W368" s="314"/>
      <c r="X368" s="314"/>
      <c r="Y368" s="68"/>
      <c r="Z368" s="20"/>
      <c r="AA368" s="20"/>
      <c r="AB368" s="20"/>
      <c r="AC368" s="20"/>
      <c r="AD368" s="20"/>
      <c r="AE368" s="68"/>
      <c r="AF368" s="68"/>
      <c r="AG368" s="20"/>
      <c r="AH368" s="232"/>
    </row>
    <row r="369" spans="1:34" s="16" customFormat="1">
      <c r="A369" s="17"/>
      <c r="B369" s="17"/>
      <c r="C369" s="17"/>
      <c r="D369" s="17"/>
      <c r="E369" s="17"/>
      <c r="F369" s="302"/>
      <c r="G369" s="19"/>
      <c r="H369" s="64"/>
      <c r="I369" s="20"/>
      <c r="J369" s="68"/>
      <c r="K369" s="66"/>
      <c r="L369" s="66"/>
      <c r="M369" s="68"/>
      <c r="N369" s="68"/>
      <c r="O369" s="66"/>
      <c r="P369" s="66"/>
      <c r="Q369" s="66"/>
      <c r="R369" s="66"/>
      <c r="S369" s="68"/>
      <c r="T369" s="66"/>
      <c r="U369" s="66"/>
      <c r="V369" s="313"/>
      <c r="W369" s="314"/>
      <c r="X369" s="314"/>
      <c r="Y369" s="68"/>
      <c r="Z369" s="20"/>
      <c r="AA369" s="20"/>
      <c r="AB369" s="20"/>
      <c r="AC369" s="20"/>
      <c r="AD369" s="20"/>
      <c r="AE369" s="68"/>
      <c r="AF369" s="68"/>
      <c r="AG369" s="20"/>
      <c r="AH369" s="232"/>
    </row>
    <row r="370" spans="1:34" s="16" customFormat="1">
      <c r="A370" s="17"/>
      <c r="B370" s="17"/>
      <c r="C370" s="17"/>
      <c r="D370" s="17"/>
      <c r="E370" s="17"/>
      <c r="F370" s="302"/>
      <c r="G370" s="19"/>
      <c r="H370" s="64"/>
      <c r="I370" s="20"/>
      <c r="J370" s="68"/>
      <c r="K370" s="66"/>
      <c r="L370" s="66"/>
      <c r="M370" s="68"/>
      <c r="N370" s="68"/>
      <c r="O370" s="66"/>
      <c r="P370" s="66"/>
      <c r="Q370" s="66"/>
      <c r="R370" s="66"/>
      <c r="S370" s="68"/>
      <c r="T370" s="66"/>
      <c r="U370" s="66"/>
      <c r="V370" s="313"/>
      <c r="W370" s="314"/>
      <c r="X370" s="314"/>
      <c r="Y370" s="68"/>
      <c r="Z370" s="20"/>
      <c r="AA370" s="20"/>
      <c r="AB370" s="20"/>
      <c r="AC370" s="20"/>
      <c r="AD370" s="20"/>
      <c r="AE370" s="68"/>
      <c r="AF370" s="68"/>
      <c r="AG370" s="20"/>
      <c r="AH370" s="232"/>
    </row>
    <row r="371" spans="1:34" s="16" customFormat="1">
      <c r="A371" s="17"/>
      <c r="B371" s="17"/>
      <c r="C371" s="17"/>
      <c r="D371" s="17"/>
      <c r="E371" s="17"/>
      <c r="F371" s="302"/>
      <c r="G371" s="19"/>
      <c r="H371" s="64"/>
      <c r="I371" s="20"/>
      <c r="J371" s="68"/>
      <c r="K371" s="66"/>
      <c r="L371" s="66"/>
      <c r="M371" s="68"/>
      <c r="N371" s="68"/>
      <c r="O371" s="66"/>
      <c r="P371" s="66"/>
      <c r="Q371" s="66"/>
      <c r="R371" s="66"/>
      <c r="S371" s="68"/>
      <c r="T371" s="66"/>
      <c r="U371" s="66"/>
      <c r="V371" s="313"/>
      <c r="W371" s="314"/>
      <c r="X371" s="314"/>
      <c r="Y371" s="68"/>
      <c r="Z371" s="20"/>
      <c r="AA371" s="20"/>
      <c r="AB371" s="20"/>
      <c r="AC371" s="20"/>
      <c r="AD371" s="20"/>
      <c r="AE371" s="68"/>
      <c r="AF371" s="68"/>
      <c r="AG371" s="20"/>
      <c r="AH371" s="232"/>
    </row>
    <row r="372" spans="1:34" s="16" customFormat="1">
      <c r="A372" s="17"/>
      <c r="B372" s="17"/>
      <c r="C372" s="17"/>
      <c r="D372" s="17"/>
      <c r="E372" s="17"/>
      <c r="F372" s="302"/>
      <c r="G372" s="19"/>
      <c r="H372" s="64"/>
      <c r="I372" s="20"/>
      <c r="J372" s="68"/>
      <c r="K372" s="66"/>
      <c r="L372" s="66"/>
      <c r="M372" s="68"/>
      <c r="N372" s="68"/>
      <c r="O372" s="66"/>
      <c r="P372" s="66"/>
      <c r="Q372" s="66"/>
      <c r="R372" s="66"/>
      <c r="S372" s="68"/>
      <c r="T372" s="66"/>
      <c r="U372" s="66"/>
      <c r="V372" s="313"/>
      <c r="W372" s="314"/>
      <c r="X372" s="314"/>
      <c r="Y372" s="68"/>
      <c r="Z372" s="20"/>
      <c r="AA372" s="20"/>
      <c r="AB372" s="20"/>
      <c r="AC372" s="20"/>
      <c r="AD372" s="20"/>
      <c r="AE372" s="68"/>
      <c r="AF372" s="68"/>
      <c r="AG372" s="20"/>
      <c r="AH372" s="232"/>
    </row>
    <row r="373" spans="1:34" s="16" customFormat="1">
      <c r="A373" s="17"/>
      <c r="B373" s="17"/>
      <c r="C373" s="17"/>
      <c r="D373" s="17"/>
      <c r="E373" s="17"/>
      <c r="F373" s="302"/>
      <c r="G373" s="19"/>
      <c r="H373" s="64"/>
      <c r="I373" s="20"/>
      <c r="J373" s="68"/>
      <c r="K373" s="66"/>
      <c r="L373" s="66"/>
      <c r="M373" s="68"/>
      <c r="N373" s="68"/>
      <c r="O373" s="66"/>
      <c r="P373" s="66"/>
      <c r="Q373" s="66"/>
      <c r="R373" s="66"/>
      <c r="S373" s="68"/>
      <c r="T373" s="66"/>
      <c r="U373" s="66"/>
      <c r="V373" s="313"/>
      <c r="W373" s="314"/>
      <c r="X373" s="314"/>
      <c r="Y373" s="68"/>
      <c r="Z373" s="20"/>
      <c r="AA373" s="20"/>
      <c r="AB373" s="20"/>
      <c r="AC373" s="20"/>
      <c r="AD373" s="20"/>
      <c r="AE373" s="68"/>
      <c r="AF373" s="68"/>
      <c r="AG373" s="20"/>
      <c r="AH373" s="232"/>
    </row>
    <row r="374" spans="1:34" s="16" customFormat="1">
      <c r="A374" s="17"/>
      <c r="B374" s="17"/>
      <c r="C374" s="17"/>
      <c r="D374" s="17"/>
      <c r="E374" s="17"/>
      <c r="F374" s="302"/>
      <c r="G374" s="19"/>
      <c r="H374" s="64"/>
      <c r="I374" s="20"/>
      <c r="J374" s="68"/>
      <c r="K374" s="66"/>
      <c r="L374" s="66"/>
      <c r="M374" s="68"/>
      <c r="N374" s="68"/>
      <c r="O374" s="66"/>
      <c r="P374" s="66"/>
      <c r="Q374" s="66"/>
      <c r="R374" s="66"/>
      <c r="S374" s="68"/>
      <c r="T374" s="66"/>
      <c r="U374" s="66"/>
      <c r="V374" s="313"/>
      <c r="W374" s="314"/>
      <c r="X374" s="314"/>
      <c r="Y374" s="68"/>
      <c r="Z374" s="20"/>
      <c r="AA374" s="20"/>
      <c r="AB374" s="20"/>
      <c r="AC374" s="20"/>
      <c r="AD374" s="20"/>
      <c r="AE374" s="68"/>
      <c r="AF374" s="68"/>
      <c r="AG374" s="20"/>
      <c r="AH374" s="232"/>
    </row>
    <row r="375" spans="1:34" s="16" customFormat="1">
      <c r="A375" s="17"/>
      <c r="B375" s="17"/>
      <c r="C375" s="17"/>
      <c r="D375" s="17"/>
      <c r="E375" s="17"/>
      <c r="F375" s="302"/>
      <c r="G375" s="19"/>
      <c r="H375" s="64"/>
      <c r="I375" s="20"/>
      <c r="J375" s="68"/>
      <c r="K375" s="66"/>
      <c r="L375" s="66"/>
      <c r="M375" s="68"/>
      <c r="N375" s="68"/>
      <c r="O375" s="66"/>
      <c r="P375" s="66"/>
      <c r="Q375" s="66"/>
      <c r="R375" s="66"/>
      <c r="S375" s="68"/>
      <c r="T375" s="66"/>
      <c r="U375" s="66"/>
      <c r="V375" s="313"/>
      <c r="W375" s="314"/>
      <c r="X375" s="314"/>
      <c r="Y375" s="68"/>
      <c r="Z375" s="20"/>
      <c r="AA375" s="20"/>
      <c r="AB375" s="20"/>
      <c r="AC375" s="20"/>
      <c r="AD375" s="20"/>
      <c r="AE375" s="68"/>
      <c r="AF375" s="68"/>
      <c r="AG375" s="20"/>
      <c r="AH375" s="232"/>
    </row>
    <row r="376" spans="1:34" s="16" customFormat="1">
      <c r="A376" s="17"/>
      <c r="B376" s="17"/>
      <c r="C376" s="17"/>
      <c r="D376" s="17"/>
      <c r="E376" s="17"/>
      <c r="F376" s="302"/>
      <c r="G376" s="19"/>
      <c r="H376" s="64"/>
      <c r="I376" s="20"/>
      <c r="J376" s="68"/>
      <c r="K376" s="66"/>
      <c r="L376" s="66"/>
      <c r="M376" s="68"/>
      <c r="N376" s="68"/>
      <c r="O376" s="66"/>
      <c r="P376" s="66"/>
      <c r="Q376" s="66"/>
      <c r="R376" s="66"/>
      <c r="S376" s="68"/>
      <c r="T376" s="66"/>
      <c r="U376" s="66"/>
      <c r="V376" s="313"/>
      <c r="W376" s="314"/>
      <c r="X376" s="314"/>
      <c r="Y376" s="68"/>
      <c r="Z376" s="20"/>
      <c r="AA376" s="20"/>
      <c r="AB376" s="20"/>
      <c r="AC376" s="20"/>
      <c r="AD376" s="20"/>
      <c r="AE376" s="68"/>
      <c r="AF376" s="68"/>
      <c r="AG376" s="20"/>
      <c r="AH376" s="232"/>
    </row>
    <row r="377" spans="1:34" s="16" customFormat="1">
      <c r="A377" s="17"/>
      <c r="B377" s="17"/>
      <c r="C377" s="17"/>
      <c r="D377" s="17"/>
      <c r="E377" s="17"/>
      <c r="F377" s="302"/>
      <c r="G377" s="19"/>
      <c r="H377" s="64"/>
      <c r="I377" s="20"/>
      <c r="J377" s="68"/>
      <c r="K377" s="66"/>
      <c r="L377" s="66"/>
      <c r="M377" s="68"/>
      <c r="N377" s="68"/>
      <c r="O377" s="66"/>
      <c r="P377" s="66"/>
      <c r="Q377" s="66"/>
      <c r="R377" s="66"/>
      <c r="S377" s="68"/>
      <c r="T377" s="66"/>
      <c r="U377" s="66"/>
      <c r="V377" s="313"/>
      <c r="W377" s="314"/>
      <c r="X377" s="314"/>
      <c r="Y377" s="68"/>
      <c r="Z377" s="20"/>
      <c r="AA377" s="20"/>
      <c r="AB377" s="20"/>
      <c r="AC377" s="20"/>
      <c r="AD377" s="20"/>
      <c r="AE377" s="68"/>
      <c r="AF377" s="68"/>
      <c r="AG377" s="20"/>
      <c r="AH377" s="232"/>
    </row>
    <row r="378" spans="1:34" s="16" customFormat="1">
      <c r="A378" s="17"/>
      <c r="B378" s="17"/>
      <c r="C378" s="17"/>
      <c r="D378" s="17"/>
      <c r="E378" s="17"/>
      <c r="F378" s="302"/>
      <c r="G378" s="19"/>
      <c r="H378" s="64"/>
      <c r="I378" s="20"/>
      <c r="J378" s="68"/>
      <c r="K378" s="66"/>
      <c r="L378" s="66"/>
      <c r="M378" s="68"/>
      <c r="N378" s="68"/>
      <c r="O378" s="66"/>
      <c r="P378" s="66"/>
      <c r="Q378" s="66"/>
      <c r="R378" s="66"/>
      <c r="S378" s="68"/>
      <c r="T378" s="66"/>
      <c r="U378" s="66"/>
      <c r="V378" s="313"/>
      <c r="W378" s="314"/>
      <c r="X378" s="314"/>
      <c r="Y378" s="68"/>
      <c r="Z378" s="20"/>
      <c r="AA378" s="20"/>
      <c r="AB378" s="20"/>
      <c r="AC378" s="20"/>
      <c r="AD378" s="20"/>
      <c r="AE378" s="68"/>
      <c r="AF378" s="68"/>
      <c r="AG378" s="20"/>
      <c r="AH378" s="232"/>
    </row>
    <row r="379" spans="1:34" s="16" customFormat="1">
      <c r="A379" s="17"/>
      <c r="B379" s="17"/>
      <c r="C379" s="17"/>
      <c r="D379" s="17"/>
      <c r="E379" s="17"/>
      <c r="F379" s="302"/>
      <c r="G379" s="19"/>
      <c r="H379" s="64"/>
      <c r="I379" s="20"/>
      <c r="J379" s="68"/>
      <c r="K379" s="66"/>
      <c r="L379" s="66"/>
      <c r="M379" s="68"/>
      <c r="N379" s="68"/>
      <c r="O379" s="66"/>
      <c r="P379" s="66"/>
      <c r="Q379" s="66"/>
      <c r="R379" s="66"/>
      <c r="S379" s="68"/>
      <c r="T379" s="66"/>
      <c r="U379" s="66"/>
      <c r="V379" s="313"/>
      <c r="W379" s="314"/>
      <c r="X379" s="314"/>
      <c r="Y379" s="68"/>
      <c r="Z379" s="20"/>
      <c r="AA379" s="20"/>
      <c r="AB379" s="20"/>
      <c r="AC379" s="20"/>
      <c r="AD379" s="20"/>
      <c r="AE379" s="68"/>
      <c r="AF379" s="68"/>
      <c r="AG379" s="20"/>
      <c r="AH379" s="232"/>
    </row>
    <row r="380" spans="1:34" s="16" customFormat="1">
      <c r="A380" s="17"/>
      <c r="B380" s="17"/>
      <c r="C380" s="17"/>
      <c r="D380" s="17"/>
      <c r="E380" s="17"/>
      <c r="F380" s="302"/>
      <c r="G380" s="19"/>
      <c r="H380" s="64"/>
      <c r="I380" s="20"/>
      <c r="J380" s="68"/>
      <c r="K380" s="66"/>
      <c r="L380" s="66"/>
      <c r="M380" s="68"/>
      <c r="N380" s="68"/>
      <c r="O380" s="66"/>
      <c r="P380" s="66"/>
      <c r="Q380" s="66"/>
      <c r="R380" s="66"/>
      <c r="S380" s="68"/>
      <c r="T380" s="66"/>
      <c r="U380" s="66"/>
      <c r="V380" s="313"/>
      <c r="W380" s="314"/>
      <c r="X380" s="314"/>
      <c r="Y380" s="68"/>
      <c r="Z380" s="20"/>
      <c r="AA380" s="20"/>
      <c r="AB380" s="20"/>
      <c r="AC380" s="20"/>
      <c r="AD380" s="20"/>
      <c r="AE380" s="68"/>
      <c r="AF380" s="68"/>
      <c r="AG380" s="20"/>
      <c r="AH380" s="232"/>
    </row>
    <row r="381" spans="1:34" s="16" customFormat="1">
      <c r="A381" s="17"/>
      <c r="B381" s="17"/>
      <c r="C381" s="17"/>
      <c r="D381" s="17"/>
      <c r="E381" s="17"/>
      <c r="F381" s="302"/>
      <c r="G381" s="19"/>
      <c r="H381" s="64"/>
      <c r="I381" s="20"/>
      <c r="J381" s="68"/>
      <c r="K381" s="66"/>
      <c r="L381" s="66"/>
      <c r="M381" s="68"/>
      <c r="N381" s="68"/>
      <c r="O381" s="66"/>
      <c r="P381" s="66"/>
      <c r="Q381" s="66"/>
      <c r="R381" s="66"/>
      <c r="S381" s="68"/>
      <c r="T381" s="66"/>
      <c r="U381" s="66"/>
      <c r="V381" s="313"/>
      <c r="W381" s="314"/>
      <c r="X381" s="314"/>
      <c r="Y381" s="68"/>
      <c r="Z381" s="20"/>
      <c r="AA381" s="20"/>
      <c r="AB381" s="20"/>
      <c r="AC381" s="20"/>
      <c r="AD381" s="20"/>
      <c r="AE381" s="68"/>
      <c r="AF381" s="68"/>
      <c r="AG381" s="20"/>
      <c r="AH381" s="232"/>
    </row>
    <row r="382" spans="1:34" s="16" customFormat="1">
      <c r="A382" s="17"/>
      <c r="B382" s="17"/>
      <c r="C382" s="17"/>
      <c r="D382" s="17"/>
      <c r="E382" s="17"/>
      <c r="F382" s="302"/>
      <c r="G382" s="19"/>
      <c r="H382" s="64"/>
      <c r="I382" s="20"/>
      <c r="J382" s="68"/>
      <c r="K382" s="66"/>
      <c r="L382" s="66"/>
      <c r="M382" s="68"/>
      <c r="N382" s="68"/>
      <c r="O382" s="66"/>
      <c r="P382" s="66"/>
      <c r="Q382" s="66"/>
      <c r="R382" s="66"/>
      <c r="S382" s="68"/>
      <c r="T382" s="66"/>
      <c r="U382" s="66"/>
      <c r="V382" s="313"/>
      <c r="W382" s="314"/>
      <c r="X382" s="314"/>
      <c r="Y382" s="68"/>
      <c r="Z382" s="20"/>
      <c r="AA382" s="20"/>
      <c r="AB382" s="20"/>
      <c r="AC382" s="20"/>
      <c r="AD382" s="20"/>
      <c r="AE382" s="68"/>
      <c r="AF382" s="68"/>
      <c r="AG382" s="20"/>
      <c r="AH382" s="232"/>
    </row>
    <row r="383" spans="1:34" s="16" customFormat="1">
      <c r="A383" s="17"/>
      <c r="B383" s="17"/>
      <c r="C383" s="17"/>
      <c r="D383" s="17"/>
      <c r="E383" s="17"/>
      <c r="F383" s="302"/>
      <c r="G383" s="19"/>
      <c r="H383" s="64"/>
      <c r="I383" s="20"/>
      <c r="J383" s="68"/>
      <c r="K383" s="66"/>
      <c r="L383" s="66"/>
      <c r="M383" s="68"/>
      <c r="N383" s="68"/>
      <c r="O383" s="66"/>
      <c r="P383" s="66"/>
      <c r="Q383" s="66"/>
      <c r="R383" s="66"/>
      <c r="S383" s="68"/>
      <c r="T383" s="66"/>
      <c r="U383" s="66"/>
      <c r="V383" s="313"/>
      <c r="W383" s="314"/>
      <c r="X383" s="314"/>
      <c r="Y383" s="68"/>
      <c r="Z383" s="20"/>
      <c r="AA383" s="20"/>
      <c r="AB383" s="20"/>
      <c r="AC383" s="20"/>
      <c r="AD383" s="20"/>
      <c r="AE383" s="68"/>
      <c r="AF383" s="68"/>
      <c r="AG383" s="20"/>
      <c r="AH383" s="232"/>
    </row>
    <row r="384" spans="1:34" s="16" customFormat="1">
      <c r="A384" s="17"/>
      <c r="B384" s="17"/>
      <c r="C384" s="17"/>
      <c r="D384" s="17"/>
      <c r="E384" s="17"/>
      <c r="F384" s="302"/>
      <c r="G384" s="19"/>
      <c r="H384" s="64"/>
      <c r="I384" s="20"/>
      <c r="J384" s="68"/>
      <c r="K384" s="66"/>
      <c r="L384" s="66"/>
      <c r="M384" s="68"/>
      <c r="N384" s="68"/>
      <c r="O384" s="66"/>
      <c r="P384" s="66"/>
      <c r="Q384" s="66"/>
      <c r="R384" s="66"/>
      <c r="S384" s="68"/>
      <c r="T384" s="66"/>
      <c r="U384" s="66"/>
      <c r="V384" s="313"/>
      <c r="W384" s="314"/>
      <c r="X384" s="314"/>
      <c r="Y384" s="68"/>
      <c r="Z384" s="20"/>
      <c r="AA384" s="20"/>
      <c r="AB384" s="20"/>
      <c r="AC384" s="20"/>
      <c r="AD384" s="20"/>
      <c r="AE384" s="68"/>
      <c r="AF384" s="68"/>
      <c r="AG384" s="20"/>
      <c r="AH384" s="232"/>
    </row>
    <row r="385" spans="1:34" s="16" customFormat="1">
      <c r="A385" s="17"/>
      <c r="B385" s="17"/>
      <c r="C385" s="17"/>
      <c r="D385" s="17"/>
      <c r="E385" s="17"/>
      <c r="F385" s="302"/>
      <c r="G385" s="19"/>
      <c r="H385" s="64"/>
      <c r="I385" s="20"/>
      <c r="J385" s="68"/>
      <c r="K385" s="66"/>
      <c r="L385" s="66"/>
      <c r="M385" s="68"/>
      <c r="N385" s="68"/>
      <c r="O385" s="66"/>
      <c r="P385" s="66"/>
      <c r="Q385" s="66"/>
      <c r="R385" s="66"/>
      <c r="S385" s="68"/>
      <c r="T385" s="66"/>
      <c r="U385" s="66"/>
      <c r="V385" s="313"/>
      <c r="W385" s="314"/>
      <c r="X385" s="314"/>
      <c r="Y385" s="68"/>
      <c r="Z385" s="20"/>
      <c r="AA385" s="20"/>
      <c r="AB385" s="20"/>
      <c r="AC385" s="20"/>
      <c r="AD385" s="20"/>
      <c r="AE385" s="68"/>
      <c r="AF385" s="68"/>
      <c r="AG385" s="20"/>
      <c r="AH385" s="232"/>
    </row>
    <row r="386" spans="1:34" s="16" customFormat="1">
      <c r="A386" s="17"/>
      <c r="B386" s="17"/>
      <c r="C386" s="17"/>
      <c r="D386" s="17"/>
      <c r="E386" s="17"/>
      <c r="F386" s="302"/>
      <c r="G386" s="19"/>
      <c r="H386" s="64"/>
      <c r="I386" s="20"/>
      <c r="J386" s="68"/>
      <c r="K386" s="66"/>
      <c r="L386" s="66"/>
      <c r="M386" s="68"/>
      <c r="N386" s="68"/>
      <c r="O386" s="66"/>
      <c r="P386" s="66"/>
      <c r="Q386" s="66"/>
      <c r="R386" s="66"/>
      <c r="S386" s="68"/>
      <c r="T386" s="66"/>
      <c r="U386" s="66"/>
      <c r="V386" s="313"/>
      <c r="W386" s="314"/>
      <c r="X386" s="314"/>
      <c r="Y386" s="68"/>
      <c r="Z386" s="20"/>
      <c r="AA386" s="20"/>
      <c r="AB386" s="20"/>
      <c r="AC386" s="20"/>
      <c r="AD386" s="20"/>
      <c r="AE386" s="68"/>
      <c r="AF386" s="68"/>
      <c r="AG386" s="20"/>
      <c r="AH386" s="232"/>
    </row>
    <row r="387" spans="1:34" s="16" customFormat="1">
      <c r="A387" s="17"/>
      <c r="B387" s="17"/>
      <c r="C387" s="17"/>
      <c r="D387" s="17"/>
      <c r="E387" s="17"/>
      <c r="F387" s="302"/>
      <c r="G387" s="19"/>
      <c r="H387" s="64"/>
      <c r="I387" s="20"/>
      <c r="J387" s="68"/>
      <c r="K387" s="66"/>
      <c r="L387" s="66"/>
      <c r="M387" s="68"/>
      <c r="N387" s="68"/>
      <c r="O387" s="66"/>
      <c r="P387" s="66"/>
      <c r="Q387" s="66"/>
      <c r="R387" s="66"/>
      <c r="S387" s="68"/>
      <c r="T387" s="66"/>
      <c r="U387" s="66"/>
      <c r="V387" s="313"/>
      <c r="W387" s="314"/>
      <c r="X387" s="314"/>
      <c r="Y387" s="68"/>
      <c r="Z387" s="20"/>
      <c r="AA387" s="20"/>
      <c r="AB387" s="20"/>
      <c r="AC387" s="20"/>
      <c r="AD387" s="20"/>
      <c r="AE387" s="68"/>
      <c r="AF387" s="68"/>
      <c r="AG387" s="20"/>
      <c r="AH387" s="232"/>
    </row>
    <row r="388" spans="1:34" s="16" customFormat="1">
      <c r="A388" s="17"/>
      <c r="B388" s="17"/>
      <c r="C388" s="17"/>
      <c r="D388" s="17"/>
      <c r="E388" s="17"/>
      <c r="F388" s="302"/>
      <c r="G388" s="19"/>
      <c r="H388" s="64"/>
      <c r="I388" s="20"/>
      <c r="J388" s="68"/>
      <c r="K388" s="66"/>
      <c r="L388" s="66"/>
      <c r="M388" s="68"/>
      <c r="N388" s="68"/>
      <c r="O388" s="66"/>
      <c r="P388" s="66"/>
      <c r="Q388" s="66"/>
      <c r="R388" s="66"/>
      <c r="S388" s="68"/>
      <c r="T388" s="66"/>
      <c r="U388" s="66"/>
      <c r="V388" s="313"/>
      <c r="W388" s="314"/>
      <c r="X388" s="314"/>
      <c r="Y388" s="68"/>
      <c r="Z388" s="20"/>
      <c r="AA388" s="20"/>
      <c r="AB388" s="20"/>
      <c r="AC388" s="20"/>
      <c r="AD388" s="20"/>
      <c r="AE388" s="68"/>
      <c r="AF388" s="68"/>
      <c r="AG388" s="20"/>
      <c r="AH388" s="232"/>
    </row>
    <row r="389" spans="1:34" s="16" customFormat="1">
      <c r="A389" s="17"/>
      <c r="B389" s="17"/>
      <c r="C389" s="17"/>
      <c r="D389" s="17"/>
      <c r="E389" s="17"/>
      <c r="F389" s="302"/>
      <c r="G389" s="19"/>
      <c r="H389" s="64"/>
      <c r="I389" s="20"/>
      <c r="J389" s="68"/>
      <c r="K389" s="66"/>
      <c r="L389" s="66"/>
      <c r="M389" s="68"/>
      <c r="N389" s="68"/>
      <c r="O389" s="66"/>
      <c r="P389" s="66"/>
      <c r="Q389" s="66"/>
      <c r="R389" s="66"/>
      <c r="S389" s="68"/>
      <c r="T389" s="66"/>
      <c r="U389" s="66"/>
      <c r="V389" s="313"/>
      <c r="W389" s="314"/>
      <c r="X389" s="314"/>
      <c r="Y389" s="68"/>
      <c r="Z389" s="20"/>
      <c r="AA389" s="20"/>
      <c r="AB389" s="20"/>
      <c r="AC389" s="20"/>
      <c r="AD389" s="20"/>
      <c r="AE389" s="68"/>
      <c r="AF389" s="68"/>
      <c r="AG389" s="20"/>
      <c r="AH389" s="232"/>
    </row>
    <row r="390" spans="1:34" s="16" customFormat="1">
      <c r="A390" s="17"/>
      <c r="B390" s="17"/>
      <c r="C390" s="17"/>
      <c r="D390" s="17"/>
      <c r="E390" s="17"/>
      <c r="F390" s="302"/>
      <c r="G390" s="19"/>
      <c r="H390" s="64"/>
      <c r="I390" s="20"/>
      <c r="J390" s="68"/>
      <c r="K390" s="66"/>
      <c r="L390" s="66"/>
      <c r="M390" s="68"/>
      <c r="N390" s="68"/>
      <c r="O390" s="66"/>
      <c r="P390" s="66"/>
      <c r="Q390" s="66"/>
      <c r="R390" s="66"/>
      <c r="S390" s="68"/>
      <c r="T390" s="66"/>
      <c r="U390" s="66"/>
      <c r="V390" s="313"/>
      <c r="W390" s="314"/>
      <c r="X390" s="314"/>
      <c r="Y390" s="68"/>
      <c r="Z390" s="20"/>
      <c r="AA390" s="20"/>
      <c r="AB390" s="20"/>
      <c r="AC390" s="20"/>
      <c r="AD390" s="20"/>
      <c r="AE390" s="68"/>
      <c r="AF390" s="68"/>
      <c r="AG390" s="20"/>
      <c r="AH390" s="232"/>
    </row>
    <row r="391" spans="1:34" s="16" customFormat="1">
      <c r="A391" s="17"/>
      <c r="B391" s="17"/>
      <c r="C391" s="17"/>
      <c r="D391" s="17"/>
      <c r="E391" s="17"/>
      <c r="F391" s="302"/>
      <c r="G391" s="19"/>
      <c r="H391" s="64"/>
      <c r="I391" s="20"/>
      <c r="J391" s="68"/>
      <c r="K391" s="66"/>
      <c r="L391" s="66"/>
      <c r="M391" s="68"/>
      <c r="N391" s="68"/>
      <c r="O391" s="66"/>
      <c r="P391" s="66"/>
      <c r="Q391" s="66"/>
      <c r="R391" s="66"/>
      <c r="S391" s="68"/>
      <c r="T391" s="66"/>
      <c r="U391" s="66"/>
      <c r="V391" s="313"/>
      <c r="W391" s="314"/>
      <c r="X391" s="314"/>
      <c r="Y391" s="68"/>
      <c r="Z391" s="20"/>
      <c r="AA391" s="20"/>
      <c r="AB391" s="20"/>
      <c r="AC391" s="20"/>
      <c r="AD391" s="20"/>
      <c r="AE391" s="68"/>
      <c r="AF391" s="68"/>
      <c r="AG391" s="20"/>
      <c r="AH391" s="232"/>
    </row>
    <row r="392" spans="1:34" s="16" customFormat="1">
      <c r="A392" s="17"/>
      <c r="B392" s="17"/>
      <c r="C392" s="17"/>
      <c r="D392" s="17"/>
      <c r="E392" s="17"/>
      <c r="F392" s="302"/>
      <c r="G392" s="19"/>
      <c r="H392" s="64"/>
      <c r="I392" s="20"/>
      <c r="J392" s="68"/>
      <c r="K392" s="66"/>
      <c r="L392" s="66"/>
      <c r="M392" s="68"/>
      <c r="N392" s="68"/>
      <c r="O392" s="66"/>
      <c r="P392" s="66"/>
      <c r="Q392" s="66"/>
      <c r="R392" s="66"/>
      <c r="S392" s="68"/>
      <c r="T392" s="66"/>
      <c r="U392" s="66"/>
      <c r="V392" s="313"/>
      <c r="W392" s="314"/>
      <c r="X392" s="314"/>
      <c r="Y392" s="68"/>
      <c r="Z392" s="20"/>
      <c r="AA392" s="20"/>
      <c r="AB392" s="20"/>
      <c r="AC392" s="20"/>
      <c r="AD392" s="20"/>
      <c r="AE392" s="68"/>
      <c r="AF392" s="68"/>
      <c r="AG392" s="20"/>
      <c r="AH392" s="232"/>
    </row>
    <row r="393" spans="1:34" s="16" customFormat="1">
      <c r="A393" s="17"/>
      <c r="B393" s="17"/>
      <c r="C393" s="17"/>
      <c r="D393" s="17"/>
      <c r="E393" s="17"/>
      <c r="F393" s="302"/>
      <c r="G393" s="19"/>
      <c r="H393" s="64"/>
      <c r="I393" s="20"/>
      <c r="J393" s="68"/>
      <c r="K393" s="66"/>
      <c r="L393" s="66"/>
      <c r="M393" s="68"/>
      <c r="N393" s="68"/>
      <c r="O393" s="66"/>
      <c r="P393" s="66"/>
      <c r="Q393" s="66"/>
      <c r="R393" s="66"/>
      <c r="S393" s="68"/>
      <c r="T393" s="66"/>
      <c r="U393" s="66"/>
      <c r="V393" s="313"/>
      <c r="W393" s="314"/>
      <c r="X393" s="314"/>
      <c r="Y393" s="68"/>
      <c r="Z393" s="20"/>
      <c r="AA393" s="20"/>
      <c r="AB393" s="20"/>
      <c r="AC393" s="20"/>
      <c r="AD393" s="20"/>
      <c r="AE393" s="68"/>
      <c r="AF393" s="68"/>
      <c r="AG393" s="20"/>
      <c r="AH393" s="232"/>
    </row>
    <row r="394" spans="1:34" s="16" customFormat="1">
      <c r="A394" s="17"/>
      <c r="B394" s="17"/>
      <c r="C394" s="17"/>
      <c r="D394" s="17"/>
      <c r="E394" s="17"/>
      <c r="F394" s="302"/>
      <c r="G394" s="19"/>
      <c r="H394" s="64"/>
      <c r="I394" s="20"/>
      <c r="J394" s="68"/>
      <c r="K394" s="66"/>
      <c r="L394" s="66"/>
      <c r="M394" s="68"/>
      <c r="N394" s="68"/>
      <c r="O394" s="66"/>
      <c r="P394" s="66"/>
      <c r="Q394" s="66"/>
      <c r="R394" s="66"/>
      <c r="S394" s="68"/>
      <c r="T394" s="66"/>
      <c r="U394" s="66"/>
      <c r="V394" s="313"/>
      <c r="W394" s="314"/>
      <c r="X394" s="314"/>
      <c r="Y394" s="68"/>
      <c r="Z394" s="20"/>
      <c r="AA394" s="20"/>
      <c r="AB394" s="20"/>
      <c r="AC394" s="20"/>
      <c r="AD394" s="20"/>
      <c r="AE394" s="68"/>
      <c r="AF394" s="68"/>
      <c r="AG394" s="20"/>
      <c r="AH394" s="232"/>
    </row>
    <row r="395" spans="1:34" s="16" customFormat="1">
      <c r="A395" s="17"/>
      <c r="B395" s="17"/>
      <c r="C395" s="17"/>
      <c r="D395" s="17"/>
      <c r="E395" s="17"/>
      <c r="F395" s="302"/>
      <c r="G395" s="19"/>
      <c r="H395" s="64"/>
      <c r="I395" s="20"/>
      <c r="J395" s="68"/>
      <c r="K395" s="66"/>
      <c r="L395" s="66"/>
      <c r="M395" s="68"/>
      <c r="N395" s="68"/>
      <c r="O395" s="66"/>
      <c r="P395" s="66"/>
      <c r="Q395" s="66"/>
      <c r="R395" s="66"/>
      <c r="S395" s="68"/>
      <c r="T395" s="66"/>
      <c r="U395" s="66"/>
      <c r="V395" s="313"/>
      <c r="W395" s="314"/>
      <c r="X395" s="314"/>
      <c r="Y395" s="68"/>
      <c r="Z395" s="20"/>
      <c r="AA395" s="20"/>
      <c r="AB395" s="20"/>
      <c r="AC395" s="20"/>
      <c r="AD395" s="20"/>
      <c r="AE395" s="68"/>
      <c r="AF395" s="68"/>
      <c r="AG395" s="20"/>
      <c r="AH395" s="232"/>
    </row>
    <row r="396" spans="1:34" s="16" customFormat="1">
      <c r="A396" s="17"/>
      <c r="B396" s="17"/>
      <c r="C396" s="17"/>
      <c r="D396" s="17"/>
      <c r="E396" s="17"/>
      <c r="F396" s="302"/>
      <c r="G396" s="19"/>
      <c r="H396" s="64"/>
      <c r="I396" s="20"/>
      <c r="J396" s="68"/>
      <c r="K396" s="66"/>
      <c r="L396" s="66"/>
      <c r="M396" s="68"/>
      <c r="N396" s="68"/>
      <c r="O396" s="66"/>
      <c r="P396" s="66"/>
      <c r="Q396" s="66"/>
      <c r="R396" s="66"/>
      <c r="S396" s="68"/>
      <c r="T396" s="66"/>
      <c r="U396" s="66"/>
      <c r="V396" s="313"/>
      <c r="W396" s="314"/>
      <c r="X396" s="314"/>
      <c r="Y396" s="68"/>
      <c r="Z396" s="20"/>
      <c r="AA396" s="20"/>
      <c r="AB396" s="20"/>
      <c r="AC396" s="20"/>
      <c r="AD396" s="20"/>
      <c r="AE396" s="68"/>
      <c r="AF396" s="68"/>
      <c r="AG396" s="20"/>
      <c r="AH396" s="232"/>
    </row>
    <row r="397" spans="1:34" s="16" customFormat="1">
      <c r="A397" s="17"/>
      <c r="B397" s="17"/>
      <c r="C397" s="17"/>
      <c r="D397" s="17"/>
      <c r="E397" s="17"/>
      <c r="F397" s="302"/>
      <c r="G397" s="19"/>
      <c r="H397" s="64"/>
      <c r="I397" s="20"/>
      <c r="J397" s="68"/>
      <c r="K397" s="66"/>
      <c r="L397" s="66"/>
      <c r="M397" s="68"/>
      <c r="N397" s="68"/>
      <c r="O397" s="66"/>
      <c r="P397" s="66"/>
      <c r="Q397" s="66"/>
      <c r="R397" s="66"/>
      <c r="S397" s="68"/>
      <c r="T397" s="66"/>
      <c r="U397" s="66"/>
      <c r="V397" s="313"/>
      <c r="W397" s="314"/>
      <c r="X397" s="314"/>
      <c r="Y397" s="68"/>
      <c r="Z397" s="20"/>
      <c r="AA397" s="20"/>
      <c r="AB397" s="20"/>
      <c r="AC397" s="20"/>
      <c r="AD397" s="20"/>
      <c r="AE397" s="68"/>
      <c r="AF397" s="68"/>
      <c r="AG397" s="20"/>
      <c r="AH397" s="232"/>
    </row>
    <row r="398" spans="1:34" s="16" customFormat="1">
      <c r="A398" s="17"/>
      <c r="B398" s="17"/>
      <c r="C398" s="17"/>
      <c r="D398" s="17"/>
      <c r="E398" s="17"/>
      <c r="F398" s="302"/>
      <c r="G398" s="19"/>
      <c r="H398" s="64"/>
      <c r="I398" s="20"/>
      <c r="J398" s="68"/>
      <c r="K398" s="66"/>
      <c r="L398" s="66"/>
      <c r="M398" s="68"/>
      <c r="N398" s="68"/>
      <c r="O398" s="66"/>
      <c r="P398" s="66"/>
      <c r="Q398" s="66"/>
      <c r="R398" s="66"/>
      <c r="S398" s="68"/>
      <c r="T398" s="66"/>
      <c r="U398" s="66"/>
      <c r="V398" s="313"/>
      <c r="W398" s="314"/>
      <c r="X398" s="314"/>
      <c r="Y398" s="68"/>
      <c r="Z398" s="20"/>
      <c r="AA398" s="20"/>
      <c r="AB398" s="20"/>
      <c r="AC398" s="20"/>
      <c r="AD398" s="20"/>
      <c r="AE398" s="68"/>
      <c r="AF398" s="68"/>
      <c r="AG398" s="20"/>
      <c r="AH398" s="232"/>
    </row>
    <row r="399" spans="1:34" s="16" customFormat="1">
      <c r="A399" s="17"/>
      <c r="B399" s="17"/>
      <c r="C399" s="17"/>
      <c r="D399" s="17"/>
      <c r="E399" s="17"/>
      <c r="F399" s="302"/>
      <c r="G399" s="19"/>
      <c r="H399" s="64"/>
      <c r="I399" s="20"/>
      <c r="J399" s="68"/>
      <c r="K399" s="66"/>
      <c r="L399" s="66"/>
      <c r="M399" s="68"/>
      <c r="N399" s="68"/>
      <c r="O399" s="66"/>
      <c r="P399" s="66"/>
      <c r="Q399" s="66"/>
      <c r="R399" s="66"/>
      <c r="S399" s="68"/>
      <c r="T399" s="66"/>
      <c r="U399" s="66"/>
      <c r="V399" s="313"/>
      <c r="W399" s="314"/>
      <c r="X399" s="314"/>
      <c r="Y399" s="68"/>
      <c r="Z399" s="20"/>
      <c r="AA399" s="20"/>
      <c r="AB399" s="20"/>
      <c r="AC399" s="20"/>
      <c r="AD399" s="20"/>
      <c r="AE399" s="68"/>
      <c r="AF399" s="68"/>
      <c r="AG399" s="20"/>
      <c r="AH399" s="232"/>
    </row>
    <row r="400" spans="1:34" s="16" customFormat="1">
      <c r="A400" s="17"/>
      <c r="B400" s="17"/>
      <c r="C400" s="17"/>
      <c r="D400" s="17"/>
      <c r="E400" s="17"/>
      <c r="F400" s="302"/>
      <c r="G400" s="19"/>
      <c r="H400" s="64"/>
      <c r="I400" s="20"/>
      <c r="J400" s="68"/>
      <c r="K400" s="66"/>
      <c r="L400" s="66"/>
      <c r="M400" s="68"/>
      <c r="N400" s="68"/>
      <c r="O400" s="66"/>
      <c r="P400" s="66"/>
      <c r="Q400" s="66"/>
      <c r="R400" s="66"/>
      <c r="S400" s="68"/>
      <c r="T400" s="66"/>
      <c r="U400" s="66"/>
      <c r="V400" s="313"/>
      <c r="W400" s="314"/>
      <c r="X400" s="314"/>
      <c r="Y400" s="68"/>
      <c r="Z400" s="20"/>
      <c r="AA400" s="20"/>
      <c r="AB400" s="20"/>
      <c r="AC400" s="20"/>
      <c r="AD400" s="20"/>
      <c r="AE400" s="68"/>
      <c r="AF400" s="68"/>
      <c r="AG400" s="20"/>
      <c r="AH400" s="232"/>
    </row>
    <row r="401" spans="1:34" s="16" customFormat="1">
      <c r="A401" s="17"/>
      <c r="B401" s="17"/>
      <c r="C401" s="17"/>
      <c r="D401" s="17"/>
      <c r="E401" s="17"/>
      <c r="F401" s="302"/>
      <c r="G401" s="19"/>
      <c r="H401" s="64"/>
      <c r="I401" s="20"/>
      <c r="J401" s="68"/>
      <c r="K401" s="66"/>
      <c r="L401" s="66"/>
      <c r="M401" s="68"/>
      <c r="N401" s="68"/>
      <c r="O401" s="66"/>
      <c r="P401" s="66"/>
      <c r="Q401" s="66"/>
      <c r="R401" s="66"/>
      <c r="S401" s="68"/>
      <c r="T401" s="66"/>
      <c r="U401" s="66"/>
      <c r="V401" s="313"/>
      <c r="W401" s="314"/>
      <c r="X401" s="314"/>
      <c r="Y401" s="68"/>
      <c r="Z401" s="20"/>
      <c r="AA401" s="20"/>
      <c r="AB401" s="20"/>
      <c r="AC401" s="20"/>
      <c r="AD401" s="20"/>
      <c r="AE401" s="68"/>
      <c r="AF401" s="68"/>
      <c r="AG401" s="20"/>
      <c r="AH401" s="232"/>
    </row>
    <row r="402" spans="1:34" s="16" customFormat="1">
      <c r="A402" s="17"/>
      <c r="B402" s="17"/>
      <c r="C402" s="17"/>
      <c r="D402" s="17"/>
      <c r="E402" s="17"/>
      <c r="F402" s="302"/>
      <c r="G402" s="19"/>
      <c r="H402" s="64"/>
      <c r="I402" s="20"/>
      <c r="J402" s="68"/>
      <c r="K402" s="66"/>
      <c r="L402" s="66"/>
      <c r="M402" s="68"/>
      <c r="N402" s="68"/>
      <c r="O402" s="66"/>
      <c r="P402" s="66"/>
      <c r="Q402" s="66"/>
      <c r="R402" s="66"/>
      <c r="S402" s="68"/>
      <c r="T402" s="66"/>
      <c r="U402" s="66"/>
      <c r="V402" s="313"/>
      <c r="W402" s="314"/>
      <c r="X402" s="314"/>
      <c r="Y402" s="68"/>
      <c r="Z402" s="20"/>
      <c r="AA402" s="20"/>
      <c r="AB402" s="20"/>
      <c r="AC402" s="20"/>
      <c r="AD402" s="20"/>
      <c r="AE402" s="68"/>
      <c r="AF402" s="68"/>
      <c r="AG402" s="20"/>
      <c r="AH402" s="232"/>
    </row>
    <row r="403" spans="1:34" s="16" customFormat="1">
      <c r="A403" s="17"/>
      <c r="B403" s="17"/>
      <c r="C403" s="17"/>
      <c r="D403" s="17"/>
      <c r="E403" s="17"/>
      <c r="F403" s="302"/>
      <c r="G403" s="19"/>
      <c r="H403" s="64"/>
      <c r="I403" s="20"/>
      <c r="J403" s="68"/>
      <c r="K403" s="66"/>
      <c r="L403" s="66"/>
      <c r="M403" s="68"/>
      <c r="N403" s="68"/>
      <c r="O403" s="66"/>
      <c r="P403" s="66"/>
      <c r="Q403" s="66"/>
      <c r="R403" s="66"/>
      <c r="S403" s="68"/>
      <c r="T403" s="66"/>
      <c r="U403" s="66"/>
      <c r="V403" s="313"/>
      <c r="W403" s="314"/>
      <c r="X403" s="314"/>
      <c r="Y403" s="68"/>
      <c r="Z403" s="20"/>
      <c r="AA403" s="20"/>
      <c r="AB403" s="20"/>
      <c r="AC403" s="20"/>
      <c r="AD403" s="20"/>
      <c r="AE403" s="68"/>
      <c r="AF403" s="68"/>
      <c r="AG403" s="20"/>
      <c r="AH403" s="232"/>
    </row>
    <row r="404" spans="1:34" s="16" customFormat="1">
      <c r="A404" s="17"/>
      <c r="B404" s="17"/>
      <c r="C404" s="17"/>
      <c r="D404" s="17"/>
      <c r="E404" s="17"/>
      <c r="F404" s="302"/>
      <c r="G404" s="19"/>
      <c r="H404" s="64"/>
      <c r="I404" s="20"/>
      <c r="J404" s="68"/>
      <c r="K404" s="66"/>
      <c r="L404" s="66"/>
      <c r="M404" s="68"/>
      <c r="N404" s="68"/>
      <c r="O404" s="66"/>
      <c r="P404" s="66"/>
      <c r="Q404" s="66"/>
      <c r="R404" s="66"/>
      <c r="S404" s="68"/>
      <c r="T404" s="66"/>
      <c r="U404" s="66"/>
      <c r="V404" s="313"/>
      <c r="W404" s="314"/>
      <c r="X404" s="314"/>
      <c r="Y404" s="68"/>
      <c r="Z404" s="20"/>
      <c r="AA404" s="20"/>
      <c r="AB404" s="20"/>
      <c r="AC404" s="20"/>
      <c r="AD404" s="20"/>
      <c r="AE404" s="68"/>
      <c r="AF404" s="68"/>
      <c r="AG404" s="20"/>
      <c r="AH404" s="232"/>
    </row>
    <row r="405" spans="1:34" s="16" customFormat="1">
      <c r="A405" s="17"/>
      <c r="B405" s="17"/>
      <c r="C405" s="17"/>
      <c r="D405" s="17"/>
      <c r="E405" s="17"/>
      <c r="F405" s="302"/>
      <c r="G405" s="19"/>
      <c r="H405" s="64"/>
      <c r="I405" s="20"/>
      <c r="J405" s="68"/>
      <c r="K405" s="66"/>
      <c r="L405" s="66"/>
      <c r="M405" s="68"/>
      <c r="N405" s="68"/>
      <c r="O405" s="66"/>
      <c r="P405" s="66"/>
      <c r="Q405" s="66"/>
      <c r="R405" s="66"/>
      <c r="S405" s="68"/>
      <c r="T405" s="66"/>
      <c r="U405" s="66"/>
      <c r="V405" s="313"/>
      <c r="W405" s="314"/>
      <c r="X405" s="314"/>
      <c r="Y405" s="68"/>
      <c r="Z405" s="20"/>
      <c r="AA405" s="20"/>
      <c r="AB405" s="20"/>
      <c r="AC405" s="20"/>
      <c r="AD405" s="20"/>
      <c r="AE405" s="68"/>
      <c r="AF405" s="68"/>
      <c r="AG405" s="20"/>
      <c r="AH405" s="232"/>
    </row>
    <row r="406" spans="1:34" s="16" customFormat="1">
      <c r="A406" s="17"/>
      <c r="B406" s="17"/>
      <c r="C406" s="17"/>
      <c r="D406" s="17"/>
      <c r="E406" s="17"/>
      <c r="F406" s="302"/>
      <c r="G406" s="19"/>
      <c r="H406" s="64"/>
      <c r="I406" s="20"/>
      <c r="J406" s="68"/>
      <c r="K406" s="66"/>
      <c r="L406" s="66"/>
      <c r="M406" s="68"/>
      <c r="N406" s="68"/>
      <c r="O406" s="66"/>
      <c r="P406" s="66"/>
      <c r="Q406" s="66"/>
      <c r="R406" s="66"/>
      <c r="S406" s="68"/>
      <c r="T406" s="66"/>
      <c r="U406" s="66"/>
      <c r="V406" s="313"/>
      <c r="W406" s="314"/>
      <c r="X406" s="314"/>
      <c r="Y406" s="68"/>
      <c r="Z406" s="20"/>
      <c r="AA406" s="20"/>
      <c r="AB406" s="20"/>
      <c r="AC406" s="20"/>
      <c r="AD406" s="20"/>
      <c r="AE406" s="68"/>
      <c r="AF406" s="68"/>
      <c r="AG406" s="20"/>
      <c r="AH406" s="232"/>
    </row>
    <row r="407" spans="1:34" s="16" customFormat="1">
      <c r="A407" s="17"/>
      <c r="B407" s="17"/>
      <c r="C407" s="17"/>
      <c r="D407" s="17"/>
      <c r="E407" s="17"/>
      <c r="F407" s="302"/>
      <c r="G407" s="19"/>
      <c r="H407" s="64"/>
      <c r="I407" s="20"/>
      <c r="J407" s="68"/>
      <c r="K407" s="66"/>
      <c r="L407" s="66"/>
      <c r="M407" s="68"/>
      <c r="N407" s="68"/>
      <c r="O407" s="66"/>
      <c r="P407" s="66"/>
      <c r="Q407" s="66"/>
      <c r="R407" s="66"/>
      <c r="S407" s="68"/>
      <c r="T407" s="66"/>
      <c r="U407" s="66"/>
      <c r="V407" s="313"/>
      <c r="W407" s="314"/>
      <c r="X407" s="314"/>
      <c r="Y407" s="68"/>
      <c r="Z407" s="20"/>
      <c r="AA407" s="20"/>
      <c r="AB407" s="20"/>
      <c r="AC407" s="20"/>
      <c r="AD407" s="20"/>
      <c r="AE407" s="68"/>
      <c r="AF407" s="68"/>
      <c r="AG407" s="20"/>
      <c r="AH407" s="232"/>
    </row>
    <row r="408" spans="1:34" s="16" customFormat="1">
      <c r="A408" s="17"/>
      <c r="B408" s="17"/>
      <c r="C408" s="17"/>
      <c r="D408" s="17"/>
      <c r="E408" s="17"/>
      <c r="F408" s="302"/>
      <c r="G408" s="19"/>
      <c r="H408" s="64"/>
      <c r="I408" s="20"/>
      <c r="J408" s="68"/>
      <c r="K408" s="66"/>
      <c r="L408" s="66"/>
      <c r="M408" s="68"/>
      <c r="N408" s="68"/>
      <c r="O408" s="66"/>
      <c r="P408" s="66"/>
      <c r="Q408" s="66"/>
      <c r="R408" s="66"/>
      <c r="S408" s="68"/>
      <c r="T408" s="66"/>
      <c r="U408" s="66"/>
      <c r="V408" s="313"/>
      <c r="W408" s="314"/>
      <c r="X408" s="314"/>
      <c r="Y408" s="68"/>
      <c r="Z408" s="20"/>
      <c r="AA408" s="20"/>
      <c r="AB408" s="20"/>
      <c r="AC408" s="20"/>
      <c r="AD408" s="20"/>
      <c r="AE408" s="68"/>
      <c r="AF408" s="68"/>
      <c r="AG408" s="20"/>
      <c r="AH408" s="232"/>
    </row>
    <row r="409" spans="1:34" s="16" customFormat="1">
      <c r="A409" s="17"/>
      <c r="B409" s="17"/>
      <c r="C409" s="17"/>
      <c r="D409" s="17"/>
      <c r="E409" s="17"/>
      <c r="F409" s="302"/>
      <c r="G409" s="19"/>
      <c r="H409" s="64"/>
      <c r="I409" s="20"/>
      <c r="J409" s="68"/>
      <c r="K409" s="66"/>
      <c r="L409" s="66"/>
      <c r="M409" s="68"/>
      <c r="N409" s="68"/>
      <c r="O409" s="66"/>
      <c r="P409" s="66"/>
      <c r="Q409" s="66"/>
      <c r="R409" s="66"/>
      <c r="S409" s="68"/>
      <c r="T409" s="66"/>
      <c r="U409" s="66"/>
      <c r="V409" s="313"/>
      <c r="W409" s="314"/>
      <c r="X409" s="314"/>
      <c r="Y409" s="68"/>
      <c r="Z409" s="20"/>
      <c r="AA409" s="20"/>
      <c r="AB409" s="20"/>
      <c r="AC409" s="20"/>
      <c r="AD409" s="20"/>
      <c r="AE409" s="68"/>
      <c r="AF409" s="68"/>
      <c r="AG409" s="20"/>
      <c r="AH409" s="232"/>
    </row>
    <row r="410" spans="1:34" s="16" customFormat="1">
      <c r="A410" s="17"/>
      <c r="B410" s="17"/>
      <c r="C410" s="17"/>
      <c r="D410" s="17"/>
      <c r="E410" s="17"/>
      <c r="F410" s="302"/>
      <c r="G410" s="19"/>
      <c r="H410" s="64"/>
      <c r="I410" s="20"/>
      <c r="J410" s="68"/>
      <c r="K410" s="66"/>
      <c r="L410" s="66"/>
      <c r="M410" s="68"/>
      <c r="N410" s="68"/>
      <c r="O410" s="66"/>
      <c r="P410" s="66"/>
      <c r="Q410" s="66"/>
      <c r="R410" s="66"/>
      <c r="S410" s="68"/>
      <c r="T410" s="66"/>
      <c r="U410" s="66"/>
      <c r="V410" s="313"/>
      <c r="W410" s="314"/>
      <c r="X410" s="314"/>
      <c r="Y410" s="68"/>
      <c r="Z410" s="20"/>
      <c r="AA410" s="20"/>
      <c r="AB410" s="20"/>
      <c r="AC410" s="20"/>
      <c r="AD410" s="20"/>
      <c r="AE410" s="68"/>
      <c r="AF410" s="68"/>
      <c r="AG410" s="20"/>
      <c r="AH410" s="232"/>
    </row>
    <row r="411" spans="1:34" s="16" customFormat="1">
      <c r="A411" s="17"/>
      <c r="B411" s="17"/>
      <c r="C411" s="17"/>
      <c r="D411" s="17"/>
      <c r="E411" s="17"/>
      <c r="F411" s="302"/>
      <c r="G411" s="19"/>
      <c r="H411" s="64"/>
      <c r="I411" s="20"/>
      <c r="J411" s="68"/>
      <c r="K411" s="66"/>
      <c r="L411" s="66"/>
      <c r="M411" s="68"/>
      <c r="N411" s="68"/>
      <c r="O411" s="66"/>
      <c r="P411" s="66"/>
      <c r="Q411" s="66"/>
      <c r="R411" s="66"/>
      <c r="S411" s="68"/>
      <c r="T411" s="66"/>
      <c r="U411" s="66"/>
      <c r="V411" s="313"/>
      <c r="W411" s="314"/>
      <c r="X411" s="314"/>
      <c r="Y411" s="68"/>
      <c r="Z411" s="20"/>
      <c r="AA411" s="20"/>
      <c r="AB411" s="20"/>
      <c r="AC411" s="20"/>
      <c r="AD411" s="20"/>
      <c r="AE411" s="68"/>
      <c r="AF411" s="68"/>
      <c r="AG411" s="20"/>
      <c r="AH411" s="232"/>
    </row>
    <row r="412" spans="1:34" s="16" customFormat="1">
      <c r="A412" s="17"/>
      <c r="B412" s="17"/>
      <c r="C412" s="17"/>
      <c r="D412" s="17"/>
      <c r="E412" s="17"/>
      <c r="F412" s="302"/>
      <c r="G412" s="19"/>
      <c r="H412" s="64"/>
      <c r="I412" s="20"/>
      <c r="J412" s="68"/>
      <c r="K412" s="66"/>
      <c r="L412" s="66"/>
      <c r="M412" s="68"/>
      <c r="N412" s="68"/>
      <c r="O412" s="66"/>
      <c r="P412" s="66"/>
      <c r="Q412" s="66"/>
      <c r="R412" s="66"/>
      <c r="S412" s="68"/>
      <c r="T412" s="66"/>
      <c r="U412" s="66"/>
      <c r="V412" s="313"/>
      <c r="W412" s="314"/>
      <c r="X412" s="314"/>
      <c r="Y412" s="68"/>
      <c r="Z412" s="20"/>
      <c r="AA412" s="20"/>
      <c r="AB412" s="20"/>
      <c r="AC412" s="20"/>
      <c r="AD412" s="20"/>
      <c r="AE412" s="68"/>
      <c r="AF412" s="68"/>
      <c r="AG412" s="20"/>
      <c r="AH412" s="232"/>
    </row>
    <row r="413" spans="1:34" s="16" customFormat="1">
      <c r="A413" s="17"/>
      <c r="B413" s="17"/>
      <c r="C413" s="17"/>
      <c r="D413" s="17"/>
      <c r="E413" s="17"/>
      <c r="F413" s="302"/>
      <c r="G413" s="19"/>
      <c r="H413" s="64"/>
      <c r="I413" s="20"/>
      <c r="J413" s="68"/>
      <c r="K413" s="66"/>
      <c r="L413" s="66"/>
      <c r="M413" s="68"/>
      <c r="N413" s="68"/>
      <c r="O413" s="66"/>
      <c r="P413" s="66"/>
      <c r="Q413" s="66"/>
      <c r="R413" s="66"/>
      <c r="S413" s="68"/>
      <c r="T413" s="66"/>
      <c r="U413" s="66"/>
      <c r="V413" s="313"/>
      <c r="W413" s="314"/>
      <c r="X413" s="314"/>
      <c r="Y413" s="68"/>
      <c r="Z413" s="20"/>
      <c r="AA413" s="20"/>
      <c r="AB413" s="20"/>
      <c r="AC413" s="20"/>
      <c r="AD413" s="20"/>
      <c r="AE413" s="68"/>
      <c r="AF413" s="68"/>
      <c r="AG413" s="20"/>
      <c r="AH413" s="232"/>
    </row>
    <row r="414" spans="1:34" s="16" customFormat="1">
      <c r="A414" s="17"/>
      <c r="B414" s="17"/>
      <c r="C414" s="17"/>
      <c r="D414" s="17"/>
      <c r="E414" s="17"/>
      <c r="F414" s="302"/>
      <c r="G414" s="19"/>
      <c r="H414" s="64"/>
      <c r="I414" s="20"/>
      <c r="J414" s="68"/>
      <c r="K414" s="66"/>
      <c r="L414" s="66"/>
      <c r="M414" s="68"/>
      <c r="N414" s="68"/>
      <c r="O414" s="66"/>
      <c r="P414" s="66"/>
      <c r="Q414" s="66"/>
      <c r="R414" s="66"/>
      <c r="S414" s="68"/>
      <c r="T414" s="66"/>
      <c r="U414" s="66"/>
      <c r="V414" s="313"/>
      <c r="W414" s="314"/>
      <c r="X414" s="314"/>
      <c r="Y414" s="68"/>
      <c r="Z414" s="20"/>
      <c r="AA414" s="20"/>
      <c r="AB414" s="20"/>
      <c r="AC414" s="20"/>
      <c r="AD414" s="20"/>
      <c r="AE414" s="68"/>
      <c r="AF414" s="68"/>
      <c r="AG414" s="20"/>
      <c r="AH414" s="232"/>
    </row>
    <row r="415" spans="1:34" s="16" customFormat="1">
      <c r="A415" s="17"/>
      <c r="B415" s="17"/>
      <c r="C415" s="17"/>
      <c r="D415" s="17"/>
      <c r="E415" s="17"/>
      <c r="F415" s="302"/>
      <c r="G415" s="19"/>
      <c r="H415" s="64"/>
      <c r="I415" s="20"/>
      <c r="J415" s="68"/>
      <c r="K415" s="66"/>
      <c r="L415" s="66"/>
      <c r="M415" s="68"/>
      <c r="N415" s="68"/>
      <c r="O415" s="66"/>
      <c r="P415" s="66"/>
      <c r="Q415" s="66"/>
      <c r="R415" s="66"/>
      <c r="S415" s="68"/>
      <c r="T415" s="66"/>
      <c r="U415" s="66"/>
      <c r="V415" s="313"/>
      <c r="W415" s="314"/>
      <c r="X415" s="314"/>
      <c r="Y415" s="68"/>
      <c r="Z415" s="20"/>
      <c r="AA415" s="20"/>
      <c r="AB415" s="20"/>
      <c r="AC415" s="20"/>
      <c r="AD415" s="20"/>
      <c r="AE415" s="68"/>
      <c r="AF415" s="68"/>
      <c r="AG415" s="20"/>
      <c r="AH415" s="232"/>
    </row>
    <row r="416" spans="1:34" s="16" customFormat="1">
      <c r="A416" s="17"/>
      <c r="B416" s="17"/>
      <c r="C416" s="17"/>
      <c r="D416" s="17"/>
      <c r="E416" s="17"/>
      <c r="F416" s="302"/>
      <c r="G416" s="19"/>
      <c r="H416" s="64"/>
      <c r="I416" s="20"/>
      <c r="J416" s="68"/>
      <c r="K416" s="66"/>
      <c r="L416" s="66"/>
      <c r="M416" s="68"/>
      <c r="N416" s="68"/>
      <c r="O416" s="66"/>
      <c r="P416" s="66"/>
      <c r="Q416" s="66"/>
      <c r="R416" s="66"/>
      <c r="S416" s="68"/>
      <c r="T416" s="66"/>
      <c r="U416" s="66"/>
      <c r="V416" s="313"/>
      <c r="W416" s="314"/>
      <c r="X416" s="314"/>
      <c r="Y416" s="68"/>
      <c r="Z416" s="20"/>
      <c r="AA416" s="20"/>
      <c r="AB416" s="20"/>
      <c r="AC416" s="20"/>
      <c r="AD416" s="20"/>
      <c r="AE416" s="68"/>
      <c r="AF416" s="68"/>
      <c r="AG416" s="20"/>
      <c r="AH416" s="232"/>
    </row>
    <row r="417" spans="1:34" s="16" customFormat="1">
      <c r="A417" s="17"/>
      <c r="B417" s="17"/>
      <c r="C417" s="17"/>
      <c r="D417" s="17"/>
      <c r="E417" s="17"/>
      <c r="F417" s="302"/>
      <c r="G417" s="19"/>
      <c r="H417" s="64"/>
      <c r="I417" s="20"/>
      <c r="J417" s="68"/>
      <c r="K417" s="66"/>
      <c r="L417" s="66"/>
      <c r="M417" s="68"/>
      <c r="N417" s="68"/>
      <c r="O417" s="66"/>
      <c r="P417" s="66"/>
      <c r="Q417" s="66"/>
      <c r="R417" s="66"/>
      <c r="S417" s="68"/>
      <c r="T417" s="66"/>
      <c r="U417" s="66"/>
      <c r="V417" s="313"/>
      <c r="W417" s="314"/>
      <c r="X417" s="314"/>
      <c r="Y417" s="68"/>
      <c r="Z417" s="20"/>
      <c r="AA417" s="20"/>
      <c r="AB417" s="20"/>
      <c r="AC417" s="20"/>
      <c r="AD417" s="20"/>
      <c r="AE417" s="68"/>
      <c r="AF417" s="68"/>
      <c r="AG417" s="20"/>
      <c r="AH417" s="232"/>
    </row>
    <row r="418" spans="1:34" s="16" customFormat="1">
      <c r="A418" s="17"/>
      <c r="B418" s="17"/>
      <c r="C418" s="17"/>
      <c r="D418" s="17"/>
      <c r="E418" s="17"/>
      <c r="F418" s="302"/>
      <c r="G418" s="19"/>
      <c r="H418" s="64"/>
      <c r="I418" s="20"/>
      <c r="J418" s="68"/>
      <c r="K418" s="66"/>
      <c r="L418" s="66"/>
      <c r="M418" s="68"/>
      <c r="N418" s="68"/>
      <c r="O418" s="66"/>
      <c r="P418" s="66"/>
      <c r="Q418" s="66"/>
      <c r="R418" s="66"/>
      <c r="S418" s="68"/>
      <c r="T418" s="66"/>
      <c r="U418" s="66"/>
      <c r="V418" s="313"/>
      <c r="W418" s="314"/>
      <c r="X418" s="314"/>
      <c r="Y418" s="68"/>
      <c r="Z418" s="20"/>
      <c r="AA418" s="20"/>
      <c r="AB418" s="20"/>
      <c r="AC418" s="20"/>
      <c r="AD418" s="20"/>
      <c r="AE418" s="68"/>
      <c r="AF418" s="68"/>
      <c r="AG418" s="20"/>
      <c r="AH418" s="232"/>
    </row>
    <row r="419" spans="1:34" s="16" customFormat="1">
      <c r="A419" s="17"/>
      <c r="B419" s="17"/>
      <c r="C419" s="17"/>
      <c r="D419" s="17"/>
      <c r="E419" s="17"/>
      <c r="F419" s="302"/>
      <c r="G419" s="19"/>
      <c r="H419" s="64"/>
      <c r="I419" s="20"/>
      <c r="J419" s="68"/>
      <c r="K419" s="66"/>
      <c r="L419" s="66"/>
      <c r="M419" s="68"/>
      <c r="N419" s="68"/>
      <c r="O419" s="66"/>
      <c r="P419" s="66"/>
      <c r="Q419" s="66"/>
      <c r="R419" s="66"/>
      <c r="S419" s="68"/>
      <c r="T419" s="66"/>
      <c r="U419" s="66"/>
      <c r="V419" s="313"/>
      <c r="W419" s="314"/>
      <c r="X419" s="314"/>
      <c r="Y419" s="68"/>
      <c r="Z419" s="20"/>
      <c r="AA419" s="20"/>
      <c r="AB419" s="20"/>
      <c r="AC419" s="20"/>
      <c r="AD419" s="20"/>
      <c r="AE419" s="68"/>
      <c r="AF419" s="68"/>
      <c r="AG419" s="20"/>
      <c r="AH419" s="232"/>
    </row>
    <row r="420" spans="1:34" s="16" customFormat="1">
      <c r="A420" s="17"/>
      <c r="B420" s="17"/>
      <c r="C420" s="17"/>
      <c r="D420" s="17"/>
      <c r="E420" s="17"/>
      <c r="F420" s="302"/>
      <c r="G420" s="19"/>
      <c r="H420" s="64"/>
      <c r="I420" s="20"/>
      <c r="J420" s="68"/>
      <c r="K420" s="66"/>
      <c r="L420" s="66"/>
      <c r="M420" s="68"/>
      <c r="N420" s="68"/>
      <c r="O420" s="66"/>
      <c r="P420" s="66"/>
      <c r="Q420" s="66"/>
      <c r="R420" s="66"/>
      <c r="S420" s="68"/>
      <c r="T420" s="66"/>
      <c r="U420" s="66"/>
      <c r="V420" s="313"/>
      <c r="W420" s="314"/>
      <c r="X420" s="314"/>
      <c r="Y420" s="68"/>
      <c r="Z420" s="20"/>
      <c r="AA420" s="20"/>
      <c r="AB420" s="20"/>
      <c r="AC420" s="20"/>
      <c r="AD420" s="20"/>
      <c r="AE420" s="68"/>
      <c r="AF420" s="68"/>
      <c r="AG420" s="20"/>
      <c r="AH420" s="232"/>
    </row>
    <row r="421" spans="1:34" s="16" customFormat="1">
      <c r="A421" s="17"/>
      <c r="B421" s="17"/>
      <c r="C421" s="17"/>
      <c r="D421" s="17"/>
      <c r="E421" s="17"/>
      <c r="F421" s="302"/>
      <c r="G421" s="19"/>
      <c r="H421" s="64"/>
      <c r="I421" s="20"/>
      <c r="J421" s="68"/>
      <c r="K421" s="66"/>
      <c r="L421" s="66"/>
      <c r="M421" s="68"/>
      <c r="N421" s="68"/>
      <c r="O421" s="66"/>
      <c r="P421" s="66"/>
      <c r="Q421" s="66"/>
      <c r="R421" s="66"/>
      <c r="S421" s="68"/>
      <c r="T421" s="66"/>
      <c r="U421" s="66"/>
      <c r="V421" s="313"/>
      <c r="W421" s="314"/>
      <c r="X421" s="314"/>
      <c r="Y421" s="68"/>
      <c r="Z421" s="20"/>
      <c r="AA421" s="20"/>
      <c r="AB421" s="20"/>
      <c r="AC421" s="20"/>
      <c r="AD421" s="20"/>
      <c r="AE421" s="68"/>
      <c r="AF421" s="68"/>
      <c r="AG421" s="20"/>
      <c r="AH421" s="232"/>
    </row>
    <row r="422" spans="1:34" s="16" customFormat="1">
      <c r="A422" s="17"/>
      <c r="B422" s="17"/>
      <c r="C422" s="17"/>
      <c r="D422" s="17"/>
      <c r="E422" s="17"/>
      <c r="F422" s="302"/>
      <c r="G422" s="19"/>
      <c r="H422" s="64"/>
      <c r="I422" s="20"/>
      <c r="J422" s="68"/>
      <c r="K422" s="66"/>
      <c r="L422" s="66"/>
      <c r="M422" s="68"/>
      <c r="N422" s="68"/>
      <c r="O422" s="66"/>
      <c r="P422" s="66"/>
      <c r="Q422" s="66"/>
      <c r="R422" s="66"/>
      <c r="S422" s="68"/>
      <c r="T422" s="66"/>
      <c r="U422" s="66"/>
      <c r="V422" s="313"/>
      <c r="W422" s="314"/>
      <c r="X422" s="314"/>
      <c r="Y422" s="68"/>
      <c r="Z422" s="20"/>
      <c r="AA422" s="20"/>
      <c r="AB422" s="20"/>
      <c r="AC422" s="20"/>
      <c r="AD422" s="20"/>
      <c r="AE422" s="68"/>
      <c r="AF422" s="68"/>
      <c r="AG422" s="20"/>
      <c r="AH422" s="232"/>
    </row>
    <row r="423" spans="1:34" s="16" customFormat="1">
      <c r="A423" s="17"/>
      <c r="B423" s="17"/>
      <c r="C423" s="17"/>
      <c r="D423" s="17"/>
      <c r="E423" s="17"/>
      <c r="F423" s="302"/>
      <c r="G423" s="19"/>
      <c r="H423" s="64"/>
      <c r="I423" s="20"/>
      <c r="J423" s="68"/>
      <c r="K423" s="66"/>
      <c r="L423" s="66"/>
      <c r="M423" s="68"/>
      <c r="N423" s="68"/>
      <c r="O423" s="66"/>
      <c r="P423" s="66"/>
      <c r="Q423" s="66"/>
      <c r="R423" s="66"/>
      <c r="S423" s="68"/>
      <c r="T423" s="66"/>
      <c r="U423" s="66"/>
      <c r="V423" s="313"/>
      <c r="W423" s="314"/>
      <c r="X423" s="314"/>
      <c r="Y423" s="68"/>
      <c r="Z423" s="20"/>
      <c r="AA423" s="20"/>
      <c r="AB423" s="20"/>
      <c r="AC423" s="20"/>
      <c r="AD423" s="20"/>
      <c r="AE423" s="68"/>
      <c r="AF423" s="68"/>
      <c r="AG423" s="20"/>
      <c r="AH423" s="232"/>
    </row>
    <row r="424" spans="1:34" s="16" customFormat="1">
      <c r="A424" s="17"/>
      <c r="B424" s="17"/>
      <c r="C424" s="17"/>
      <c r="D424" s="17"/>
      <c r="E424" s="17"/>
      <c r="F424" s="302"/>
      <c r="G424" s="19"/>
      <c r="H424" s="64"/>
      <c r="I424" s="20"/>
      <c r="J424" s="68"/>
      <c r="K424" s="66"/>
      <c r="L424" s="66"/>
      <c r="M424" s="68"/>
      <c r="N424" s="68"/>
      <c r="O424" s="66"/>
      <c r="P424" s="66"/>
      <c r="Q424" s="66"/>
      <c r="R424" s="66"/>
      <c r="S424" s="68"/>
      <c r="T424" s="66"/>
      <c r="U424" s="66"/>
      <c r="V424" s="313"/>
      <c r="W424" s="314"/>
      <c r="X424" s="314"/>
      <c r="Y424" s="68"/>
      <c r="Z424" s="20"/>
      <c r="AA424" s="20"/>
      <c r="AB424" s="20"/>
      <c r="AC424" s="20"/>
      <c r="AD424" s="20"/>
      <c r="AE424" s="68"/>
      <c r="AF424" s="68"/>
      <c r="AG424" s="20"/>
      <c r="AH424" s="232"/>
    </row>
    <row r="425" spans="1:34" s="16" customFormat="1">
      <c r="A425" s="17"/>
      <c r="B425" s="17"/>
      <c r="C425" s="17"/>
      <c r="D425" s="17"/>
      <c r="E425" s="17"/>
      <c r="F425" s="302"/>
      <c r="G425" s="19"/>
      <c r="H425" s="64"/>
      <c r="I425" s="20"/>
      <c r="J425" s="68"/>
      <c r="K425" s="66"/>
      <c r="L425" s="66"/>
      <c r="M425" s="68"/>
      <c r="N425" s="68"/>
      <c r="O425" s="66"/>
      <c r="P425" s="66"/>
      <c r="Q425" s="66"/>
      <c r="R425" s="66"/>
      <c r="S425" s="68"/>
      <c r="T425" s="66"/>
      <c r="U425" s="66"/>
      <c r="V425" s="313"/>
      <c r="W425" s="314"/>
      <c r="X425" s="314"/>
      <c r="Y425" s="68"/>
      <c r="Z425" s="20"/>
      <c r="AA425" s="20"/>
      <c r="AB425" s="20"/>
      <c r="AC425" s="20"/>
      <c r="AD425" s="20"/>
      <c r="AE425" s="68"/>
      <c r="AF425" s="68"/>
      <c r="AG425" s="20"/>
      <c r="AH425" s="232"/>
    </row>
    <row r="426" spans="1:34" s="16" customFormat="1">
      <c r="A426" s="17"/>
      <c r="B426" s="17"/>
      <c r="C426" s="17"/>
      <c r="D426" s="17"/>
      <c r="E426" s="17"/>
      <c r="F426" s="302"/>
      <c r="G426" s="19"/>
      <c r="H426" s="64"/>
      <c r="I426" s="20"/>
      <c r="J426" s="68"/>
      <c r="K426" s="66"/>
      <c r="L426" s="66"/>
      <c r="M426" s="68"/>
      <c r="N426" s="68"/>
      <c r="O426" s="66"/>
      <c r="P426" s="66"/>
      <c r="Q426" s="66"/>
      <c r="R426" s="66"/>
      <c r="S426" s="68"/>
      <c r="T426" s="66"/>
      <c r="U426" s="66"/>
      <c r="V426" s="313"/>
      <c r="W426" s="314"/>
      <c r="X426" s="314"/>
      <c r="Y426" s="68"/>
      <c r="Z426" s="20"/>
      <c r="AA426" s="20"/>
      <c r="AB426" s="20"/>
      <c r="AC426" s="20"/>
      <c r="AD426" s="20"/>
      <c r="AE426" s="68"/>
      <c r="AF426" s="68"/>
      <c r="AG426" s="20"/>
      <c r="AH426" s="232"/>
    </row>
    <row r="427" spans="1:34" s="16" customFormat="1">
      <c r="A427" s="17"/>
      <c r="B427" s="17"/>
      <c r="C427" s="17"/>
      <c r="D427" s="17"/>
      <c r="E427" s="17"/>
      <c r="F427" s="302"/>
      <c r="G427" s="19"/>
      <c r="H427" s="64"/>
      <c r="I427" s="20"/>
      <c r="J427" s="68"/>
      <c r="K427" s="66"/>
      <c r="L427" s="66"/>
      <c r="M427" s="68"/>
      <c r="N427" s="68"/>
      <c r="O427" s="66"/>
      <c r="P427" s="66"/>
      <c r="Q427" s="66"/>
      <c r="R427" s="66"/>
      <c r="S427" s="68"/>
      <c r="T427" s="66"/>
      <c r="U427" s="66"/>
      <c r="V427" s="313"/>
      <c r="W427" s="314"/>
      <c r="X427" s="314"/>
      <c r="Y427" s="68"/>
      <c r="Z427" s="20"/>
      <c r="AA427" s="20"/>
      <c r="AB427" s="20"/>
      <c r="AC427" s="20"/>
      <c r="AD427" s="20"/>
      <c r="AE427" s="68"/>
      <c r="AF427" s="68"/>
      <c r="AG427" s="20"/>
      <c r="AH427" s="232"/>
    </row>
    <row r="428" spans="1:34" s="16" customFormat="1">
      <c r="A428" s="17"/>
      <c r="B428" s="17"/>
      <c r="C428" s="17"/>
      <c r="D428" s="17"/>
      <c r="E428" s="17"/>
      <c r="F428" s="302"/>
      <c r="G428" s="19"/>
      <c r="H428" s="64"/>
      <c r="I428" s="20"/>
      <c r="J428" s="68"/>
      <c r="K428" s="66"/>
      <c r="L428" s="66"/>
      <c r="M428" s="68"/>
      <c r="N428" s="68"/>
      <c r="O428" s="66"/>
      <c r="P428" s="66"/>
      <c r="Q428" s="66"/>
      <c r="R428" s="66"/>
      <c r="S428" s="68"/>
      <c r="T428" s="66"/>
      <c r="U428" s="66"/>
      <c r="V428" s="313"/>
      <c r="W428" s="314"/>
      <c r="X428" s="314"/>
      <c r="Y428" s="68"/>
      <c r="Z428" s="20"/>
      <c r="AA428" s="20"/>
      <c r="AB428" s="20"/>
      <c r="AC428" s="20"/>
      <c r="AD428" s="20"/>
      <c r="AE428" s="68"/>
      <c r="AF428" s="68"/>
      <c r="AG428" s="20"/>
      <c r="AH428" s="232"/>
    </row>
    <row r="429" spans="1:34" s="16" customFormat="1">
      <c r="A429" s="17"/>
      <c r="B429" s="17"/>
      <c r="C429" s="17"/>
      <c r="D429" s="17"/>
      <c r="E429" s="17"/>
      <c r="F429" s="302"/>
      <c r="G429" s="19"/>
      <c r="H429" s="64"/>
      <c r="I429" s="20"/>
      <c r="J429" s="68"/>
      <c r="K429" s="66"/>
      <c r="L429" s="66"/>
      <c r="M429" s="68"/>
      <c r="N429" s="68"/>
      <c r="O429" s="66"/>
      <c r="P429" s="66"/>
      <c r="Q429" s="66"/>
      <c r="R429" s="66"/>
      <c r="S429" s="68"/>
      <c r="T429" s="66"/>
      <c r="U429" s="66"/>
      <c r="V429" s="313"/>
      <c r="W429" s="314"/>
      <c r="X429" s="314"/>
      <c r="Y429" s="68"/>
      <c r="Z429" s="20"/>
      <c r="AA429" s="20"/>
      <c r="AB429" s="20"/>
      <c r="AC429" s="20"/>
      <c r="AD429" s="20"/>
      <c r="AE429" s="68"/>
      <c r="AF429" s="68"/>
      <c r="AG429" s="20"/>
      <c r="AH429" s="232"/>
    </row>
    <row r="430" spans="1:34" s="16" customFormat="1">
      <c r="A430" s="17"/>
      <c r="B430" s="17"/>
      <c r="C430" s="17"/>
      <c r="D430" s="17"/>
      <c r="E430" s="17"/>
      <c r="F430" s="302"/>
      <c r="G430" s="19"/>
      <c r="H430" s="64"/>
      <c r="I430" s="20"/>
      <c r="J430" s="68"/>
      <c r="K430" s="66"/>
      <c r="L430" s="66"/>
      <c r="M430" s="68"/>
      <c r="N430" s="68"/>
      <c r="O430" s="66"/>
      <c r="P430" s="66"/>
      <c r="Q430" s="66"/>
      <c r="R430" s="66"/>
      <c r="S430" s="68"/>
      <c r="T430" s="66"/>
      <c r="U430" s="66"/>
      <c r="V430" s="313"/>
      <c r="W430" s="314"/>
      <c r="X430" s="314"/>
      <c r="Y430" s="68"/>
      <c r="Z430" s="20"/>
      <c r="AA430" s="20"/>
      <c r="AB430" s="20"/>
      <c r="AC430" s="20"/>
      <c r="AD430" s="20"/>
      <c r="AE430" s="68"/>
      <c r="AF430" s="68"/>
      <c r="AG430" s="20"/>
      <c r="AH430" s="232"/>
    </row>
    <row r="431" spans="1:34" s="16" customFormat="1">
      <c r="A431" s="17"/>
      <c r="B431" s="17"/>
      <c r="C431" s="17"/>
      <c r="D431" s="17"/>
      <c r="E431" s="17"/>
      <c r="F431" s="302"/>
      <c r="G431" s="19"/>
      <c r="H431" s="64"/>
      <c r="I431" s="20"/>
      <c r="J431" s="68"/>
      <c r="K431" s="66"/>
      <c r="L431" s="66"/>
      <c r="M431" s="68"/>
      <c r="N431" s="68"/>
      <c r="O431" s="66"/>
      <c r="P431" s="66"/>
      <c r="Q431" s="66"/>
      <c r="R431" s="66"/>
      <c r="S431" s="68"/>
      <c r="T431" s="66"/>
      <c r="U431" s="66"/>
      <c r="V431" s="313"/>
      <c r="W431" s="314"/>
      <c r="X431" s="314"/>
      <c r="Y431" s="68"/>
      <c r="Z431" s="20"/>
      <c r="AA431" s="20"/>
      <c r="AB431" s="20"/>
      <c r="AC431" s="20"/>
      <c r="AD431" s="20"/>
      <c r="AE431" s="68"/>
      <c r="AF431" s="68"/>
      <c r="AG431" s="20"/>
      <c r="AH431" s="232"/>
    </row>
    <row r="432" spans="1:34" s="16" customFormat="1">
      <c r="A432" s="17"/>
      <c r="B432" s="17"/>
      <c r="C432" s="17"/>
      <c r="D432" s="17"/>
      <c r="E432" s="17"/>
      <c r="F432" s="302"/>
      <c r="G432" s="19"/>
      <c r="H432" s="64"/>
      <c r="I432" s="20"/>
      <c r="J432" s="68"/>
      <c r="K432" s="66"/>
      <c r="L432" s="66"/>
      <c r="M432" s="68"/>
      <c r="N432" s="68"/>
      <c r="O432" s="66"/>
      <c r="P432" s="66"/>
      <c r="Q432" s="66"/>
      <c r="R432" s="66"/>
      <c r="S432" s="68"/>
      <c r="T432" s="66"/>
      <c r="U432" s="66"/>
      <c r="V432" s="313"/>
      <c r="W432" s="314"/>
      <c r="X432" s="314"/>
      <c r="Y432" s="68"/>
      <c r="Z432" s="20"/>
      <c r="AA432" s="20"/>
      <c r="AB432" s="20"/>
      <c r="AC432" s="20"/>
      <c r="AD432" s="20"/>
      <c r="AE432" s="68"/>
      <c r="AF432" s="68"/>
      <c r="AG432" s="20"/>
      <c r="AH432" s="232"/>
    </row>
    <row r="433" spans="1:34" s="16" customFormat="1">
      <c r="A433" s="17"/>
      <c r="B433" s="17"/>
      <c r="C433" s="17"/>
      <c r="D433" s="17"/>
      <c r="E433" s="17"/>
      <c r="F433" s="302"/>
      <c r="G433" s="19"/>
      <c r="H433" s="64"/>
      <c r="I433" s="20"/>
      <c r="J433" s="68"/>
      <c r="K433" s="66"/>
      <c r="L433" s="66"/>
      <c r="M433" s="68"/>
      <c r="N433" s="68"/>
      <c r="O433" s="66"/>
      <c r="P433" s="66"/>
      <c r="Q433" s="66"/>
      <c r="R433" s="66"/>
      <c r="S433" s="68"/>
      <c r="T433" s="66"/>
      <c r="U433" s="66"/>
      <c r="V433" s="313"/>
      <c r="W433" s="314"/>
      <c r="X433" s="314"/>
      <c r="Y433" s="68"/>
      <c r="Z433" s="20"/>
      <c r="AA433" s="20"/>
      <c r="AB433" s="20"/>
      <c r="AC433" s="20"/>
      <c r="AD433" s="20"/>
      <c r="AE433" s="68"/>
      <c r="AF433" s="68"/>
      <c r="AG433" s="20"/>
      <c r="AH433" s="232"/>
    </row>
    <row r="434" spans="1:34" s="16" customFormat="1">
      <c r="A434" s="17"/>
      <c r="B434" s="17"/>
      <c r="C434" s="17"/>
      <c r="D434" s="17"/>
      <c r="E434" s="17"/>
      <c r="F434" s="302"/>
      <c r="G434" s="19"/>
      <c r="H434" s="64"/>
      <c r="I434" s="20"/>
      <c r="J434" s="68"/>
      <c r="K434" s="66"/>
      <c r="L434" s="66"/>
      <c r="M434" s="68"/>
      <c r="N434" s="68"/>
      <c r="O434" s="66"/>
      <c r="P434" s="66"/>
      <c r="Q434" s="66"/>
      <c r="R434" s="66"/>
      <c r="S434" s="68"/>
      <c r="T434" s="66"/>
      <c r="U434" s="66"/>
      <c r="V434" s="313"/>
      <c r="W434" s="314"/>
      <c r="X434" s="314"/>
      <c r="Y434" s="68"/>
      <c r="Z434" s="20"/>
      <c r="AA434" s="20"/>
      <c r="AB434" s="20"/>
      <c r="AC434" s="20"/>
      <c r="AD434" s="20"/>
      <c r="AE434" s="68"/>
      <c r="AF434" s="68"/>
      <c r="AG434" s="20"/>
      <c r="AH434" s="232"/>
    </row>
    <row r="435" spans="1:34" s="16" customFormat="1">
      <c r="A435" s="17"/>
      <c r="B435" s="17"/>
      <c r="C435" s="17"/>
      <c r="D435" s="17"/>
      <c r="E435" s="17"/>
      <c r="F435" s="302"/>
      <c r="G435" s="19"/>
      <c r="H435" s="64"/>
      <c r="I435" s="20"/>
      <c r="J435" s="68"/>
      <c r="K435" s="66"/>
      <c r="L435" s="66"/>
      <c r="M435" s="68"/>
      <c r="N435" s="68"/>
      <c r="O435" s="66"/>
      <c r="P435" s="66"/>
      <c r="Q435" s="66"/>
      <c r="R435" s="66"/>
      <c r="S435" s="68"/>
      <c r="T435" s="66"/>
      <c r="U435" s="66"/>
      <c r="V435" s="313"/>
      <c r="W435" s="314"/>
      <c r="X435" s="314"/>
      <c r="Y435" s="68"/>
      <c r="Z435" s="20"/>
      <c r="AA435" s="20"/>
      <c r="AB435" s="20"/>
      <c r="AC435" s="20"/>
      <c r="AD435" s="20"/>
      <c r="AE435" s="68"/>
      <c r="AF435" s="68"/>
      <c r="AG435" s="20"/>
      <c r="AH435" s="232"/>
    </row>
    <row r="436" spans="1:34" s="16" customFormat="1">
      <c r="A436" s="17"/>
      <c r="B436" s="17"/>
      <c r="C436" s="17"/>
      <c r="D436" s="17"/>
      <c r="E436" s="17"/>
      <c r="F436" s="302"/>
      <c r="G436" s="19"/>
      <c r="H436" s="64"/>
      <c r="I436" s="20"/>
      <c r="J436" s="68"/>
      <c r="K436" s="66"/>
      <c r="L436" s="66"/>
      <c r="M436" s="68"/>
      <c r="N436" s="68"/>
      <c r="O436" s="66"/>
      <c r="P436" s="66"/>
      <c r="Q436" s="66"/>
      <c r="R436" s="66"/>
      <c r="S436" s="68"/>
      <c r="T436" s="66"/>
      <c r="U436" s="66"/>
      <c r="V436" s="313"/>
      <c r="W436" s="314"/>
      <c r="X436" s="314"/>
      <c r="Y436" s="68"/>
      <c r="Z436" s="20"/>
      <c r="AA436" s="20"/>
      <c r="AB436" s="20"/>
      <c r="AC436" s="20"/>
      <c r="AD436" s="20"/>
      <c r="AE436" s="68"/>
      <c r="AF436" s="68"/>
      <c r="AG436" s="20"/>
      <c r="AH436" s="232"/>
    </row>
    <row r="437" spans="1:34" s="16" customFormat="1">
      <c r="A437" s="17"/>
      <c r="B437" s="17"/>
      <c r="C437" s="17"/>
      <c r="D437" s="17"/>
      <c r="E437" s="17"/>
      <c r="F437" s="302"/>
      <c r="G437" s="19"/>
      <c r="H437" s="64"/>
      <c r="I437" s="20"/>
      <c r="J437" s="68"/>
      <c r="K437" s="66"/>
      <c r="L437" s="66"/>
      <c r="M437" s="68"/>
      <c r="N437" s="68"/>
      <c r="O437" s="66"/>
      <c r="P437" s="66"/>
      <c r="Q437" s="66"/>
      <c r="R437" s="66"/>
      <c r="S437" s="68"/>
      <c r="T437" s="66"/>
      <c r="U437" s="66"/>
      <c r="V437" s="313"/>
      <c r="W437" s="314"/>
      <c r="X437" s="314"/>
      <c r="Y437" s="68"/>
      <c r="Z437" s="20"/>
      <c r="AA437" s="20"/>
      <c r="AB437" s="20"/>
      <c r="AC437" s="20"/>
      <c r="AD437" s="20"/>
      <c r="AE437" s="68"/>
      <c r="AF437" s="68"/>
      <c r="AG437" s="20"/>
      <c r="AH437" s="232"/>
    </row>
    <row r="438" spans="1:34" s="16" customFormat="1">
      <c r="A438" s="17"/>
      <c r="B438" s="17"/>
      <c r="C438" s="17"/>
      <c r="D438" s="17"/>
      <c r="E438" s="17"/>
      <c r="F438" s="302"/>
      <c r="G438" s="19"/>
      <c r="H438" s="64"/>
      <c r="I438" s="20"/>
      <c r="J438" s="68"/>
      <c r="K438" s="66"/>
      <c r="L438" s="66"/>
      <c r="M438" s="68"/>
      <c r="N438" s="68"/>
      <c r="O438" s="66"/>
      <c r="P438" s="66"/>
      <c r="Q438" s="66"/>
      <c r="R438" s="66"/>
      <c r="S438" s="68"/>
      <c r="T438" s="66"/>
      <c r="U438" s="66"/>
      <c r="V438" s="313"/>
      <c r="W438" s="314"/>
      <c r="X438" s="314"/>
      <c r="Y438" s="68"/>
      <c r="Z438" s="20"/>
      <c r="AA438" s="20"/>
      <c r="AB438" s="20"/>
      <c r="AC438" s="20"/>
      <c r="AD438" s="20"/>
      <c r="AE438" s="68"/>
      <c r="AF438" s="68"/>
      <c r="AG438" s="20"/>
      <c r="AH438" s="232"/>
    </row>
    <row r="439" spans="1:34" s="16" customFormat="1">
      <c r="A439" s="17"/>
      <c r="B439" s="17"/>
      <c r="C439" s="17"/>
      <c r="D439" s="17"/>
      <c r="E439" s="17"/>
      <c r="F439" s="302"/>
      <c r="G439" s="19"/>
      <c r="H439" s="64"/>
      <c r="I439" s="20"/>
      <c r="J439" s="68"/>
      <c r="K439" s="66"/>
      <c r="L439" s="66"/>
      <c r="M439" s="68"/>
      <c r="N439" s="68"/>
      <c r="O439" s="66"/>
      <c r="P439" s="66"/>
      <c r="Q439" s="66"/>
      <c r="R439" s="66"/>
      <c r="S439" s="68"/>
      <c r="T439" s="66"/>
      <c r="U439" s="66"/>
      <c r="V439" s="313"/>
      <c r="W439" s="314"/>
      <c r="X439" s="314"/>
      <c r="Y439" s="68"/>
      <c r="Z439" s="20"/>
      <c r="AA439" s="20"/>
      <c r="AB439" s="20"/>
      <c r="AC439" s="20"/>
      <c r="AD439" s="20"/>
      <c r="AE439" s="68"/>
      <c r="AF439" s="68"/>
      <c r="AG439" s="20"/>
      <c r="AH439" s="232"/>
    </row>
    <row r="440" spans="1:34" s="16" customFormat="1">
      <c r="A440" s="17"/>
      <c r="B440" s="17"/>
      <c r="C440" s="17"/>
      <c r="D440" s="17"/>
      <c r="E440" s="17"/>
      <c r="F440" s="302"/>
      <c r="G440" s="19"/>
      <c r="H440" s="64"/>
      <c r="I440" s="20"/>
      <c r="J440" s="68"/>
      <c r="K440" s="66"/>
      <c r="L440" s="66"/>
      <c r="M440" s="68"/>
      <c r="N440" s="68"/>
      <c r="O440" s="66"/>
      <c r="P440" s="66"/>
      <c r="Q440" s="66"/>
      <c r="R440" s="66"/>
      <c r="S440" s="68"/>
      <c r="T440" s="66"/>
      <c r="U440" s="66"/>
      <c r="V440" s="313"/>
      <c r="W440" s="314"/>
      <c r="X440" s="314"/>
      <c r="Y440" s="68"/>
      <c r="Z440" s="20"/>
      <c r="AA440" s="20"/>
      <c r="AB440" s="20"/>
      <c r="AC440" s="20"/>
      <c r="AD440" s="20"/>
      <c r="AE440" s="68"/>
      <c r="AF440" s="68"/>
      <c r="AG440" s="20"/>
      <c r="AH440" s="232"/>
    </row>
    <row r="441" spans="1:34" s="16" customFormat="1">
      <c r="A441" s="17"/>
      <c r="B441" s="17"/>
      <c r="C441" s="17"/>
      <c r="D441" s="17"/>
      <c r="E441" s="17"/>
      <c r="F441" s="302"/>
      <c r="G441" s="19"/>
      <c r="H441" s="64"/>
      <c r="I441" s="20"/>
      <c r="J441" s="68"/>
      <c r="K441" s="66"/>
      <c r="L441" s="66"/>
      <c r="M441" s="68"/>
      <c r="N441" s="68"/>
      <c r="O441" s="66"/>
      <c r="P441" s="66"/>
      <c r="Q441" s="66"/>
      <c r="R441" s="66"/>
      <c r="S441" s="68"/>
      <c r="T441" s="66"/>
      <c r="U441" s="66"/>
      <c r="V441" s="313"/>
      <c r="W441" s="314"/>
      <c r="X441" s="314"/>
      <c r="Y441" s="68"/>
      <c r="Z441" s="20"/>
      <c r="AA441" s="20"/>
      <c r="AB441" s="20"/>
      <c r="AC441" s="20"/>
      <c r="AD441" s="20"/>
      <c r="AE441" s="68"/>
      <c r="AF441" s="68"/>
      <c r="AG441" s="20"/>
      <c r="AH441" s="232"/>
    </row>
    <row r="442" spans="1:34" s="16" customFormat="1">
      <c r="A442" s="17"/>
      <c r="B442" s="17"/>
      <c r="C442" s="17"/>
      <c r="D442" s="17"/>
      <c r="E442" s="17"/>
      <c r="F442" s="302"/>
      <c r="G442" s="19"/>
      <c r="H442" s="64"/>
      <c r="I442" s="20"/>
      <c r="J442" s="68"/>
      <c r="K442" s="66"/>
      <c r="L442" s="66"/>
      <c r="M442" s="68"/>
      <c r="N442" s="68"/>
      <c r="O442" s="66"/>
      <c r="P442" s="66"/>
      <c r="Q442" s="66"/>
      <c r="R442" s="66"/>
      <c r="S442" s="68"/>
      <c r="T442" s="66"/>
      <c r="U442" s="66"/>
      <c r="V442" s="313"/>
      <c r="W442" s="314"/>
      <c r="X442" s="314"/>
      <c r="Y442" s="68"/>
      <c r="Z442" s="20"/>
      <c r="AA442" s="20"/>
      <c r="AB442" s="20"/>
      <c r="AC442" s="20"/>
      <c r="AD442" s="20"/>
      <c r="AE442" s="68"/>
      <c r="AF442" s="68"/>
      <c r="AG442" s="20"/>
      <c r="AH442" s="232"/>
    </row>
    <row r="443" spans="1:34" s="16" customFormat="1">
      <c r="A443" s="17"/>
      <c r="B443" s="17"/>
      <c r="C443" s="17"/>
      <c r="D443" s="17"/>
      <c r="E443" s="17"/>
      <c r="F443" s="302"/>
      <c r="G443" s="19"/>
      <c r="H443" s="64"/>
      <c r="I443" s="20"/>
      <c r="J443" s="68"/>
      <c r="K443" s="66"/>
      <c r="L443" s="66"/>
      <c r="M443" s="68"/>
      <c r="N443" s="68"/>
      <c r="O443" s="66"/>
      <c r="P443" s="66"/>
      <c r="Q443" s="66"/>
      <c r="R443" s="66"/>
      <c r="S443" s="68"/>
      <c r="T443" s="66"/>
      <c r="U443" s="66"/>
      <c r="V443" s="313"/>
      <c r="W443" s="314"/>
      <c r="X443" s="314"/>
      <c r="Y443" s="68"/>
      <c r="Z443" s="20"/>
      <c r="AA443" s="20"/>
      <c r="AB443" s="20"/>
      <c r="AC443" s="20"/>
      <c r="AD443" s="20"/>
      <c r="AE443" s="68"/>
      <c r="AF443" s="68"/>
      <c r="AG443" s="20"/>
      <c r="AH443" s="232"/>
    </row>
    <row r="444" spans="1:34" s="16" customFormat="1">
      <c r="A444" s="17"/>
      <c r="B444" s="17"/>
      <c r="C444" s="17"/>
      <c r="D444" s="17"/>
      <c r="E444" s="17"/>
      <c r="F444" s="302"/>
      <c r="G444" s="19"/>
      <c r="H444" s="64"/>
      <c r="I444" s="20"/>
      <c r="J444" s="68"/>
      <c r="K444" s="66"/>
      <c r="L444" s="66"/>
      <c r="M444" s="68"/>
      <c r="N444" s="68"/>
      <c r="O444" s="66"/>
      <c r="P444" s="66"/>
      <c r="Q444" s="66"/>
      <c r="R444" s="66"/>
      <c r="S444" s="68"/>
      <c r="T444" s="66"/>
      <c r="U444" s="66"/>
      <c r="V444" s="313"/>
      <c r="W444" s="314"/>
      <c r="X444" s="314"/>
      <c r="Y444" s="68"/>
      <c r="Z444" s="20"/>
      <c r="AA444" s="20"/>
      <c r="AB444" s="20"/>
      <c r="AC444" s="20"/>
      <c r="AD444" s="20"/>
      <c r="AE444" s="68"/>
      <c r="AF444" s="68"/>
      <c r="AG444" s="20"/>
      <c r="AH444" s="232"/>
    </row>
    <row r="445" spans="1:34" s="16" customFormat="1">
      <c r="A445" s="17"/>
      <c r="B445" s="17"/>
      <c r="C445" s="17"/>
      <c r="D445" s="17"/>
      <c r="E445" s="17"/>
      <c r="F445" s="302"/>
      <c r="G445" s="19"/>
      <c r="H445" s="64"/>
      <c r="I445" s="20"/>
      <c r="J445" s="68"/>
      <c r="K445" s="66"/>
      <c r="L445" s="66"/>
      <c r="M445" s="68"/>
      <c r="N445" s="68"/>
      <c r="O445" s="66"/>
      <c r="P445" s="66"/>
      <c r="Q445" s="66"/>
      <c r="R445" s="66"/>
      <c r="S445" s="68"/>
      <c r="T445" s="66"/>
      <c r="U445" s="66"/>
      <c r="V445" s="313"/>
      <c r="W445" s="314"/>
      <c r="X445" s="314"/>
      <c r="Y445" s="68"/>
      <c r="Z445" s="20"/>
      <c r="AA445" s="20"/>
      <c r="AB445" s="20"/>
      <c r="AC445" s="20"/>
      <c r="AD445" s="20"/>
      <c r="AE445" s="68"/>
      <c r="AF445" s="68"/>
      <c r="AG445" s="20"/>
      <c r="AH445" s="232"/>
    </row>
    <row r="446" spans="1:34" s="16" customFormat="1">
      <c r="A446" s="17"/>
      <c r="B446" s="17"/>
      <c r="C446" s="17"/>
      <c r="D446" s="17"/>
      <c r="E446" s="17"/>
      <c r="F446" s="302"/>
      <c r="G446" s="19"/>
      <c r="H446" s="64"/>
      <c r="I446" s="20"/>
      <c r="J446" s="68"/>
      <c r="K446" s="66"/>
      <c r="L446" s="66"/>
      <c r="M446" s="68"/>
      <c r="N446" s="68"/>
      <c r="O446" s="66"/>
      <c r="P446" s="66"/>
      <c r="Q446" s="66"/>
      <c r="R446" s="66"/>
      <c r="S446" s="68"/>
      <c r="T446" s="66"/>
      <c r="U446" s="66"/>
      <c r="V446" s="313"/>
      <c r="W446" s="314"/>
      <c r="X446" s="314"/>
      <c r="Y446" s="68"/>
      <c r="Z446" s="20"/>
      <c r="AA446" s="20"/>
      <c r="AB446" s="20"/>
      <c r="AC446" s="20"/>
      <c r="AD446" s="20"/>
      <c r="AE446" s="68"/>
      <c r="AF446" s="68"/>
      <c r="AG446" s="20"/>
      <c r="AH446" s="232"/>
    </row>
    <row r="447" spans="1:34" s="16" customFormat="1">
      <c r="A447" s="17"/>
      <c r="B447" s="17"/>
      <c r="C447" s="17"/>
      <c r="D447" s="17"/>
      <c r="E447" s="17"/>
      <c r="F447" s="302"/>
      <c r="G447" s="19"/>
      <c r="H447" s="64"/>
      <c r="I447" s="20"/>
      <c r="J447" s="68"/>
      <c r="K447" s="66"/>
      <c r="L447" s="66"/>
      <c r="M447" s="68"/>
      <c r="N447" s="68"/>
      <c r="O447" s="66"/>
      <c r="P447" s="66"/>
      <c r="Q447" s="66"/>
      <c r="R447" s="66"/>
      <c r="S447" s="68"/>
      <c r="T447" s="66"/>
      <c r="U447" s="66"/>
      <c r="V447" s="313"/>
      <c r="W447" s="314"/>
      <c r="X447" s="314"/>
      <c r="Y447" s="68"/>
      <c r="Z447" s="20"/>
      <c r="AA447" s="20"/>
      <c r="AB447" s="20"/>
      <c r="AC447" s="20"/>
      <c r="AD447" s="20"/>
      <c r="AE447" s="68"/>
      <c r="AF447" s="68"/>
      <c r="AG447" s="20"/>
      <c r="AH447" s="232"/>
    </row>
    <row r="448" spans="1:34" s="16" customFormat="1">
      <c r="A448" s="17"/>
      <c r="B448" s="17"/>
      <c r="C448" s="17"/>
      <c r="D448" s="17"/>
      <c r="E448" s="17"/>
      <c r="F448" s="302"/>
      <c r="G448" s="19"/>
      <c r="H448" s="64"/>
      <c r="I448" s="20"/>
      <c r="J448" s="68"/>
      <c r="K448" s="66"/>
      <c r="L448" s="66"/>
      <c r="M448" s="68"/>
      <c r="N448" s="68"/>
      <c r="O448" s="66"/>
      <c r="P448" s="66"/>
      <c r="Q448" s="66"/>
      <c r="R448" s="66"/>
      <c r="S448" s="68"/>
      <c r="T448" s="66"/>
      <c r="U448" s="66"/>
      <c r="V448" s="313"/>
      <c r="W448" s="314"/>
      <c r="X448" s="314"/>
      <c r="Y448" s="68"/>
      <c r="Z448" s="20"/>
      <c r="AA448" s="20"/>
      <c r="AB448" s="20"/>
      <c r="AC448" s="20"/>
      <c r="AD448" s="20"/>
      <c r="AE448" s="68"/>
      <c r="AF448" s="68"/>
      <c r="AG448" s="20"/>
      <c r="AH448" s="232"/>
    </row>
    <row r="449" spans="1:34" s="16" customFormat="1">
      <c r="A449" s="17"/>
      <c r="B449" s="17"/>
      <c r="C449" s="17"/>
      <c r="D449" s="17"/>
      <c r="E449" s="17"/>
      <c r="F449" s="302"/>
      <c r="G449" s="19"/>
      <c r="H449" s="64"/>
      <c r="I449" s="20"/>
      <c r="J449" s="68"/>
      <c r="K449" s="66"/>
      <c r="L449" s="66"/>
      <c r="M449" s="68"/>
      <c r="N449" s="68"/>
      <c r="O449" s="66"/>
      <c r="P449" s="66"/>
      <c r="Q449" s="66"/>
      <c r="R449" s="66"/>
      <c r="S449" s="68"/>
      <c r="T449" s="66"/>
      <c r="U449" s="66"/>
      <c r="V449" s="313"/>
      <c r="W449" s="314"/>
      <c r="X449" s="314"/>
      <c r="Y449" s="68"/>
      <c r="Z449" s="20"/>
      <c r="AA449" s="20"/>
      <c r="AB449" s="20"/>
      <c r="AC449" s="20"/>
      <c r="AD449" s="20"/>
      <c r="AE449" s="68"/>
      <c r="AF449" s="68"/>
      <c r="AG449" s="20"/>
      <c r="AH449" s="232"/>
    </row>
    <row r="450" spans="1:34" s="16" customFormat="1">
      <c r="A450" s="17"/>
      <c r="B450" s="17"/>
      <c r="C450" s="17"/>
      <c r="D450" s="17"/>
      <c r="E450" s="17"/>
      <c r="F450" s="302"/>
      <c r="G450" s="19"/>
      <c r="H450" s="64"/>
      <c r="I450" s="20"/>
      <c r="J450" s="68"/>
      <c r="K450" s="66"/>
      <c r="L450" s="66"/>
      <c r="M450" s="68"/>
      <c r="N450" s="68"/>
      <c r="O450" s="66"/>
      <c r="P450" s="66"/>
      <c r="Q450" s="66"/>
      <c r="R450" s="66"/>
      <c r="S450" s="68"/>
      <c r="T450" s="66"/>
      <c r="U450" s="66"/>
      <c r="V450" s="313"/>
      <c r="W450" s="314"/>
      <c r="X450" s="314"/>
      <c r="Y450" s="68"/>
      <c r="Z450" s="20"/>
      <c r="AA450" s="20"/>
      <c r="AB450" s="20"/>
      <c r="AC450" s="20"/>
      <c r="AD450" s="20"/>
      <c r="AE450" s="68"/>
      <c r="AF450" s="68"/>
      <c r="AG450" s="20"/>
      <c r="AH450" s="232"/>
    </row>
    <row r="451" spans="1:34" s="16" customFormat="1">
      <c r="A451" s="17"/>
      <c r="B451" s="17"/>
      <c r="C451" s="17"/>
      <c r="D451" s="17"/>
      <c r="E451" s="17"/>
      <c r="F451" s="302"/>
      <c r="G451" s="19"/>
      <c r="H451" s="64"/>
      <c r="I451" s="20"/>
      <c r="J451" s="68"/>
      <c r="K451" s="66"/>
      <c r="L451" s="66"/>
      <c r="M451" s="68"/>
      <c r="N451" s="68"/>
      <c r="O451" s="66"/>
      <c r="P451" s="66"/>
      <c r="Q451" s="66"/>
      <c r="R451" s="66"/>
      <c r="S451" s="68"/>
      <c r="T451" s="66"/>
      <c r="U451" s="66"/>
      <c r="V451" s="313"/>
      <c r="W451" s="314"/>
      <c r="X451" s="314"/>
      <c r="Y451" s="68"/>
      <c r="Z451" s="20"/>
      <c r="AA451" s="20"/>
      <c r="AB451" s="20"/>
      <c r="AC451" s="20"/>
      <c r="AD451" s="20"/>
      <c r="AE451" s="68"/>
      <c r="AF451" s="68"/>
      <c r="AG451" s="20"/>
      <c r="AH451" s="232"/>
    </row>
    <row r="452" spans="1:34" s="16" customFormat="1">
      <c r="A452" s="17"/>
      <c r="B452" s="17"/>
      <c r="C452" s="17"/>
      <c r="D452" s="17"/>
      <c r="E452" s="17"/>
      <c r="F452" s="302"/>
      <c r="G452" s="19"/>
      <c r="H452" s="64"/>
      <c r="I452" s="20"/>
      <c r="J452" s="68"/>
      <c r="K452" s="66"/>
      <c r="L452" s="66"/>
      <c r="M452" s="68"/>
      <c r="N452" s="68"/>
      <c r="O452" s="66"/>
      <c r="P452" s="66"/>
      <c r="Q452" s="66"/>
      <c r="R452" s="66"/>
      <c r="S452" s="68"/>
      <c r="T452" s="66"/>
      <c r="U452" s="66"/>
      <c r="V452" s="313"/>
      <c r="W452" s="314"/>
      <c r="X452" s="314"/>
      <c r="Y452" s="68"/>
      <c r="Z452" s="20"/>
      <c r="AA452" s="20"/>
      <c r="AB452" s="20"/>
      <c r="AC452" s="20"/>
      <c r="AD452" s="20"/>
      <c r="AE452" s="68"/>
      <c r="AF452" s="68"/>
      <c r="AG452" s="20"/>
      <c r="AH452" s="232"/>
    </row>
    <row r="453" spans="1:34" s="16" customFormat="1">
      <c r="A453" s="17"/>
      <c r="B453" s="17"/>
      <c r="C453" s="17"/>
      <c r="D453" s="17"/>
      <c r="E453" s="17"/>
      <c r="F453" s="302"/>
      <c r="G453" s="19"/>
      <c r="H453" s="64"/>
      <c r="I453" s="20"/>
      <c r="J453" s="68"/>
      <c r="K453" s="66"/>
      <c r="L453" s="66"/>
      <c r="M453" s="68"/>
      <c r="N453" s="68"/>
      <c r="O453" s="66"/>
      <c r="P453" s="66"/>
      <c r="Q453" s="66"/>
      <c r="R453" s="66"/>
      <c r="S453" s="68"/>
      <c r="T453" s="66"/>
      <c r="U453" s="66"/>
      <c r="V453" s="313"/>
      <c r="W453" s="314"/>
      <c r="X453" s="314"/>
      <c r="Y453" s="68"/>
      <c r="Z453" s="20"/>
      <c r="AA453" s="20"/>
      <c r="AB453" s="20"/>
      <c r="AC453" s="20"/>
      <c r="AD453" s="20"/>
      <c r="AE453" s="68"/>
      <c r="AF453" s="68"/>
      <c r="AG453" s="20"/>
      <c r="AH453" s="232"/>
    </row>
    <row r="454" spans="1:34" s="16" customFormat="1">
      <c r="A454" s="17"/>
      <c r="B454" s="17"/>
      <c r="C454" s="17"/>
      <c r="D454" s="17"/>
      <c r="E454" s="17"/>
      <c r="F454" s="302"/>
      <c r="G454" s="19"/>
      <c r="H454" s="64"/>
      <c r="I454" s="20"/>
      <c r="J454" s="68"/>
      <c r="K454" s="66"/>
      <c r="L454" s="66"/>
      <c r="M454" s="68"/>
      <c r="N454" s="68"/>
      <c r="O454" s="66"/>
      <c r="P454" s="66"/>
      <c r="Q454" s="66"/>
      <c r="R454" s="66"/>
      <c r="S454" s="68"/>
      <c r="T454" s="66"/>
      <c r="U454" s="66"/>
      <c r="V454" s="313"/>
      <c r="W454" s="314"/>
      <c r="X454" s="314"/>
      <c r="Y454" s="68"/>
      <c r="Z454" s="20"/>
      <c r="AA454" s="20"/>
      <c r="AB454" s="20"/>
      <c r="AC454" s="20"/>
      <c r="AD454" s="20"/>
      <c r="AE454" s="68"/>
      <c r="AF454" s="68"/>
      <c r="AG454" s="20"/>
      <c r="AH454" s="232"/>
    </row>
    <row r="455" spans="1:34" s="16" customFormat="1">
      <c r="A455" s="17"/>
      <c r="B455" s="17"/>
      <c r="C455" s="17"/>
      <c r="D455" s="17"/>
      <c r="E455" s="17"/>
      <c r="F455" s="302"/>
      <c r="G455" s="19"/>
      <c r="H455" s="64"/>
      <c r="I455" s="20"/>
      <c r="J455" s="68"/>
      <c r="K455" s="66"/>
      <c r="L455" s="66"/>
      <c r="M455" s="68"/>
      <c r="N455" s="68"/>
      <c r="O455" s="66"/>
      <c r="P455" s="66"/>
      <c r="Q455" s="66"/>
      <c r="R455" s="66"/>
      <c r="S455" s="68"/>
      <c r="T455" s="66"/>
      <c r="U455" s="66"/>
      <c r="V455" s="313"/>
      <c r="W455" s="314"/>
      <c r="X455" s="314"/>
      <c r="Y455" s="68"/>
      <c r="Z455" s="20"/>
      <c r="AA455" s="20"/>
      <c r="AB455" s="20"/>
      <c r="AC455" s="20"/>
      <c r="AD455" s="20"/>
      <c r="AE455" s="68"/>
      <c r="AF455" s="68"/>
      <c r="AG455" s="20"/>
      <c r="AH455" s="232"/>
    </row>
    <row r="456" spans="1:34" s="16" customFormat="1">
      <c r="A456" s="17"/>
      <c r="B456" s="17"/>
      <c r="C456" s="17"/>
      <c r="D456" s="17"/>
      <c r="E456" s="17"/>
      <c r="F456" s="302"/>
      <c r="G456" s="19"/>
      <c r="H456" s="64"/>
      <c r="I456" s="20"/>
      <c r="J456" s="68"/>
      <c r="K456" s="66"/>
      <c r="L456" s="66"/>
      <c r="M456" s="68"/>
      <c r="N456" s="68"/>
      <c r="O456" s="66"/>
      <c r="P456" s="66"/>
      <c r="Q456" s="66"/>
      <c r="R456" s="66"/>
      <c r="S456" s="68"/>
      <c r="T456" s="66"/>
      <c r="U456" s="66"/>
      <c r="V456" s="313"/>
      <c r="W456" s="314"/>
      <c r="X456" s="314"/>
      <c r="Y456" s="68"/>
      <c r="Z456" s="20"/>
      <c r="AA456" s="20"/>
      <c r="AB456" s="20"/>
      <c r="AC456" s="20"/>
      <c r="AD456" s="20"/>
      <c r="AE456" s="68"/>
      <c r="AF456" s="68"/>
      <c r="AG456" s="20"/>
      <c r="AH456" s="232"/>
    </row>
    <row r="457" spans="1:34" s="16" customFormat="1">
      <c r="A457" s="17"/>
      <c r="B457" s="17"/>
      <c r="C457" s="17"/>
      <c r="D457" s="17"/>
      <c r="E457" s="17"/>
      <c r="F457" s="302"/>
      <c r="G457" s="19"/>
      <c r="H457" s="64"/>
      <c r="I457" s="20"/>
      <c r="J457" s="68"/>
      <c r="K457" s="66"/>
      <c r="L457" s="66"/>
      <c r="M457" s="68"/>
      <c r="N457" s="68"/>
      <c r="O457" s="66"/>
      <c r="P457" s="66"/>
      <c r="Q457" s="66"/>
      <c r="R457" s="66"/>
      <c r="S457" s="68"/>
      <c r="T457" s="66"/>
      <c r="U457" s="66"/>
      <c r="V457" s="313"/>
      <c r="W457" s="314"/>
      <c r="X457" s="314"/>
      <c r="Y457" s="68"/>
      <c r="Z457" s="20"/>
      <c r="AA457" s="20"/>
      <c r="AB457" s="20"/>
      <c r="AC457" s="20"/>
      <c r="AD457" s="20"/>
      <c r="AE457" s="68"/>
      <c r="AF457" s="68"/>
      <c r="AG457" s="20"/>
      <c r="AH457" s="232"/>
    </row>
    <row r="458" spans="1:34" s="16" customFormat="1">
      <c r="A458" s="17"/>
      <c r="B458" s="17"/>
      <c r="C458" s="17"/>
      <c r="D458" s="17"/>
      <c r="E458" s="17"/>
      <c r="F458" s="302"/>
      <c r="G458" s="19"/>
      <c r="H458" s="64"/>
      <c r="I458" s="20"/>
      <c r="J458" s="68"/>
      <c r="K458" s="66"/>
      <c r="L458" s="66"/>
      <c r="M458" s="68"/>
      <c r="N458" s="68"/>
      <c r="O458" s="66"/>
      <c r="P458" s="66"/>
      <c r="Q458" s="66"/>
      <c r="R458" s="66"/>
      <c r="S458" s="68"/>
      <c r="T458" s="66"/>
      <c r="U458" s="66"/>
      <c r="V458" s="313"/>
      <c r="W458" s="314"/>
      <c r="X458" s="314"/>
      <c r="Y458" s="68"/>
      <c r="Z458" s="20"/>
      <c r="AA458" s="20"/>
      <c r="AB458" s="20"/>
      <c r="AC458" s="20"/>
      <c r="AD458" s="20"/>
      <c r="AE458" s="68"/>
      <c r="AF458" s="68"/>
      <c r="AG458" s="20"/>
      <c r="AH458" s="232"/>
    </row>
    <row r="459" spans="1:34" s="16" customFormat="1">
      <c r="A459" s="17"/>
      <c r="B459" s="17"/>
      <c r="C459" s="17"/>
      <c r="D459" s="17"/>
      <c r="E459" s="17"/>
      <c r="F459" s="302"/>
      <c r="G459" s="19"/>
      <c r="H459" s="64"/>
      <c r="I459" s="20"/>
      <c r="J459" s="68"/>
      <c r="K459" s="66"/>
      <c r="L459" s="66"/>
      <c r="M459" s="68"/>
      <c r="N459" s="68"/>
      <c r="O459" s="66"/>
      <c r="P459" s="66"/>
      <c r="Q459" s="66"/>
      <c r="R459" s="66"/>
      <c r="S459" s="68"/>
      <c r="T459" s="66"/>
      <c r="U459" s="66"/>
      <c r="V459" s="313"/>
      <c r="W459" s="314"/>
      <c r="X459" s="314"/>
      <c r="Y459" s="68"/>
      <c r="Z459" s="20"/>
      <c r="AA459" s="20"/>
      <c r="AB459" s="20"/>
      <c r="AC459" s="20"/>
      <c r="AD459" s="20"/>
      <c r="AE459" s="68"/>
      <c r="AF459" s="68"/>
      <c r="AG459" s="20"/>
      <c r="AH459" s="232"/>
    </row>
    <row r="460" spans="1:34" s="16" customFormat="1">
      <c r="A460" s="17"/>
      <c r="B460" s="17"/>
      <c r="C460" s="17"/>
      <c r="D460" s="17"/>
      <c r="E460" s="17"/>
      <c r="F460" s="302"/>
      <c r="G460" s="19"/>
      <c r="H460" s="64"/>
      <c r="I460" s="20"/>
      <c r="J460" s="68"/>
      <c r="K460" s="66"/>
      <c r="L460" s="66"/>
      <c r="M460" s="68"/>
      <c r="N460" s="68"/>
      <c r="O460" s="66"/>
      <c r="P460" s="66"/>
      <c r="Q460" s="66"/>
      <c r="R460" s="66"/>
      <c r="S460" s="68"/>
      <c r="T460" s="66"/>
      <c r="U460" s="66"/>
      <c r="V460" s="313"/>
      <c r="W460" s="314"/>
      <c r="X460" s="314"/>
      <c r="Y460" s="68"/>
      <c r="Z460" s="20"/>
      <c r="AA460" s="20"/>
      <c r="AB460" s="20"/>
      <c r="AC460" s="20"/>
      <c r="AD460" s="20"/>
      <c r="AE460" s="68"/>
      <c r="AF460" s="68"/>
      <c r="AG460" s="20"/>
      <c r="AH460" s="232"/>
    </row>
    <row r="461" spans="1:34" s="16" customFormat="1">
      <c r="A461" s="17"/>
      <c r="B461" s="17"/>
      <c r="C461" s="17"/>
      <c r="D461" s="17"/>
      <c r="E461" s="17"/>
      <c r="F461" s="302"/>
      <c r="G461" s="19"/>
      <c r="H461" s="64"/>
      <c r="I461" s="20"/>
      <c r="J461" s="68"/>
      <c r="K461" s="66"/>
      <c r="L461" s="66"/>
      <c r="M461" s="68"/>
      <c r="N461" s="68"/>
      <c r="O461" s="66"/>
      <c r="P461" s="66"/>
      <c r="Q461" s="66"/>
      <c r="R461" s="66"/>
      <c r="S461" s="68"/>
      <c r="T461" s="66"/>
      <c r="U461" s="66"/>
      <c r="V461" s="313"/>
      <c r="W461" s="314"/>
      <c r="X461" s="314"/>
      <c r="Y461" s="68"/>
      <c r="Z461" s="20"/>
      <c r="AA461" s="20"/>
      <c r="AB461" s="20"/>
      <c r="AC461" s="20"/>
      <c r="AD461" s="20"/>
      <c r="AE461" s="68"/>
      <c r="AF461" s="68"/>
      <c r="AG461" s="20"/>
      <c r="AH461" s="232"/>
    </row>
    <row r="462" spans="1:34" s="16" customFormat="1">
      <c r="A462" s="17"/>
      <c r="B462" s="17"/>
      <c r="C462" s="17"/>
      <c r="D462" s="17"/>
      <c r="E462" s="17"/>
      <c r="F462" s="302"/>
      <c r="G462" s="19"/>
      <c r="H462" s="64"/>
      <c r="I462" s="20"/>
      <c r="J462" s="68"/>
      <c r="K462" s="66"/>
      <c r="L462" s="66"/>
      <c r="M462" s="68"/>
      <c r="N462" s="68"/>
      <c r="O462" s="66"/>
      <c r="P462" s="66"/>
      <c r="Q462" s="66"/>
      <c r="R462" s="66"/>
      <c r="S462" s="68"/>
      <c r="T462" s="66"/>
      <c r="U462" s="66"/>
      <c r="V462" s="313"/>
      <c r="W462" s="314"/>
      <c r="X462" s="314"/>
      <c r="Y462" s="68"/>
      <c r="Z462" s="20"/>
      <c r="AA462" s="20"/>
      <c r="AB462" s="20"/>
      <c r="AC462" s="20"/>
      <c r="AD462" s="20"/>
      <c r="AE462" s="68"/>
      <c r="AF462" s="68"/>
      <c r="AG462" s="20"/>
      <c r="AH462" s="232"/>
    </row>
    <row r="463" spans="1:34" s="16" customFormat="1">
      <c r="A463" s="17"/>
      <c r="B463" s="17"/>
      <c r="C463" s="17"/>
      <c r="D463" s="17"/>
      <c r="E463" s="17"/>
      <c r="F463" s="302"/>
      <c r="G463" s="19"/>
      <c r="H463" s="64"/>
      <c r="I463" s="20"/>
      <c r="J463" s="68"/>
      <c r="K463" s="66"/>
      <c r="L463" s="66"/>
      <c r="M463" s="68"/>
      <c r="N463" s="68"/>
      <c r="O463" s="66"/>
      <c r="P463" s="66"/>
      <c r="Q463" s="66"/>
      <c r="R463" s="66"/>
      <c r="S463" s="68"/>
      <c r="T463" s="66"/>
      <c r="U463" s="66"/>
      <c r="V463" s="313"/>
      <c r="W463" s="314"/>
      <c r="X463" s="314"/>
      <c r="Y463" s="68"/>
      <c r="Z463" s="20"/>
      <c r="AA463" s="20"/>
      <c r="AB463" s="20"/>
      <c r="AC463" s="20"/>
      <c r="AD463" s="20"/>
      <c r="AE463" s="68"/>
      <c r="AF463" s="68"/>
      <c r="AG463" s="20"/>
      <c r="AH463" s="232"/>
    </row>
    <row r="464" spans="1:34" s="16" customFormat="1">
      <c r="A464" s="17"/>
      <c r="B464" s="17"/>
      <c r="C464" s="17"/>
      <c r="D464" s="17"/>
      <c r="E464" s="17"/>
      <c r="F464" s="302"/>
      <c r="G464" s="19"/>
      <c r="H464" s="64"/>
      <c r="I464" s="20"/>
      <c r="J464" s="68"/>
      <c r="K464" s="66"/>
      <c r="L464" s="66"/>
      <c r="M464" s="68"/>
      <c r="N464" s="68"/>
      <c r="O464" s="66"/>
      <c r="P464" s="66"/>
      <c r="Q464" s="66"/>
      <c r="R464" s="66"/>
      <c r="S464" s="68"/>
      <c r="T464" s="66"/>
      <c r="U464" s="66"/>
      <c r="V464" s="313"/>
      <c r="W464" s="314"/>
      <c r="X464" s="314"/>
      <c r="Y464" s="68"/>
      <c r="Z464" s="20"/>
      <c r="AA464" s="20"/>
      <c r="AB464" s="20"/>
      <c r="AC464" s="20"/>
      <c r="AD464" s="20"/>
      <c r="AE464" s="68"/>
      <c r="AF464" s="68"/>
      <c r="AG464" s="20"/>
      <c r="AH464" s="232"/>
    </row>
    <row r="465" spans="1:34" s="16" customFormat="1">
      <c r="A465" s="17"/>
      <c r="B465" s="17"/>
      <c r="C465" s="17"/>
      <c r="D465" s="17"/>
      <c r="E465" s="17"/>
      <c r="F465" s="302"/>
      <c r="G465" s="19"/>
      <c r="H465" s="64"/>
      <c r="I465" s="20"/>
      <c r="J465" s="68"/>
      <c r="K465" s="66"/>
      <c r="L465" s="66"/>
      <c r="M465" s="68"/>
      <c r="N465" s="68"/>
      <c r="O465" s="66"/>
      <c r="P465" s="66"/>
      <c r="Q465" s="66"/>
      <c r="R465" s="66"/>
      <c r="S465" s="68"/>
      <c r="T465" s="66"/>
      <c r="U465" s="66"/>
      <c r="V465" s="313"/>
      <c r="W465" s="314"/>
      <c r="X465" s="314"/>
      <c r="Y465" s="68"/>
      <c r="Z465" s="20"/>
      <c r="AA465" s="20"/>
      <c r="AB465" s="20"/>
      <c r="AC465" s="20"/>
      <c r="AD465" s="20"/>
      <c r="AE465" s="68"/>
      <c r="AF465" s="68"/>
      <c r="AG465" s="20"/>
      <c r="AH465" s="232"/>
    </row>
    <row r="466" spans="1:34" s="16" customFormat="1">
      <c r="A466" s="17"/>
      <c r="B466" s="17"/>
      <c r="C466" s="17"/>
      <c r="D466" s="17"/>
      <c r="E466" s="17"/>
      <c r="F466" s="302"/>
      <c r="G466" s="19"/>
      <c r="H466" s="64"/>
      <c r="I466" s="20"/>
      <c r="J466" s="68"/>
      <c r="K466" s="66"/>
      <c r="L466" s="66"/>
      <c r="M466" s="68"/>
      <c r="N466" s="68"/>
      <c r="O466" s="66"/>
      <c r="P466" s="66"/>
      <c r="Q466" s="66"/>
      <c r="R466" s="66"/>
      <c r="S466" s="68"/>
      <c r="T466" s="66"/>
      <c r="U466" s="66"/>
      <c r="V466" s="313"/>
      <c r="W466" s="314"/>
      <c r="X466" s="314"/>
      <c r="Y466" s="68"/>
      <c r="Z466" s="20"/>
      <c r="AA466" s="20"/>
      <c r="AB466" s="20"/>
      <c r="AC466" s="20"/>
      <c r="AD466" s="20"/>
      <c r="AE466" s="68"/>
      <c r="AF466" s="68"/>
      <c r="AG466" s="20"/>
      <c r="AH466" s="232"/>
    </row>
    <row r="467" spans="1:34" s="16" customFormat="1">
      <c r="A467" s="17"/>
      <c r="B467" s="17"/>
      <c r="C467" s="17"/>
      <c r="D467" s="17"/>
      <c r="E467" s="17"/>
      <c r="F467" s="302"/>
      <c r="G467" s="19"/>
      <c r="H467" s="64"/>
      <c r="I467" s="20"/>
      <c r="J467" s="68"/>
      <c r="K467" s="66"/>
      <c r="L467" s="66"/>
      <c r="M467" s="68"/>
      <c r="N467" s="68"/>
      <c r="O467" s="66"/>
      <c r="P467" s="66"/>
      <c r="Q467" s="66"/>
      <c r="R467" s="66"/>
      <c r="S467" s="68"/>
      <c r="T467" s="66"/>
      <c r="U467" s="66"/>
      <c r="V467" s="313"/>
      <c r="W467" s="314"/>
      <c r="X467" s="314"/>
      <c r="Y467" s="68"/>
      <c r="Z467" s="20"/>
      <c r="AA467" s="20"/>
      <c r="AB467" s="20"/>
      <c r="AC467" s="20"/>
      <c r="AD467" s="20"/>
      <c r="AE467" s="68"/>
      <c r="AF467" s="68"/>
      <c r="AG467" s="20"/>
      <c r="AH467" s="232"/>
    </row>
    <row r="468" spans="1:34" s="16" customFormat="1">
      <c r="A468" s="17"/>
      <c r="B468" s="17"/>
      <c r="C468" s="17"/>
      <c r="D468" s="17"/>
      <c r="E468" s="17"/>
      <c r="F468" s="302"/>
      <c r="G468" s="19"/>
      <c r="H468" s="64"/>
      <c r="I468" s="20"/>
      <c r="J468" s="68"/>
      <c r="K468" s="66"/>
      <c r="L468" s="66"/>
      <c r="M468" s="68"/>
      <c r="N468" s="68"/>
      <c r="O468" s="66"/>
      <c r="P468" s="66"/>
      <c r="Q468" s="66"/>
      <c r="R468" s="66"/>
      <c r="S468" s="68"/>
      <c r="T468" s="66"/>
      <c r="U468" s="66"/>
      <c r="V468" s="313"/>
      <c r="W468" s="314"/>
      <c r="X468" s="314"/>
      <c r="Y468" s="68"/>
      <c r="Z468" s="20"/>
      <c r="AA468" s="20"/>
      <c r="AB468" s="20"/>
      <c r="AC468" s="20"/>
      <c r="AD468" s="20"/>
      <c r="AE468" s="68"/>
      <c r="AF468" s="68"/>
      <c r="AG468" s="20"/>
      <c r="AH468" s="232"/>
    </row>
    <row r="469" spans="1:34" s="16" customFormat="1">
      <c r="A469" s="17"/>
      <c r="B469" s="17"/>
      <c r="C469" s="17"/>
      <c r="D469" s="17"/>
      <c r="E469" s="17"/>
      <c r="F469" s="302"/>
      <c r="G469" s="19"/>
      <c r="H469" s="64"/>
      <c r="I469" s="20"/>
      <c r="J469" s="68"/>
      <c r="K469" s="66"/>
      <c r="L469" s="66"/>
      <c r="M469" s="68"/>
      <c r="N469" s="68"/>
      <c r="O469" s="66"/>
      <c r="P469" s="66"/>
      <c r="Q469" s="66"/>
      <c r="R469" s="66"/>
      <c r="S469" s="68"/>
      <c r="T469" s="66"/>
      <c r="U469" s="66"/>
      <c r="V469" s="313"/>
      <c r="W469" s="314"/>
      <c r="X469" s="314"/>
      <c r="Y469" s="68"/>
      <c r="Z469" s="20"/>
      <c r="AA469" s="20"/>
      <c r="AB469" s="20"/>
      <c r="AC469" s="20"/>
      <c r="AD469" s="20"/>
      <c r="AE469" s="68"/>
      <c r="AF469" s="68"/>
      <c r="AG469" s="20"/>
      <c r="AH469" s="232"/>
    </row>
    <row r="470" spans="1:34" s="16" customFormat="1">
      <c r="A470" s="17"/>
      <c r="B470" s="17"/>
      <c r="C470" s="17"/>
      <c r="D470" s="17"/>
      <c r="E470" s="17"/>
      <c r="F470" s="302"/>
      <c r="G470" s="19"/>
      <c r="H470" s="64"/>
      <c r="I470" s="20"/>
      <c r="J470" s="68"/>
      <c r="K470" s="66"/>
      <c r="L470" s="66"/>
      <c r="M470" s="68"/>
      <c r="N470" s="68"/>
      <c r="O470" s="66"/>
      <c r="P470" s="66"/>
      <c r="Q470" s="66"/>
      <c r="R470" s="66"/>
      <c r="S470" s="68"/>
      <c r="T470" s="66"/>
      <c r="U470" s="66"/>
      <c r="V470" s="313"/>
      <c r="W470" s="314"/>
      <c r="X470" s="314"/>
      <c r="Y470" s="68"/>
      <c r="Z470" s="20"/>
      <c r="AA470" s="20"/>
      <c r="AB470" s="20"/>
      <c r="AC470" s="20"/>
      <c r="AD470" s="20"/>
      <c r="AE470" s="68"/>
      <c r="AF470" s="68"/>
      <c r="AG470" s="20"/>
      <c r="AH470" s="232"/>
    </row>
    <row r="471" spans="1:34" s="16" customFormat="1">
      <c r="A471" s="17"/>
      <c r="B471" s="17"/>
      <c r="C471" s="17"/>
      <c r="D471" s="17"/>
      <c r="E471" s="17"/>
      <c r="F471" s="302"/>
      <c r="G471" s="19"/>
      <c r="H471" s="64"/>
      <c r="I471" s="20"/>
      <c r="J471" s="68"/>
      <c r="K471" s="66"/>
      <c r="L471" s="66"/>
      <c r="M471" s="68"/>
      <c r="N471" s="68"/>
      <c r="O471" s="66"/>
      <c r="P471" s="66"/>
      <c r="Q471" s="66"/>
      <c r="R471" s="66"/>
      <c r="S471" s="68"/>
      <c r="T471" s="66"/>
      <c r="U471" s="66"/>
      <c r="V471" s="313"/>
      <c r="W471" s="314"/>
      <c r="X471" s="314"/>
      <c r="Y471" s="68"/>
      <c r="Z471" s="20"/>
      <c r="AA471" s="20"/>
      <c r="AB471" s="20"/>
      <c r="AC471" s="20"/>
      <c r="AD471" s="20"/>
      <c r="AE471" s="68"/>
      <c r="AF471" s="68"/>
      <c r="AG471" s="20"/>
      <c r="AH471" s="232"/>
    </row>
    <row r="472" spans="1:34" s="16" customFormat="1">
      <c r="A472" s="17"/>
      <c r="B472" s="17"/>
      <c r="C472" s="17"/>
      <c r="D472" s="17"/>
      <c r="E472" s="17"/>
      <c r="F472" s="302"/>
      <c r="G472" s="19"/>
      <c r="H472" s="64"/>
      <c r="I472" s="20"/>
      <c r="J472" s="68"/>
      <c r="K472" s="66"/>
      <c r="L472" s="66"/>
      <c r="M472" s="68"/>
      <c r="N472" s="68"/>
      <c r="O472" s="66"/>
      <c r="P472" s="66"/>
      <c r="Q472" s="66"/>
      <c r="R472" s="66"/>
      <c r="S472" s="68"/>
      <c r="T472" s="66"/>
      <c r="U472" s="66"/>
      <c r="V472" s="313"/>
      <c r="W472" s="314"/>
      <c r="X472" s="314"/>
      <c r="Y472" s="68"/>
      <c r="Z472" s="20"/>
      <c r="AA472" s="20"/>
      <c r="AB472" s="20"/>
      <c r="AC472" s="20"/>
      <c r="AD472" s="20"/>
      <c r="AE472" s="68"/>
      <c r="AF472" s="68"/>
      <c r="AG472" s="20"/>
      <c r="AH472" s="232"/>
    </row>
    <row r="473" spans="1:34" s="16" customFormat="1">
      <c r="A473" s="17"/>
      <c r="B473" s="17"/>
      <c r="C473" s="17"/>
      <c r="D473" s="17"/>
      <c r="E473" s="17"/>
      <c r="F473" s="302"/>
      <c r="G473" s="19"/>
      <c r="H473" s="64"/>
      <c r="I473" s="20"/>
      <c r="J473" s="68"/>
      <c r="K473" s="66"/>
      <c r="L473" s="66"/>
      <c r="M473" s="68"/>
      <c r="N473" s="68"/>
      <c r="O473" s="66"/>
      <c r="P473" s="66"/>
      <c r="Q473" s="66"/>
      <c r="R473" s="66"/>
      <c r="S473" s="68"/>
      <c r="T473" s="66"/>
      <c r="U473" s="66"/>
      <c r="V473" s="313"/>
      <c r="W473" s="314"/>
      <c r="X473" s="314"/>
      <c r="Y473" s="68"/>
      <c r="Z473" s="20"/>
      <c r="AA473" s="20"/>
      <c r="AB473" s="20"/>
      <c r="AC473" s="20"/>
      <c r="AD473" s="20"/>
      <c r="AE473" s="68"/>
      <c r="AF473" s="68"/>
      <c r="AG473" s="20"/>
      <c r="AH473" s="232"/>
    </row>
    <row r="474" spans="1:34" s="16" customFormat="1">
      <c r="A474" s="17"/>
      <c r="B474" s="17"/>
      <c r="C474" s="17"/>
      <c r="D474" s="17"/>
      <c r="E474" s="17"/>
      <c r="F474" s="302"/>
      <c r="G474" s="19"/>
      <c r="H474" s="64"/>
      <c r="I474" s="20"/>
      <c r="J474" s="68"/>
      <c r="K474" s="66"/>
      <c r="L474" s="66"/>
      <c r="M474" s="68"/>
      <c r="N474" s="68"/>
      <c r="O474" s="66"/>
      <c r="P474" s="66"/>
      <c r="Q474" s="66"/>
      <c r="R474" s="66"/>
      <c r="S474" s="68"/>
      <c r="T474" s="66"/>
      <c r="U474" s="66"/>
      <c r="V474" s="313"/>
      <c r="W474" s="314"/>
      <c r="X474" s="314"/>
      <c r="Y474" s="68"/>
      <c r="Z474" s="20"/>
      <c r="AA474" s="20"/>
      <c r="AB474" s="20"/>
      <c r="AC474" s="20"/>
      <c r="AD474" s="20"/>
      <c r="AE474" s="68"/>
      <c r="AF474" s="68"/>
      <c r="AG474" s="20"/>
      <c r="AH474" s="232"/>
    </row>
    <row r="475" spans="1:34" s="16" customFormat="1">
      <c r="A475" s="17"/>
      <c r="B475" s="17"/>
      <c r="C475" s="17"/>
      <c r="D475" s="17"/>
      <c r="E475" s="17"/>
      <c r="F475" s="302"/>
      <c r="G475" s="19"/>
      <c r="H475" s="64"/>
      <c r="I475" s="20"/>
      <c r="J475" s="68"/>
      <c r="K475" s="66"/>
      <c r="L475" s="66"/>
      <c r="M475" s="68"/>
      <c r="N475" s="68"/>
      <c r="O475" s="66"/>
      <c r="P475" s="66"/>
      <c r="Q475" s="66"/>
      <c r="R475" s="66"/>
      <c r="S475" s="68"/>
      <c r="T475" s="66"/>
      <c r="U475" s="66"/>
      <c r="V475" s="313"/>
      <c r="W475" s="314"/>
      <c r="X475" s="314"/>
      <c r="Y475" s="68"/>
      <c r="Z475" s="20"/>
      <c r="AA475" s="20"/>
      <c r="AB475" s="20"/>
      <c r="AC475" s="20"/>
      <c r="AD475" s="20"/>
      <c r="AE475" s="68"/>
      <c r="AF475" s="68"/>
      <c r="AG475" s="20"/>
      <c r="AH475" s="232"/>
    </row>
    <row r="476" spans="1:34" s="16" customFormat="1">
      <c r="A476" s="17"/>
      <c r="B476" s="17"/>
      <c r="C476" s="17"/>
      <c r="D476" s="17"/>
      <c r="E476" s="17"/>
      <c r="F476" s="302"/>
      <c r="G476" s="19"/>
      <c r="H476" s="64"/>
      <c r="I476" s="20"/>
      <c r="J476" s="68"/>
      <c r="K476" s="66"/>
      <c r="L476" s="66"/>
      <c r="M476" s="68"/>
      <c r="N476" s="68"/>
      <c r="O476" s="66"/>
      <c r="P476" s="66"/>
      <c r="Q476" s="66"/>
      <c r="R476" s="66"/>
      <c r="S476" s="68"/>
      <c r="T476" s="66"/>
      <c r="U476" s="66"/>
      <c r="V476" s="313"/>
      <c r="W476" s="314"/>
      <c r="X476" s="314"/>
      <c r="Y476" s="68"/>
      <c r="Z476" s="20"/>
      <c r="AA476" s="20"/>
      <c r="AB476" s="20"/>
      <c r="AC476" s="20"/>
      <c r="AD476" s="20"/>
      <c r="AE476" s="68"/>
      <c r="AF476" s="68"/>
      <c r="AG476" s="20"/>
      <c r="AH476" s="232"/>
    </row>
    <row r="477" spans="1:34" s="16" customFormat="1">
      <c r="A477" s="17"/>
      <c r="B477" s="17"/>
      <c r="C477" s="17"/>
      <c r="D477" s="17"/>
      <c r="E477" s="17"/>
      <c r="F477" s="302"/>
      <c r="G477" s="19"/>
      <c r="H477" s="64"/>
      <c r="I477" s="20"/>
      <c r="J477" s="68"/>
      <c r="K477" s="66"/>
      <c r="L477" s="66"/>
      <c r="M477" s="68"/>
      <c r="N477" s="68"/>
      <c r="O477" s="66"/>
      <c r="P477" s="66"/>
      <c r="Q477" s="66"/>
      <c r="R477" s="66"/>
      <c r="S477" s="68"/>
      <c r="T477" s="66"/>
      <c r="U477" s="66"/>
      <c r="V477" s="313"/>
      <c r="W477" s="314"/>
      <c r="X477" s="314"/>
      <c r="Y477" s="68"/>
      <c r="Z477" s="20"/>
      <c r="AA477" s="20"/>
      <c r="AB477" s="20"/>
      <c r="AC477" s="20"/>
      <c r="AD477" s="20"/>
      <c r="AE477" s="68"/>
      <c r="AF477" s="68"/>
      <c r="AG477" s="20"/>
      <c r="AH477" s="232"/>
    </row>
    <row r="478" spans="1:34" s="16" customFormat="1">
      <c r="A478" s="17"/>
      <c r="B478" s="17"/>
      <c r="C478" s="17"/>
      <c r="D478" s="17"/>
      <c r="E478" s="17"/>
      <c r="F478" s="302"/>
      <c r="G478" s="19"/>
      <c r="H478" s="64"/>
      <c r="I478" s="20"/>
      <c r="J478" s="68"/>
      <c r="K478" s="66"/>
      <c r="L478" s="66"/>
      <c r="M478" s="68"/>
      <c r="N478" s="68"/>
      <c r="O478" s="66"/>
      <c r="P478" s="66"/>
      <c r="Q478" s="66"/>
      <c r="R478" s="66"/>
      <c r="S478" s="68"/>
      <c r="T478" s="66"/>
      <c r="U478" s="66"/>
      <c r="V478" s="313"/>
      <c r="W478" s="314"/>
      <c r="X478" s="314"/>
      <c r="Y478" s="68"/>
      <c r="Z478" s="20"/>
      <c r="AA478" s="20"/>
      <c r="AB478" s="20"/>
      <c r="AC478" s="20"/>
      <c r="AD478" s="20"/>
      <c r="AE478" s="68"/>
      <c r="AF478" s="68"/>
      <c r="AG478" s="20"/>
      <c r="AH478" s="232"/>
    </row>
    <row r="479" spans="1:34" s="16" customFormat="1">
      <c r="A479" s="17"/>
      <c r="B479" s="17"/>
      <c r="C479" s="17"/>
      <c r="D479" s="17"/>
      <c r="E479" s="17"/>
      <c r="F479" s="302"/>
      <c r="G479" s="19"/>
      <c r="H479" s="64"/>
      <c r="I479" s="20"/>
      <c r="J479" s="68"/>
      <c r="K479" s="66"/>
      <c r="L479" s="66"/>
      <c r="M479" s="68"/>
      <c r="N479" s="68"/>
      <c r="O479" s="66"/>
      <c r="P479" s="66"/>
      <c r="Q479" s="66"/>
      <c r="R479" s="66"/>
      <c r="S479" s="68"/>
      <c r="T479" s="66"/>
      <c r="U479" s="66"/>
      <c r="V479" s="313"/>
      <c r="W479" s="314"/>
      <c r="X479" s="314"/>
      <c r="Y479" s="68"/>
      <c r="Z479" s="20"/>
      <c r="AA479" s="20"/>
      <c r="AB479" s="20"/>
      <c r="AC479" s="20"/>
      <c r="AD479" s="20"/>
      <c r="AE479" s="68"/>
      <c r="AF479" s="68"/>
      <c r="AG479" s="20"/>
      <c r="AH479" s="232"/>
    </row>
    <row r="480" spans="1:34" s="16" customFormat="1">
      <c r="A480" s="17"/>
      <c r="B480" s="17"/>
      <c r="C480" s="17"/>
      <c r="D480" s="17"/>
      <c r="E480" s="17"/>
      <c r="F480" s="302"/>
      <c r="G480" s="19"/>
      <c r="H480" s="64"/>
      <c r="I480" s="20"/>
      <c r="J480" s="68"/>
      <c r="K480" s="66"/>
      <c r="L480" s="66"/>
      <c r="M480" s="68"/>
      <c r="N480" s="68"/>
      <c r="O480" s="66"/>
      <c r="P480" s="66"/>
      <c r="Q480" s="66"/>
      <c r="R480" s="66"/>
      <c r="S480" s="68"/>
      <c r="T480" s="66"/>
      <c r="U480" s="66"/>
      <c r="V480" s="313"/>
      <c r="W480" s="314"/>
      <c r="X480" s="314"/>
      <c r="Y480" s="68"/>
      <c r="Z480" s="20"/>
      <c r="AA480" s="20"/>
      <c r="AB480" s="20"/>
      <c r="AC480" s="20"/>
      <c r="AD480" s="20"/>
      <c r="AE480" s="68"/>
      <c r="AF480" s="68"/>
      <c r="AG480" s="20"/>
      <c r="AH480" s="232"/>
    </row>
    <row r="481" spans="1:34" s="16" customFormat="1">
      <c r="A481" s="17"/>
      <c r="B481" s="17"/>
      <c r="C481" s="17"/>
      <c r="D481" s="17"/>
      <c r="E481" s="17"/>
      <c r="F481" s="302"/>
      <c r="G481" s="19"/>
      <c r="H481" s="64"/>
      <c r="I481" s="20"/>
      <c r="J481" s="68"/>
      <c r="K481" s="66"/>
      <c r="L481" s="66"/>
      <c r="M481" s="68"/>
      <c r="N481" s="68"/>
      <c r="O481" s="66"/>
      <c r="P481" s="66"/>
      <c r="Q481" s="66"/>
      <c r="R481" s="66"/>
      <c r="S481" s="68"/>
      <c r="T481" s="66"/>
      <c r="U481" s="66"/>
      <c r="V481" s="313"/>
      <c r="W481" s="314"/>
      <c r="X481" s="314"/>
      <c r="Y481" s="68"/>
      <c r="Z481" s="20"/>
      <c r="AA481" s="20"/>
      <c r="AB481" s="20"/>
      <c r="AC481" s="20"/>
      <c r="AD481" s="20"/>
      <c r="AE481" s="68"/>
      <c r="AF481" s="68"/>
      <c r="AG481" s="20"/>
      <c r="AH481" s="232"/>
    </row>
    <row r="482" spans="1:34" s="16" customFormat="1">
      <c r="A482" s="17"/>
      <c r="B482" s="17"/>
      <c r="C482" s="17"/>
      <c r="D482" s="17"/>
      <c r="E482" s="17"/>
      <c r="F482" s="302"/>
      <c r="G482" s="19"/>
      <c r="H482" s="64"/>
      <c r="I482" s="20"/>
      <c r="J482" s="68"/>
      <c r="K482" s="66"/>
      <c r="L482" s="66"/>
      <c r="M482" s="68"/>
      <c r="N482" s="68"/>
      <c r="O482" s="66"/>
      <c r="P482" s="66"/>
      <c r="Q482" s="66"/>
      <c r="R482" s="66"/>
      <c r="S482" s="68"/>
      <c r="T482" s="66"/>
      <c r="U482" s="66"/>
      <c r="V482" s="313"/>
      <c r="W482" s="314"/>
      <c r="X482" s="314"/>
      <c r="Y482" s="68"/>
      <c r="Z482" s="20"/>
      <c r="AA482" s="20"/>
      <c r="AB482" s="20"/>
      <c r="AC482" s="20"/>
      <c r="AD482" s="20"/>
      <c r="AE482" s="68"/>
      <c r="AF482" s="68"/>
      <c r="AG482" s="20"/>
      <c r="AH482" s="232"/>
    </row>
    <row r="483" spans="1:34" s="16" customFormat="1">
      <c r="A483" s="17"/>
      <c r="B483" s="17"/>
      <c r="C483" s="17"/>
      <c r="D483" s="17"/>
      <c r="E483" s="17"/>
      <c r="F483" s="302"/>
      <c r="G483" s="19"/>
      <c r="H483" s="64"/>
      <c r="I483" s="20"/>
      <c r="J483" s="68"/>
      <c r="K483" s="66"/>
      <c r="L483" s="66"/>
      <c r="M483" s="68"/>
      <c r="N483" s="68"/>
      <c r="O483" s="66"/>
      <c r="P483" s="66"/>
      <c r="Q483" s="66"/>
      <c r="R483" s="66"/>
      <c r="S483" s="68"/>
      <c r="T483" s="66"/>
      <c r="U483" s="66"/>
      <c r="V483" s="313"/>
      <c r="W483" s="314"/>
      <c r="X483" s="314"/>
      <c r="Y483" s="68"/>
      <c r="Z483" s="20"/>
      <c r="AA483" s="20"/>
      <c r="AB483" s="20"/>
      <c r="AC483" s="20"/>
      <c r="AD483" s="20"/>
      <c r="AE483" s="68"/>
      <c r="AF483" s="68"/>
      <c r="AG483" s="20"/>
      <c r="AH483" s="232"/>
    </row>
    <row r="484" spans="1:34" s="16" customFormat="1">
      <c r="A484" s="17"/>
      <c r="B484" s="17"/>
      <c r="C484" s="17"/>
      <c r="D484" s="17"/>
      <c r="E484" s="17"/>
      <c r="F484" s="302"/>
      <c r="G484" s="19"/>
      <c r="H484" s="64"/>
      <c r="I484" s="20"/>
      <c r="J484" s="68"/>
      <c r="K484" s="66"/>
      <c r="L484" s="66"/>
      <c r="M484" s="68"/>
      <c r="N484" s="68"/>
      <c r="O484" s="66"/>
      <c r="P484" s="66"/>
      <c r="Q484" s="66"/>
      <c r="R484" s="66"/>
      <c r="S484" s="68"/>
      <c r="T484" s="66"/>
      <c r="U484" s="66"/>
      <c r="V484" s="313"/>
      <c r="W484" s="314"/>
      <c r="X484" s="314"/>
      <c r="Y484" s="68"/>
      <c r="Z484" s="20"/>
      <c r="AA484" s="20"/>
      <c r="AB484" s="20"/>
      <c r="AC484" s="20"/>
      <c r="AD484" s="20"/>
      <c r="AE484" s="68"/>
      <c r="AF484" s="68"/>
      <c r="AG484" s="20"/>
      <c r="AH484" s="232"/>
    </row>
    <row r="485" spans="1:34" s="16" customFormat="1">
      <c r="A485" s="17"/>
      <c r="B485" s="17"/>
      <c r="C485" s="17"/>
      <c r="D485" s="17"/>
      <c r="E485" s="17"/>
      <c r="F485" s="302"/>
      <c r="G485" s="19"/>
      <c r="H485" s="64"/>
      <c r="I485" s="20"/>
      <c r="J485" s="68"/>
      <c r="K485" s="66"/>
      <c r="L485" s="66"/>
      <c r="M485" s="68"/>
      <c r="N485" s="68"/>
      <c r="O485" s="66"/>
      <c r="P485" s="66"/>
      <c r="Q485" s="66"/>
      <c r="R485" s="66"/>
      <c r="S485" s="68"/>
      <c r="T485" s="66"/>
      <c r="U485" s="66"/>
      <c r="V485" s="313"/>
      <c r="W485" s="314"/>
      <c r="X485" s="314"/>
      <c r="Y485" s="68"/>
      <c r="Z485" s="20"/>
      <c r="AA485" s="20"/>
      <c r="AB485" s="20"/>
      <c r="AC485" s="20"/>
      <c r="AD485" s="20"/>
      <c r="AE485" s="68"/>
      <c r="AF485" s="68"/>
      <c r="AG485" s="20"/>
      <c r="AH485" s="232"/>
    </row>
    <row r="486" spans="1:34" s="16" customFormat="1">
      <c r="A486" s="17"/>
      <c r="B486" s="17"/>
      <c r="C486" s="17"/>
      <c r="D486" s="17"/>
      <c r="E486" s="17"/>
      <c r="F486" s="302"/>
      <c r="G486" s="19"/>
      <c r="H486" s="64"/>
      <c r="I486" s="20"/>
      <c r="J486" s="68"/>
      <c r="K486" s="66"/>
      <c r="L486" s="66"/>
      <c r="M486" s="68"/>
      <c r="N486" s="68"/>
      <c r="O486" s="66"/>
      <c r="P486" s="66"/>
      <c r="Q486" s="66"/>
      <c r="R486" s="66"/>
      <c r="S486" s="68"/>
      <c r="T486" s="66"/>
      <c r="U486" s="66"/>
      <c r="V486" s="313"/>
      <c r="W486" s="314"/>
      <c r="X486" s="314"/>
      <c r="Y486" s="68"/>
      <c r="Z486" s="20"/>
      <c r="AA486" s="20"/>
      <c r="AB486" s="20"/>
      <c r="AC486" s="20"/>
      <c r="AD486" s="20"/>
      <c r="AE486" s="68"/>
      <c r="AF486" s="68"/>
      <c r="AG486" s="20"/>
      <c r="AH486" s="232"/>
    </row>
    <row r="487" spans="1:34" s="16" customFormat="1">
      <c r="A487" s="17"/>
      <c r="B487" s="17"/>
      <c r="C487" s="17"/>
      <c r="D487" s="17"/>
      <c r="E487" s="17"/>
      <c r="F487" s="302"/>
      <c r="G487" s="19"/>
      <c r="H487" s="64"/>
      <c r="I487" s="20"/>
      <c r="J487" s="68"/>
      <c r="K487" s="66"/>
      <c r="L487" s="66"/>
      <c r="M487" s="68"/>
      <c r="N487" s="68"/>
      <c r="O487" s="66"/>
      <c r="P487" s="66"/>
      <c r="Q487" s="66"/>
      <c r="R487" s="66"/>
      <c r="S487" s="68"/>
      <c r="T487" s="66"/>
      <c r="U487" s="66"/>
      <c r="V487" s="313"/>
      <c r="W487" s="314"/>
      <c r="X487" s="314"/>
      <c r="Y487" s="68"/>
      <c r="Z487" s="20"/>
      <c r="AA487" s="20"/>
      <c r="AB487" s="20"/>
      <c r="AC487" s="20"/>
      <c r="AD487" s="20"/>
      <c r="AE487" s="68"/>
      <c r="AF487" s="68"/>
      <c r="AG487" s="20"/>
      <c r="AH487" s="232"/>
    </row>
    <row r="488" spans="1:34" s="16" customFormat="1">
      <c r="A488" s="17"/>
      <c r="B488" s="17"/>
      <c r="C488" s="17"/>
      <c r="D488" s="17"/>
      <c r="E488" s="17"/>
      <c r="F488" s="302"/>
      <c r="G488" s="19"/>
      <c r="H488" s="64"/>
      <c r="I488" s="20"/>
      <c r="J488" s="68"/>
      <c r="K488" s="66"/>
      <c r="L488" s="66"/>
      <c r="M488" s="68"/>
      <c r="N488" s="68"/>
      <c r="O488" s="66"/>
      <c r="P488" s="66"/>
      <c r="Q488" s="66"/>
      <c r="R488" s="66"/>
      <c r="S488" s="68"/>
      <c r="T488" s="66"/>
      <c r="U488" s="66"/>
      <c r="V488" s="313"/>
      <c r="W488" s="314"/>
      <c r="X488" s="314"/>
      <c r="Y488" s="68"/>
      <c r="Z488" s="20"/>
      <c r="AA488" s="20"/>
      <c r="AB488" s="20"/>
      <c r="AC488" s="20"/>
      <c r="AD488" s="20"/>
      <c r="AE488" s="68"/>
      <c r="AF488" s="68"/>
      <c r="AG488" s="20"/>
      <c r="AH488" s="232"/>
    </row>
    <row r="489" spans="1:34" s="16" customFormat="1">
      <c r="A489" s="17"/>
      <c r="B489" s="17"/>
      <c r="C489" s="17"/>
      <c r="D489" s="17"/>
      <c r="E489" s="17"/>
      <c r="F489" s="302"/>
      <c r="G489" s="19"/>
      <c r="H489" s="64"/>
      <c r="I489" s="20"/>
      <c r="J489" s="68"/>
      <c r="K489" s="66"/>
      <c r="L489" s="66"/>
      <c r="M489" s="68"/>
      <c r="N489" s="68"/>
      <c r="O489" s="66"/>
      <c r="P489" s="66"/>
      <c r="Q489" s="66"/>
      <c r="R489" s="66"/>
      <c r="S489" s="68"/>
      <c r="T489" s="66"/>
      <c r="U489" s="66"/>
      <c r="V489" s="313"/>
      <c r="W489" s="314"/>
      <c r="X489" s="314"/>
      <c r="Y489" s="68"/>
      <c r="Z489" s="20"/>
      <c r="AA489" s="20"/>
      <c r="AB489" s="20"/>
      <c r="AC489" s="20"/>
      <c r="AD489" s="20"/>
      <c r="AE489" s="68"/>
      <c r="AF489" s="68"/>
      <c r="AG489" s="20"/>
      <c r="AH489" s="232"/>
    </row>
    <row r="490" spans="1:34" s="16" customFormat="1">
      <c r="A490" s="17"/>
      <c r="B490" s="17"/>
      <c r="C490" s="17"/>
      <c r="D490" s="17"/>
      <c r="E490" s="17"/>
      <c r="F490" s="302"/>
      <c r="G490" s="19"/>
      <c r="H490" s="64"/>
      <c r="I490" s="20"/>
      <c r="J490" s="68"/>
      <c r="K490" s="66"/>
      <c r="L490" s="66"/>
      <c r="M490" s="68"/>
      <c r="N490" s="68"/>
      <c r="O490" s="66"/>
      <c r="P490" s="66"/>
      <c r="Q490" s="66"/>
      <c r="R490" s="66"/>
      <c r="S490" s="68"/>
      <c r="T490" s="66"/>
      <c r="U490" s="66"/>
      <c r="V490" s="313"/>
      <c r="W490" s="314"/>
      <c r="X490" s="314"/>
      <c r="Y490" s="68"/>
      <c r="Z490" s="20"/>
      <c r="AA490" s="20"/>
      <c r="AB490" s="20"/>
      <c r="AC490" s="20"/>
      <c r="AD490" s="20"/>
      <c r="AE490" s="68"/>
      <c r="AF490" s="68"/>
      <c r="AG490" s="20"/>
      <c r="AH490" s="232"/>
    </row>
    <row r="491" spans="1:34" s="16" customFormat="1">
      <c r="A491" s="17"/>
      <c r="B491" s="17"/>
      <c r="C491" s="17"/>
      <c r="D491" s="17"/>
      <c r="E491" s="17"/>
      <c r="F491" s="302"/>
      <c r="G491" s="19"/>
      <c r="H491" s="64"/>
      <c r="I491" s="20"/>
      <c r="J491" s="68"/>
      <c r="K491" s="66"/>
      <c r="L491" s="66"/>
      <c r="M491" s="68"/>
      <c r="N491" s="68"/>
      <c r="O491" s="66"/>
      <c r="P491" s="66"/>
      <c r="Q491" s="66"/>
      <c r="R491" s="66"/>
      <c r="S491" s="68"/>
      <c r="T491" s="66"/>
      <c r="U491" s="66"/>
      <c r="V491" s="313"/>
      <c r="W491" s="314"/>
      <c r="X491" s="314"/>
      <c r="Y491" s="68"/>
      <c r="Z491" s="20"/>
      <c r="AA491" s="20"/>
      <c r="AB491" s="20"/>
      <c r="AC491" s="20"/>
      <c r="AD491" s="20"/>
      <c r="AE491" s="68"/>
      <c r="AF491" s="68"/>
      <c r="AG491" s="20"/>
      <c r="AH491" s="232"/>
    </row>
    <row r="492" spans="1:34" s="16" customFormat="1">
      <c r="A492" s="17"/>
      <c r="B492" s="17"/>
      <c r="C492" s="17"/>
      <c r="D492" s="17"/>
      <c r="E492" s="17"/>
      <c r="F492" s="302"/>
      <c r="G492" s="19"/>
      <c r="H492" s="64"/>
      <c r="I492" s="20"/>
      <c r="J492" s="68"/>
      <c r="K492" s="66"/>
      <c r="L492" s="66"/>
      <c r="M492" s="68"/>
      <c r="N492" s="68"/>
      <c r="O492" s="66"/>
      <c r="P492" s="66"/>
      <c r="Q492" s="66"/>
      <c r="R492" s="66"/>
      <c r="S492" s="68"/>
      <c r="T492" s="66"/>
      <c r="U492" s="66"/>
      <c r="V492" s="313"/>
      <c r="W492" s="314"/>
      <c r="X492" s="314"/>
      <c r="Y492" s="68"/>
      <c r="Z492" s="20"/>
      <c r="AA492" s="20"/>
      <c r="AB492" s="20"/>
      <c r="AC492" s="20"/>
      <c r="AD492" s="20"/>
      <c r="AE492" s="68"/>
      <c r="AF492" s="68"/>
      <c r="AG492" s="20"/>
      <c r="AH492" s="232"/>
    </row>
    <row r="493" spans="1:34" s="16" customFormat="1">
      <c r="A493" s="17"/>
      <c r="B493" s="17"/>
      <c r="C493" s="17"/>
      <c r="D493" s="17"/>
      <c r="E493" s="17"/>
      <c r="F493" s="302"/>
      <c r="G493" s="19"/>
      <c r="H493" s="64"/>
      <c r="I493" s="20"/>
      <c r="J493" s="68"/>
      <c r="K493" s="66"/>
      <c r="L493" s="66"/>
      <c r="M493" s="68"/>
      <c r="N493" s="68"/>
      <c r="O493" s="66"/>
      <c r="P493" s="66"/>
      <c r="Q493" s="66"/>
      <c r="R493" s="66"/>
      <c r="S493" s="68"/>
      <c r="T493" s="66"/>
      <c r="U493" s="66"/>
      <c r="V493" s="313"/>
      <c r="W493" s="314"/>
      <c r="X493" s="314"/>
      <c r="Y493" s="68"/>
      <c r="Z493" s="20"/>
      <c r="AA493" s="20"/>
      <c r="AB493" s="20"/>
      <c r="AC493" s="20"/>
      <c r="AD493" s="20"/>
      <c r="AE493" s="68"/>
      <c r="AF493" s="68"/>
      <c r="AG493" s="20"/>
      <c r="AH493" s="232"/>
    </row>
    <row r="494" spans="1:34" s="16" customFormat="1">
      <c r="A494" s="17"/>
      <c r="B494" s="17"/>
      <c r="C494" s="17"/>
      <c r="D494" s="17"/>
      <c r="E494" s="17"/>
      <c r="F494" s="302"/>
      <c r="G494" s="19"/>
      <c r="H494" s="64"/>
      <c r="I494" s="20"/>
      <c r="J494" s="68"/>
      <c r="K494" s="66"/>
      <c r="L494" s="66"/>
      <c r="M494" s="68"/>
      <c r="N494" s="68"/>
      <c r="O494" s="66"/>
      <c r="P494" s="66"/>
      <c r="Q494" s="66"/>
      <c r="R494" s="66"/>
      <c r="S494" s="68"/>
      <c r="T494" s="66"/>
      <c r="U494" s="66"/>
      <c r="V494" s="313"/>
      <c r="W494" s="314"/>
      <c r="X494" s="314"/>
      <c r="Y494" s="68"/>
      <c r="Z494" s="20"/>
      <c r="AA494" s="20"/>
      <c r="AB494" s="20"/>
      <c r="AC494" s="20"/>
      <c r="AD494" s="20"/>
      <c r="AE494" s="68"/>
      <c r="AF494" s="68"/>
      <c r="AG494" s="20"/>
      <c r="AH494" s="232"/>
    </row>
    <row r="495" spans="1:34" s="16" customFormat="1">
      <c r="A495" s="17"/>
      <c r="B495" s="17"/>
      <c r="C495" s="17"/>
      <c r="D495" s="17"/>
      <c r="E495" s="17"/>
      <c r="F495" s="302"/>
      <c r="G495" s="19"/>
      <c r="H495" s="64"/>
      <c r="I495" s="20"/>
      <c r="J495" s="68"/>
      <c r="K495" s="66"/>
      <c r="L495" s="66"/>
      <c r="M495" s="68"/>
      <c r="N495" s="68"/>
      <c r="O495" s="66"/>
      <c r="P495" s="66"/>
      <c r="Q495" s="66"/>
      <c r="R495" s="66"/>
      <c r="S495" s="68"/>
      <c r="T495" s="66"/>
      <c r="U495" s="66"/>
      <c r="V495" s="313"/>
      <c r="W495" s="314"/>
      <c r="X495" s="314"/>
      <c r="Y495" s="68"/>
      <c r="Z495" s="20"/>
      <c r="AA495" s="20"/>
      <c r="AB495" s="20"/>
      <c r="AC495" s="20"/>
      <c r="AD495" s="20"/>
      <c r="AE495" s="68"/>
      <c r="AF495" s="68"/>
      <c r="AG495" s="20"/>
      <c r="AH495" s="232"/>
    </row>
    <row r="496" spans="1:34" s="16" customFormat="1">
      <c r="A496" s="17"/>
      <c r="B496" s="17"/>
      <c r="C496" s="17"/>
      <c r="D496" s="17"/>
      <c r="E496" s="17"/>
      <c r="F496" s="302"/>
      <c r="G496" s="19"/>
      <c r="H496" s="64"/>
      <c r="I496" s="20"/>
      <c r="J496" s="68"/>
      <c r="K496" s="66"/>
      <c r="L496" s="66"/>
      <c r="M496" s="68"/>
      <c r="N496" s="68"/>
      <c r="O496" s="66"/>
      <c r="P496" s="66"/>
      <c r="Q496" s="66"/>
      <c r="R496" s="66"/>
      <c r="S496" s="68"/>
      <c r="T496" s="66"/>
      <c r="U496" s="66"/>
      <c r="V496" s="313"/>
      <c r="W496" s="314"/>
      <c r="X496" s="314"/>
      <c r="Y496" s="68"/>
      <c r="Z496" s="20"/>
      <c r="AA496" s="20"/>
      <c r="AB496" s="20"/>
      <c r="AC496" s="20"/>
      <c r="AD496" s="20"/>
      <c r="AE496" s="68"/>
      <c r="AF496" s="68"/>
      <c r="AG496" s="20"/>
      <c r="AH496" s="232"/>
    </row>
    <row r="497" spans="1:34" s="16" customFormat="1">
      <c r="A497" s="17"/>
      <c r="B497" s="17"/>
      <c r="C497" s="17"/>
      <c r="D497" s="17"/>
      <c r="E497" s="17"/>
      <c r="F497" s="302"/>
      <c r="G497" s="19"/>
      <c r="H497" s="64"/>
      <c r="I497" s="20"/>
      <c r="J497" s="68"/>
      <c r="K497" s="66"/>
      <c r="L497" s="66"/>
      <c r="M497" s="68"/>
      <c r="N497" s="68"/>
      <c r="O497" s="66"/>
      <c r="P497" s="66"/>
      <c r="Q497" s="66"/>
      <c r="R497" s="66"/>
      <c r="S497" s="68"/>
      <c r="T497" s="66"/>
      <c r="U497" s="66"/>
      <c r="V497" s="313"/>
      <c r="W497" s="314"/>
      <c r="X497" s="314"/>
      <c r="Y497" s="68"/>
      <c r="Z497" s="20"/>
      <c r="AA497" s="20"/>
      <c r="AB497" s="20"/>
      <c r="AC497" s="20"/>
      <c r="AD497" s="20"/>
      <c r="AE497" s="68"/>
      <c r="AF497" s="68"/>
      <c r="AG497" s="20"/>
      <c r="AH497" s="232"/>
    </row>
    <row r="498" spans="1:34" s="16" customFormat="1">
      <c r="A498" s="17"/>
      <c r="B498" s="17"/>
      <c r="C498" s="17"/>
      <c r="D498" s="17"/>
      <c r="E498" s="17"/>
      <c r="F498" s="302"/>
      <c r="G498" s="19"/>
      <c r="H498" s="64"/>
      <c r="I498" s="20"/>
      <c r="J498" s="68"/>
      <c r="K498" s="66"/>
      <c r="L498" s="66"/>
      <c r="M498" s="68"/>
      <c r="N498" s="68"/>
      <c r="O498" s="66"/>
      <c r="P498" s="66"/>
      <c r="Q498" s="66"/>
      <c r="R498" s="66"/>
      <c r="S498" s="68"/>
      <c r="T498" s="66"/>
      <c r="U498" s="66"/>
      <c r="V498" s="313"/>
      <c r="W498" s="314"/>
      <c r="X498" s="314"/>
      <c r="Y498" s="68"/>
      <c r="Z498" s="20"/>
      <c r="AA498" s="20"/>
      <c r="AB498" s="20"/>
      <c r="AC498" s="20"/>
      <c r="AD498" s="20"/>
      <c r="AE498" s="68"/>
      <c r="AF498" s="68"/>
      <c r="AG498" s="20"/>
      <c r="AH498" s="232"/>
    </row>
    <row r="499" spans="1:34" s="16" customFormat="1">
      <c r="A499" s="17"/>
      <c r="B499" s="17"/>
      <c r="C499" s="17"/>
      <c r="D499" s="17"/>
      <c r="E499" s="17"/>
      <c r="F499" s="302"/>
      <c r="G499" s="19"/>
      <c r="H499" s="64"/>
      <c r="I499" s="20"/>
      <c r="J499" s="68"/>
      <c r="K499" s="66"/>
      <c r="L499" s="66"/>
      <c r="M499" s="68"/>
      <c r="N499" s="68"/>
      <c r="O499" s="66"/>
      <c r="P499" s="66"/>
      <c r="Q499" s="66"/>
      <c r="R499" s="66"/>
      <c r="S499" s="68"/>
      <c r="T499" s="66"/>
      <c r="U499" s="66"/>
      <c r="V499" s="313"/>
      <c r="W499" s="314"/>
      <c r="X499" s="314"/>
      <c r="Y499" s="68"/>
      <c r="Z499" s="20"/>
      <c r="AA499" s="20"/>
      <c r="AB499" s="20"/>
      <c r="AC499" s="20"/>
      <c r="AD499" s="20"/>
      <c r="AE499" s="68"/>
      <c r="AF499" s="68"/>
      <c r="AG499" s="20"/>
      <c r="AH499" s="232"/>
    </row>
    <row r="500" spans="1:34" s="16" customFormat="1">
      <c r="A500" s="17"/>
      <c r="B500" s="17"/>
      <c r="C500" s="17"/>
      <c r="D500" s="17"/>
      <c r="E500" s="17"/>
      <c r="F500" s="302"/>
      <c r="G500" s="19"/>
      <c r="H500" s="64"/>
      <c r="I500" s="20"/>
      <c r="J500" s="68"/>
      <c r="K500" s="66"/>
      <c r="L500" s="66"/>
      <c r="M500" s="68"/>
      <c r="N500" s="68"/>
      <c r="O500" s="66"/>
      <c r="P500" s="66"/>
      <c r="Q500" s="66"/>
      <c r="R500" s="66"/>
      <c r="S500" s="68"/>
      <c r="T500" s="66"/>
      <c r="U500" s="66"/>
      <c r="V500" s="313"/>
      <c r="W500" s="314"/>
      <c r="X500" s="314"/>
      <c r="Y500" s="68"/>
      <c r="Z500" s="20"/>
      <c r="AA500" s="20"/>
      <c r="AB500" s="20"/>
      <c r="AC500" s="20"/>
      <c r="AD500" s="20"/>
      <c r="AE500" s="68"/>
      <c r="AF500" s="68"/>
      <c r="AG500" s="20"/>
      <c r="AH500" s="232"/>
    </row>
    <row r="501" spans="1:34" s="16" customFormat="1">
      <c r="A501" s="17"/>
      <c r="B501" s="17"/>
      <c r="C501" s="17"/>
      <c r="D501" s="17"/>
      <c r="E501" s="17"/>
      <c r="F501" s="302"/>
      <c r="G501" s="19"/>
      <c r="H501" s="64"/>
      <c r="I501" s="20"/>
      <c r="J501" s="68"/>
      <c r="K501" s="66"/>
      <c r="L501" s="66"/>
      <c r="M501" s="68"/>
      <c r="N501" s="68"/>
      <c r="O501" s="66"/>
      <c r="P501" s="66"/>
      <c r="Q501" s="66"/>
      <c r="R501" s="66"/>
      <c r="S501" s="68"/>
      <c r="T501" s="66"/>
      <c r="U501" s="66"/>
      <c r="V501" s="313"/>
      <c r="W501" s="314"/>
      <c r="X501" s="314"/>
      <c r="Y501" s="68"/>
      <c r="Z501" s="20"/>
      <c r="AA501" s="20"/>
      <c r="AB501" s="20"/>
      <c r="AC501" s="20"/>
      <c r="AD501" s="20"/>
      <c r="AE501" s="68"/>
      <c r="AF501" s="68"/>
      <c r="AG501" s="20"/>
      <c r="AH501" s="232"/>
    </row>
    <row r="502" spans="1:34" s="16" customFormat="1">
      <c r="A502" s="17"/>
      <c r="B502" s="17"/>
      <c r="C502" s="17"/>
      <c r="D502" s="17"/>
      <c r="E502" s="17"/>
      <c r="F502" s="302"/>
      <c r="G502" s="19"/>
      <c r="H502" s="64"/>
      <c r="I502" s="20"/>
      <c r="J502" s="68"/>
      <c r="K502" s="66"/>
      <c r="L502" s="66"/>
      <c r="M502" s="68"/>
      <c r="N502" s="68"/>
      <c r="O502" s="66"/>
      <c r="P502" s="66"/>
      <c r="Q502" s="66"/>
      <c r="R502" s="66"/>
      <c r="S502" s="68"/>
      <c r="T502" s="66"/>
      <c r="U502" s="66"/>
      <c r="V502" s="313"/>
      <c r="W502" s="314"/>
      <c r="X502" s="314"/>
      <c r="Y502" s="68"/>
      <c r="Z502" s="20"/>
      <c r="AA502" s="20"/>
      <c r="AB502" s="20"/>
      <c r="AC502" s="20"/>
      <c r="AD502" s="20"/>
      <c r="AE502" s="68"/>
      <c r="AF502" s="68"/>
      <c r="AG502" s="20"/>
      <c r="AH502" s="232"/>
    </row>
    <row r="503" spans="1:34" s="16" customFormat="1">
      <c r="A503" s="17"/>
      <c r="B503" s="17"/>
      <c r="C503" s="17"/>
      <c r="D503" s="17"/>
      <c r="E503" s="17"/>
      <c r="F503" s="302"/>
      <c r="G503" s="19"/>
      <c r="H503" s="64"/>
      <c r="I503" s="20"/>
      <c r="J503" s="68"/>
      <c r="K503" s="66"/>
      <c r="L503" s="66"/>
      <c r="M503" s="68"/>
      <c r="N503" s="68"/>
      <c r="O503" s="66"/>
      <c r="P503" s="66"/>
      <c r="Q503" s="66"/>
      <c r="R503" s="66"/>
      <c r="S503" s="68"/>
      <c r="T503" s="66"/>
      <c r="U503" s="66"/>
      <c r="V503" s="313"/>
      <c r="W503" s="314"/>
      <c r="X503" s="314"/>
      <c r="Y503" s="68"/>
      <c r="Z503" s="20"/>
      <c r="AA503" s="20"/>
      <c r="AB503" s="20"/>
      <c r="AC503" s="20"/>
      <c r="AD503" s="20"/>
      <c r="AE503" s="68"/>
      <c r="AF503" s="68"/>
      <c r="AG503" s="20"/>
      <c r="AH503" s="232"/>
    </row>
    <row r="504" spans="1:34" s="16" customFormat="1">
      <c r="A504" s="17"/>
      <c r="B504" s="17"/>
      <c r="C504" s="17"/>
      <c r="D504" s="17"/>
      <c r="E504" s="17"/>
      <c r="F504" s="302"/>
      <c r="G504" s="19"/>
      <c r="H504" s="64"/>
      <c r="I504" s="20"/>
      <c r="J504" s="68"/>
      <c r="K504" s="66"/>
      <c r="L504" s="66"/>
      <c r="M504" s="68"/>
      <c r="N504" s="68"/>
      <c r="O504" s="66"/>
      <c r="P504" s="66"/>
      <c r="Q504" s="66"/>
      <c r="R504" s="66"/>
      <c r="S504" s="68"/>
      <c r="T504" s="66"/>
      <c r="U504" s="66"/>
      <c r="V504" s="313"/>
      <c r="W504" s="314"/>
      <c r="X504" s="314"/>
      <c r="Y504" s="68"/>
      <c r="Z504" s="20"/>
      <c r="AA504" s="20"/>
      <c r="AB504" s="20"/>
      <c r="AC504" s="20"/>
      <c r="AD504" s="20"/>
      <c r="AE504" s="68"/>
      <c r="AF504" s="68"/>
      <c r="AG504" s="20"/>
      <c r="AH504" s="232"/>
    </row>
    <row r="505" spans="1:34" s="16" customFormat="1">
      <c r="A505" s="17"/>
      <c r="B505" s="17"/>
      <c r="C505" s="17"/>
      <c r="D505" s="17"/>
      <c r="E505" s="17"/>
      <c r="F505" s="302"/>
      <c r="G505" s="19"/>
      <c r="H505" s="64"/>
      <c r="I505" s="20"/>
      <c r="J505" s="68"/>
      <c r="K505" s="66"/>
      <c r="L505" s="66"/>
      <c r="M505" s="68"/>
      <c r="N505" s="68"/>
      <c r="O505" s="66"/>
      <c r="P505" s="66"/>
      <c r="Q505" s="66"/>
      <c r="R505" s="66"/>
      <c r="S505" s="68"/>
      <c r="T505" s="66"/>
      <c r="U505" s="66"/>
      <c r="V505" s="313"/>
      <c r="W505" s="314"/>
      <c r="X505" s="314"/>
      <c r="Y505" s="68"/>
      <c r="Z505" s="20"/>
      <c r="AA505" s="20"/>
      <c r="AB505" s="20"/>
      <c r="AC505" s="20"/>
      <c r="AD505" s="20"/>
      <c r="AE505" s="68"/>
      <c r="AF505" s="68"/>
      <c r="AG505" s="20"/>
      <c r="AH505" s="232"/>
    </row>
    <row r="506" spans="1:34" s="16" customFormat="1">
      <c r="A506" s="17"/>
      <c r="B506" s="17"/>
      <c r="C506" s="17"/>
      <c r="D506" s="17"/>
      <c r="E506" s="17"/>
      <c r="F506" s="302"/>
      <c r="G506" s="19"/>
      <c r="H506" s="64"/>
      <c r="I506" s="20"/>
      <c r="J506" s="68"/>
      <c r="K506" s="66"/>
      <c r="L506" s="66"/>
      <c r="M506" s="68"/>
      <c r="N506" s="68"/>
      <c r="O506" s="66"/>
      <c r="P506" s="66"/>
      <c r="Q506" s="66"/>
      <c r="R506" s="66"/>
      <c r="S506" s="68"/>
      <c r="T506" s="66"/>
      <c r="U506" s="66"/>
      <c r="V506" s="313"/>
      <c r="W506" s="314"/>
      <c r="X506" s="314"/>
      <c r="Y506" s="68"/>
      <c r="Z506" s="20"/>
      <c r="AA506" s="20"/>
      <c r="AB506" s="20"/>
      <c r="AC506" s="20"/>
      <c r="AD506" s="20"/>
      <c r="AE506" s="68"/>
      <c r="AF506" s="68"/>
      <c r="AG506" s="20"/>
      <c r="AH506" s="232"/>
    </row>
    <row r="507" spans="1:34" s="16" customFormat="1">
      <c r="A507" s="17"/>
      <c r="B507" s="17"/>
      <c r="C507" s="17"/>
      <c r="D507" s="17"/>
      <c r="E507" s="17"/>
      <c r="F507" s="302"/>
      <c r="G507" s="19"/>
      <c r="H507" s="64"/>
      <c r="I507" s="20"/>
      <c r="J507" s="68"/>
      <c r="K507" s="66"/>
      <c r="L507" s="66"/>
      <c r="M507" s="68"/>
      <c r="N507" s="68"/>
      <c r="O507" s="66"/>
      <c r="P507" s="66"/>
      <c r="Q507" s="66"/>
      <c r="R507" s="66"/>
      <c r="S507" s="68"/>
      <c r="T507" s="66"/>
      <c r="U507" s="66"/>
      <c r="V507" s="313"/>
      <c r="W507" s="314"/>
      <c r="X507" s="314"/>
      <c r="Y507" s="68"/>
      <c r="Z507" s="20"/>
      <c r="AA507" s="20"/>
      <c r="AB507" s="20"/>
      <c r="AC507" s="20"/>
      <c r="AD507" s="20"/>
      <c r="AE507" s="68"/>
      <c r="AF507" s="68"/>
      <c r="AG507" s="20"/>
      <c r="AH507" s="232"/>
    </row>
    <row r="508" spans="1:34" s="16" customFormat="1">
      <c r="A508" s="17"/>
      <c r="B508" s="17"/>
      <c r="C508" s="17"/>
      <c r="D508" s="17"/>
      <c r="E508" s="17"/>
      <c r="F508" s="302"/>
      <c r="G508" s="19"/>
      <c r="H508" s="64"/>
      <c r="I508" s="20"/>
      <c r="J508" s="68"/>
      <c r="K508" s="66"/>
      <c r="L508" s="66"/>
      <c r="M508" s="68"/>
      <c r="N508" s="68"/>
      <c r="O508" s="66"/>
      <c r="P508" s="66"/>
      <c r="Q508" s="66"/>
      <c r="R508" s="66"/>
      <c r="S508" s="68"/>
      <c r="T508" s="66"/>
      <c r="U508" s="66"/>
      <c r="V508" s="313"/>
      <c r="W508" s="314"/>
      <c r="X508" s="314"/>
      <c r="Y508" s="68"/>
      <c r="Z508" s="20"/>
      <c r="AA508" s="20"/>
      <c r="AB508" s="20"/>
      <c r="AC508" s="20"/>
      <c r="AD508" s="20"/>
      <c r="AE508" s="68"/>
      <c r="AF508" s="68"/>
      <c r="AG508" s="20"/>
      <c r="AH508" s="232"/>
    </row>
    <row r="509" spans="1:34" s="16" customFormat="1">
      <c r="A509" s="17"/>
      <c r="B509" s="17"/>
      <c r="C509" s="17"/>
      <c r="D509" s="17"/>
      <c r="E509" s="17"/>
      <c r="F509" s="302"/>
      <c r="G509" s="19"/>
      <c r="H509" s="64"/>
      <c r="I509" s="20"/>
      <c r="J509" s="68"/>
      <c r="K509" s="66"/>
      <c r="L509" s="66"/>
      <c r="M509" s="68"/>
      <c r="N509" s="68"/>
      <c r="O509" s="66"/>
      <c r="P509" s="66"/>
      <c r="Q509" s="66"/>
      <c r="R509" s="66"/>
      <c r="S509" s="68"/>
      <c r="T509" s="66"/>
      <c r="U509" s="66"/>
      <c r="V509" s="313"/>
      <c r="W509" s="314"/>
      <c r="X509" s="314"/>
      <c r="Y509" s="68"/>
      <c r="Z509" s="20"/>
      <c r="AA509" s="20"/>
      <c r="AB509" s="20"/>
      <c r="AC509" s="20"/>
      <c r="AD509" s="20"/>
      <c r="AE509" s="68"/>
      <c r="AF509" s="68"/>
      <c r="AG509" s="20"/>
      <c r="AH509" s="232"/>
    </row>
    <row r="510" spans="1:34" s="16" customFormat="1">
      <c r="A510" s="17"/>
      <c r="B510" s="17"/>
      <c r="C510" s="17"/>
      <c r="D510" s="17"/>
      <c r="E510" s="17"/>
      <c r="F510" s="302"/>
      <c r="G510" s="19"/>
      <c r="H510" s="64"/>
      <c r="I510" s="20"/>
      <c r="J510" s="68"/>
      <c r="K510" s="66"/>
      <c r="L510" s="66"/>
      <c r="M510" s="68"/>
      <c r="N510" s="68"/>
      <c r="O510" s="66"/>
      <c r="P510" s="66"/>
      <c r="Q510" s="66"/>
      <c r="R510" s="66"/>
      <c r="S510" s="68"/>
      <c r="T510" s="66"/>
      <c r="U510" s="66"/>
      <c r="V510" s="313"/>
      <c r="W510" s="314"/>
      <c r="X510" s="314"/>
      <c r="Y510" s="68"/>
      <c r="Z510" s="20"/>
      <c r="AA510" s="20"/>
      <c r="AB510" s="20"/>
      <c r="AC510" s="20"/>
      <c r="AD510" s="20"/>
      <c r="AE510" s="68"/>
      <c r="AF510" s="68"/>
      <c r="AG510" s="20"/>
      <c r="AH510" s="232"/>
    </row>
    <row r="511" spans="1:34" s="16" customFormat="1">
      <c r="A511" s="17"/>
      <c r="B511" s="17"/>
      <c r="C511" s="17"/>
      <c r="D511" s="17"/>
      <c r="E511" s="17"/>
      <c r="F511" s="302"/>
      <c r="G511" s="19"/>
      <c r="H511" s="64"/>
      <c r="I511" s="20"/>
      <c r="J511" s="68"/>
      <c r="K511" s="66"/>
      <c r="L511" s="66"/>
      <c r="M511" s="68"/>
      <c r="N511" s="68"/>
      <c r="O511" s="66"/>
      <c r="P511" s="66"/>
      <c r="Q511" s="66"/>
      <c r="R511" s="66"/>
      <c r="S511" s="68"/>
      <c r="T511" s="66"/>
      <c r="U511" s="66"/>
      <c r="V511" s="313"/>
      <c r="W511" s="314"/>
      <c r="X511" s="314"/>
      <c r="Y511" s="68"/>
      <c r="Z511" s="20"/>
      <c r="AA511" s="20"/>
      <c r="AB511" s="20"/>
      <c r="AC511" s="20"/>
      <c r="AD511" s="20"/>
      <c r="AE511" s="68"/>
      <c r="AF511" s="68"/>
      <c r="AG511" s="20"/>
      <c r="AH511" s="232"/>
    </row>
    <row r="512" spans="1:34" s="16" customFormat="1">
      <c r="A512" s="17"/>
      <c r="B512" s="17"/>
      <c r="C512" s="17"/>
      <c r="D512" s="17"/>
      <c r="E512" s="17"/>
      <c r="F512" s="302"/>
      <c r="G512" s="19"/>
      <c r="H512" s="64"/>
      <c r="I512" s="20"/>
      <c r="J512" s="68"/>
      <c r="K512" s="66"/>
      <c r="L512" s="66"/>
      <c r="M512" s="68"/>
      <c r="N512" s="68"/>
      <c r="O512" s="66"/>
      <c r="P512" s="66"/>
      <c r="Q512" s="66"/>
      <c r="R512" s="66"/>
      <c r="S512" s="68"/>
      <c r="T512" s="66"/>
      <c r="U512" s="66"/>
      <c r="V512" s="313"/>
      <c r="W512" s="314"/>
      <c r="X512" s="314"/>
      <c r="Y512" s="68"/>
      <c r="Z512" s="20"/>
      <c r="AA512" s="20"/>
      <c r="AB512" s="20"/>
      <c r="AC512" s="20"/>
      <c r="AD512" s="20"/>
      <c r="AE512" s="68"/>
      <c r="AF512" s="68"/>
      <c r="AG512" s="20"/>
      <c r="AH512" s="232"/>
    </row>
  </sheetData>
  <sortState xmlns:xlrd2="http://schemas.microsoft.com/office/spreadsheetml/2017/richdata2" ref="A4:BC60">
    <sortCondition ref="B4:B60"/>
    <sortCondition ref="C4:C60"/>
    <sortCondition ref="D4:D60"/>
    <sortCondition ref="E4:E60"/>
  </sortState>
  <mergeCells count="3">
    <mergeCell ref="A1:AH1"/>
    <mergeCell ref="V2:AG2"/>
    <mergeCell ref="J2:U2"/>
  </mergeCells>
  <pageMargins left="0.25" right="0.25" top="0.75" bottom="0.75" header="0.3" footer="0.3"/>
  <pageSetup scale="48" fitToHeight="3" orientation="landscape" horizontalDpi="4294967292" verticalDpi="4294967292"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E86D8-BEC1-9D42-8AA1-810F6E841148}">
  <sheetPr>
    <pageSetUpPr fitToPage="1"/>
  </sheetPr>
  <dimension ref="A1:X2144"/>
  <sheetViews>
    <sheetView zoomScale="150" zoomScaleNormal="100" workbookViewId="0">
      <pane xSplit="25320" ySplit="5960" topLeftCell="N2060" activePane="bottomLeft"/>
      <selection activeCell="F6" sqref="F6"/>
      <selection pane="topRight" activeCell="W1" sqref="W1"/>
      <selection pane="bottomLeft" activeCell="E1698" sqref="E1698"/>
      <selection pane="bottomRight" activeCell="G1353" sqref="G1353"/>
    </sheetView>
  </sheetViews>
  <sheetFormatPr baseColWidth="10" defaultColWidth="20" defaultRowHeight="18"/>
  <cols>
    <col min="1" max="1" width="15" style="280" customWidth="1"/>
    <col min="2" max="2" width="15.83203125" style="280" customWidth="1"/>
    <col min="3" max="3" width="20" style="331" customWidth="1"/>
    <col min="4" max="4" width="14.5" style="282" customWidth="1"/>
    <col min="5" max="5" width="11" style="280" customWidth="1"/>
    <col min="6" max="6" width="15.5" style="280" customWidth="1"/>
    <col min="7" max="7" width="22.5" style="278" customWidth="1"/>
    <col min="8" max="9" width="11" style="280" customWidth="1"/>
    <col min="10" max="10" width="16.33203125" style="280" customWidth="1"/>
    <col min="11" max="11" width="16.5" style="280" customWidth="1"/>
    <col min="12" max="12" width="37.5" style="280" customWidth="1"/>
    <col min="13" max="13" width="7.33203125" style="280" customWidth="1"/>
    <col min="14" max="14" width="7" style="279" customWidth="1"/>
    <col min="15" max="15" width="7" style="280" customWidth="1"/>
    <col min="16" max="17" width="7" style="285" customWidth="1"/>
    <col min="18" max="18" width="7" style="280" customWidth="1"/>
    <col min="19" max="19" width="10.5" style="277" customWidth="1"/>
    <col min="20" max="20" width="73" style="280" customWidth="1"/>
    <col min="21" max="21" width="8.33203125" style="279" customWidth="1"/>
    <col min="22" max="22" width="8.33203125" style="283" customWidth="1"/>
    <col min="23" max="23" width="53" style="284" customWidth="1"/>
    <col min="24" max="16384" width="20" style="280"/>
  </cols>
  <sheetData>
    <row r="1" spans="1:23" s="370" customFormat="1" ht="57" customHeight="1">
      <c r="A1" s="375" t="s">
        <v>615</v>
      </c>
      <c r="B1" s="375"/>
      <c r="C1" s="377"/>
      <c r="D1" s="376"/>
      <c r="E1" s="375"/>
      <c r="F1" s="375"/>
      <c r="G1" s="375"/>
      <c r="H1" s="375"/>
      <c r="I1" s="375"/>
      <c r="J1" s="375"/>
      <c r="K1" s="375"/>
      <c r="L1" s="375"/>
      <c r="M1" s="375"/>
      <c r="N1" s="378"/>
      <c r="O1" s="375"/>
      <c r="P1" s="445"/>
      <c r="Q1" s="445"/>
      <c r="R1" s="375"/>
      <c r="S1" s="446"/>
      <c r="T1" s="375"/>
      <c r="U1" s="378"/>
      <c r="V1" s="379"/>
      <c r="W1" s="447"/>
    </row>
    <row r="2" spans="1:23" s="328" customFormat="1" ht="119">
      <c r="A2" s="242" t="s">
        <v>430</v>
      </c>
      <c r="B2" s="242" t="s">
        <v>431</v>
      </c>
      <c r="C2" s="243" t="s">
        <v>616</v>
      </c>
      <c r="D2" s="242" t="s">
        <v>617</v>
      </c>
      <c r="E2" s="243" t="s">
        <v>618</v>
      </c>
      <c r="F2" s="242" t="s">
        <v>619</v>
      </c>
      <c r="G2" s="243" t="s">
        <v>620</v>
      </c>
      <c r="H2" s="243" t="s">
        <v>621</v>
      </c>
      <c r="I2" s="242" t="s">
        <v>622</v>
      </c>
      <c r="J2" s="242" t="s">
        <v>623</v>
      </c>
      <c r="K2" s="243" t="s">
        <v>624</v>
      </c>
      <c r="L2" s="242" t="s">
        <v>625</v>
      </c>
      <c r="M2" s="242" t="s">
        <v>626</v>
      </c>
      <c r="N2" s="448" t="s">
        <v>627</v>
      </c>
      <c r="O2" s="449" t="s">
        <v>628</v>
      </c>
      <c r="P2" s="450" t="s">
        <v>629</v>
      </c>
      <c r="Q2" s="450" t="s">
        <v>630</v>
      </c>
      <c r="R2" s="449" t="s">
        <v>631</v>
      </c>
      <c r="S2" s="451" t="s">
        <v>632</v>
      </c>
      <c r="T2" s="242" t="s">
        <v>633</v>
      </c>
      <c r="U2" s="452" t="s">
        <v>634</v>
      </c>
      <c r="V2" s="453" t="s">
        <v>70</v>
      </c>
      <c r="W2" s="243" t="s">
        <v>635</v>
      </c>
    </row>
    <row r="3" spans="1:23" ht="21" customHeight="1">
      <c r="A3" s="103" t="s">
        <v>601</v>
      </c>
      <c r="B3" s="103" t="s">
        <v>602</v>
      </c>
      <c r="C3" s="421" t="s">
        <v>1120</v>
      </c>
      <c r="D3" s="105" t="s">
        <v>151</v>
      </c>
      <c r="E3" s="103">
        <v>31030</v>
      </c>
      <c r="F3" s="103">
        <v>22</v>
      </c>
      <c r="G3" s="103" t="s">
        <v>1463</v>
      </c>
      <c r="H3" s="103" t="s">
        <v>1464</v>
      </c>
      <c r="I3" s="104" t="s">
        <v>104</v>
      </c>
      <c r="J3" s="103" t="s">
        <v>105</v>
      </c>
      <c r="K3" s="103" t="s">
        <v>121</v>
      </c>
      <c r="L3" s="103" t="s">
        <v>1041</v>
      </c>
      <c r="M3" s="103" t="s">
        <v>114</v>
      </c>
      <c r="N3" s="103">
        <v>12</v>
      </c>
      <c r="O3" s="103"/>
      <c r="P3" s="103">
        <v>20.5</v>
      </c>
      <c r="Q3" s="103">
        <v>20.100000000000001</v>
      </c>
      <c r="R3" s="103"/>
      <c r="S3" s="253">
        <f>(10^(((LOG(P3))*2.6454)+0.2538))</f>
        <v>5295.5815943516973</v>
      </c>
      <c r="T3" s="104" t="s">
        <v>1143</v>
      </c>
      <c r="U3" s="108">
        <v>0.96</v>
      </c>
      <c r="V3" s="107">
        <v>19</v>
      </c>
      <c r="W3" s="106" t="s">
        <v>1144</v>
      </c>
    </row>
    <row r="4" spans="1:23" ht="21" customHeight="1">
      <c r="A4" s="104" t="s">
        <v>273</v>
      </c>
      <c r="B4" s="104" t="s">
        <v>76</v>
      </c>
      <c r="C4" s="454" t="s">
        <v>344</v>
      </c>
      <c r="D4" s="105" t="s">
        <v>345</v>
      </c>
      <c r="E4" s="104" t="s">
        <v>185</v>
      </c>
      <c r="F4" s="104">
        <v>2801</v>
      </c>
      <c r="G4" s="106" t="s">
        <v>1276</v>
      </c>
      <c r="H4" s="104"/>
      <c r="I4" s="104" t="s">
        <v>289</v>
      </c>
      <c r="J4" s="104" t="s">
        <v>105</v>
      </c>
      <c r="K4" s="104" t="s">
        <v>290</v>
      </c>
      <c r="L4" s="104" t="s">
        <v>973</v>
      </c>
      <c r="M4" s="104" t="s">
        <v>292</v>
      </c>
      <c r="N4" s="108" t="s">
        <v>17</v>
      </c>
      <c r="O4" s="104" t="s">
        <v>17</v>
      </c>
      <c r="P4" s="108">
        <v>11.02</v>
      </c>
      <c r="Q4" s="108" t="s">
        <v>17</v>
      </c>
      <c r="R4" s="104" t="s">
        <v>17</v>
      </c>
      <c r="S4" s="253">
        <f>((10^(((LOG(P4*10))*3.142)+-2.44)))/1000</f>
        <v>9.4740259502816837</v>
      </c>
      <c r="T4" s="104" t="s">
        <v>1268</v>
      </c>
      <c r="U4" s="108">
        <v>0.86</v>
      </c>
      <c r="V4" s="107" t="s">
        <v>287</v>
      </c>
      <c r="W4" s="114" t="s">
        <v>105</v>
      </c>
    </row>
    <row r="5" spans="1:23" ht="21" customHeight="1">
      <c r="A5" s="104" t="s">
        <v>273</v>
      </c>
      <c r="B5" s="104" t="s">
        <v>76</v>
      </c>
      <c r="C5" s="454" t="s">
        <v>344</v>
      </c>
      <c r="D5" s="105" t="s">
        <v>345</v>
      </c>
      <c r="E5" s="104" t="s">
        <v>185</v>
      </c>
      <c r="F5" s="104">
        <v>2801</v>
      </c>
      <c r="G5" s="106" t="s">
        <v>1276</v>
      </c>
      <c r="H5" s="104"/>
      <c r="I5" s="104" t="s">
        <v>289</v>
      </c>
      <c r="J5" s="104" t="s">
        <v>105</v>
      </c>
      <c r="K5" s="104" t="s">
        <v>112</v>
      </c>
      <c r="L5" s="104" t="s">
        <v>663</v>
      </c>
      <c r="M5" s="104" t="s">
        <v>108</v>
      </c>
      <c r="N5" s="108" t="s">
        <v>17</v>
      </c>
      <c r="O5" s="104" t="s">
        <v>17</v>
      </c>
      <c r="P5" s="108">
        <v>1.0640000000000001</v>
      </c>
      <c r="Q5" s="108" t="s">
        <v>17</v>
      </c>
      <c r="R5" s="104" t="s">
        <v>17</v>
      </c>
      <c r="S5" s="253">
        <f>10^(((LOG(P5*10))*3.05)+-2.15)</f>
        <v>9.59780595500043</v>
      </c>
      <c r="T5" s="104" t="s">
        <v>1271</v>
      </c>
      <c r="U5" s="108">
        <v>0.9</v>
      </c>
      <c r="V5" s="107">
        <v>28</v>
      </c>
      <c r="W5" s="114" t="s">
        <v>1272</v>
      </c>
    </row>
    <row r="6" spans="1:23" ht="21" customHeight="1">
      <c r="A6" s="104" t="s">
        <v>273</v>
      </c>
      <c r="B6" s="104" t="s">
        <v>74</v>
      </c>
      <c r="C6" s="454" t="s">
        <v>266</v>
      </c>
      <c r="D6" s="105" t="s">
        <v>267</v>
      </c>
      <c r="E6" s="104" t="s">
        <v>185</v>
      </c>
      <c r="F6" s="104">
        <v>10092</v>
      </c>
      <c r="G6" s="106" t="s">
        <v>296</v>
      </c>
      <c r="H6" s="104"/>
      <c r="I6" s="104" t="s">
        <v>289</v>
      </c>
      <c r="J6" s="104" t="s">
        <v>105</v>
      </c>
      <c r="K6" s="104" t="s">
        <v>112</v>
      </c>
      <c r="L6" s="104" t="s">
        <v>663</v>
      </c>
      <c r="M6" s="104" t="s">
        <v>108</v>
      </c>
      <c r="N6" s="108" t="s">
        <v>17</v>
      </c>
      <c r="O6" s="104" t="s">
        <v>17</v>
      </c>
      <c r="P6" s="108">
        <v>2.0100000000000002</v>
      </c>
      <c r="Q6" s="108" t="s">
        <v>17</v>
      </c>
      <c r="R6" s="104" t="s">
        <v>17</v>
      </c>
      <c r="S6" s="253">
        <v>12.256442955391888</v>
      </c>
      <c r="T6" s="104" t="s">
        <v>1167</v>
      </c>
      <c r="U6" s="108">
        <v>0.96</v>
      </c>
      <c r="V6" s="107">
        <v>12.4</v>
      </c>
      <c r="W6" s="114" t="s">
        <v>284</v>
      </c>
    </row>
    <row r="7" spans="1:23" ht="21" customHeight="1">
      <c r="A7" s="104" t="s">
        <v>579</v>
      </c>
      <c r="B7" s="104" t="s">
        <v>580</v>
      </c>
      <c r="C7" s="454" t="s">
        <v>585</v>
      </c>
      <c r="D7" s="105" t="s">
        <v>151</v>
      </c>
      <c r="E7" s="104" t="s">
        <v>185</v>
      </c>
      <c r="F7" s="104">
        <v>2630</v>
      </c>
      <c r="G7" s="106" t="s">
        <v>1375</v>
      </c>
      <c r="H7" s="104"/>
      <c r="I7" s="104" t="s">
        <v>289</v>
      </c>
      <c r="J7" s="104" t="s">
        <v>105</v>
      </c>
      <c r="K7" s="104" t="s">
        <v>710</v>
      </c>
      <c r="L7" s="104" t="s">
        <v>711</v>
      </c>
      <c r="M7" s="104" t="s">
        <v>114</v>
      </c>
      <c r="N7" s="108"/>
      <c r="O7" s="108"/>
      <c r="P7" s="108">
        <v>5.7549999999999999</v>
      </c>
      <c r="Q7" s="108"/>
      <c r="R7" s="108"/>
      <c r="S7" s="253">
        <f>(10^(2.418*LOG(P7*10)-1.221))/1000</f>
        <v>1.083401925275487</v>
      </c>
      <c r="T7" s="108" t="s">
        <v>1376</v>
      </c>
      <c r="U7" s="108">
        <v>0.97416631023660427</v>
      </c>
      <c r="V7" s="107">
        <v>22.748999999999999</v>
      </c>
      <c r="W7" s="106" t="s">
        <v>1347</v>
      </c>
    </row>
    <row r="8" spans="1:23" ht="21" customHeight="1">
      <c r="A8" s="104" t="s">
        <v>273</v>
      </c>
      <c r="B8" s="104" t="s">
        <v>534</v>
      </c>
      <c r="C8" s="454" t="s">
        <v>539</v>
      </c>
      <c r="D8" s="105" t="s">
        <v>540</v>
      </c>
      <c r="E8" s="104" t="s">
        <v>185</v>
      </c>
      <c r="F8" s="104">
        <v>2034</v>
      </c>
      <c r="G8" s="106" t="s">
        <v>1294</v>
      </c>
      <c r="H8" s="104"/>
      <c r="I8" s="104" t="s">
        <v>289</v>
      </c>
      <c r="J8" s="104" t="s">
        <v>105</v>
      </c>
      <c r="K8" s="104" t="s">
        <v>112</v>
      </c>
      <c r="L8" s="104" t="s">
        <v>663</v>
      </c>
      <c r="M8" s="104" t="s">
        <v>108</v>
      </c>
      <c r="N8" s="108" t="s">
        <v>17</v>
      </c>
      <c r="O8" s="104" t="s">
        <v>17</v>
      </c>
      <c r="P8" s="113">
        <v>0.82499999999999996</v>
      </c>
      <c r="Q8" s="113" t="s">
        <v>17</v>
      </c>
      <c r="R8" s="104" t="s">
        <v>17</v>
      </c>
      <c r="S8" s="253">
        <f>(10^((3.9287*LOG(P8*10))+-0.5516))/1000</f>
        <v>1.119109616559552</v>
      </c>
      <c r="T8" s="104" t="s">
        <v>1292</v>
      </c>
      <c r="U8" s="108">
        <v>0.81</v>
      </c>
      <c r="V8" s="107"/>
      <c r="W8" s="114" t="s">
        <v>1293</v>
      </c>
    </row>
    <row r="9" spans="1:23" ht="21" customHeight="1">
      <c r="A9" s="104" t="s">
        <v>273</v>
      </c>
      <c r="B9" s="104" t="s">
        <v>534</v>
      </c>
      <c r="C9" s="454" t="s">
        <v>539</v>
      </c>
      <c r="D9" s="105" t="s">
        <v>540</v>
      </c>
      <c r="E9" s="104" t="s">
        <v>185</v>
      </c>
      <c r="F9" s="104">
        <v>2034</v>
      </c>
      <c r="G9" s="106" t="s">
        <v>1294</v>
      </c>
      <c r="H9" s="104"/>
      <c r="I9" s="104" t="s">
        <v>289</v>
      </c>
      <c r="J9" s="104" t="s">
        <v>105</v>
      </c>
      <c r="K9" s="104" t="s">
        <v>290</v>
      </c>
      <c r="L9" s="104" t="s">
        <v>973</v>
      </c>
      <c r="M9" s="104" t="s">
        <v>292</v>
      </c>
      <c r="N9" s="108" t="s">
        <v>17</v>
      </c>
      <c r="O9" s="104" t="s">
        <v>17</v>
      </c>
      <c r="P9" s="113">
        <v>6.3979999999999997</v>
      </c>
      <c r="Q9" s="113" t="s">
        <v>17</v>
      </c>
      <c r="R9" s="104" t="s">
        <v>17</v>
      </c>
      <c r="S9" s="253">
        <f>(10^((3.39*LOG(P9*10))+-6.03))</f>
        <v>1.2373425824562354</v>
      </c>
      <c r="T9" s="103" t="s">
        <v>1295</v>
      </c>
      <c r="U9" s="108">
        <v>0.9</v>
      </c>
      <c r="V9" s="107">
        <v>40</v>
      </c>
      <c r="W9" s="114" t="s">
        <v>1296</v>
      </c>
    </row>
    <row r="10" spans="1:23" ht="21" customHeight="1">
      <c r="A10" s="104" t="s">
        <v>579</v>
      </c>
      <c r="B10" s="104" t="s">
        <v>580</v>
      </c>
      <c r="C10" s="454" t="s">
        <v>585</v>
      </c>
      <c r="D10" s="105" t="s">
        <v>151</v>
      </c>
      <c r="E10" s="104" t="s">
        <v>185</v>
      </c>
      <c r="F10" s="104">
        <v>2625</v>
      </c>
      <c r="G10" s="106" t="s">
        <v>1370</v>
      </c>
      <c r="H10" s="104"/>
      <c r="I10" s="104" t="s">
        <v>289</v>
      </c>
      <c r="J10" s="104" t="s">
        <v>105</v>
      </c>
      <c r="K10" s="104" t="s">
        <v>112</v>
      </c>
      <c r="L10" s="104" t="s">
        <v>663</v>
      </c>
      <c r="M10" s="104" t="s">
        <v>108</v>
      </c>
      <c r="N10" s="108"/>
      <c r="O10" s="108"/>
      <c r="P10" s="108">
        <v>0.2</v>
      </c>
      <c r="Q10" s="108" t="s">
        <v>17</v>
      </c>
      <c r="R10" s="108"/>
      <c r="S10" s="253">
        <f>(10^(3.353*LOG(P10*10)+1.807))/1000</f>
        <v>0.6551693549939348</v>
      </c>
      <c r="T10" s="108" t="s">
        <v>1346</v>
      </c>
      <c r="U10" s="108">
        <v>0.87005746936624828</v>
      </c>
      <c r="V10" s="107">
        <v>21.492000000000001</v>
      </c>
      <c r="W10" s="106" t="s">
        <v>1347</v>
      </c>
    </row>
    <row r="11" spans="1:23" ht="21" customHeight="1">
      <c r="A11" s="104" t="s">
        <v>579</v>
      </c>
      <c r="B11" s="104" t="s">
        <v>580</v>
      </c>
      <c r="C11" s="454" t="s">
        <v>585</v>
      </c>
      <c r="D11" s="105" t="s">
        <v>151</v>
      </c>
      <c r="E11" s="104" t="s">
        <v>185</v>
      </c>
      <c r="F11" s="104">
        <v>2626</v>
      </c>
      <c r="G11" s="106" t="s">
        <v>1370</v>
      </c>
      <c r="H11" s="104"/>
      <c r="I11" s="104" t="s">
        <v>289</v>
      </c>
      <c r="J11" s="104" t="s">
        <v>105</v>
      </c>
      <c r="K11" s="104" t="s">
        <v>112</v>
      </c>
      <c r="L11" s="104" t="s">
        <v>663</v>
      </c>
      <c r="M11" s="104" t="s">
        <v>108</v>
      </c>
      <c r="N11" s="108"/>
      <c r="O11" s="108"/>
      <c r="P11" s="108">
        <v>0.32300000000000001</v>
      </c>
      <c r="Q11" s="108" t="s">
        <v>17</v>
      </c>
      <c r="R11" s="108"/>
      <c r="S11" s="253">
        <f>(10^(3.353*LOG(P11*10)+1.807))/1000</f>
        <v>3.268556957818368</v>
      </c>
      <c r="T11" s="108" t="s">
        <v>1346</v>
      </c>
      <c r="U11" s="108">
        <v>0.87005746936624828</v>
      </c>
      <c r="V11" s="107">
        <v>21.492000000000001</v>
      </c>
      <c r="W11" s="106" t="s">
        <v>1347</v>
      </c>
    </row>
    <row r="12" spans="1:23" ht="21" customHeight="1">
      <c r="A12" s="104" t="s">
        <v>579</v>
      </c>
      <c r="B12" s="104" t="s">
        <v>580</v>
      </c>
      <c r="C12" s="454" t="s">
        <v>585</v>
      </c>
      <c r="D12" s="105" t="s">
        <v>151</v>
      </c>
      <c r="E12" s="104" t="s">
        <v>185</v>
      </c>
      <c r="F12" s="104">
        <v>3903</v>
      </c>
      <c r="G12" s="106" t="s">
        <v>1377</v>
      </c>
      <c r="H12" s="104"/>
      <c r="I12" s="104" t="s">
        <v>289</v>
      </c>
      <c r="J12" s="104" t="s">
        <v>105</v>
      </c>
      <c r="K12" s="104" t="s">
        <v>112</v>
      </c>
      <c r="L12" s="104" t="s">
        <v>663</v>
      </c>
      <c r="M12" s="104" t="s">
        <v>108</v>
      </c>
      <c r="N12" s="108"/>
      <c r="O12" s="108"/>
      <c r="P12" s="108">
        <v>0.253</v>
      </c>
      <c r="Q12" s="108" t="s">
        <v>17</v>
      </c>
      <c r="R12" s="108"/>
      <c r="S12" s="253">
        <f>(10^(3.353*LOG(P12*10)+1.807))/1000</f>
        <v>1.4409971023335151</v>
      </c>
      <c r="T12" s="108" t="s">
        <v>1346</v>
      </c>
      <c r="U12" s="108">
        <v>0.87005746936624828</v>
      </c>
      <c r="V12" s="107">
        <v>21.492000000000001</v>
      </c>
      <c r="W12" s="106" t="s">
        <v>1347</v>
      </c>
    </row>
    <row r="13" spans="1:23" ht="21" customHeight="1">
      <c r="A13" s="104" t="s">
        <v>579</v>
      </c>
      <c r="B13" s="104" t="s">
        <v>580</v>
      </c>
      <c r="C13" s="454" t="s">
        <v>581</v>
      </c>
      <c r="D13" s="105" t="s">
        <v>151</v>
      </c>
      <c r="E13" s="104" t="s">
        <v>185</v>
      </c>
      <c r="F13" s="104">
        <v>3589</v>
      </c>
      <c r="G13" s="106" t="s">
        <v>1355</v>
      </c>
      <c r="H13" s="104"/>
      <c r="I13" s="104" t="s">
        <v>289</v>
      </c>
      <c r="J13" s="104" t="s">
        <v>105</v>
      </c>
      <c r="K13" s="104" t="s">
        <v>112</v>
      </c>
      <c r="L13" s="104" t="s">
        <v>663</v>
      </c>
      <c r="M13" s="104" t="s">
        <v>108</v>
      </c>
      <c r="N13" s="108"/>
      <c r="O13" s="108"/>
      <c r="P13" s="108">
        <v>0.311</v>
      </c>
      <c r="Q13" s="108" t="s">
        <v>17</v>
      </c>
      <c r="R13" s="108"/>
      <c r="S13" s="253">
        <f>(10^(3.353*LOG(P13*10)+1.807))/1000</f>
        <v>2.8788934022394086</v>
      </c>
      <c r="T13" s="108" t="s">
        <v>1346</v>
      </c>
      <c r="U13" s="108">
        <v>0.87005746936624828</v>
      </c>
      <c r="V13" s="107">
        <v>21.492000000000001</v>
      </c>
      <c r="W13" s="106" t="s">
        <v>1347</v>
      </c>
    </row>
    <row r="14" spans="1:23" ht="21" customHeight="1">
      <c r="A14" s="104" t="s">
        <v>579</v>
      </c>
      <c r="B14" s="104" t="s">
        <v>580</v>
      </c>
      <c r="C14" s="454" t="s">
        <v>585</v>
      </c>
      <c r="D14" s="105" t="s">
        <v>151</v>
      </c>
      <c r="E14" s="104" t="s">
        <v>185</v>
      </c>
      <c r="F14" s="104">
        <v>3588</v>
      </c>
      <c r="G14" s="106" t="s">
        <v>1355</v>
      </c>
      <c r="H14" s="104"/>
      <c r="I14" s="104" t="s">
        <v>289</v>
      </c>
      <c r="J14" s="104" t="s">
        <v>105</v>
      </c>
      <c r="K14" s="104" t="s">
        <v>112</v>
      </c>
      <c r="L14" s="104" t="s">
        <v>663</v>
      </c>
      <c r="M14" s="104" t="s">
        <v>108</v>
      </c>
      <c r="N14" s="108"/>
      <c r="O14" s="108"/>
      <c r="P14" s="108">
        <v>0.22500000000000001</v>
      </c>
      <c r="Q14" s="108" t="s">
        <v>17</v>
      </c>
      <c r="R14" s="108"/>
      <c r="S14" s="253">
        <f>(10^(3.353*LOG(P14*10)+1.807))/1000</f>
        <v>0.97245157315744102</v>
      </c>
      <c r="T14" s="108" t="s">
        <v>1346</v>
      </c>
      <c r="U14" s="108">
        <v>0.87005746936624828</v>
      </c>
      <c r="V14" s="107">
        <v>21.492000000000001</v>
      </c>
      <c r="W14" s="106" t="s">
        <v>1347</v>
      </c>
    </row>
    <row r="15" spans="1:23" ht="21" customHeight="1">
      <c r="A15" s="104" t="s">
        <v>273</v>
      </c>
      <c r="B15" s="104" t="s">
        <v>74</v>
      </c>
      <c r="C15" s="454" t="s">
        <v>266</v>
      </c>
      <c r="D15" s="105" t="s">
        <v>505</v>
      </c>
      <c r="E15" s="104" t="s">
        <v>185</v>
      </c>
      <c r="F15" s="104">
        <v>7321</v>
      </c>
      <c r="G15" s="106" t="s">
        <v>1234</v>
      </c>
      <c r="H15" s="104"/>
      <c r="I15" s="104" t="s">
        <v>289</v>
      </c>
      <c r="J15" s="104" t="s">
        <v>105</v>
      </c>
      <c r="K15" s="104" t="s">
        <v>155</v>
      </c>
      <c r="L15" s="104" t="s">
        <v>658</v>
      </c>
      <c r="M15" s="104" t="s">
        <v>114</v>
      </c>
      <c r="N15" s="108" t="s">
        <v>17</v>
      </c>
      <c r="O15" s="104" t="s">
        <v>17</v>
      </c>
      <c r="P15" s="108">
        <v>1.3699999999999999</v>
      </c>
      <c r="Q15" s="108" t="s">
        <v>17</v>
      </c>
      <c r="R15" s="104" t="s">
        <v>17</v>
      </c>
      <c r="S15" s="253">
        <f>((10^(((LOG((P15*10)))*2.5447)+1.4669)))/1000</f>
        <v>22.882992973691806</v>
      </c>
      <c r="T15" s="104" t="s">
        <v>1152</v>
      </c>
      <c r="U15" s="108">
        <v>0.88</v>
      </c>
      <c r="V15" s="107" t="s">
        <v>287</v>
      </c>
      <c r="W15" s="114" t="s">
        <v>410</v>
      </c>
    </row>
    <row r="16" spans="1:23" ht="21" customHeight="1">
      <c r="A16" s="104" t="s">
        <v>218</v>
      </c>
      <c r="B16" s="104" t="s">
        <v>193</v>
      </c>
      <c r="C16" s="454" t="s">
        <v>235</v>
      </c>
      <c r="D16" s="105" t="s">
        <v>151</v>
      </c>
      <c r="E16" s="104">
        <v>31141</v>
      </c>
      <c r="F16" s="104">
        <v>22</v>
      </c>
      <c r="G16" s="106" t="s">
        <v>669</v>
      </c>
      <c r="H16" s="104" t="s">
        <v>111</v>
      </c>
      <c r="I16" s="104" t="s">
        <v>104</v>
      </c>
      <c r="J16" s="104" t="s">
        <v>105</v>
      </c>
      <c r="K16" s="104" t="s">
        <v>126</v>
      </c>
      <c r="L16" s="104" t="s">
        <v>636</v>
      </c>
      <c r="M16" s="104" t="s">
        <v>108</v>
      </c>
      <c r="N16" s="113" t="s">
        <v>17</v>
      </c>
      <c r="O16" s="104" t="s">
        <v>17</v>
      </c>
      <c r="P16" s="108">
        <v>1.9159999999999999</v>
      </c>
      <c r="Q16" s="108">
        <v>0.94700000000000006</v>
      </c>
      <c r="R16" s="104" t="s">
        <v>17</v>
      </c>
      <c r="S16" s="253">
        <f>(10^((3.35*LOG((P16*10))+0.35)))/1000</f>
        <v>44.261379028575547</v>
      </c>
      <c r="T16" s="104" t="s">
        <v>637</v>
      </c>
      <c r="U16" s="108">
        <v>0.93</v>
      </c>
      <c r="V16" s="107">
        <v>47.2</v>
      </c>
      <c r="W16" s="106" t="s">
        <v>638</v>
      </c>
    </row>
    <row r="17" spans="1:23" ht="21" customHeight="1">
      <c r="A17" s="104" t="s">
        <v>218</v>
      </c>
      <c r="B17" s="104" t="s">
        <v>193</v>
      </c>
      <c r="C17" s="454" t="s">
        <v>235</v>
      </c>
      <c r="D17" s="105" t="s">
        <v>151</v>
      </c>
      <c r="E17" s="104">
        <v>31141</v>
      </c>
      <c r="F17" s="104">
        <v>34</v>
      </c>
      <c r="G17" s="106" t="s">
        <v>669</v>
      </c>
      <c r="H17" s="104" t="s">
        <v>111</v>
      </c>
      <c r="I17" s="104" t="s">
        <v>104</v>
      </c>
      <c r="J17" s="104" t="s">
        <v>105</v>
      </c>
      <c r="K17" s="104" t="s">
        <v>143</v>
      </c>
      <c r="L17" s="104" t="s">
        <v>408</v>
      </c>
      <c r="M17" s="104" t="s">
        <v>114</v>
      </c>
      <c r="N17" s="113" t="s">
        <v>17</v>
      </c>
      <c r="O17" s="104" t="s">
        <v>17</v>
      </c>
      <c r="P17" s="108">
        <v>1.7739999999999998</v>
      </c>
      <c r="Q17" s="108">
        <v>1.105</v>
      </c>
      <c r="R17" s="104" t="s">
        <v>17</v>
      </c>
      <c r="S17" s="253">
        <f>(((10^((3.34*LOG((P17*10))+0.73)))))/1000</f>
        <v>79.708580636409252</v>
      </c>
      <c r="T17" s="104" t="s">
        <v>643</v>
      </c>
      <c r="U17" s="108">
        <v>94</v>
      </c>
      <c r="V17" s="107">
        <v>39.9</v>
      </c>
      <c r="W17" s="106" t="s">
        <v>644</v>
      </c>
    </row>
    <row r="18" spans="1:23" ht="21" customHeight="1">
      <c r="A18" s="104" t="s">
        <v>218</v>
      </c>
      <c r="B18" s="104" t="s">
        <v>389</v>
      </c>
      <c r="C18" s="454" t="s">
        <v>390</v>
      </c>
      <c r="D18" s="105" t="s">
        <v>151</v>
      </c>
      <c r="E18" s="104">
        <v>31141</v>
      </c>
      <c r="F18" s="104">
        <v>49</v>
      </c>
      <c r="G18" s="106" t="s">
        <v>669</v>
      </c>
      <c r="H18" s="104" t="s">
        <v>111</v>
      </c>
      <c r="I18" s="104" t="s">
        <v>104</v>
      </c>
      <c r="J18" s="104" t="s">
        <v>105</v>
      </c>
      <c r="K18" s="104" t="s">
        <v>155</v>
      </c>
      <c r="L18" s="104" t="s">
        <v>658</v>
      </c>
      <c r="M18" s="104" t="s">
        <v>114</v>
      </c>
      <c r="N18" s="108"/>
      <c r="O18" s="104"/>
      <c r="P18" s="108">
        <v>3.0750000000000002</v>
      </c>
      <c r="Q18" s="108">
        <v>1.8239999999999998</v>
      </c>
      <c r="R18" s="104" t="s">
        <v>17</v>
      </c>
      <c r="S18" s="113">
        <f>(10^((3.13*LOG((P18*10))+1.17)))/1000</f>
        <v>671.35963482284262</v>
      </c>
      <c r="T18" s="104" t="s">
        <v>703</v>
      </c>
      <c r="U18" s="108">
        <v>0.9</v>
      </c>
      <c r="V18" s="107">
        <v>39.799999999999997</v>
      </c>
      <c r="W18" s="106" t="s">
        <v>704</v>
      </c>
    </row>
    <row r="19" spans="1:23" ht="21" customHeight="1">
      <c r="A19" s="104" t="s">
        <v>218</v>
      </c>
      <c r="B19" s="104" t="s">
        <v>202</v>
      </c>
      <c r="C19" s="454" t="s">
        <v>203</v>
      </c>
      <c r="D19" s="105" t="s">
        <v>204</v>
      </c>
      <c r="E19" s="104">
        <v>31141</v>
      </c>
      <c r="F19" s="104">
        <v>2375</v>
      </c>
      <c r="G19" s="106" t="s">
        <v>669</v>
      </c>
      <c r="H19" s="104" t="s">
        <v>111</v>
      </c>
      <c r="I19" s="104" t="s">
        <v>104</v>
      </c>
      <c r="J19" s="104" t="s">
        <v>105</v>
      </c>
      <c r="K19" s="104" t="s">
        <v>981</v>
      </c>
      <c r="L19" s="104" t="s">
        <v>636</v>
      </c>
      <c r="M19" s="104" t="s">
        <v>114</v>
      </c>
      <c r="N19" s="108" t="s">
        <v>17</v>
      </c>
      <c r="O19" s="104" t="s">
        <v>17</v>
      </c>
      <c r="P19" s="113">
        <v>5.274</v>
      </c>
      <c r="Q19" s="113">
        <v>1.94</v>
      </c>
      <c r="R19" s="104" t="s">
        <v>17</v>
      </c>
      <c r="S19" s="253">
        <f>(10^((3.19*LOG((P19*10))+0.51)))/1000</f>
        <v>1008.3864474797031</v>
      </c>
      <c r="T19" s="104" t="s">
        <v>979</v>
      </c>
      <c r="U19" s="108">
        <v>0.9</v>
      </c>
      <c r="V19" s="107">
        <v>39.4</v>
      </c>
      <c r="W19" s="106" t="s">
        <v>982</v>
      </c>
    </row>
    <row r="20" spans="1:23" ht="21" customHeight="1">
      <c r="A20" s="104" t="s">
        <v>218</v>
      </c>
      <c r="B20" s="104" t="s">
        <v>202</v>
      </c>
      <c r="C20" s="454" t="s">
        <v>203</v>
      </c>
      <c r="D20" s="105" t="s">
        <v>204</v>
      </c>
      <c r="E20" s="104">
        <v>31141</v>
      </c>
      <c r="F20" s="104">
        <v>95</v>
      </c>
      <c r="G20" s="106" t="s">
        <v>669</v>
      </c>
      <c r="H20" s="104" t="s">
        <v>111</v>
      </c>
      <c r="I20" s="104" t="s">
        <v>104</v>
      </c>
      <c r="J20" s="104" t="s">
        <v>105</v>
      </c>
      <c r="K20" s="104" t="s">
        <v>962</v>
      </c>
      <c r="L20" s="104" t="s">
        <v>708</v>
      </c>
      <c r="M20" s="104" t="s">
        <v>114</v>
      </c>
      <c r="N20" s="108" t="s">
        <v>17</v>
      </c>
      <c r="O20" s="104" t="s">
        <v>17</v>
      </c>
      <c r="P20" s="113">
        <v>5.1869999999999994</v>
      </c>
      <c r="Q20" s="113">
        <v>2.843</v>
      </c>
      <c r="R20" s="104" t="s">
        <v>17</v>
      </c>
      <c r="S20" s="253">
        <f>((10^((3.184*LOG((P20))+1.091))))</f>
        <v>2329.6642412594633</v>
      </c>
      <c r="T20" s="104" t="s">
        <v>976</v>
      </c>
      <c r="U20" s="108">
        <v>0.93200000000000005</v>
      </c>
      <c r="V20" s="107">
        <v>34.700000000000003</v>
      </c>
      <c r="W20" s="106" t="s">
        <v>975</v>
      </c>
    </row>
    <row r="21" spans="1:23" ht="21" customHeight="1">
      <c r="A21" s="104" t="s">
        <v>273</v>
      </c>
      <c r="B21" s="104" t="s">
        <v>74</v>
      </c>
      <c r="C21" s="454" t="s">
        <v>266</v>
      </c>
      <c r="D21" s="105" t="s">
        <v>282</v>
      </c>
      <c r="E21" s="104">
        <v>31141</v>
      </c>
      <c r="F21" s="104">
        <v>62</v>
      </c>
      <c r="G21" s="106" t="s">
        <v>669</v>
      </c>
      <c r="H21" s="104" t="s">
        <v>111</v>
      </c>
      <c r="I21" s="104" t="s">
        <v>104</v>
      </c>
      <c r="J21" s="104" t="s">
        <v>105</v>
      </c>
      <c r="K21" s="104" t="s">
        <v>112</v>
      </c>
      <c r="L21" s="104" t="s">
        <v>663</v>
      </c>
      <c r="M21" s="104" t="s">
        <v>114</v>
      </c>
      <c r="N21" s="108" t="s">
        <v>17</v>
      </c>
      <c r="O21" s="104" t="s">
        <v>17</v>
      </c>
      <c r="P21" s="108">
        <v>3.9950000000000001</v>
      </c>
      <c r="Q21" s="108">
        <v>1.468</v>
      </c>
      <c r="R21" s="104" t="s">
        <v>17</v>
      </c>
      <c r="S21" s="253">
        <v>91.715803696740934</v>
      </c>
      <c r="T21" s="104" t="s">
        <v>1167</v>
      </c>
      <c r="U21" s="108">
        <v>0.96</v>
      </c>
      <c r="V21" s="107">
        <v>12.4</v>
      </c>
      <c r="W21" s="114" t="s">
        <v>284</v>
      </c>
    </row>
    <row r="22" spans="1:23" ht="21" customHeight="1">
      <c r="A22" s="103" t="s">
        <v>601</v>
      </c>
      <c r="B22" s="103" t="s">
        <v>602</v>
      </c>
      <c r="C22" s="421" t="s">
        <v>1536</v>
      </c>
      <c r="D22" s="105" t="s">
        <v>151</v>
      </c>
      <c r="E22" s="103">
        <v>31141</v>
      </c>
      <c r="F22" s="103">
        <v>66</v>
      </c>
      <c r="G22" s="103" t="s">
        <v>669</v>
      </c>
      <c r="H22" s="103" t="s">
        <v>111</v>
      </c>
      <c r="I22" s="104" t="s">
        <v>104</v>
      </c>
      <c r="J22" s="103" t="s">
        <v>105</v>
      </c>
      <c r="K22" s="104" t="s">
        <v>1441</v>
      </c>
      <c r="L22" s="104" t="s">
        <v>1442</v>
      </c>
      <c r="M22" s="103"/>
      <c r="N22" s="103"/>
      <c r="O22" s="103">
        <v>35.5</v>
      </c>
      <c r="P22" s="103"/>
      <c r="Q22" s="103"/>
      <c r="R22" s="103"/>
      <c r="S22" s="476">
        <v>4666.3</v>
      </c>
      <c r="T22" s="103" t="s">
        <v>1472</v>
      </c>
      <c r="U22" s="103">
        <v>0.95</v>
      </c>
      <c r="V22" s="103" t="s">
        <v>287</v>
      </c>
      <c r="W22" s="414" t="s">
        <v>1471</v>
      </c>
    </row>
    <row r="23" spans="1:23" ht="21" customHeight="1">
      <c r="A23" s="103" t="s">
        <v>601</v>
      </c>
      <c r="B23" s="103" t="s">
        <v>602</v>
      </c>
      <c r="C23" s="421" t="s">
        <v>1536</v>
      </c>
      <c r="D23" s="105" t="s">
        <v>151</v>
      </c>
      <c r="E23" s="103">
        <v>31141</v>
      </c>
      <c r="F23" s="103">
        <v>66</v>
      </c>
      <c r="G23" s="103" t="s">
        <v>669</v>
      </c>
      <c r="H23" s="103" t="s">
        <v>111</v>
      </c>
      <c r="I23" s="104" t="s">
        <v>104</v>
      </c>
      <c r="J23" s="103" t="s">
        <v>105</v>
      </c>
      <c r="K23" s="103" t="s">
        <v>1537</v>
      </c>
      <c r="L23" s="103" t="s">
        <v>1214</v>
      </c>
      <c r="M23" s="103"/>
      <c r="N23" s="103">
        <v>13</v>
      </c>
      <c r="O23" s="103"/>
      <c r="P23" s="103"/>
      <c r="Q23" s="103"/>
      <c r="R23" s="103"/>
      <c r="S23" s="253">
        <f>(10^(2.87355*LOG(N23*10*3.14159265)-0.52682))/1000</f>
        <v>9468.6254009764325</v>
      </c>
      <c r="T23" s="103" t="s">
        <v>1538</v>
      </c>
      <c r="U23" s="103">
        <v>0.98</v>
      </c>
      <c r="V23" s="103" t="s">
        <v>287</v>
      </c>
      <c r="W23" s="414" t="s">
        <v>989</v>
      </c>
    </row>
    <row r="24" spans="1:23" ht="21" customHeight="1">
      <c r="A24" s="104" t="s">
        <v>1539</v>
      </c>
      <c r="B24" s="104" t="s">
        <v>1540</v>
      </c>
      <c r="C24" s="454" t="s">
        <v>1541</v>
      </c>
      <c r="D24" s="105" t="s">
        <v>1542</v>
      </c>
      <c r="E24" s="104">
        <v>31141</v>
      </c>
      <c r="F24" s="104">
        <v>2406</v>
      </c>
      <c r="G24" s="106" t="s">
        <v>669</v>
      </c>
      <c r="H24" s="104" t="s">
        <v>111</v>
      </c>
      <c r="I24" s="104" t="s">
        <v>104</v>
      </c>
      <c r="J24" s="104" t="s">
        <v>105</v>
      </c>
      <c r="K24" s="104" t="s">
        <v>1114</v>
      </c>
      <c r="L24" s="104" t="s">
        <v>1543</v>
      </c>
      <c r="M24" s="104" t="s">
        <v>108</v>
      </c>
      <c r="N24" s="108" t="s">
        <v>17</v>
      </c>
      <c r="O24" s="104" t="s">
        <v>17</v>
      </c>
      <c r="P24" s="113">
        <v>2.9370000000000003</v>
      </c>
      <c r="Q24" s="113">
        <v>1.1599999999999999</v>
      </c>
      <c r="R24" s="104" t="s">
        <v>17</v>
      </c>
      <c r="S24" s="253"/>
      <c r="T24" s="104"/>
      <c r="U24" s="108"/>
      <c r="V24" s="107"/>
      <c r="W24" s="114"/>
    </row>
    <row r="25" spans="1:23" ht="21" customHeight="1">
      <c r="A25" s="104" t="s">
        <v>273</v>
      </c>
      <c r="B25" s="104" t="s">
        <v>74</v>
      </c>
      <c r="C25" s="454" t="s">
        <v>266</v>
      </c>
      <c r="D25" s="105" t="s">
        <v>267</v>
      </c>
      <c r="E25" s="104">
        <v>43483</v>
      </c>
      <c r="F25" s="104">
        <v>4</v>
      </c>
      <c r="G25" s="106" t="s">
        <v>1211</v>
      </c>
      <c r="H25" s="104"/>
      <c r="I25" s="104" t="s">
        <v>225</v>
      </c>
      <c r="J25" s="104" t="s">
        <v>284</v>
      </c>
      <c r="K25" s="104" t="s">
        <v>121</v>
      </c>
      <c r="L25" s="104" t="s">
        <v>1041</v>
      </c>
      <c r="M25" s="104" t="s">
        <v>114</v>
      </c>
      <c r="N25" s="108"/>
      <c r="O25" s="104"/>
      <c r="P25" s="108"/>
      <c r="Q25" s="108"/>
      <c r="R25" s="104"/>
      <c r="S25" s="253">
        <v>9.4765100000000011</v>
      </c>
      <c r="T25" s="104"/>
      <c r="U25" s="108"/>
      <c r="V25" s="107"/>
      <c r="W25" s="106"/>
    </row>
    <row r="26" spans="1:23" ht="21" customHeight="1">
      <c r="A26" s="104" t="s">
        <v>592</v>
      </c>
      <c r="B26" s="104" t="s">
        <v>1452</v>
      </c>
      <c r="C26" s="454" t="s">
        <v>598</v>
      </c>
      <c r="D26" s="105" t="s">
        <v>599</v>
      </c>
      <c r="E26" s="104">
        <v>43067</v>
      </c>
      <c r="F26" s="104">
        <v>24</v>
      </c>
      <c r="G26" s="106" t="s">
        <v>1458</v>
      </c>
      <c r="H26" s="104" t="s">
        <v>306</v>
      </c>
      <c r="I26" s="104" t="s">
        <v>104</v>
      </c>
      <c r="J26" s="104" t="s">
        <v>1224</v>
      </c>
      <c r="K26" s="104" t="s">
        <v>1459</v>
      </c>
      <c r="L26" s="104" t="s">
        <v>186</v>
      </c>
      <c r="M26" s="104"/>
      <c r="N26" s="108"/>
      <c r="O26" s="104"/>
      <c r="P26" s="108">
        <v>2.67</v>
      </c>
      <c r="Q26" s="108">
        <v>1.79</v>
      </c>
      <c r="R26" s="104"/>
      <c r="S26" s="253"/>
      <c r="T26" s="104"/>
      <c r="U26" s="108"/>
      <c r="V26" s="107"/>
      <c r="W26" s="114"/>
    </row>
    <row r="27" spans="1:23" ht="21" customHeight="1">
      <c r="A27" s="103" t="s">
        <v>601</v>
      </c>
      <c r="B27" s="103" t="s">
        <v>602</v>
      </c>
      <c r="C27" s="421" t="s">
        <v>609</v>
      </c>
      <c r="D27" s="396" t="s">
        <v>610</v>
      </c>
      <c r="E27" s="103">
        <v>43067</v>
      </c>
      <c r="F27" s="103">
        <v>104</v>
      </c>
      <c r="G27" s="103" t="s">
        <v>1458</v>
      </c>
      <c r="H27" s="103" t="s">
        <v>306</v>
      </c>
      <c r="I27" s="104" t="s">
        <v>104</v>
      </c>
      <c r="J27" s="103" t="s">
        <v>105</v>
      </c>
      <c r="K27" s="103" t="s">
        <v>126</v>
      </c>
      <c r="L27" s="103" t="s">
        <v>175</v>
      </c>
      <c r="M27" s="103" t="s">
        <v>108</v>
      </c>
      <c r="N27" s="103"/>
      <c r="O27" s="103"/>
      <c r="P27" s="103">
        <v>21.4</v>
      </c>
      <c r="Q27" s="103">
        <v>9.5</v>
      </c>
      <c r="R27" s="103"/>
      <c r="S27" s="476"/>
      <c r="T27" s="103"/>
      <c r="U27" s="103"/>
      <c r="V27" s="103"/>
      <c r="W27" s="414"/>
    </row>
    <row r="28" spans="1:23" ht="21" customHeight="1">
      <c r="A28" s="103" t="s">
        <v>601</v>
      </c>
      <c r="B28" s="103" t="s">
        <v>602</v>
      </c>
      <c r="C28" s="421" t="s">
        <v>609</v>
      </c>
      <c r="D28" s="396" t="s">
        <v>610</v>
      </c>
      <c r="E28" s="103">
        <v>43067</v>
      </c>
      <c r="F28" s="103">
        <v>103</v>
      </c>
      <c r="G28" s="103" t="s">
        <v>1458</v>
      </c>
      <c r="H28" s="103" t="s">
        <v>306</v>
      </c>
      <c r="I28" s="104" t="s">
        <v>104</v>
      </c>
      <c r="J28" s="103" t="s">
        <v>105</v>
      </c>
      <c r="K28" s="103" t="s">
        <v>1493</v>
      </c>
      <c r="L28" s="103" t="s">
        <v>186</v>
      </c>
      <c r="M28" s="103" t="s">
        <v>108</v>
      </c>
      <c r="N28" s="103"/>
      <c r="O28" s="103"/>
      <c r="P28" s="103">
        <v>19.600000000000001</v>
      </c>
      <c r="Q28" s="103">
        <v>9.5</v>
      </c>
      <c r="R28" s="103"/>
      <c r="S28" s="476"/>
      <c r="T28" s="103"/>
      <c r="U28" s="103"/>
      <c r="V28" s="103"/>
      <c r="W28" s="414"/>
    </row>
    <row r="29" spans="1:23" ht="21" customHeight="1">
      <c r="A29" s="103" t="s">
        <v>601</v>
      </c>
      <c r="B29" s="103" t="s">
        <v>602</v>
      </c>
      <c r="C29" s="421" t="s">
        <v>603</v>
      </c>
      <c r="D29" s="105" t="s">
        <v>151</v>
      </c>
      <c r="E29" s="103">
        <v>43067</v>
      </c>
      <c r="F29" s="103">
        <v>37</v>
      </c>
      <c r="G29" s="103" t="s">
        <v>1458</v>
      </c>
      <c r="H29" s="103" t="s">
        <v>306</v>
      </c>
      <c r="I29" s="104" t="s">
        <v>104</v>
      </c>
      <c r="J29" s="103" t="s">
        <v>1224</v>
      </c>
      <c r="K29" s="103" t="s">
        <v>810</v>
      </c>
      <c r="L29" s="103" t="s">
        <v>1510</v>
      </c>
      <c r="M29" s="103" t="s">
        <v>114</v>
      </c>
      <c r="N29" s="103"/>
      <c r="O29" s="103"/>
      <c r="P29" s="103">
        <v>22</v>
      </c>
      <c r="Q29" s="103">
        <v>9.3000000000000007</v>
      </c>
      <c r="R29" s="103"/>
      <c r="S29" s="476"/>
      <c r="T29" s="103" t="s">
        <v>1511</v>
      </c>
      <c r="U29" s="103"/>
      <c r="V29" s="103"/>
      <c r="W29" s="414"/>
    </row>
    <row r="30" spans="1:23" ht="21" customHeight="1">
      <c r="A30" s="103" t="s">
        <v>601</v>
      </c>
      <c r="B30" s="103" t="s">
        <v>602</v>
      </c>
      <c r="C30" s="421" t="s">
        <v>603</v>
      </c>
      <c r="D30" s="105" t="s">
        <v>151</v>
      </c>
      <c r="E30" s="103">
        <v>43067</v>
      </c>
      <c r="F30" s="103">
        <v>106</v>
      </c>
      <c r="G30" s="103" t="s">
        <v>1458</v>
      </c>
      <c r="H30" s="103" t="s">
        <v>306</v>
      </c>
      <c r="I30" s="104" t="s">
        <v>104</v>
      </c>
      <c r="J30" s="103" t="s">
        <v>105</v>
      </c>
      <c r="K30" s="103" t="s">
        <v>126</v>
      </c>
      <c r="L30" s="103" t="s">
        <v>175</v>
      </c>
      <c r="M30" s="103" t="s">
        <v>108</v>
      </c>
      <c r="N30" s="103"/>
      <c r="O30" s="103"/>
      <c r="P30" s="103">
        <v>22</v>
      </c>
      <c r="Q30" s="103">
        <v>9</v>
      </c>
      <c r="R30" s="103"/>
      <c r="S30" s="476"/>
      <c r="T30" s="103"/>
      <c r="U30" s="103"/>
      <c r="V30" s="103"/>
      <c r="W30" s="414"/>
    </row>
    <row r="31" spans="1:23" ht="21" customHeight="1">
      <c r="A31" s="104" t="s">
        <v>273</v>
      </c>
      <c r="B31" s="104" t="s">
        <v>534</v>
      </c>
      <c r="C31" s="454" t="s">
        <v>539</v>
      </c>
      <c r="D31" s="105" t="s">
        <v>540</v>
      </c>
      <c r="E31" s="104" t="s">
        <v>185</v>
      </c>
      <c r="F31" s="104">
        <v>7312</v>
      </c>
      <c r="G31" s="106" t="s">
        <v>1298</v>
      </c>
      <c r="H31" s="104" t="s">
        <v>306</v>
      </c>
      <c r="I31" s="104" t="s">
        <v>289</v>
      </c>
      <c r="J31" s="104" t="s">
        <v>105</v>
      </c>
      <c r="K31" s="104" t="s">
        <v>290</v>
      </c>
      <c r="L31" s="104" t="s">
        <v>973</v>
      </c>
      <c r="M31" s="104" t="s">
        <v>292</v>
      </c>
      <c r="N31" s="108" t="s">
        <v>17</v>
      </c>
      <c r="O31" s="104" t="s">
        <v>17</v>
      </c>
      <c r="P31" s="113">
        <v>6.8489999999999993</v>
      </c>
      <c r="Q31" s="113" t="s">
        <v>17</v>
      </c>
      <c r="R31" s="104" t="s">
        <v>17</v>
      </c>
      <c r="S31" s="253">
        <f>(10^((3.39*LOG(P31*10))+-6.03))</f>
        <v>1.5587486611201575</v>
      </c>
      <c r="T31" s="103" t="s">
        <v>1295</v>
      </c>
      <c r="U31" s="108">
        <v>0.9</v>
      </c>
      <c r="V31" s="107">
        <v>40</v>
      </c>
      <c r="W31" s="114" t="s">
        <v>1296</v>
      </c>
    </row>
    <row r="32" spans="1:23" ht="21" customHeight="1">
      <c r="A32" s="104" t="s">
        <v>273</v>
      </c>
      <c r="B32" s="104" t="s">
        <v>534</v>
      </c>
      <c r="C32" s="454" t="s">
        <v>539</v>
      </c>
      <c r="D32" s="105" t="s">
        <v>540</v>
      </c>
      <c r="E32" s="104" t="s">
        <v>185</v>
      </c>
      <c r="F32" s="104">
        <v>7312</v>
      </c>
      <c r="G32" s="106" t="s">
        <v>1298</v>
      </c>
      <c r="H32" s="104" t="s">
        <v>306</v>
      </c>
      <c r="I32" s="104" t="s">
        <v>289</v>
      </c>
      <c r="J32" s="104" t="s">
        <v>105</v>
      </c>
      <c r="K32" s="104" t="s">
        <v>112</v>
      </c>
      <c r="L32" s="104" t="s">
        <v>663</v>
      </c>
      <c r="M32" s="104" t="s">
        <v>108</v>
      </c>
      <c r="N32" s="108" t="s">
        <v>17</v>
      </c>
      <c r="O32" s="104" t="s">
        <v>17</v>
      </c>
      <c r="P32" s="113">
        <v>0.9</v>
      </c>
      <c r="Q32" s="113" t="s">
        <v>17</v>
      </c>
      <c r="R32" s="104" t="s">
        <v>17</v>
      </c>
      <c r="S32" s="253">
        <f>(10^((3.9287*LOG(P32*10))+-0.5516))/1000</f>
        <v>1.575188552055661</v>
      </c>
      <c r="T32" s="104" t="s">
        <v>1292</v>
      </c>
      <c r="U32" s="108">
        <v>0.81</v>
      </c>
      <c r="V32" s="107"/>
      <c r="W32" s="114" t="s">
        <v>1293</v>
      </c>
    </row>
    <row r="33" spans="1:23" ht="21" customHeight="1">
      <c r="A33" s="104" t="s">
        <v>579</v>
      </c>
      <c r="B33" s="104" t="s">
        <v>580</v>
      </c>
      <c r="C33" s="454" t="s">
        <v>585</v>
      </c>
      <c r="D33" s="105" t="s">
        <v>151</v>
      </c>
      <c r="E33" s="104" t="s">
        <v>185</v>
      </c>
      <c r="F33" s="104">
        <v>2591</v>
      </c>
      <c r="G33" s="106" t="s">
        <v>1298</v>
      </c>
      <c r="H33" s="104" t="s">
        <v>306</v>
      </c>
      <c r="I33" s="104" t="s">
        <v>289</v>
      </c>
      <c r="J33" s="104" t="s">
        <v>105</v>
      </c>
      <c r="K33" s="104" t="s">
        <v>112</v>
      </c>
      <c r="L33" s="104" t="s">
        <v>663</v>
      </c>
      <c r="M33" s="104" t="s">
        <v>108</v>
      </c>
      <c r="N33" s="108"/>
      <c r="O33" s="108"/>
      <c r="P33" s="108">
        <v>0.20600000000000002</v>
      </c>
      <c r="Q33" s="108" t="s">
        <v>17</v>
      </c>
      <c r="R33" s="108"/>
      <c r="S33" s="253">
        <f>(10^(3.353*LOG(P33*10)+1.807))/1000</f>
        <v>0.72343045857037658</v>
      </c>
      <c r="T33" s="108" t="s">
        <v>1346</v>
      </c>
      <c r="U33" s="108">
        <v>0.87005746936624828</v>
      </c>
      <c r="V33" s="107">
        <v>21.492000000000001</v>
      </c>
      <c r="W33" s="106" t="s">
        <v>1347</v>
      </c>
    </row>
    <row r="34" spans="1:23" s="333" customFormat="1" ht="21" customHeight="1">
      <c r="A34" s="104" t="s">
        <v>579</v>
      </c>
      <c r="B34" s="104" t="s">
        <v>580</v>
      </c>
      <c r="C34" s="454" t="s">
        <v>585</v>
      </c>
      <c r="D34" s="105" t="s">
        <v>151</v>
      </c>
      <c r="E34" s="104" t="s">
        <v>185</v>
      </c>
      <c r="F34" s="104">
        <v>2620</v>
      </c>
      <c r="G34" s="106" t="s">
        <v>1298</v>
      </c>
      <c r="H34" s="104" t="s">
        <v>306</v>
      </c>
      <c r="I34" s="104" t="s">
        <v>289</v>
      </c>
      <c r="J34" s="104" t="s">
        <v>105</v>
      </c>
      <c r="K34" s="104" t="s">
        <v>112</v>
      </c>
      <c r="L34" s="104" t="s">
        <v>663</v>
      </c>
      <c r="M34" s="104" t="s">
        <v>108</v>
      </c>
      <c r="N34" s="108"/>
      <c r="O34" s="108"/>
      <c r="P34" s="108">
        <v>0.20899999999999999</v>
      </c>
      <c r="Q34" s="108" t="s">
        <v>17</v>
      </c>
      <c r="R34" s="108"/>
      <c r="S34" s="253">
        <f>(10^(3.353*LOG(P34*10)+1.807))/1000</f>
        <v>0.75936486220735389</v>
      </c>
      <c r="T34" s="108" t="s">
        <v>1346</v>
      </c>
      <c r="U34" s="108">
        <v>0.87005746936624828</v>
      </c>
      <c r="V34" s="107">
        <v>21.492000000000001</v>
      </c>
      <c r="W34" s="106" t="s">
        <v>1347</v>
      </c>
    </row>
    <row r="35" spans="1:23" ht="21" customHeight="1">
      <c r="A35" s="104" t="s">
        <v>579</v>
      </c>
      <c r="B35" s="104" t="s">
        <v>580</v>
      </c>
      <c r="C35" s="454" t="s">
        <v>585</v>
      </c>
      <c r="D35" s="105" t="s">
        <v>151</v>
      </c>
      <c r="E35" s="104" t="s">
        <v>185</v>
      </c>
      <c r="F35" s="104">
        <v>2711</v>
      </c>
      <c r="G35" s="106" t="s">
        <v>1298</v>
      </c>
      <c r="H35" s="104" t="s">
        <v>306</v>
      </c>
      <c r="I35" s="104" t="s">
        <v>289</v>
      </c>
      <c r="J35" s="104" t="s">
        <v>105</v>
      </c>
      <c r="K35" s="104" t="s">
        <v>112</v>
      </c>
      <c r="L35" s="104" t="s">
        <v>663</v>
      </c>
      <c r="M35" s="104" t="s">
        <v>108</v>
      </c>
      <c r="N35" s="108"/>
      <c r="O35" s="108"/>
      <c r="P35" s="108">
        <v>0.23399999999999999</v>
      </c>
      <c r="Q35" s="108" t="s">
        <v>17</v>
      </c>
      <c r="R35" s="108"/>
      <c r="S35" s="253">
        <f>(10^(3.353*LOG(P35*10)+1.807))/1000</f>
        <v>1.1091257032531758</v>
      </c>
      <c r="T35" s="108" t="s">
        <v>1346</v>
      </c>
      <c r="U35" s="108">
        <v>0.87005746936624828</v>
      </c>
      <c r="V35" s="107">
        <v>21.492000000000001</v>
      </c>
      <c r="W35" s="106" t="s">
        <v>1347</v>
      </c>
    </row>
    <row r="36" spans="1:23" ht="21" customHeight="1">
      <c r="A36" s="104" t="s">
        <v>579</v>
      </c>
      <c r="B36" s="104" t="s">
        <v>580</v>
      </c>
      <c r="C36" s="454" t="s">
        <v>585</v>
      </c>
      <c r="D36" s="105" t="s">
        <v>151</v>
      </c>
      <c r="E36" s="104" t="s">
        <v>185</v>
      </c>
      <c r="F36" s="104">
        <v>2797</v>
      </c>
      <c r="G36" s="106" t="s">
        <v>1298</v>
      </c>
      <c r="H36" s="104" t="s">
        <v>306</v>
      </c>
      <c r="I36" s="104" t="s">
        <v>289</v>
      </c>
      <c r="J36" s="104" t="s">
        <v>105</v>
      </c>
      <c r="K36" s="104" t="s">
        <v>112</v>
      </c>
      <c r="L36" s="104" t="s">
        <v>663</v>
      </c>
      <c r="M36" s="104" t="s">
        <v>108</v>
      </c>
      <c r="N36" s="108"/>
      <c r="O36" s="108"/>
      <c r="P36" s="108">
        <v>0.246</v>
      </c>
      <c r="Q36" s="108" t="s">
        <v>17</v>
      </c>
      <c r="R36" s="108"/>
      <c r="S36" s="253">
        <f>(10^(3.353*LOG(P36*10)+1.807))/1000</f>
        <v>1.3116120988219824</v>
      </c>
      <c r="T36" s="108" t="s">
        <v>1346</v>
      </c>
      <c r="U36" s="108">
        <v>0.87005746936624828</v>
      </c>
      <c r="V36" s="107">
        <v>21.492000000000001</v>
      </c>
      <c r="W36" s="106" t="s">
        <v>1347</v>
      </c>
    </row>
    <row r="37" spans="1:23" ht="21" customHeight="1">
      <c r="A37" s="103" t="s">
        <v>601</v>
      </c>
      <c r="B37" s="103" t="s">
        <v>602</v>
      </c>
      <c r="C37" s="421" t="s">
        <v>603</v>
      </c>
      <c r="D37" s="105" t="s">
        <v>151</v>
      </c>
      <c r="E37" s="103">
        <v>30927</v>
      </c>
      <c r="F37" s="103">
        <v>45</v>
      </c>
      <c r="G37" s="103" t="s">
        <v>1508</v>
      </c>
      <c r="H37" s="103" t="s">
        <v>878</v>
      </c>
      <c r="I37" s="104" t="s">
        <v>104</v>
      </c>
      <c r="J37" s="103" t="s">
        <v>105</v>
      </c>
      <c r="K37" s="104" t="s">
        <v>1159</v>
      </c>
      <c r="L37" s="104" t="s">
        <v>1160</v>
      </c>
      <c r="M37" s="103"/>
      <c r="N37" s="103">
        <v>17.2</v>
      </c>
      <c r="O37" s="103"/>
      <c r="P37" s="103"/>
      <c r="Q37" s="103"/>
      <c r="R37" s="103"/>
      <c r="S37" s="253">
        <f>(10^(2.06*LOG(N37*10*3.141)-1.6))</f>
        <v>10694.206099780109</v>
      </c>
      <c r="T37" s="103" t="s">
        <v>1509</v>
      </c>
      <c r="U37" s="103">
        <v>0.99</v>
      </c>
      <c r="V37" s="103" t="s">
        <v>287</v>
      </c>
      <c r="W37" s="414" t="s">
        <v>1471</v>
      </c>
    </row>
    <row r="38" spans="1:23" ht="21" customHeight="1">
      <c r="A38" s="104" t="s">
        <v>218</v>
      </c>
      <c r="B38" s="104" t="s">
        <v>389</v>
      </c>
      <c r="C38" s="454" t="s">
        <v>390</v>
      </c>
      <c r="D38" s="105" t="s">
        <v>151</v>
      </c>
      <c r="E38" s="104">
        <v>31009</v>
      </c>
      <c r="F38" s="104">
        <v>25</v>
      </c>
      <c r="G38" s="106" t="s">
        <v>926</v>
      </c>
      <c r="H38" s="104" t="s">
        <v>171</v>
      </c>
      <c r="I38" s="104" t="s">
        <v>104</v>
      </c>
      <c r="J38" s="104" t="s">
        <v>105</v>
      </c>
      <c r="K38" s="106" t="s">
        <v>143</v>
      </c>
      <c r="L38" s="104" t="s">
        <v>708</v>
      </c>
      <c r="M38" s="104" t="s">
        <v>108</v>
      </c>
      <c r="N38" s="108"/>
      <c r="O38" s="104"/>
      <c r="P38" s="108">
        <v>3.585</v>
      </c>
      <c r="Q38" s="108">
        <v>2.13</v>
      </c>
      <c r="R38" s="104" t="s">
        <v>17</v>
      </c>
      <c r="S38" s="113">
        <f>((10^((3.395*LOG((P38))+1.061))))</f>
        <v>877.99228191933946</v>
      </c>
      <c r="T38" s="104" t="s">
        <v>709</v>
      </c>
      <c r="U38" s="108">
        <v>0.91200000000000003</v>
      </c>
      <c r="V38" s="107">
        <v>36.5</v>
      </c>
      <c r="W38" s="106" t="s">
        <v>700</v>
      </c>
    </row>
    <row r="39" spans="1:23" ht="21" customHeight="1">
      <c r="A39" s="104" t="s">
        <v>273</v>
      </c>
      <c r="B39" s="104" t="s">
        <v>74</v>
      </c>
      <c r="C39" s="454" t="s">
        <v>266</v>
      </c>
      <c r="D39" s="105" t="s">
        <v>499</v>
      </c>
      <c r="E39" s="104">
        <v>43133</v>
      </c>
      <c r="F39" s="104">
        <v>231</v>
      </c>
      <c r="G39" s="106" t="s">
        <v>1183</v>
      </c>
      <c r="H39" s="104"/>
      <c r="I39" s="104" t="s">
        <v>225</v>
      </c>
      <c r="J39" s="104" t="s">
        <v>284</v>
      </c>
      <c r="K39" s="104" t="s">
        <v>252</v>
      </c>
      <c r="L39" s="104" t="s">
        <v>415</v>
      </c>
      <c r="M39" s="104" t="s">
        <v>114</v>
      </c>
      <c r="N39" s="108"/>
      <c r="O39" s="104"/>
      <c r="P39" s="108"/>
      <c r="Q39" s="108"/>
      <c r="R39" s="104"/>
      <c r="S39" s="253">
        <v>6.9962</v>
      </c>
      <c r="T39" s="104"/>
      <c r="U39" s="108"/>
      <c r="V39" s="107"/>
      <c r="W39" s="106"/>
    </row>
    <row r="40" spans="1:23" ht="21" customHeight="1">
      <c r="A40" s="104" t="s">
        <v>273</v>
      </c>
      <c r="B40" s="104" t="s">
        <v>74</v>
      </c>
      <c r="C40" s="454" t="s">
        <v>266</v>
      </c>
      <c r="D40" s="105" t="s">
        <v>499</v>
      </c>
      <c r="E40" s="104">
        <v>43133</v>
      </c>
      <c r="F40" s="104">
        <v>219</v>
      </c>
      <c r="G40" s="106" t="s">
        <v>1183</v>
      </c>
      <c r="H40" s="104"/>
      <c r="I40" s="104" t="s">
        <v>225</v>
      </c>
      <c r="J40" s="104" t="s">
        <v>284</v>
      </c>
      <c r="K40" s="104" t="s">
        <v>252</v>
      </c>
      <c r="L40" s="104" t="s">
        <v>415</v>
      </c>
      <c r="M40" s="104" t="s">
        <v>114</v>
      </c>
      <c r="N40" s="108"/>
      <c r="O40" s="104"/>
      <c r="P40" s="108"/>
      <c r="Q40" s="108"/>
      <c r="R40" s="104"/>
      <c r="S40" s="253">
        <v>7.6899600000000001</v>
      </c>
      <c r="T40" s="104"/>
      <c r="U40" s="108"/>
      <c r="V40" s="107"/>
      <c r="W40" s="106"/>
    </row>
    <row r="41" spans="1:23" ht="21" customHeight="1">
      <c r="A41" s="104" t="s">
        <v>273</v>
      </c>
      <c r="B41" s="104" t="s">
        <v>74</v>
      </c>
      <c r="C41" s="454" t="s">
        <v>266</v>
      </c>
      <c r="D41" s="105" t="s">
        <v>499</v>
      </c>
      <c r="E41" s="104">
        <v>43133</v>
      </c>
      <c r="F41" s="104">
        <v>220</v>
      </c>
      <c r="G41" s="106" t="s">
        <v>1183</v>
      </c>
      <c r="H41" s="104"/>
      <c r="I41" s="104" t="s">
        <v>225</v>
      </c>
      <c r="J41" s="104" t="s">
        <v>284</v>
      </c>
      <c r="K41" s="104" t="s">
        <v>252</v>
      </c>
      <c r="L41" s="104" t="s">
        <v>415</v>
      </c>
      <c r="M41" s="104" t="s">
        <v>108</v>
      </c>
      <c r="N41" s="108"/>
      <c r="O41" s="104"/>
      <c r="P41" s="108"/>
      <c r="Q41" s="108"/>
      <c r="R41" s="104"/>
      <c r="S41" s="253">
        <v>8.5073600000000003</v>
      </c>
      <c r="T41" s="104"/>
      <c r="U41" s="108"/>
      <c r="V41" s="107"/>
      <c r="W41" s="106"/>
    </row>
    <row r="42" spans="1:23" s="333" customFormat="1" ht="21" customHeight="1">
      <c r="A42" s="104" t="s">
        <v>273</v>
      </c>
      <c r="B42" s="104" t="s">
        <v>74</v>
      </c>
      <c r="C42" s="454" t="s">
        <v>266</v>
      </c>
      <c r="D42" s="105" t="s">
        <v>499</v>
      </c>
      <c r="E42" s="104">
        <v>43133</v>
      </c>
      <c r="F42" s="104">
        <v>216</v>
      </c>
      <c r="G42" s="106" t="s">
        <v>1183</v>
      </c>
      <c r="H42" s="104"/>
      <c r="I42" s="104" t="s">
        <v>225</v>
      </c>
      <c r="J42" s="104" t="s">
        <v>284</v>
      </c>
      <c r="K42" s="104" t="s">
        <v>112</v>
      </c>
      <c r="L42" s="104" t="s">
        <v>663</v>
      </c>
      <c r="M42" s="104" t="s">
        <v>108</v>
      </c>
      <c r="N42" s="108"/>
      <c r="O42" s="104"/>
      <c r="P42" s="108"/>
      <c r="Q42" s="108"/>
      <c r="R42" s="104"/>
      <c r="S42" s="253">
        <v>9.1458700000000004</v>
      </c>
      <c r="T42" s="104"/>
      <c r="U42" s="108"/>
      <c r="V42" s="107"/>
      <c r="W42" s="106"/>
    </row>
    <row r="43" spans="1:23" ht="21" customHeight="1">
      <c r="A43" s="104" t="s">
        <v>273</v>
      </c>
      <c r="B43" s="104" t="s">
        <v>74</v>
      </c>
      <c r="C43" s="454" t="s">
        <v>266</v>
      </c>
      <c r="D43" s="105" t="s">
        <v>499</v>
      </c>
      <c r="E43" s="104">
        <v>43133</v>
      </c>
      <c r="F43" s="104">
        <v>214</v>
      </c>
      <c r="G43" s="106" t="s">
        <v>1183</v>
      </c>
      <c r="H43" s="104"/>
      <c r="I43" s="104" t="s">
        <v>225</v>
      </c>
      <c r="J43" s="104" t="s">
        <v>284</v>
      </c>
      <c r="K43" s="104" t="s">
        <v>112</v>
      </c>
      <c r="L43" s="104" t="s">
        <v>663</v>
      </c>
      <c r="M43" s="104" t="s">
        <v>108</v>
      </c>
      <c r="N43" s="108"/>
      <c r="O43" s="104"/>
      <c r="P43" s="108"/>
      <c r="Q43" s="108"/>
      <c r="R43" s="104"/>
      <c r="S43" s="253">
        <v>10.813360000000001</v>
      </c>
      <c r="T43" s="104"/>
      <c r="U43" s="108"/>
      <c r="V43" s="107"/>
      <c r="W43" s="106"/>
    </row>
    <row r="44" spans="1:23" ht="21" customHeight="1">
      <c r="A44" s="104" t="s">
        <v>273</v>
      </c>
      <c r="B44" s="104" t="s">
        <v>74</v>
      </c>
      <c r="C44" s="454" t="s">
        <v>266</v>
      </c>
      <c r="D44" s="105" t="s">
        <v>267</v>
      </c>
      <c r="E44" s="104">
        <v>43133</v>
      </c>
      <c r="F44" s="104">
        <v>1421</v>
      </c>
      <c r="G44" s="106" t="s">
        <v>1183</v>
      </c>
      <c r="H44" s="104" t="s">
        <v>1138</v>
      </c>
      <c r="I44" s="104" t="s">
        <v>225</v>
      </c>
      <c r="J44" s="104" t="s">
        <v>105</v>
      </c>
      <c r="K44" s="104" t="s">
        <v>229</v>
      </c>
      <c r="L44" s="104" t="s">
        <v>720</v>
      </c>
      <c r="M44" s="104" t="s">
        <v>114</v>
      </c>
      <c r="N44" s="108" t="s">
        <v>17</v>
      </c>
      <c r="O44" s="104" t="s">
        <v>17</v>
      </c>
      <c r="P44" s="108">
        <v>0.76200000000000001</v>
      </c>
      <c r="Q44" s="108">
        <v>0.371</v>
      </c>
      <c r="R44" s="104" t="s">
        <v>17</v>
      </c>
      <c r="S44" s="253">
        <f t="shared" ref="S44:S52" si="0">(10^(((LOG(P44*10))*3.3177)+0.5544))/1000</f>
        <v>3.0231660958169142</v>
      </c>
      <c r="T44" s="104" t="s">
        <v>1162</v>
      </c>
      <c r="U44" s="108">
        <v>0.84909999999999997</v>
      </c>
      <c r="V44" s="107"/>
      <c r="W44" s="114" t="s">
        <v>1163</v>
      </c>
    </row>
    <row r="45" spans="1:23" ht="21" customHeight="1">
      <c r="A45" s="104" t="s">
        <v>273</v>
      </c>
      <c r="B45" s="104" t="s">
        <v>74</v>
      </c>
      <c r="C45" s="454" t="s">
        <v>266</v>
      </c>
      <c r="D45" s="105" t="s">
        <v>267</v>
      </c>
      <c r="E45" s="104">
        <v>43133</v>
      </c>
      <c r="F45" s="104">
        <v>211</v>
      </c>
      <c r="G45" s="106" t="s">
        <v>1183</v>
      </c>
      <c r="H45" s="104" t="s">
        <v>1138</v>
      </c>
      <c r="I45" s="104" t="s">
        <v>225</v>
      </c>
      <c r="J45" s="104" t="s">
        <v>105</v>
      </c>
      <c r="K45" s="104" t="s">
        <v>178</v>
      </c>
      <c r="L45" s="104" t="s">
        <v>1110</v>
      </c>
      <c r="M45" s="104" t="s">
        <v>1199</v>
      </c>
      <c r="N45" s="108"/>
      <c r="O45" s="104" t="s">
        <v>17</v>
      </c>
      <c r="P45" s="113">
        <v>0.89300000000000002</v>
      </c>
      <c r="Q45" s="113">
        <v>0.44299999999999995</v>
      </c>
      <c r="R45" s="104" t="s">
        <v>17</v>
      </c>
      <c r="S45" s="253">
        <f t="shared" si="0"/>
        <v>5.117288300270169</v>
      </c>
      <c r="T45" s="104" t="s">
        <v>1200</v>
      </c>
      <c r="U45" s="108">
        <v>0.84909999999999997</v>
      </c>
      <c r="V45" s="107"/>
      <c r="W45" s="114" t="s">
        <v>1178</v>
      </c>
    </row>
    <row r="46" spans="1:23" ht="21" customHeight="1">
      <c r="A46" s="104" t="s">
        <v>273</v>
      </c>
      <c r="B46" s="104" t="s">
        <v>74</v>
      </c>
      <c r="C46" s="454" t="s">
        <v>266</v>
      </c>
      <c r="D46" s="105" t="s">
        <v>267</v>
      </c>
      <c r="E46" s="104">
        <v>43133</v>
      </c>
      <c r="F46" s="104">
        <v>1429</v>
      </c>
      <c r="G46" s="106" t="s">
        <v>1183</v>
      </c>
      <c r="H46" s="104" t="s">
        <v>1138</v>
      </c>
      <c r="I46" s="104" t="s">
        <v>225</v>
      </c>
      <c r="J46" s="104" t="s">
        <v>105</v>
      </c>
      <c r="K46" s="104" t="s">
        <v>1202</v>
      </c>
      <c r="L46" s="104" t="s">
        <v>1203</v>
      </c>
      <c r="M46" s="104" t="s">
        <v>114</v>
      </c>
      <c r="N46" s="108" t="s">
        <v>17</v>
      </c>
      <c r="O46" s="104" t="s">
        <v>17</v>
      </c>
      <c r="P46" s="108">
        <v>0.94399999999999995</v>
      </c>
      <c r="Q46" s="113">
        <v>0.45199999999999996</v>
      </c>
      <c r="R46" s="104" t="s">
        <v>17</v>
      </c>
      <c r="S46" s="253">
        <f t="shared" si="0"/>
        <v>6.152683646614828</v>
      </c>
      <c r="T46" s="104" t="s">
        <v>1162</v>
      </c>
      <c r="U46" s="108">
        <v>0.84909999999999997</v>
      </c>
      <c r="V46" s="107"/>
      <c r="W46" s="114" t="s">
        <v>1163</v>
      </c>
    </row>
    <row r="47" spans="1:23" ht="21" customHeight="1">
      <c r="A47" s="104" t="s">
        <v>273</v>
      </c>
      <c r="B47" s="104" t="s">
        <v>74</v>
      </c>
      <c r="C47" s="454" t="s">
        <v>266</v>
      </c>
      <c r="D47" s="105" t="s">
        <v>267</v>
      </c>
      <c r="E47" s="104">
        <v>43133</v>
      </c>
      <c r="F47" s="104">
        <v>1436</v>
      </c>
      <c r="G47" s="106" t="s">
        <v>1183</v>
      </c>
      <c r="H47" s="104" t="s">
        <v>1138</v>
      </c>
      <c r="I47" s="104" t="s">
        <v>225</v>
      </c>
      <c r="J47" s="104" t="s">
        <v>105</v>
      </c>
      <c r="K47" s="104" t="s">
        <v>1202</v>
      </c>
      <c r="L47" s="104" t="s">
        <v>1203</v>
      </c>
      <c r="M47" s="104" t="s">
        <v>108</v>
      </c>
      <c r="N47" s="108" t="s">
        <v>17</v>
      </c>
      <c r="O47" s="104" t="s">
        <v>17</v>
      </c>
      <c r="P47" s="108">
        <v>0.94700000000000006</v>
      </c>
      <c r="Q47" s="108">
        <v>0.39500000000000002</v>
      </c>
      <c r="R47" s="104" t="s">
        <v>17</v>
      </c>
      <c r="S47" s="253">
        <f t="shared" si="0"/>
        <v>6.2177939410580096</v>
      </c>
      <c r="T47" s="104" t="s">
        <v>1162</v>
      </c>
      <c r="U47" s="108">
        <v>0.84909999999999997</v>
      </c>
      <c r="V47" s="107"/>
      <c r="W47" s="114" t="s">
        <v>1163</v>
      </c>
    </row>
    <row r="48" spans="1:23" ht="21" customHeight="1">
      <c r="A48" s="104" t="s">
        <v>273</v>
      </c>
      <c r="B48" s="104" t="s">
        <v>74</v>
      </c>
      <c r="C48" s="454" t="s">
        <v>266</v>
      </c>
      <c r="D48" s="105" t="s">
        <v>267</v>
      </c>
      <c r="E48" s="104">
        <v>43133</v>
      </c>
      <c r="F48" s="104">
        <v>212</v>
      </c>
      <c r="G48" s="106" t="s">
        <v>1183</v>
      </c>
      <c r="H48" s="104" t="s">
        <v>1138</v>
      </c>
      <c r="I48" s="104" t="s">
        <v>225</v>
      </c>
      <c r="J48" s="104" t="s">
        <v>105</v>
      </c>
      <c r="K48" s="104" t="s">
        <v>178</v>
      </c>
      <c r="L48" s="104" t="s">
        <v>1110</v>
      </c>
      <c r="M48" s="104" t="s">
        <v>108</v>
      </c>
      <c r="N48" s="108" t="s">
        <v>17</v>
      </c>
      <c r="O48" s="104" t="s">
        <v>17</v>
      </c>
      <c r="P48" s="108">
        <v>0.998</v>
      </c>
      <c r="Q48" s="108">
        <v>0.46299999999999997</v>
      </c>
      <c r="R48" s="104" t="s">
        <v>17</v>
      </c>
      <c r="S48" s="253">
        <f t="shared" si="0"/>
        <v>7.3997218771848896</v>
      </c>
      <c r="T48" s="104" t="s">
        <v>1200</v>
      </c>
      <c r="U48" s="108">
        <v>0.84909999999999997</v>
      </c>
      <c r="V48" s="107"/>
      <c r="W48" s="114" t="s">
        <v>1178</v>
      </c>
    </row>
    <row r="49" spans="1:23" ht="21" customHeight="1">
      <c r="A49" s="104" t="s">
        <v>273</v>
      </c>
      <c r="B49" s="104" t="s">
        <v>74</v>
      </c>
      <c r="C49" s="454" t="s">
        <v>266</v>
      </c>
      <c r="D49" s="105" t="s">
        <v>267</v>
      </c>
      <c r="E49" s="104">
        <v>43133</v>
      </c>
      <c r="F49" s="104">
        <v>1435</v>
      </c>
      <c r="G49" s="106" t="s">
        <v>1183</v>
      </c>
      <c r="H49" s="104" t="s">
        <v>1138</v>
      </c>
      <c r="I49" s="104" t="s">
        <v>225</v>
      </c>
      <c r="J49" s="104" t="s">
        <v>105</v>
      </c>
      <c r="K49" s="104" t="s">
        <v>233</v>
      </c>
      <c r="L49" s="104" t="s">
        <v>653</v>
      </c>
      <c r="M49" s="104" t="s">
        <v>114</v>
      </c>
      <c r="N49" s="108" t="s">
        <v>17</v>
      </c>
      <c r="O49" s="104" t="s">
        <v>17</v>
      </c>
      <c r="P49" s="108">
        <v>1.0009999999999999</v>
      </c>
      <c r="Q49" s="108">
        <v>0.50700000000000001</v>
      </c>
      <c r="R49" s="104" t="s">
        <v>17</v>
      </c>
      <c r="S49" s="253">
        <f t="shared" si="0"/>
        <v>7.4737770598236466</v>
      </c>
      <c r="T49" s="104" t="s">
        <v>1162</v>
      </c>
      <c r="U49" s="108">
        <v>0.84909999999999997</v>
      </c>
      <c r="V49" s="107"/>
      <c r="W49" s="114" t="s">
        <v>1163</v>
      </c>
    </row>
    <row r="50" spans="1:23" ht="21" customHeight="1">
      <c r="A50" s="104" t="s">
        <v>273</v>
      </c>
      <c r="B50" s="104" t="s">
        <v>74</v>
      </c>
      <c r="C50" s="454" t="s">
        <v>266</v>
      </c>
      <c r="D50" s="105" t="s">
        <v>267</v>
      </c>
      <c r="E50" s="104">
        <v>43133</v>
      </c>
      <c r="F50" s="104">
        <v>1431</v>
      </c>
      <c r="G50" s="106" t="s">
        <v>1183</v>
      </c>
      <c r="H50" s="104" t="s">
        <v>1138</v>
      </c>
      <c r="I50" s="104" t="s">
        <v>225</v>
      </c>
      <c r="J50" s="104" t="s">
        <v>105</v>
      </c>
      <c r="K50" s="104" t="s">
        <v>233</v>
      </c>
      <c r="L50" s="104" t="s">
        <v>653</v>
      </c>
      <c r="M50" s="104" t="s">
        <v>108</v>
      </c>
      <c r="N50" s="108" t="s">
        <v>17</v>
      </c>
      <c r="O50" s="104" t="s">
        <v>17</v>
      </c>
      <c r="P50" s="108">
        <v>1.0210000000000001</v>
      </c>
      <c r="Q50" s="108">
        <v>0.41799999999999998</v>
      </c>
      <c r="R50" s="104" t="s">
        <v>17</v>
      </c>
      <c r="S50" s="253">
        <f t="shared" si="0"/>
        <v>7.980768338493033</v>
      </c>
      <c r="T50" s="104" t="s">
        <v>1162</v>
      </c>
      <c r="U50" s="108">
        <v>0.84909999999999997</v>
      </c>
      <c r="V50" s="107"/>
      <c r="W50" s="114" t="s">
        <v>1163</v>
      </c>
    </row>
    <row r="51" spans="1:23" ht="21" customHeight="1">
      <c r="A51" s="104" t="s">
        <v>273</v>
      </c>
      <c r="B51" s="104" t="s">
        <v>74</v>
      </c>
      <c r="C51" s="454" t="s">
        <v>266</v>
      </c>
      <c r="D51" s="105" t="s">
        <v>267</v>
      </c>
      <c r="E51" s="104">
        <v>43133</v>
      </c>
      <c r="F51" s="104">
        <v>1437</v>
      </c>
      <c r="G51" s="106" t="s">
        <v>1183</v>
      </c>
      <c r="H51" s="104" t="s">
        <v>1138</v>
      </c>
      <c r="I51" s="104" t="s">
        <v>225</v>
      </c>
      <c r="J51" s="104" t="s">
        <v>105</v>
      </c>
      <c r="K51" s="104" t="s">
        <v>233</v>
      </c>
      <c r="L51" s="104" t="s">
        <v>653</v>
      </c>
      <c r="M51" s="104" t="s">
        <v>114</v>
      </c>
      <c r="N51" s="108" t="s">
        <v>17</v>
      </c>
      <c r="O51" s="104" t="s">
        <v>17</v>
      </c>
      <c r="P51" s="108">
        <v>1.056</v>
      </c>
      <c r="Q51" s="108">
        <v>0.43200000000000005</v>
      </c>
      <c r="R51" s="104" t="s">
        <v>17</v>
      </c>
      <c r="S51" s="253">
        <f t="shared" si="0"/>
        <v>8.9250319895007681</v>
      </c>
      <c r="T51" s="104" t="s">
        <v>1162</v>
      </c>
      <c r="U51" s="108">
        <v>0.84909999999999997</v>
      </c>
      <c r="V51" s="107"/>
      <c r="W51" s="114" t="s">
        <v>1163</v>
      </c>
    </row>
    <row r="52" spans="1:23" ht="21" customHeight="1">
      <c r="A52" s="104" t="s">
        <v>273</v>
      </c>
      <c r="B52" s="104" t="s">
        <v>74</v>
      </c>
      <c r="C52" s="454" t="s">
        <v>266</v>
      </c>
      <c r="D52" s="105" t="s">
        <v>267</v>
      </c>
      <c r="E52" s="104">
        <v>43133</v>
      </c>
      <c r="F52" s="104">
        <v>1417</v>
      </c>
      <c r="G52" s="106" t="s">
        <v>1183</v>
      </c>
      <c r="H52" s="104" t="s">
        <v>1138</v>
      </c>
      <c r="I52" s="104" t="s">
        <v>225</v>
      </c>
      <c r="J52" s="104" t="s">
        <v>105</v>
      </c>
      <c r="K52" s="104" t="s">
        <v>243</v>
      </c>
      <c r="L52" s="104" t="s">
        <v>421</v>
      </c>
      <c r="M52" s="104" t="s">
        <v>108</v>
      </c>
      <c r="N52" s="108" t="s">
        <v>17</v>
      </c>
      <c r="O52" s="104" t="s">
        <v>17</v>
      </c>
      <c r="P52" s="108">
        <v>1.0669999999999999</v>
      </c>
      <c r="Q52" s="108">
        <v>0.48</v>
      </c>
      <c r="R52" s="104" t="s">
        <v>17</v>
      </c>
      <c r="S52" s="253">
        <f t="shared" si="0"/>
        <v>9.237215897579377</v>
      </c>
      <c r="T52" s="104" t="s">
        <v>1162</v>
      </c>
      <c r="U52" s="108">
        <v>0.84909999999999997</v>
      </c>
      <c r="V52" s="107"/>
      <c r="W52" s="114" t="s">
        <v>1163</v>
      </c>
    </row>
    <row r="53" spans="1:23" ht="21" customHeight="1">
      <c r="A53" s="104" t="s">
        <v>273</v>
      </c>
      <c r="B53" s="104" t="s">
        <v>74</v>
      </c>
      <c r="C53" s="454" t="s">
        <v>266</v>
      </c>
      <c r="D53" s="105" t="s">
        <v>267</v>
      </c>
      <c r="E53" s="104">
        <v>43133</v>
      </c>
      <c r="F53" s="104">
        <v>1413</v>
      </c>
      <c r="G53" s="106" t="s">
        <v>1183</v>
      </c>
      <c r="H53" s="104"/>
      <c r="I53" s="104" t="s">
        <v>225</v>
      </c>
      <c r="J53" s="104" t="s">
        <v>284</v>
      </c>
      <c r="K53" s="104" t="s">
        <v>112</v>
      </c>
      <c r="L53" s="104" t="s">
        <v>663</v>
      </c>
      <c r="M53" s="104" t="s">
        <v>108</v>
      </c>
      <c r="N53" s="108"/>
      <c r="O53" s="104"/>
      <c r="P53" s="108"/>
      <c r="Q53" s="108"/>
      <c r="R53" s="104"/>
      <c r="S53" s="253">
        <v>10.42685</v>
      </c>
      <c r="T53" s="104"/>
      <c r="U53" s="108"/>
      <c r="V53" s="107"/>
      <c r="W53" s="106"/>
    </row>
    <row r="54" spans="1:23" ht="21" customHeight="1">
      <c r="A54" s="104" t="s">
        <v>273</v>
      </c>
      <c r="B54" s="104" t="s">
        <v>74</v>
      </c>
      <c r="C54" s="454" t="s">
        <v>266</v>
      </c>
      <c r="D54" s="105" t="s">
        <v>267</v>
      </c>
      <c r="E54" s="104">
        <v>43133</v>
      </c>
      <c r="F54" s="104">
        <v>1415</v>
      </c>
      <c r="G54" s="106" t="s">
        <v>1183</v>
      </c>
      <c r="H54" s="104" t="s">
        <v>1138</v>
      </c>
      <c r="I54" s="104" t="s">
        <v>225</v>
      </c>
      <c r="J54" s="104" t="s">
        <v>105</v>
      </c>
      <c r="K54" s="104" t="s">
        <v>209</v>
      </c>
      <c r="L54" s="104" t="s">
        <v>684</v>
      </c>
      <c r="M54" s="104" t="s">
        <v>114</v>
      </c>
      <c r="N54" s="108" t="s">
        <v>17</v>
      </c>
      <c r="O54" s="104" t="s">
        <v>17</v>
      </c>
      <c r="P54" s="113">
        <v>0.93300000000000005</v>
      </c>
      <c r="Q54" s="113">
        <v>0.64200000000000002</v>
      </c>
      <c r="R54" s="104" t="s">
        <v>17</v>
      </c>
      <c r="S54" s="253">
        <f>(10^(((LOG(P54*10))*3.7472)+0.4301))/1000</f>
        <v>11.599532750772024</v>
      </c>
      <c r="T54" s="104" t="s">
        <v>1153</v>
      </c>
      <c r="U54" s="108">
        <v>0.89439999999999997</v>
      </c>
      <c r="V54" s="107"/>
      <c r="W54" s="114" t="s">
        <v>269</v>
      </c>
    </row>
    <row r="55" spans="1:23" ht="21" customHeight="1">
      <c r="A55" s="104" t="s">
        <v>273</v>
      </c>
      <c r="B55" s="104" t="s">
        <v>74</v>
      </c>
      <c r="C55" s="454" t="s">
        <v>266</v>
      </c>
      <c r="D55" s="105" t="s">
        <v>267</v>
      </c>
      <c r="E55" s="104">
        <v>43133</v>
      </c>
      <c r="F55" s="104">
        <v>1422</v>
      </c>
      <c r="G55" s="106" t="s">
        <v>1183</v>
      </c>
      <c r="H55" s="104"/>
      <c r="I55" s="104" t="s">
        <v>225</v>
      </c>
      <c r="J55" s="104" t="s">
        <v>284</v>
      </c>
      <c r="K55" s="104" t="s">
        <v>252</v>
      </c>
      <c r="L55" s="104" t="s">
        <v>415</v>
      </c>
      <c r="M55" s="104" t="s">
        <v>108</v>
      </c>
      <c r="N55" s="108"/>
      <c r="O55" s="104"/>
      <c r="P55" s="108"/>
      <c r="Q55" s="108"/>
      <c r="R55" s="104"/>
      <c r="S55" s="253">
        <v>11.927820000000001</v>
      </c>
      <c r="T55" s="104"/>
      <c r="U55" s="108"/>
      <c r="V55" s="107"/>
      <c r="W55" s="106"/>
    </row>
    <row r="56" spans="1:23" ht="38.25" customHeight="1">
      <c r="A56" s="104" t="s">
        <v>273</v>
      </c>
      <c r="B56" s="104" t="s">
        <v>74</v>
      </c>
      <c r="C56" s="454" t="s">
        <v>266</v>
      </c>
      <c r="D56" s="105" t="s">
        <v>267</v>
      </c>
      <c r="E56" s="104">
        <v>43133</v>
      </c>
      <c r="F56" s="104">
        <v>1414</v>
      </c>
      <c r="G56" s="106" t="s">
        <v>1183</v>
      </c>
      <c r="H56" s="104" t="s">
        <v>1138</v>
      </c>
      <c r="I56" s="104" t="s">
        <v>225</v>
      </c>
      <c r="J56" s="104" t="s">
        <v>105</v>
      </c>
      <c r="K56" s="104" t="s">
        <v>243</v>
      </c>
      <c r="L56" s="104" t="s">
        <v>421</v>
      </c>
      <c r="M56" s="104" t="s">
        <v>114</v>
      </c>
      <c r="N56" s="108" t="s">
        <v>17</v>
      </c>
      <c r="O56" s="104" t="s">
        <v>17</v>
      </c>
      <c r="P56" s="113">
        <v>1.171</v>
      </c>
      <c r="Q56" s="113">
        <v>0.60799999999999998</v>
      </c>
      <c r="R56" s="104" t="s">
        <v>17</v>
      </c>
      <c r="S56" s="253">
        <f>(10^(((LOG(P56*10))*3.3177)+0.5544))/1000</f>
        <v>12.576251412377031</v>
      </c>
      <c r="T56" s="104" t="s">
        <v>1162</v>
      </c>
      <c r="U56" s="108">
        <v>0.84909999999999997</v>
      </c>
      <c r="V56" s="107"/>
      <c r="W56" s="114" t="s">
        <v>1163</v>
      </c>
    </row>
    <row r="57" spans="1:23" ht="21" customHeight="1">
      <c r="A57" s="104" t="s">
        <v>273</v>
      </c>
      <c r="B57" s="104" t="s">
        <v>74</v>
      </c>
      <c r="C57" s="454" t="s">
        <v>266</v>
      </c>
      <c r="D57" s="105" t="s">
        <v>267</v>
      </c>
      <c r="E57" s="104">
        <v>43133</v>
      </c>
      <c r="F57" s="104">
        <v>1426</v>
      </c>
      <c r="G57" s="106" t="s">
        <v>1183</v>
      </c>
      <c r="H57" s="104"/>
      <c r="I57" s="104" t="s">
        <v>225</v>
      </c>
      <c r="J57" s="104" t="s">
        <v>284</v>
      </c>
      <c r="K57" s="104" t="s">
        <v>252</v>
      </c>
      <c r="L57" s="104" t="s">
        <v>415</v>
      </c>
      <c r="M57" s="104" t="s">
        <v>108</v>
      </c>
      <c r="N57" s="108"/>
      <c r="O57" s="104"/>
      <c r="P57" s="108"/>
      <c r="Q57" s="108"/>
      <c r="R57" s="104"/>
      <c r="S57" s="253">
        <v>13.20759</v>
      </c>
      <c r="T57" s="104"/>
      <c r="U57" s="108"/>
      <c r="V57" s="107"/>
      <c r="W57" s="106"/>
    </row>
    <row r="58" spans="1:23" ht="21" customHeight="1">
      <c r="A58" s="104" t="s">
        <v>273</v>
      </c>
      <c r="B58" s="104" t="s">
        <v>74</v>
      </c>
      <c r="C58" s="454" t="s">
        <v>266</v>
      </c>
      <c r="D58" s="105" t="s">
        <v>267</v>
      </c>
      <c r="E58" s="104">
        <v>43133</v>
      </c>
      <c r="F58" s="104">
        <v>1411</v>
      </c>
      <c r="G58" s="106" t="s">
        <v>1183</v>
      </c>
      <c r="H58" s="104"/>
      <c r="I58" s="104" t="s">
        <v>225</v>
      </c>
      <c r="J58" s="104" t="s">
        <v>284</v>
      </c>
      <c r="K58" s="104" t="s">
        <v>252</v>
      </c>
      <c r="L58" s="104" t="s">
        <v>415</v>
      </c>
      <c r="M58" s="104" t="s">
        <v>108</v>
      </c>
      <c r="N58" s="108"/>
      <c r="O58" s="104"/>
      <c r="P58" s="108"/>
      <c r="Q58" s="108"/>
      <c r="R58" s="104"/>
      <c r="S58" s="253">
        <v>13.3146</v>
      </c>
      <c r="T58" s="104"/>
      <c r="U58" s="108"/>
      <c r="V58" s="107"/>
      <c r="W58" s="106"/>
    </row>
    <row r="59" spans="1:23" ht="21" customHeight="1">
      <c r="A59" s="104" t="s">
        <v>273</v>
      </c>
      <c r="B59" s="104" t="s">
        <v>74</v>
      </c>
      <c r="C59" s="454" t="s">
        <v>266</v>
      </c>
      <c r="D59" s="105" t="s">
        <v>267</v>
      </c>
      <c r="E59" s="104">
        <v>43133</v>
      </c>
      <c r="F59" s="104">
        <v>1412</v>
      </c>
      <c r="G59" s="106" t="s">
        <v>1183</v>
      </c>
      <c r="H59" s="104" t="s">
        <v>1138</v>
      </c>
      <c r="I59" s="104" t="s">
        <v>225</v>
      </c>
      <c r="J59" s="104" t="s">
        <v>105</v>
      </c>
      <c r="K59" s="104" t="s">
        <v>243</v>
      </c>
      <c r="L59" s="104" t="s">
        <v>421</v>
      </c>
      <c r="M59" s="104" t="s">
        <v>108</v>
      </c>
      <c r="N59" s="108" t="s">
        <v>17</v>
      </c>
      <c r="O59" s="104" t="s">
        <v>17</v>
      </c>
      <c r="P59" s="113">
        <v>1.234</v>
      </c>
      <c r="Q59" s="113">
        <v>0.57699999999999996</v>
      </c>
      <c r="R59" s="104" t="s">
        <v>17</v>
      </c>
      <c r="S59" s="253">
        <f>(10^(((LOG(P59*10))*3.3177)+0.5544))/1000</f>
        <v>14.964296523423755</v>
      </c>
      <c r="T59" s="104" t="s">
        <v>1162</v>
      </c>
      <c r="U59" s="108">
        <v>0.84909999999999997</v>
      </c>
      <c r="V59" s="107"/>
      <c r="W59" s="114" t="s">
        <v>1163</v>
      </c>
    </row>
    <row r="60" spans="1:23" ht="21" customHeight="1">
      <c r="A60" s="104" t="s">
        <v>273</v>
      </c>
      <c r="B60" s="104" t="s">
        <v>74</v>
      </c>
      <c r="C60" s="454" t="s">
        <v>266</v>
      </c>
      <c r="D60" s="105" t="s">
        <v>267</v>
      </c>
      <c r="E60" s="104">
        <v>43133</v>
      </c>
      <c r="F60" s="104">
        <v>1434</v>
      </c>
      <c r="G60" s="106" t="s">
        <v>1183</v>
      </c>
      <c r="H60" s="104" t="s">
        <v>1138</v>
      </c>
      <c r="I60" s="104" t="s">
        <v>225</v>
      </c>
      <c r="J60" s="104" t="s">
        <v>105</v>
      </c>
      <c r="K60" s="104" t="s">
        <v>162</v>
      </c>
      <c r="L60" s="104" t="s">
        <v>163</v>
      </c>
      <c r="M60" s="104" t="s">
        <v>114</v>
      </c>
      <c r="N60" s="108" t="s">
        <v>17</v>
      </c>
      <c r="O60" s="104" t="s">
        <v>17</v>
      </c>
      <c r="P60" s="108">
        <v>1.1949999999999998</v>
      </c>
      <c r="Q60" s="108">
        <v>0.39800000000000002</v>
      </c>
      <c r="R60" s="104" t="s">
        <v>17</v>
      </c>
      <c r="S60" s="253"/>
      <c r="T60" s="104"/>
      <c r="U60" s="108"/>
      <c r="V60" s="107"/>
      <c r="W60" s="114"/>
    </row>
    <row r="61" spans="1:23" ht="21" customHeight="1">
      <c r="A61" s="104" t="s">
        <v>273</v>
      </c>
      <c r="B61" s="104" t="s">
        <v>74</v>
      </c>
      <c r="C61" s="454" t="s">
        <v>266</v>
      </c>
      <c r="D61" s="105" t="s">
        <v>267</v>
      </c>
      <c r="E61" s="104">
        <v>43133</v>
      </c>
      <c r="F61" s="104">
        <v>1438</v>
      </c>
      <c r="G61" s="106" t="s">
        <v>1183</v>
      </c>
      <c r="H61" s="104" t="s">
        <v>1138</v>
      </c>
      <c r="I61" s="104" t="s">
        <v>225</v>
      </c>
      <c r="J61" s="104" t="s">
        <v>105</v>
      </c>
      <c r="K61" s="104" t="s">
        <v>162</v>
      </c>
      <c r="L61" s="104" t="s">
        <v>163</v>
      </c>
      <c r="M61" s="104" t="s">
        <v>108</v>
      </c>
      <c r="N61" s="108" t="s">
        <v>17</v>
      </c>
      <c r="O61" s="104" t="s">
        <v>17</v>
      </c>
      <c r="P61" s="108">
        <v>1.046</v>
      </c>
      <c r="Q61" s="108">
        <v>0.49199999999999999</v>
      </c>
      <c r="R61" s="104" t="s">
        <v>17</v>
      </c>
      <c r="S61" s="253"/>
      <c r="T61" s="104"/>
      <c r="U61" s="108"/>
      <c r="V61" s="107"/>
      <c r="W61" s="114"/>
    </row>
    <row r="62" spans="1:23" ht="21" customHeight="1">
      <c r="A62" s="104" t="s">
        <v>273</v>
      </c>
      <c r="B62" s="104" t="s">
        <v>74</v>
      </c>
      <c r="C62" s="454" t="s">
        <v>266</v>
      </c>
      <c r="D62" s="105" t="s">
        <v>505</v>
      </c>
      <c r="E62" s="104">
        <v>43133</v>
      </c>
      <c r="F62" s="104">
        <v>236</v>
      </c>
      <c r="G62" s="106" t="s">
        <v>1183</v>
      </c>
      <c r="H62" s="104"/>
      <c r="I62" s="104" t="s">
        <v>225</v>
      </c>
      <c r="J62" s="104" t="s">
        <v>284</v>
      </c>
      <c r="K62" s="104" t="s">
        <v>112</v>
      </c>
      <c r="L62" s="104" t="s">
        <v>663</v>
      </c>
      <c r="M62" s="104" t="s">
        <v>108</v>
      </c>
      <c r="N62" s="108"/>
      <c r="O62" s="104"/>
      <c r="P62" s="108"/>
      <c r="Q62" s="108"/>
      <c r="R62" s="104"/>
      <c r="S62" s="253">
        <v>21.448520000000002</v>
      </c>
      <c r="T62" s="104"/>
      <c r="U62" s="108"/>
      <c r="V62" s="107"/>
      <c r="W62" s="106"/>
    </row>
    <row r="63" spans="1:23" ht="21" customHeight="1">
      <c r="A63" s="104" t="s">
        <v>273</v>
      </c>
      <c r="B63" s="104" t="s">
        <v>74</v>
      </c>
      <c r="C63" s="454" t="s">
        <v>266</v>
      </c>
      <c r="D63" s="105" t="s">
        <v>505</v>
      </c>
      <c r="E63" s="104">
        <v>43133</v>
      </c>
      <c r="F63" s="104">
        <v>235</v>
      </c>
      <c r="G63" s="106" t="s">
        <v>1183</v>
      </c>
      <c r="H63" s="104"/>
      <c r="I63" s="104" t="s">
        <v>225</v>
      </c>
      <c r="J63" s="104" t="s">
        <v>284</v>
      </c>
      <c r="K63" s="104" t="s">
        <v>112</v>
      </c>
      <c r="L63" s="104" t="s">
        <v>663</v>
      </c>
      <c r="M63" s="104" t="s">
        <v>108</v>
      </c>
      <c r="N63" s="108"/>
      <c r="O63" s="104"/>
      <c r="P63" s="108"/>
      <c r="Q63" s="108"/>
      <c r="R63" s="104"/>
      <c r="S63" s="253">
        <v>21.731110000000001</v>
      </c>
      <c r="T63" s="104"/>
      <c r="U63" s="108"/>
      <c r="V63" s="107"/>
      <c r="W63" s="106"/>
    </row>
    <row r="64" spans="1:23" ht="21" customHeight="1">
      <c r="A64" s="104" t="s">
        <v>273</v>
      </c>
      <c r="B64" s="104" t="s">
        <v>74</v>
      </c>
      <c r="C64" s="454" t="s">
        <v>266</v>
      </c>
      <c r="D64" s="105" t="s">
        <v>505</v>
      </c>
      <c r="E64" s="104">
        <v>43133</v>
      </c>
      <c r="F64" s="104">
        <v>232</v>
      </c>
      <c r="G64" s="106" t="s">
        <v>1183</v>
      </c>
      <c r="H64" s="104"/>
      <c r="I64" s="104" t="s">
        <v>225</v>
      </c>
      <c r="J64" s="104" t="s">
        <v>284</v>
      </c>
      <c r="K64" s="104" t="s">
        <v>290</v>
      </c>
      <c r="L64" s="104" t="s">
        <v>973</v>
      </c>
      <c r="M64" s="104"/>
      <c r="N64" s="108"/>
      <c r="O64" s="104"/>
      <c r="P64" s="108"/>
      <c r="Q64" s="108"/>
      <c r="R64" s="104"/>
      <c r="S64" s="253">
        <v>25.125400000000003</v>
      </c>
      <c r="T64" s="104"/>
      <c r="U64" s="108"/>
      <c r="V64" s="107"/>
      <c r="W64" s="106"/>
    </row>
    <row r="65" spans="1:23" ht="21" customHeight="1">
      <c r="A65" s="104" t="s">
        <v>273</v>
      </c>
      <c r="B65" s="104" t="s">
        <v>74</v>
      </c>
      <c r="C65" s="454" t="s">
        <v>266</v>
      </c>
      <c r="D65" s="105" t="s">
        <v>505</v>
      </c>
      <c r="E65" s="104">
        <v>43133</v>
      </c>
      <c r="F65" s="104">
        <v>234</v>
      </c>
      <c r="G65" s="106" t="s">
        <v>1183</v>
      </c>
      <c r="H65" s="104"/>
      <c r="I65" s="104" t="s">
        <v>225</v>
      </c>
      <c r="J65" s="104" t="s">
        <v>284</v>
      </c>
      <c r="K65" s="104" t="s">
        <v>112</v>
      </c>
      <c r="L65" s="104" t="s">
        <v>663</v>
      </c>
      <c r="M65" s="104" t="s">
        <v>108</v>
      </c>
      <c r="N65" s="108"/>
      <c r="O65" s="104"/>
      <c r="P65" s="108"/>
      <c r="Q65" s="108"/>
      <c r="R65" s="104"/>
      <c r="S65" s="253">
        <v>25.716840000000001</v>
      </c>
      <c r="T65" s="104"/>
      <c r="U65" s="108"/>
      <c r="V65" s="107"/>
      <c r="W65" s="106"/>
    </row>
    <row r="66" spans="1:23" ht="21" customHeight="1">
      <c r="A66" s="104" t="s">
        <v>273</v>
      </c>
      <c r="B66" s="104" t="s">
        <v>74</v>
      </c>
      <c r="C66" s="454" t="s">
        <v>266</v>
      </c>
      <c r="D66" s="105" t="s">
        <v>505</v>
      </c>
      <c r="E66" s="104">
        <v>43133</v>
      </c>
      <c r="F66" s="104">
        <v>233</v>
      </c>
      <c r="G66" s="106" t="s">
        <v>1183</v>
      </c>
      <c r="H66" s="104"/>
      <c r="I66" s="104" t="s">
        <v>225</v>
      </c>
      <c r="J66" s="104" t="s">
        <v>284</v>
      </c>
      <c r="K66" s="104" t="s">
        <v>112</v>
      </c>
      <c r="L66" s="104" t="s">
        <v>663</v>
      </c>
      <c r="M66" s="104" t="s">
        <v>114</v>
      </c>
      <c r="N66" s="108"/>
      <c r="O66" s="104"/>
      <c r="P66" s="108"/>
      <c r="Q66" s="108"/>
      <c r="R66" s="104"/>
      <c r="S66" s="253">
        <v>36.540910000000004</v>
      </c>
      <c r="T66" s="104"/>
      <c r="U66" s="108"/>
      <c r="V66" s="107"/>
      <c r="W66" s="106"/>
    </row>
    <row r="67" spans="1:23" ht="21" customHeight="1">
      <c r="A67" s="104" t="s">
        <v>273</v>
      </c>
      <c r="B67" s="104" t="s">
        <v>74</v>
      </c>
      <c r="C67" s="454" t="s">
        <v>266</v>
      </c>
      <c r="D67" s="105" t="s">
        <v>1240</v>
      </c>
      <c r="E67" s="104">
        <v>43133</v>
      </c>
      <c r="F67" s="104">
        <v>1420</v>
      </c>
      <c r="G67" s="106" t="s">
        <v>1183</v>
      </c>
      <c r="H67" s="104" t="s">
        <v>1138</v>
      </c>
      <c r="I67" s="104" t="s">
        <v>225</v>
      </c>
      <c r="J67" s="104" t="s">
        <v>105</v>
      </c>
      <c r="K67" s="104" t="s">
        <v>155</v>
      </c>
      <c r="L67" s="104" t="s">
        <v>658</v>
      </c>
      <c r="M67" s="104" t="s">
        <v>108</v>
      </c>
      <c r="N67" s="108" t="s">
        <v>17</v>
      </c>
      <c r="O67" s="104" t="s">
        <v>17</v>
      </c>
      <c r="P67" s="108">
        <v>1.5939999999999999</v>
      </c>
      <c r="Q67" s="108">
        <v>1.2210000000000001</v>
      </c>
      <c r="R67" s="104" t="s">
        <v>17</v>
      </c>
      <c r="S67" s="253">
        <f>((10^(((LOG((P67*10)))*2.5447)+1.4669)))/1000</f>
        <v>33.641241945472281</v>
      </c>
      <c r="T67" s="104" t="s">
        <v>1152</v>
      </c>
      <c r="U67" s="108">
        <v>0.88</v>
      </c>
      <c r="V67" s="107" t="s">
        <v>287</v>
      </c>
      <c r="W67" s="114" t="s">
        <v>410</v>
      </c>
    </row>
    <row r="68" spans="1:23" ht="21" customHeight="1">
      <c r="A68" s="104" t="s">
        <v>273</v>
      </c>
      <c r="B68" s="104" t="s">
        <v>74</v>
      </c>
      <c r="C68" s="454" t="s">
        <v>266</v>
      </c>
      <c r="D68" s="105" t="s">
        <v>1240</v>
      </c>
      <c r="E68" s="104">
        <v>43133</v>
      </c>
      <c r="F68" s="104">
        <v>1418</v>
      </c>
      <c r="G68" s="106" t="s">
        <v>1183</v>
      </c>
      <c r="H68" s="104" t="s">
        <v>1138</v>
      </c>
      <c r="I68" s="104" t="s">
        <v>225</v>
      </c>
      <c r="J68" s="104" t="s">
        <v>105</v>
      </c>
      <c r="K68" s="104" t="s">
        <v>155</v>
      </c>
      <c r="L68" s="104" t="s">
        <v>658</v>
      </c>
      <c r="M68" s="104" t="s">
        <v>108</v>
      </c>
      <c r="N68" s="108" t="s">
        <v>17</v>
      </c>
      <c r="O68" s="104" t="s">
        <v>17</v>
      </c>
      <c r="P68" s="108">
        <v>1.597</v>
      </c>
      <c r="Q68" s="113">
        <v>1.228</v>
      </c>
      <c r="R68" s="104" t="s">
        <v>17</v>
      </c>
      <c r="S68" s="253">
        <f>((10^(((LOG((P68*10)))*2.5447)+1.4669)))/1000</f>
        <v>33.802593293639504</v>
      </c>
      <c r="T68" s="104" t="s">
        <v>1152</v>
      </c>
      <c r="U68" s="108">
        <v>0.88</v>
      </c>
      <c r="V68" s="107" t="s">
        <v>287</v>
      </c>
      <c r="W68" s="114" t="s">
        <v>410</v>
      </c>
    </row>
    <row r="69" spans="1:23" ht="21" customHeight="1">
      <c r="A69" s="104" t="s">
        <v>273</v>
      </c>
      <c r="B69" s="104" t="s">
        <v>74</v>
      </c>
      <c r="C69" s="454" t="s">
        <v>266</v>
      </c>
      <c r="D69" s="105" t="s">
        <v>1240</v>
      </c>
      <c r="E69" s="104">
        <v>43133</v>
      </c>
      <c r="F69" s="104">
        <v>1439</v>
      </c>
      <c r="G69" s="106" t="s">
        <v>1183</v>
      </c>
      <c r="H69" s="104" t="s">
        <v>1138</v>
      </c>
      <c r="I69" s="104" t="s">
        <v>225</v>
      </c>
      <c r="J69" s="104" t="s">
        <v>105</v>
      </c>
      <c r="K69" s="104" t="s">
        <v>155</v>
      </c>
      <c r="L69" s="104" t="s">
        <v>658</v>
      </c>
      <c r="M69" s="104" t="s">
        <v>114</v>
      </c>
      <c r="N69" s="108" t="s">
        <v>17</v>
      </c>
      <c r="O69" s="104" t="s">
        <v>17</v>
      </c>
      <c r="P69" s="108">
        <v>1.6300000000000001</v>
      </c>
      <c r="Q69" s="108">
        <v>1.206</v>
      </c>
      <c r="R69" s="104" t="s">
        <v>17</v>
      </c>
      <c r="S69" s="253">
        <f>((10^(((LOG((P69*10)))*2.5447)+1.4669)))/1000</f>
        <v>35.608509627774872</v>
      </c>
      <c r="T69" s="104" t="s">
        <v>1152</v>
      </c>
      <c r="U69" s="108">
        <v>0.88</v>
      </c>
      <c r="V69" s="107" t="s">
        <v>287</v>
      </c>
      <c r="W69" s="114" t="s">
        <v>410</v>
      </c>
    </row>
    <row r="70" spans="1:23" ht="21" customHeight="1">
      <c r="A70" s="104" t="s">
        <v>273</v>
      </c>
      <c r="B70" s="104" t="s">
        <v>534</v>
      </c>
      <c r="C70" s="454" t="s">
        <v>535</v>
      </c>
      <c r="D70" s="105" t="s">
        <v>1291</v>
      </c>
      <c r="E70" s="104">
        <v>43133</v>
      </c>
      <c r="F70" s="104">
        <v>1137</v>
      </c>
      <c r="G70" s="106" t="s">
        <v>1183</v>
      </c>
      <c r="H70" s="104" t="s">
        <v>1138</v>
      </c>
      <c r="I70" s="104" t="s">
        <v>225</v>
      </c>
      <c r="J70" s="104" t="s">
        <v>105</v>
      </c>
      <c r="K70" s="104" t="s">
        <v>112</v>
      </c>
      <c r="L70" s="104" t="s">
        <v>663</v>
      </c>
      <c r="M70" s="104" t="s">
        <v>108</v>
      </c>
      <c r="N70" s="108" t="s">
        <v>17</v>
      </c>
      <c r="O70" s="104" t="s">
        <v>17</v>
      </c>
      <c r="P70" s="108">
        <v>0.99199999999999999</v>
      </c>
      <c r="Q70" s="108">
        <v>0.48899999999999999</v>
      </c>
      <c r="R70" s="104" t="s">
        <v>17</v>
      </c>
      <c r="S70" s="253">
        <f>(10^((3.9287*LOG(P70*10))+-0.5516))/1000</f>
        <v>2.3088483388901113</v>
      </c>
      <c r="T70" s="104" t="s">
        <v>1292</v>
      </c>
      <c r="U70" s="108">
        <v>0.81</v>
      </c>
      <c r="V70" s="107"/>
      <c r="W70" s="114" t="s">
        <v>105</v>
      </c>
    </row>
    <row r="71" spans="1:23" ht="21" customHeight="1">
      <c r="A71" s="104" t="s">
        <v>273</v>
      </c>
      <c r="B71" s="104" t="s">
        <v>534</v>
      </c>
      <c r="C71" s="454" t="s">
        <v>535</v>
      </c>
      <c r="D71" s="105" t="s">
        <v>1291</v>
      </c>
      <c r="E71" s="104">
        <v>43133</v>
      </c>
      <c r="F71" s="104">
        <v>1138</v>
      </c>
      <c r="G71" s="106" t="s">
        <v>1183</v>
      </c>
      <c r="H71" s="104" t="s">
        <v>1138</v>
      </c>
      <c r="I71" s="104" t="s">
        <v>225</v>
      </c>
      <c r="J71" s="104" t="s">
        <v>105</v>
      </c>
      <c r="K71" s="104" t="s">
        <v>112</v>
      </c>
      <c r="L71" s="104" t="s">
        <v>663</v>
      </c>
      <c r="M71" s="104" t="s">
        <v>114</v>
      </c>
      <c r="N71" s="108" t="s">
        <v>17</v>
      </c>
      <c r="O71" s="104" t="s">
        <v>17</v>
      </c>
      <c r="P71" s="108">
        <v>1.0900000000000001</v>
      </c>
      <c r="Q71" s="108">
        <v>0.433</v>
      </c>
      <c r="R71" s="104" t="s">
        <v>17</v>
      </c>
      <c r="S71" s="253">
        <f>(10^((3.9287*LOG(P71*10))+-0.5516))/1000</f>
        <v>3.3430085124666307</v>
      </c>
      <c r="T71" s="104" t="s">
        <v>1292</v>
      </c>
      <c r="U71" s="108">
        <v>0.81</v>
      </c>
      <c r="V71" s="107"/>
      <c r="W71" s="114" t="s">
        <v>105</v>
      </c>
    </row>
    <row r="72" spans="1:23" ht="21" customHeight="1">
      <c r="A72" s="104" t="s">
        <v>273</v>
      </c>
      <c r="B72" s="104" t="s">
        <v>77</v>
      </c>
      <c r="C72" s="454" t="s">
        <v>1304</v>
      </c>
      <c r="D72" s="105" t="s">
        <v>549</v>
      </c>
      <c r="E72" s="104">
        <v>43133</v>
      </c>
      <c r="F72" s="104">
        <v>260</v>
      </c>
      <c r="G72" s="106" t="s">
        <v>1183</v>
      </c>
      <c r="H72" s="104" t="s">
        <v>1138</v>
      </c>
      <c r="I72" s="104" t="s">
        <v>225</v>
      </c>
      <c r="J72" s="104" t="s">
        <v>105</v>
      </c>
      <c r="K72" s="104" t="s">
        <v>112</v>
      </c>
      <c r="L72" s="104" t="s">
        <v>663</v>
      </c>
      <c r="M72" s="104" t="s">
        <v>114</v>
      </c>
      <c r="N72" s="108" t="s">
        <v>17</v>
      </c>
      <c r="O72" s="104" t="s">
        <v>17</v>
      </c>
      <c r="P72" s="108">
        <v>1.2669999999999999</v>
      </c>
      <c r="Q72" s="108">
        <v>0.60899999999999999</v>
      </c>
      <c r="R72" s="104" t="s">
        <v>17</v>
      </c>
      <c r="S72" s="253">
        <f>(10^((3.9287*LOG(P72*10))+-0.5516))/1000</f>
        <v>6.0377967164845732</v>
      </c>
      <c r="T72" s="104" t="s">
        <v>1292</v>
      </c>
      <c r="U72" s="108">
        <v>0.81</v>
      </c>
      <c r="V72" s="107"/>
      <c r="W72" s="114" t="s">
        <v>105</v>
      </c>
    </row>
    <row r="73" spans="1:23" ht="21" customHeight="1">
      <c r="A73" s="104" t="s">
        <v>273</v>
      </c>
      <c r="B73" s="104" t="s">
        <v>77</v>
      </c>
      <c r="C73" s="454" t="s">
        <v>1304</v>
      </c>
      <c r="D73" s="105" t="s">
        <v>549</v>
      </c>
      <c r="E73" s="104">
        <v>43133</v>
      </c>
      <c r="F73" s="104">
        <v>213</v>
      </c>
      <c r="G73" s="106" t="s">
        <v>1183</v>
      </c>
      <c r="H73" s="104" t="s">
        <v>1138</v>
      </c>
      <c r="I73" s="104" t="s">
        <v>225</v>
      </c>
      <c r="J73" s="104" t="s">
        <v>105</v>
      </c>
      <c r="K73" s="104" t="s">
        <v>112</v>
      </c>
      <c r="L73" s="104" t="s">
        <v>663</v>
      </c>
      <c r="M73" s="104" t="s">
        <v>108</v>
      </c>
      <c r="N73" s="108" t="s">
        <v>17</v>
      </c>
      <c r="O73" s="104" t="s">
        <v>17</v>
      </c>
      <c r="P73" s="108">
        <v>1.4670000000000001</v>
      </c>
      <c r="Q73" s="108">
        <v>0.66500000000000004</v>
      </c>
      <c r="R73" s="104" t="s">
        <v>17</v>
      </c>
      <c r="S73" s="253">
        <f>(10^((3.9287*LOG(P73*10))+-0.5516))/1000</f>
        <v>10.738756335339641</v>
      </c>
      <c r="T73" s="104" t="s">
        <v>1292</v>
      </c>
      <c r="U73" s="108">
        <v>0.81</v>
      </c>
      <c r="V73" s="107"/>
      <c r="W73" s="114" t="s">
        <v>105</v>
      </c>
    </row>
    <row r="74" spans="1:23" ht="21" customHeight="1">
      <c r="A74" s="416" t="s">
        <v>273</v>
      </c>
      <c r="B74" s="416" t="s">
        <v>551</v>
      </c>
      <c r="C74" s="455" t="s">
        <v>117</v>
      </c>
      <c r="D74" s="461" t="s">
        <v>118</v>
      </c>
      <c r="E74" s="416">
        <v>43133</v>
      </c>
      <c r="F74" s="416">
        <v>257</v>
      </c>
      <c r="G74" s="456" t="s">
        <v>1183</v>
      </c>
      <c r="H74" s="416" t="s">
        <v>1138</v>
      </c>
      <c r="I74" s="104" t="s">
        <v>225</v>
      </c>
      <c r="J74" s="416" t="s">
        <v>105</v>
      </c>
      <c r="K74" s="416" t="s">
        <v>112</v>
      </c>
      <c r="L74" s="416" t="s">
        <v>663</v>
      </c>
      <c r="M74" s="416" t="s">
        <v>114</v>
      </c>
      <c r="N74" s="458" t="s">
        <v>17</v>
      </c>
      <c r="O74" s="416" t="s">
        <v>17</v>
      </c>
      <c r="P74" s="458">
        <v>1.038</v>
      </c>
      <c r="Q74" s="458">
        <v>0.628</v>
      </c>
      <c r="R74" s="416" t="s">
        <v>17</v>
      </c>
      <c r="S74" s="459">
        <f>(10^((3.7376*LOG(P74*10))+-0.534))/1000</f>
        <v>1.8371272051886574</v>
      </c>
      <c r="T74" s="416" t="s">
        <v>1308</v>
      </c>
      <c r="U74" s="458">
        <v>0.96</v>
      </c>
      <c r="V74" s="460"/>
      <c r="W74" s="466" t="s">
        <v>105</v>
      </c>
    </row>
    <row r="75" spans="1:23" ht="21" customHeight="1">
      <c r="A75" s="416" t="s">
        <v>273</v>
      </c>
      <c r="B75" s="416" t="s">
        <v>551</v>
      </c>
      <c r="C75" s="455" t="s">
        <v>117</v>
      </c>
      <c r="D75" s="461" t="s">
        <v>118</v>
      </c>
      <c r="E75" s="416">
        <v>43133</v>
      </c>
      <c r="F75" s="416">
        <v>245</v>
      </c>
      <c r="G75" s="456" t="s">
        <v>1183</v>
      </c>
      <c r="H75" s="416" t="s">
        <v>1138</v>
      </c>
      <c r="I75" s="104" t="s">
        <v>225</v>
      </c>
      <c r="J75" s="416" t="s">
        <v>105</v>
      </c>
      <c r="K75" s="416" t="s">
        <v>112</v>
      </c>
      <c r="L75" s="416" t="s">
        <v>663</v>
      </c>
      <c r="M75" s="416" t="s">
        <v>108</v>
      </c>
      <c r="N75" s="458" t="s">
        <v>17</v>
      </c>
      <c r="O75" s="416" t="s">
        <v>17</v>
      </c>
      <c r="P75" s="458">
        <v>1.105</v>
      </c>
      <c r="Q75" s="458">
        <v>0.71699999999999997</v>
      </c>
      <c r="R75" s="416" t="s">
        <v>17</v>
      </c>
      <c r="S75" s="459">
        <f>(10^((3.7376*LOG(P75*10))+-0.534))/1000</f>
        <v>2.3209770724027776</v>
      </c>
      <c r="T75" s="416" t="s">
        <v>1308</v>
      </c>
      <c r="U75" s="458">
        <v>0.96</v>
      </c>
      <c r="V75" s="460"/>
      <c r="W75" s="466" t="s">
        <v>105</v>
      </c>
    </row>
    <row r="76" spans="1:23" ht="21" customHeight="1">
      <c r="A76" s="416" t="s">
        <v>273</v>
      </c>
      <c r="B76" s="416" t="s">
        <v>551</v>
      </c>
      <c r="C76" s="455" t="s">
        <v>117</v>
      </c>
      <c r="D76" s="461" t="s">
        <v>118</v>
      </c>
      <c r="E76" s="416">
        <v>43133</v>
      </c>
      <c r="F76" s="416">
        <v>244</v>
      </c>
      <c r="G76" s="456" t="s">
        <v>1183</v>
      </c>
      <c r="H76" s="416" t="s">
        <v>1138</v>
      </c>
      <c r="I76" s="104" t="s">
        <v>225</v>
      </c>
      <c r="J76" s="416" t="s">
        <v>105</v>
      </c>
      <c r="K76" s="416" t="s">
        <v>112</v>
      </c>
      <c r="L76" s="416" t="s">
        <v>663</v>
      </c>
      <c r="M76" s="416" t="s">
        <v>108</v>
      </c>
      <c r="N76" s="458" t="s">
        <v>17</v>
      </c>
      <c r="O76" s="416" t="s">
        <v>17</v>
      </c>
      <c r="P76" s="458">
        <v>1.1499999999999999</v>
      </c>
      <c r="Q76" s="458">
        <v>0.70099999999999996</v>
      </c>
      <c r="R76" s="416" t="s">
        <v>17</v>
      </c>
      <c r="S76" s="459">
        <f>(10^((3.7376*LOG(P76*10))+-0.534))/1000</f>
        <v>2.6944135143066283</v>
      </c>
      <c r="T76" s="416" t="s">
        <v>1308</v>
      </c>
      <c r="U76" s="458">
        <v>0.96</v>
      </c>
      <c r="V76" s="460"/>
      <c r="W76" s="466" t="s">
        <v>105</v>
      </c>
    </row>
    <row r="77" spans="1:23" ht="21" customHeight="1">
      <c r="A77" s="416" t="s">
        <v>273</v>
      </c>
      <c r="B77" s="416" t="s">
        <v>551</v>
      </c>
      <c r="C77" s="455" t="s">
        <v>117</v>
      </c>
      <c r="D77" s="461" t="s">
        <v>118</v>
      </c>
      <c r="E77" s="416">
        <v>43133</v>
      </c>
      <c r="F77" s="416">
        <v>247</v>
      </c>
      <c r="G77" s="456" t="s">
        <v>1183</v>
      </c>
      <c r="H77" s="416" t="s">
        <v>1138</v>
      </c>
      <c r="I77" s="104" t="s">
        <v>225</v>
      </c>
      <c r="J77" s="416" t="s">
        <v>105</v>
      </c>
      <c r="K77" s="416" t="s">
        <v>112</v>
      </c>
      <c r="L77" s="416" t="s">
        <v>663</v>
      </c>
      <c r="M77" s="416" t="s">
        <v>114</v>
      </c>
      <c r="N77" s="458" t="s">
        <v>17</v>
      </c>
      <c r="O77" s="416" t="s">
        <v>17</v>
      </c>
      <c r="P77" s="458">
        <v>1.1519999999999999</v>
      </c>
      <c r="Q77" s="458">
        <v>0.66399999999999992</v>
      </c>
      <c r="R77" s="416" t="s">
        <v>17</v>
      </c>
      <c r="S77" s="459">
        <f>(10^((3.7376*LOG(P77*10))+-0.534))/1000</f>
        <v>2.7119694055842549</v>
      </c>
      <c r="T77" s="416" t="s">
        <v>1308</v>
      </c>
      <c r="U77" s="458">
        <v>0.96</v>
      </c>
      <c r="V77" s="460"/>
      <c r="W77" s="466" t="s">
        <v>105</v>
      </c>
    </row>
    <row r="78" spans="1:23" ht="21" customHeight="1">
      <c r="A78" s="416" t="s">
        <v>273</v>
      </c>
      <c r="B78" s="416" t="s">
        <v>551</v>
      </c>
      <c r="C78" s="455" t="s">
        <v>117</v>
      </c>
      <c r="D78" s="461" t="s">
        <v>118</v>
      </c>
      <c r="E78" s="416">
        <v>43133</v>
      </c>
      <c r="F78" s="416">
        <v>258</v>
      </c>
      <c r="G78" s="456" t="s">
        <v>1183</v>
      </c>
      <c r="H78" s="416" t="s">
        <v>1138</v>
      </c>
      <c r="I78" s="104" t="s">
        <v>225</v>
      </c>
      <c r="J78" s="416" t="s">
        <v>105</v>
      </c>
      <c r="K78" s="416" t="s">
        <v>112</v>
      </c>
      <c r="L78" s="416" t="s">
        <v>663</v>
      </c>
      <c r="M78" s="416" t="s">
        <v>108</v>
      </c>
      <c r="N78" s="458" t="s">
        <v>17</v>
      </c>
      <c r="O78" s="416" t="s">
        <v>17</v>
      </c>
      <c r="P78" s="458">
        <v>1.1800000000000002</v>
      </c>
      <c r="Q78" s="458">
        <v>0.629</v>
      </c>
      <c r="R78" s="416" t="s">
        <v>17</v>
      </c>
      <c r="S78" s="459">
        <f>(10^((3.7376*LOG(P78*10))+-0.534))/1000</f>
        <v>2.9666491696665003</v>
      </c>
      <c r="T78" s="416" t="s">
        <v>1308</v>
      </c>
      <c r="U78" s="458">
        <v>0.96</v>
      </c>
      <c r="V78" s="460"/>
      <c r="W78" s="466" t="s">
        <v>105</v>
      </c>
    </row>
    <row r="79" spans="1:23" ht="21" customHeight="1">
      <c r="A79" s="416" t="s">
        <v>273</v>
      </c>
      <c r="B79" s="416" t="s">
        <v>551</v>
      </c>
      <c r="C79" s="455" t="s">
        <v>117</v>
      </c>
      <c r="D79" s="461" t="s">
        <v>118</v>
      </c>
      <c r="E79" s="416">
        <v>43133</v>
      </c>
      <c r="F79" s="416">
        <v>264</v>
      </c>
      <c r="G79" s="456" t="s">
        <v>1183</v>
      </c>
      <c r="H79" s="416" t="s">
        <v>1138</v>
      </c>
      <c r="I79" s="104" t="s">
        <v>225</v>
      </c>
      <c r="J79" s="416" t="s">
        <v>105</v>
      </c>
      <c r="K79" s="416" t="s">
        <v>155</v>
      </c>
      <c r="L79" s="416" t="s">
        <v>658</v>
      </c>
      <c r="M79" s="416" t="s">
        <v>114</v>
      </c>
      <c r="N79" s="458" t="s">
        <v>17</v>
      </c>
      <c r="O79" s="416" t="s">
        <v>17</v>
      </c>
      <c r="P79" s="458">
        <v>0.91199999999999992</v>
      </c>
      <c r="Q79" s="458">
        <v>0.92699999999999994</v>
      </c>
      <c r="R79" s="416" t="s">
        <v>17</v>
      </c>
      <c r="S79" s="459">
        <f>((10^(((LOG((P79*10)))*2.02747)+1.70866)))/1000</f>
        <v>4.5187751820646485</v>
      </c>
      <c r="T79" s="416" t="s">
        <v>1310</v>
      </c>
      <c r="U79" s="458">
        <v>0.83</v>
      </c>
      <c r="V79" s="460" t="s">
        <v>287</v>
      </c>
      <c r="W79" s="466" t="s">
        <v>1311</v>
      </c>
    </row>
    <row r="80" spans="1:23" ht="21" customHeight="1">
      <c r="A80" s="416" t="s">
        <v>273</v>
      </c>
      <c r="B80" s="416" t="s">
        <v>551</v>
      </c>
      <c r="C80" s="455" t="s">
        <v>117</v>
      </c>
      <c r="D80" s="461" t="s">
        <v>118</v>
      </c>
      <c r="E80" s="416">
        <v>43133</v>
      </c>
      <c r="F80" s="416">
        <v>265</v>
      </c>
      <c r="G80" s="456" t="s">
        <v>1183</v>
      </c>
      <c r="H80" s="416" t="s">
        <v>1138</v>
      </c>
      <c r="I80" s="104" t="s">
        <v>225</v>
      </c>
      <c r="J80" s="416" t="s">
        <v>105</v>
      </c>
      <c r="K80" s="416" t="s">
        <v>155</v>
      </c>
      <c r="L80" s="416" t="s">
        <v>658</v>
      </c>
      <c r="M80" s="416" t="s">
        <v>108</v>
      </c>
      <c r="N80" s="458" t="s">
        <v>17</v>
      </c>
      <c r="O80" s="416" t="s">
        <v>17</v>
      </c>
      <c r="P80" s="458">
        <v>0.93</v>
      </c>
      <c r="Q80" s="458">
        <v>0.91400000000000003</v>
      </c>
      <c r="R80" s="416" t="s">
        <v>17</v>
      </c>
      <c r="S80" s="459">
        <f>((10^(((LOG((P80*10)))*2.02747)+1.70866)))/1000</f>
        <v>4.7014316179737481</v>
      </c>
      <c r="T80" s="416" t="s">
        <v>1310</v>
      </c>
      <c r="U80" s="458">
        <v>0.83</v>
      </c>
      <c r="V80" s="460" t="s">
        <v>287</v>
      </c>
      <c r="W80" s="466" t="s">
        <v>1311</v>
      </c>
    </row>
    <row r="81" spans="1:23" ht="21" customHeight="1">
      <c r="A81" s="416" t="s">
        <v>273</v>
      </c>
      <c r="B81" s="416" t="s">
        <v>551</v>
      </c>
      <c r="C81" s="455" t="s">
        <v>117</v>
      </c>
      <c r="D81" s="461" t="s">
        <v>118</v>
      </c>
      <c r="E81" s="416">
        <v>43133</v>
      </c>
      <c r="F81" s="416">
        <v>254</v>
      </c>
      <c r="G81" s="456" t="s">
        <v>1183</v>
      </c>
      <c r="H81" s="416" t="s">
        <v>1138</v>
      </c>
      <c r="I81" s="104" t="s">
        <v>225</v>
      </c>
      <c r="J81" s="416" t="s">
        <v>105</v>
      </c>
      <c r="K81" s="416" t="s">
        <v>155</v>
      </c>
      <c r="L81" s="416" t="s">
        <v>658</v>
      </c>
      <c r="M81" s="416" t="s">
        <v>114</v>
      </c>
      <c r="N81" s="458" t="s">
        <v>17</v>
      </c>
      <c r="O81" s="416" t="s">
        <v>17</v>
      </c>
      <c r="P81" s="458">
        <v>0.97200000000000009</v>
      </c>
      <c r="Q81" s="458">
        <v>0.89100000000000001</v>
      </c>
      <c r="R81" s="416" t="s">
        <v>17</v>
      </c>
      <c r="S81" s="459">
        <f>((10^(((LOG((P81*10)))*2.02747)+1.70866)))/1000</f>
        <v>5.1419011359915441</v>
      </c>
      <c r="T81" s="416" t="s">
        <v>1310</v>
      </c>
      <c r="U81" s="458">
        <v>0.83</v>
      </c>
      <c r="V81" s="460" t="s">
        <v>287</v>
      </c>
      <c r="W81" s="466" t="s">
        <v>1311</v>
      </c>
    </row>
    <row r="82" spans="1:23" ht="21" customHeight="1">
      <c r="A82" s="416" t="s">
        <v>273</v>
      </c>
      <c r="B82" s="416" t="s">
        <v>551</v>
      </c>
      <c r="C82" s="455" t="s">
        <v>117</v>
      </c>
      <c r="D82" s="461" t="s">
        <v>118</v>
      </c>
      <c r="E82" s="416">
        <v>43133</v>
      </c>
      <c r="F82" s="416">
        <v>266</v>
      </c>
      <c r="G82" s="456" t="s">
        <v>1183</v>
      </c>
      <c r="H82" s="416" t="s">
        <v>1138</v>
      </c>
      <c r="I82" s="104" t="s">
        <v>225</v>
      </c>
      <c r="J82" s="416" t="s">
        <v>105</v>
      </c>
      <c r="K82" s="416" t="s">
        <v>243</v>
      </c>
      <c r="L82" s="416" t="s">
        <v>421</v>
      </c>
      <c r="M82" s="416" t="s">
        <v>114</v>
      </c>
      <c r="N82" s="458" t="s">
        <v>17</v>
      </c>
      <c r="O82" s="416" t="s">
        <v>17</v>
      </c>
      <c r="P82" s="458">
        <v>0.79100000000000004</v>
      </c>
      <c r="Q82" s="458">
        <v>0.57199999999999995</v>
      </c>
      <c r="R82" s="416" t="s">
        <v>17</v>
      </c>
      <c r="S82" s="459">
        <f>(10^(((LOG(P82*10))*1.92282)+2.19684))/1000</f>
        <v>8.3921204007054637</v>
      </c>
      <c r="T82" s="416" t="s">
        <v>1312</v>
      </c>
      <c r="U82" s="458">
        <v>0.83</v>
      </c>
      <c r="V82" s="460"/>
      <c r="W82" s="466" t="s">
        <v>1293</v>
      </c>
    </row>
    <row r="83" spans="1:23" ht="21" customHeight="1">
      <c r="A83" s="416" t="s">
        <v>273</v>
      </c>
      <c r="B83" s="416" t="s">
        <v>551</v>
      </c>
      <c r="C83" s="455" t="s">
        <v>117</v>
      </c>
      <c r="D83" s="461" t="s">
        <v>118</v>
      </c>
      <c r="E83" s="416">
        <v>43133</v>
      </c>
      <c r="F83" s="416">
        <v>255</v>
      </c>
      <c r="G83" s="456" t="s">
        <v>1183</v>
      </c>
      <c r="H83" s="416" t="s">
        <v>1138</v>
      </c>
      <c r="I83" s="104" t="s">
        <v>225</v>
      </c>
      <c r="J83" s="416" t="s">
        <v>105</v>
      </c>
      <c r="K83" s="416" t="s">
        <v>143</v>
      </c>
      <c r="L83" s="416" t="s">
        <v>408</v>
      </c>
      <c r="M83" s="416" t="s">
        <v>108</v>
      </c>
      <c r="N83" s="458" t="s">
        <v>17</v>
      </c>
      <c r="O83" s="416" t="s">
        <v>17</v>
      </c>
      <c r="P83" s="458">
        <v>0.85600000000000009</v>
      </c>
      <c r="Q83" s="458">
        <v>0.74299999999999999</v>
      </c>
      <c r="R83" s="472"/>
      <c r="S83" s="459">
        <f>(10^(((LOG(P83*10))*1.92282)+2.19684))/1000</f>
        <v>9.7683048399462198</v>
      </c>
      <c r="T83" s="416" t="s">
        <v>1312</v>
      </c>
      <c r="U83" s="458">
        <v>0.83</v>
      </c>
      <c r="V83" s="460"/>
      <c r="W83" s="466" t="s">
        <v>1293</v>
      </c>
    </row>
    <row r="84" spans="1:23" ht="21" customHeight="1">
      <c r="A84" s="416" t="s">
        <v>273</v>
      </c>
      <c r="B84" s="416" t="s">
        <v>551</v>
      </c>
      <c r="C84" s="455" t="s">
        <v>117</v>
      </c>
      <c r="D84" s="461" t="s">
        <v>118</v>
      </c>
      <c r="E84" s="416">
        <v>43133</v>
      </c>
      <c r="F84" s="416">
        <v>256</v>
      </c>
      <c r="G84" s="456" t="s">
        <v>1183</v>
      </c>
      <c r="H84" s="416" t="s">
        <v>1138</v>
      </c>
      <c r="I84" s="104" t="s">
        <v>225</v>
      </c>
      <c r="J84" s="416" t="s">
        <v>105</v>
      </c>
      <c r="K84" s="416" t="s">
        <v>209</v>
      </c>
      <c r="L84" s="416" t="s">
        <v>684</v>
      </c>
      <c r="M84" s="416" t="s">
        <v>114</v>
      </c>
      <c r="N84" s="458" t="s">
        <v>17</v>
      </c>
      <c r="O84" s="416" t="s">
        <v>17</v>
      </c>
      <c r="P84" s="458">
        <v>0.97300000000000009</v>
      </c>
      <c r="Q84" s="458">
        <v>0.56500000000000006</v>
      </c>
      <c r="R84" s="416" t="s">
        <v>17</v>
      </c>
      <c r="S84" s="459">
        <f>(10^(((LOG(P84*10))*1.92282)+2.19684))/1000</f>
        <v>12.496924082136932</v>
      </c>
      <c r="T84" s="416" t="s">
        <v>1312</v>
      </c>
      <c r="U84" s="458">
        <v>0.83</v>
      </c>
      <c r="V84" s="460"/>
      <c r="W84" s="466" t="s">
        <v>1293</v>
      </c>
    </row>
    <row r="85" spans="1:23" ht="21" customHeight="1">
      <c r="A85" s="416" t="s">
        <v>273</v>
      </c>
      <c r="B85" s="416" t="s">
        <v>551</v>
      </c>
      <c r="C85" s="455" t="s">
        <v>117</v>
      </c>
      <c r="D85" s="461" t="s">
        <v>118</v>
      </c>
      <c r="E85" s="416">
        <v>43133</v>
      </c>
      <c r="F85" s="416">
        <v>259</v>
      </c>
      <c r="G85" s="456" t="s">
        <v>1183</v>
      </c>
      <c r="H85" s="416" t="s">
        <v>1138</v>
      </c>
      <c r="I85" s="104" t="s">
        <v>225</v>
      </c>
      <c r="J85" s="416" t="s">
        <v>105</v>
      </c>
      <c r="K85" s="416" t="s">
        <v>209</v>
      </c>
      <c r="L85" s="416" t="s">
        <v>684</v>
      </c>
      <c r="M85" s="416" t="s">
        <v>114</v>
      </c>
      <c r="N85" s="458" t="s">
        <v>17</v>
      </c>
      <c r="O85" s="416" t="s">
        <v>17</v>
      </c>
      <c r="P85" s="458">
        <v>1.0980000000000001</v>
      </c>
      <c r="Q85" s="458">
        <v>0.67199999999999993</v>
      </c>
      <c r="R85" s="416" t="s">
        <v>17</v>
      </c>
      <c r="S85" s="459">
        <f>(10^(((LOG(P85*10))*1.92282)+2.19684))/1000</f>
        <v>15.766343766860345</v>
      </c>
      <c r="T85" s="416" t="s">
        <v>1312</v>
      </c>
      <c r="U85" s="458">
        <v>0.83</v>
      </c>
      <c r="V85" s="460"/>
      <c r="W85" s="466" t="s">
        <v>1293</v>
      </c>
    </row>
    <row r="86" spans="1:23" ht="21" customHeight="1">
      <c r="A86" s="416" t="s">
        <v>273</v>
      </c>
      <c r="B86" s="416" t="s">
        <v>551</v>
      </c>
      <c r="C86" s="455" t="s">
        <v>117</v>
      </c>
      <c r="D86" s="461" t="s">
        <v>118</v>
      </c>
      <c r="E86" s="416">
        <v>43133</v>
      </c>
      <c r="F86" s="416">
        <v>252</v>
      </c>
      <c r="G86" s="456" t="s">
        <v>1183</v>
      </c>
      <c r="H86" s="416" t="s">
        <v>1138</v>
      </c>
      <c r="I86" s="104" t="s">
        <v>225</v>
      </c>
      <c r="J86" s="416" t="s">
        <v>105</v>
      </c>
      <c r="K86" s="416" t="s">
        <v>209</v>
      </c>
      <c r="L86" s="416" t="s">
        <v>684</v>
      </c>
      <c r="M86" s="416" t="s">
        <v>114</v>
      </c>
      <c r="N86" s="458" t="s">
        <v>17</v>
      </c>
      <c r="O86" s="416" t="s">
        <v>17</v>
      </c>
      <c r="P86" s="458">
        <v>1.23</v>
      </c>
      <c r="Q86" s="458">
        <v>0.64</v>
      </c>
      <c r="R86" s="416" t="s">
        <v>17</v>
      </c>
      <c r="S86" s="459">
        <f>(10^(((LOG(P86*10))*1.92282)+2.19684))/1000</f>
        <v>19.61242728361643</v>
      </c>
      <c r="T86" s="416" t="s">
        <v>1312</v>
      </c>
      <c r="U86" s="458">
        <v>0.83</v>
      </c>
      <c r="V86" s="460"/>
      <c r="W86" s="466" t="s">
        <v>1293</v>
      </c>
    </row>
    <row r="87" spans="1:23" ht="21" customHeight="1">
      <c r="A87" s="416" t="s">
        <v>273</v>
      </c>
      <c r="B87" s="416" t="s">
        <v>80</v>
      </c>
      <c r="C87" s="455" t="s">
        <v>132</v>
      </c>
      <c r="D87" s="461" t="s">
        <v>133</v>
      </c>
      <c r="E87" s="416">
        <v>43133</v>
      </c>
      <c r="F87" s="416">
        <v>1132</v>
      </c>
      <c r="G87" s="456" t="s">
        <v>1183</v>
      </c>
      <c r="H87" s="416" t="s">
        <v>1138</v>
      </c>
      <c r="I87" s="104" t="s">
        <v>225</v>
      </c>
      <c r="J87" s="416" t="s">
        <v>105</v>
      </c>
      <c r="K87" s="416" t="s">
        <v>112</v>
      </c>
      <c r="L87" s="416" t="s">
        <v>663</v>
      </c>
      <c r="M87" s="416" t="s">
        <v>114</v>
      </c>
      <c r="N87" s="458" t="s">
        <v>17</v>
      </c>
      <c r="O87" s="416" t="s">
        <v>17</v>
      </c>
      <c r="P87" s="458">
        <v>1.9690000000000001</v>
      </c>
      <c r="Q87" s="458">
        <v>1.2410000000000001</v>
      </c>
      <c r="R87" s="416" t="s">
        <v>17</v>
      </c>
      <c r="S87" s="459">
        <f>(10^((LOG(P87*10)*1.9336)+2.6699))/1000</f>
        <v>148.74881571775074</v>
      </c>
      <c r="T87" s="416" t="s">
        <v>1327</v>
      </c>
      <c r="U87" s="458">
        <v>0.57999999999999996</v>
      </c>
      <c r="V87" s="460" t="s">
        <v>287</v>
      </c>
      <c r="W87" s="466" t="s">
        <v>105</v>
      </c>
    </row>
    <row r="88" spans="1:23" ht="21" customHeight="1">
      <c r="A88" s="104" t="s">
        <v>576</v>
      </c>
      <c r="B88" s="104" t="s">
        <v>413</v>
      </c>
      <c r="C88" s="454" t="s">
        <v>414</v>
      </c>
      <c r="D88" s="105" t="s">
        <v>577</v>
      </c>
      <c r="E88" s="104">
        <v>43133</v>
      </c>
      <c r="F88" s="104">
        <v>1135</v>
      </c>
      <c r="G88" s="106" t="s">
        <v>1183</v>
      </c>
      <c r="H88" s="104" t="s">
        <v>1138</v>
      </c>
      <c r="I88" s="104" t="s">
        <v>225</v>
      </c>
      <c r="J88" s="104" t="s">
        <v>105</v>
      </c>
      <c r="K88" s="104" t="s">
        <v>112</v>
      </c>
      <c r="L88" s="104" t="s">
        <v>663</v>
      </c>
      <c r="M88" s="104" t="s">
        <v>108</v>
      </c>
      <c r="N88" s="108" t="s">
        <v>17</v>
      </c>
      <c r="O88" s="104" t="s">
        <v>17</v>
      </c>
      <c r="P88" s="108">
        <v>0.55899999999999994</v>
      </c>
      <c r="Q88" s="108">
        <v>0.32200000000000001</v>
      </c>
      <c r="R88" s="104" t="s">
        <v>17</v>
      </c>
      <c r="S88" s="253"/>
      <c r="T88" s="104"/>
      <c r="U88" s="108"/>
      <c r="V88" s="107"/>
      <c r="W88" s="114"/>
    </row>
    <row r="89" spans="1:23" ht="21" customHeight="1">
      <c r="A89" s="103" t="s">
        <v>601</v>
      </c>
      <c r="B89" s="103" t="s">
        <v>602</v>
      </c>
      <c r="C89" s="421" t="s">
        <v>609</v>
      </c>
      <c r="D89" s="396" t="s">
        <v>610</v>
      </c>
      <c r="E89" s="103">
        <v>15</v>
      </c>
      <c r="F89" s="103">
        <v>2158</v>
      </c>
      <c r="G89" s="103" t="s">
        <v>1488</v>
      </c>
      <c r="H89" s="103" t="s">
        <v>1396</v>
      </c>
      <c r="I89" s="104" t="s">
        <v>104</v>
      </c>
      <c r="J89" s="103" t="s">
        <v>105</v>
      </c>
      <c r="K89" s="103" t="s">
        <v>1486</v>
      </c>
      <c r="L89" s="103" t="s">
        <v>1487</v>
      </c>
      <c r="M89" s="103"/>
      <c r="N89" s="103"/>
      <c r="O89" s="103"/>
      <c r="P89" s="103">
        <v>12.06</v>
      </c>
      <c r="Q89" s="103">
        <v>8.65</v>
      </c>
      <c r="R89" s="103"/>
      <c r="S89" s="476"/>
      <c r="T89" s="103"/>
      <c r="U89" s="103"/>
      <c r="V89" s="103"/>
      <c r="W89" s="414"/>
    </row>
    <row r="90" spans="1:23" ht="21" customHeight="1">
      <c r="A90" s="103" t="s">
        <v>601</v>
      </c>
      <c r="B90" s="103" t="s">
        <v>602</v>
      </c>
      <c r="C90" s="421" t="s">
        <v>603</v>
      </c>
      <c r="D90" s="105" t="s">
        <v>151</v>
      </c>
      <c r="E90" s="103">
        <v>45967</v>
      </c>
      <c r="F90" s="103" t="s">
        <v>753</v>
      </c>
      <c r="G90" s="103" t="s">
        <v>1535</v>
      </c>
      <c r="H90" s="103" t="s">
        <v>104</v>
      </c>
      <c r="I90" s="104" t="s">
        <v>104</v>
      </c>
      <c r="J90" s="103" t="s">
        <v>105</v>
      </c>
      <c r="K90" s="103" t="s">
        <v>185</v>
      </c>
      <c r="L90" s="103" t="s">
        <v>186</v>
      </c>
      <c r="M90" s="103"/>
      <c r="N90" s="103"/>
      <c r="O90" s="103"/>
      <c r="P90" s="103">
        <v>20</v>
      </c>
      <c r="Q90" s="103">
        <v>9.3000000000000007</v>
      </c>
      <c r="R90" s="103"/>
      <c r="S90" s="103"/>
      <c r="T90" s="476"/>
      <c r="U90" s="103"/>
      <c r="V90" s="103"/>
      <c r="W90" s="414"/>
    </row>
    <row r="91" spans="1:23" ht="21" customHeight="1">
      <c r="A91" s="103" t="s">
        <v>601</v>
      </c>
      <c r="B91" s="103" t="s">
        <v>602</v>
      </c>
      <c r="C91" s="421" t="s">
        <v>603</v>
      </c>
      <c r="D91" s="105" t="s">
        <v>151</v>
      </c>
      <c r="E91" s="103">
        <v>45967</v>
      </c>
      <c r="F91" s="103" t="s">
        <v>753</v>
      </c>
      <c r="G91" s="103" t="s">
        <v>1535</v>
      </c>
      <c r="H91" s="103" t="s">
        <v>104</v>
      </c>
      <c r="I91" s="104" t="s">
        <v>104</v>
      </c>
      <c r="J91" s="103" t="s">
        <v>105</v>
      </c>
      <c r="K91" s="103" t="s">
        <v>185</v>
      </c>
      <c r="L91" s="103" t="s">
        <v>186</v>
      </c>
      <c r="M91" s="103"/>
      <c r="N91" s="103"/>
      <c r="O91" s="103"/>
      <c r="P91" s="103">
        <v>15.5</v>
      </c>
      <c r="Q91" s="103">
        <v>9</v>
      </c>
      <c r="R91" s="103"/>
      <c r="S91" s="103"/>
      <c r="T91" s="476"/>
      <c r="U91" s="103"/>
      <c r="V91" s="103"/>
      <c r="W91" s="414"/>
    </row>
    <row r="92" spans="1:23" ht="21" customHeight="1">
      <c r="A92" s="104" t="s">
        <v>218</v>
      </c>
      <c r="B92" s="104" t="s">
        <v>389</v>
      </c>
      <c r="C92" s="454" t="s">
        <v>390</v>
      </c>
      <c r="D92" s="105" t="s">
        <v>391</v>
      </c>
      <c r="E92" s="104">
        <v>937</v>
      </c>
      <c r="F92" s="104">
        <v>764</v>
      </c>
      <c r="G92" s="106" t="s">
        <v>706</v>
      </c>
      <c r="H92" s="104" t="s">
        <v>707</v>
      </c>
      <c r="I92" s="104" t="s">
        <v>104</v>
      </c>
      <c r="J92" s="104" t="s">
        <v>105</v>
      </c>
      <c r="K92" s="106" t="s">
        <v>143</v>
      </c>
      <c r="L92" s="104" t="s">
        <v>708</v>
      </c>
      <c r="M92" s="104" t="s">
        <v>108</v>
      </c>
      <c r="N92" s="108"/>
      <c r="O92" s="104"/>
      <c r="P92" s="108">
        <v>3.0190000000000001</v>
      </c>
      <c r="Q92" s="108">
        <v>2.67</v>
      </c>
      <c r="R92" s="104" t="s">
        <v>17</v>
      </c>
      <c r="S92" s="113">
        <f>((10^((3.395*LOG((P92))+1.061))))</f>
        <v>489.93139342183196</v>
      </c>
      <c r="T92" s="104" t="s">
        <v>709</v>
      </c>
      <c r="U92" s="108">
        <v>0.91200000000000003</v>
      </c>
      <c r="V92" s="107">
        <v>36.5</v>
      </c>
      <c r="W92" s="106" t="s">
        <v>700</v>
      </c>
    </row>
    <row r="93" spans="1:23" ht="21" customHeight="1">
      <c r="A93" s="104" t="s">
        <v>218</v>
      </c>
      <c r="B93" s="104" t="s">
        <v>389</v>
      </c>
      <c r="C93" s="454" t="s">
        <v>390</v>
      </c>
      <c r="D93" s="105" t="s">
        <v>391</v>
      </c>
      <c r="E93" s="104">
        <v>937</v>
      </c>
      <c r="F93" s="104">
        <v>492</v>
      </c>
      <c r="G93" s="106" t="s">
        <v>706</v>
      </c>
      <c r="H93" s="104" t="s">
        <v>707</v>
      </c>
      <c r="I93" s="104" t="s">
        <v>104</v>
      </c>
      <c r="J93" s="104" t="s">
        <v>105</v>
      </c>
      <c r="K93" s="106" t="s">
        <v>143</v>
      </c>
      <c r="L93" s="104" t="s">
        <v>708</v>
      </c>
      <c r="M93" s="104" t="s">
        <v>108</v>
      </c>
      <c r="N93" s="108"/>
      <c r="O93" s="104"/>
      <c r="P93" s="108">
        <v>3.4509999999999996</v>
      </c>
      <c r="Q93" s="108">
        <v>3.44</v>
      </c>
      <c r="R93" s="104" t="s">
        <v>17</v>
      </c>
      <c r="S93" s="113">
        <f>((10^((3.395*LOG((P93))+1.061))))</f>
        <v>771.47727320756485</v>
      </c>
      <c r="T93" s="104" t="s">
        <v>709</v>
      </c>
      <c r="U93" s="108">
        <v>0.91200000000000003</v>
      </c>
      <c r="V93" s="107">
        <v>36.5</v>
      </c>
      <c r="W93" s="106" t="s">
        <v>700</v>
      </c>
    </row>
    <row r="94" spans="1:23" ht="21" customHeight="1">
      <c r="A94" s="104" t="s">
        <v>218</v>
      </c>
      <c r="B94" s="104" t="s">
        <v>389</v>
      </c>
      <c r="C94" s="454" t="s">
        <v>390</v>
      </c>
      <c r="D94" s="105" t="s">
        <v>151</v>
      </c>
      <c r="E94" s="104">
        <v>937</v>
      </c>
      <c r="F94" s="104">
        <v>38</v>
      </c>
      <c r="G94" s="106" t="s">
        <v>706</v>
      </c>
      <c r="H94" s="104" t="s">
        <v>707</v>
      </c>
      <c r="I94" s="104" t="s">
        <v>104</v>
      </c>
      <c r="J94" s="104" t="s">
        <v>105</v>
      </c>
      <c r="K94" s="104" t="s">
        <v>729</v>
      </c>
      <c r="L94" s="104" t="s">
        <v>730</v>
      </c>
      <c r="M94" s="104"/>
      <c r="N94" s="108"/>
      <c r="O94" s="104"/>
      <c r="P94" s="108">
        <v>2.82</v>
      </c>
      <c r="Q94" s="108">
        <v>1.75</v>
      </c>
      <c r="R94" s="104" t="s">
        <v>17</v>
      </c>
      <c r="S94" s="113">
        <f>((10^((3.52*LOG((P94))+1.372)) +( 10^((3.375*LOG((P94))+1.119))) +10^((3.395*LOG((P94))+1.061)))/3)</f>
        <v>576.42021556683153</v>
      </c>
      <c r="T94" s="104" t="s">
        <v>731</v>
      </c>
      <c r="U94" s="108">
        <v>0.91</v>
      </c>
      <c r="V94" s="107">
        <v>36</v>
      </c>
      <c r="W94" s="106" t="s">
        <v>732</v>
      </c>
    </row>
    <row r="95" spans="1:23" ht="21" customHeight="1">
      <c r="A95" s="104" t="s">
        <v>218</v>
      </c>
      <c r="B95" s="104" t="s">
        <v>389</v>
      </c>
      <c r="C95" s="454" t="s">
        <v>390</v>
      </c>
      <c r="D95" s="105" t="s">
        <v>151</v>
      </c>
      <c r="E95" s="104">
        <v>937</v>
      </c>
      <c r="F95" s="104">
        <v>38</v>
      </c>
      <c r="G95" s="106" t="s">
        <v>706</v>
      </c>
      <c r="H95" s="104" t="s">
        <v>707</v>
      </c>
      <c r="I95" s="104" t="s">
        <v>104</v>
      </c>
      <c r="J95" s="104" t="s">
        <v>105</v>
      </c>
      <c r="K95" s="104" t="s">
        <v>729</v>
      </c>
      <c r="L95" s="104" t="s">
        <v>730</v>
      </c>
      <c r="M95" s="104"/>
      <c r="N95" s="108"/>
      <c r="O95" s="104"/>
      <c r="P95" s="108">
        <v>3.335</v>
      </c>
      <c r="Q95" s="108">
        <v>1.69</v>
      </c>
      <c r="R95" s="104" t="s">
        <v>17</v>
      </c>
      <c r="S95" s="113">
        <f>((10^((3.52*LOG((P95))+1.372)) +( 10^((3.375*LOG((P95))+1.119))) +10^((3.395*LOG((P95))+1.061)))/3)</f>
        <v>1029.1615574525408</v>
      </c>
      <c r="T95" s="104" t="s">
        <v>731</v>
      </c>
      <c r="U95" s="108">
        <v>0.91</v>
      </c>
      <c r="V95" s="107">
        <v>36</v>
      </c>
      <c r="W95" s="106" t="s">
        <v>732</v>
      </c>
    </row>
    <row r="96" spans="1:23" ht="21" customHeight="1">
      <c r="A96" s="104" t="s">
        <v>218</v>
      </c>
      <c r="B96" s="104" t="s">
        <v>389</v>
      </c>
      <c r="C96" s="454" t="s">
        <v>390</v>
      </c>
      <c r="D96" s="105" t="s">
        <v>151</v>
      </c>
      <c r="E96" s="104">
        <v>937</v>
      </c>
      <c r="F96" s="104">
        <v>38</v>
      </c>
      <c r="G96" s="106" t="s">
        <v>706</v>
      </c>
      <c r="H96" s="104" t="s">
        <v>707</v>
      </c>
      <c r="I96" s="104" t="s">
        <v>104</v>
      </c>
      <c r="J96" s="104" t="s">
        <v>105</v>
      </c>
      <c r="K96" s="104" t="s">
        <v>729</v>
      </c>
      <c r="L96" s="104" t="s">
        <v>730</v>
      </c>
      <c r="M96" s="104"/>
      <c r="N96" s="108"/>
      <c r="O96" s="104"/>
      <c r="P96" s="108">
        <v>3.6799999999999997</v>
      </c>
      <c r="Q96" s="108">
        <v>2.3760000000000003</v>
      </c>
      <c r="R96" s="104" t="s">
        <v>17</v>
      </c>
      <c r="S96" s="113">
        <f>((10^((3.52*LOG((P96))+1.372)) +( 10^((3.375*LOG((P96))+1.119))) +10^((3.395*LOG((P96))+1.061)))/3)</f>
        <v>1446.2805055843983</v>
      </c>
      <c r="T96" s="104" t="s">
        <v>731</v>
      </c>
      <c r="U96" s="108">
        <v>0.91</v>
      </c>
      <c r="V96" s="107">
        <v>36</v>
      </c>
      <c r="W96" s="106" t="s">
        <v>732</v>
      </c>
    </row>
    <row r="97" spans="1:23" ht="21" customHeight="1">
      <c r="A97" s="104" t="s">
        <v>218</v>
      </c>
      <c r="B97" s="104" t="s">
        <v>202</v>
      </c>
      <c r="C97" s="454" t="s">
        <v>203</v>
      </c>
      <c r="D97" s="105" t="s">
        <v>204</v>
      </c>
      <c r="E97" s="104">
        <v>937</v>
      </c>
      <c r="F97" s="104">
        <v>737</v>
      </c>
      <c r="G97" s="106" t="s">
        <v>706</v>
      </c>
      <c r="H97" s="104" t="s">
        <v>1003</v>
      </c>
      <c r="I97" s="104" t="s">
        <v>104</v>
      </c>
      <c r="J97" s="104" t="s">
        <v>256</v>
      </c>
      <c r="K97" s="104" t="s">
        <v>112</v>
      </c>
      <c r="L97" s="104" t="s">
        <v>663</v>
      </c>
      <c r="M97" s="104"/>
      <c r="N97" s="108"/>
      <c r="O97" s="104"/>
      <c r="P97" s="108">
        <v>4.3899999999999997</v>
      </c>
      <c r="Q97" s="108">
        <v>2.48</v>
      </c>
      <c r="R97" s="104"/>
      <c r="S97" s="253">
        <f>(((10^((3.13*LOG((P97*10))+1.17)))+(10^(3.15*LOG((P97*10))+0.94))+(10^(3.12*LOG((P97*10))+0.94))+(10^(3.2*LOG((P97*10))+1.17))+(10^(3.21*LOG((P97*10))+0.92))+(10^(3.19*LOG((P97*10))+0.51)))/6)/1000</f>
        <v>1548.4118221235806</v>
      </c>
      <c r="T97" s="104" t="s">
        <v>1004</v>
      </c>
      <c r="U97" s="108">
        <v>0.88</v>
      </c>
      <c r="V97" s="107">
        <v>42.47</v>
      </c>
      <c r="W97" s="106" t="s">
        <v>980</v>
      </c>
    </row>
    <row r="98" spans="1:23" ht="21" customHeight="1">
      <c r="A98" s="104" t="s">
        <v>218</v>
      </c>
      <c r="B98" s="104" t="s">
        <v>187</v>
      </c>
      <c r="C98" s="454" t="s">
        <v>188</v>
      </c>
      <c r="D98" s="105" t="s">
        <v>189</v>
      </c>
      <c r="E98" s="104">
        <v>937</v>
      </c>
      <c r="F98" s="104">
        <v>200</v>
      </c>
      <c r="G98" s="106" t="s">
        <v>706</v>
      </c>
      <c r="H98" s="104" t="s">
        <v>1003</v>
      </c>
      <c r="I98" s="104" t="s">
        <v>104</v>
      </c>
      <c r="J98" s="104" t="s">
        <v>1128</v>
      </c>
      <c r="K98" s="104" t="s">
        <v>126</v>
      </c>
      <c r="L98" s="104" t="s">
        <v>636</v>
      </c>
      <c r="M98" s="104"/>
      <c r="N98" s="108"/>
      <c r="O98" s="104" t="s">
        <v>17</v>
      </c>
      <c r="P98" s="113">
        <v>2.29</v>
      </c>
      <c r="Q98" s="113">
        <v>1.4</v>
      </c>
      <c r="R98" s="104"/>
      <c r="S98" s="253">
        <f>(10^((2.81*LOG((P98*10))+1.18)))/1000</f>
        <v>100.26230977534168</v>
      </c>
      <c r="T98" s="104" t="s">
        <v>1132</v>
      </c>
      <c r="U98" s="108">
        <v>0.89</v>
      </c>
      <c r="V98" s="107">
        <v>60.5</v>
      </c>
      <c r="W98" s="106" t="s">
        <v>1133</v>
      </c>
    </row>
    <row r="99" spans="1:23" ht="21" customHeight="1">
      <c r="A99" s="103" t="s">
        <v>601</v>
      </c>
      <c r="B99" s="103" t="s">
        <v>602</v>
      </c>
      <c r="C99" s="421" t="s">
        <v>603</v>
      </c>
      <c r="D99" s="105" t="s">
        <v>151</v>
      </c>
      <c r="E99" s="103">
        <v>937</v>
      </c>
      <c r="F99" s="103">
        <v>5</v>
      </c>
      <c r="G99" s="103" t="s">
        <v>706</v>
      </c>
      <c r="H99" s="103" t="s">
        <v>1003</v>
      </c>
      <c r="I99" s="104" t="s">
        <v>104</v>
      </c>
      <c r="J99" s="103" t="s">
        <v>256</v>
      </c>
      <c r="K99" s="103" t="s">
        <v>710</v>
      </c>
      <c r="L99" s="103" t="s">
        <v>1500</v>
      </c>
      <c r="M99" s="103"/>
      <c r="N99" s="103"/>
      <c r="O99" s="103"/>
      <c r="P99" s="103">
        <v>114</v>
      </c>
      <c r="Q99" s="103"/>
      <c r="R99" s="103"/>
      <c r="S99" s="476">
        <v>8127.3</v>
      </c>
      <c r="T99" s="103" t="s">
        <v>1501</v>
      </c>
      <c r="U99" s="103">
        <v>0.98009999999999997</v>
      </c>
      <c r="V99" s="103">
        <v>6.74</v>
      </c>
      <c r="W99" s="414" t="s">
        <v>1502</v>
      </c>
    </row>
    <row r="100" spans="1:23" ht="21" customHeight="1">
      <c r="A100" s="103" t="s">
        <v>601</v>
      </c>
      <c r="B100" s="103" t="s">
        <v>602</v>
      </c>
      <c r="C100" s="421" t="s">
        <v>603</v>
      </c>
      <c r="D100" s="105" t="s">
        <v>151</v>
      </c>
      <c r="E100" s="103">
        <v>937</v>
      </c>
      <c r="F100" s="103">
        <v>2</v>
      </c>
      <c r="G100" s="103" t="s">
        <v>706</v>
      </c>
      <c r="H100" s="103" t="s">
        <v>1003</v>
      </c>
      <c r="I100" s="104" t="s">
        <v>104</v>
      </c>
      <c r="J100" s="103" t="s">
        <v>256</v>
      </c>
      <c r="K100" s="103" t="s">
        <v>714</v>
      </c>
      <c r="L100" s="103" t="s">
        <v>715</v>
      </c>
      <c r="M100" s="103"/>
      <c r="N100" s="103"/>
      <c r="O100" s="103"/>
      <c r="P100" s="103">
        <v>137</v>
      </c>
      <c r="Q100" s="103"/>
      <c r="R100" s="103"/>
      <c r="S100" s="476">
        <v>9017.4</v>
      </c>
      <c r="T100" s="103" t="s">
        <v>1504</v>
      </c>
      <c r="U100" s="103">
        <v>0.970225</v>
      </c>
      <c r="V100" s="103">
        <v>6.15</v>
      </c>
      <c r="W100" s="414" t="s">
        <v>1502</v>
      </c>
    </row>
    <row r="101" spans="1:23" ht="21" customHeight="1">
      <c r="A101" s="103" t="s">
        <v>601</v>
      </c>
      <c r="B101" s="103" t="s">
        <v>602</v>
      </c>
      <c r="C101" s="421" t="s">
        <v>603</v>
      </c>
      <c r="D101" s="105" t="s">
        <v>151</v>
      </c>
      <c r="E101" s="103">
        <v>937</v>
      </c>
      <c r="F101" s="103">
        <v>3</v>
      </c>
      <c r="G101" s="103" t="s">
        <v>706</v>
      </c>
      <c r="H101" s="103" t="s">
        <v>1003</v>
      </c>
      <c r="I101" s="104" t="s">
        <v>104</v>
      </c>
      <c r="J101" s="103" t="s">
        <v>256</v>
      </c>
      <c r="K101" s="103" t="s">
        <v>129</v>
      </c>
      <c r="L101" s="103" t="s">
        <v>130</v>
      </c>
      <c r="M101" s="103" t="s">
        <v>108</v>
      </c>
      <c r="N101" s="103"/>
      <c r="O101" s="103"/>
      <c r="P101" s="103">
        <v>25.4</v>
      </c>
      <c r="Q101" s="103"/>
      <c r="R101" s="103"/>
      <c r="S101" s="476"/>
      <c r="T101" s="103"/>
      <c r="U101" s="103"/>
      <c r="V101" s="103"/>
      <c r="W101" s="414"/>
    </row>
    <row r="102" spans="1:23" ht="21" customHeight="1">
      <c r="A102" s="104" t="s">
        <v>273</v>
      </c>
      <c r="B102" s="104" t="s">
        <v>74</v>
      </c>
      <c r="C102" s="454" t="s">
        <v>266</v>
      </c>
      <c r="D102" s="105" t="s">
        <v>267</v>
      </c>
      <c r="E102" s="104">
        <v>937</v>
      </c>
      <c r="F102" s="104">
        <v>896</v>
      </c>
      <c r="G102" s="106" t="s">
        <v>1225</v>
      </c>
      <c r="H102" s="104" t="s">
        <v>1003</v>
      </c>
      <c r="I102" s="104" t="s">
        <v>104</v>
      </c>
      <c r="J102" s="104" t="s">
        <v>256</v>
      </c>
      <c r="K102" s="104" t="s">
        <v>112</v>
      </c>
      <c r="L102" s="104" t="s">
        <v>663</v>
      </c>
      <c r="M102" s="104" t="s">
        <v>114</v>
      </c>
      <c r="N102" s="108"/>
      <c r="O102" s="104"/>
      <c r="P102" s="108">
        <v>2.37</v>
      </c>
      <c r="Q102" s="108">
        <v>0.82</v>
      </c>
      <c r="R102" s="104"/>
      <c r="S102" s="253">
        <v>19.861527860020765</v>
      </c>
      <c r="T102" s="104" t="s">
        <v>1167</v>
      </c>
      <c r="U102" s="108">
        <v>0.96</v>
      </c>
      <c r="V102" s="107">
        <v>12.4</v>
      </c>
      <c r="W102" s="114" t="s">
        <v>279</v>
      </c>
    </row>
    <row r="103" spans="1:23" ht="21" customHeight="1">
      <c r="A103" s="104" t="s">
        <v>273</v>
      </c>
      <c r="B103" s="104" t="s">
        <v>74</v>
      </c>
      <c r="C103" s="454" t="s">
        <v>266</v>
      </c>
      <c r="D103" s="105" t="s">
        <v>505</v>
      </c>
      <c r="E103" s="104">
        <v>937</v>
      </c>
      <c r="F103" s="104">
        <v>885</v>
      </c>
      <c r="G103" s="106" t="s">
        <v>1225</v>
      </c>
      <c r="H103" s="104" t="s">
        <v>1003</v>
      </c>
      <c r="I103" s="104" t="s">
        <v>104</v>
      </c>
      <c r="J103" s="104" t="s">
        <v>256</v>
      </c>
      <c r="K103" s="104" t="s">
        <v>112</v>
      </c>
      <c r="L103" s="104" t="s">
        <v>663</v>
      </c>
      <c r="M103" s="104" t="s">
        <v>108</v>
      </c>
      <c r="N103" s="108"/>
      <c r="O103" s="104"/>
      <c r="P103" s="108">
        <v>2.79</v>
      </c>
      <c r="Q103" s="108">
        <v>1.0900000000000001</v>
      </c>
      <c r="R103" s="104"/>
      <c r="S103" s="253">
        <v>32.034674503607434</v>
      </c>
      <c r="T103" s="104" t="s">
        <v>1167</v>
      </c>
      <c r="U103" s="108">
        <v>0.96</v>
      </c>
      <c r="V103" s="107">
        <v>12.4</v>
      </c>
      <c r="W103" s="114" t="s">
        <v>279</v>
      </c>
    </row>
    <row r="104" spans="1:23" ht="21" customHeight="1">
      <c r="A104" s="104" t="s">
        <v>273</v>
      </c>
      <c r="B104" s="104" t="s">
        <v>74</v>
      </c>
      <c r="C104" s="454" t="s">
        <v>299</v>
      </c>
      <c r="D104" s="105" t="s">
        <v>1260</v>
      </c>
      <c r="E104" s="104">
        <v>937</v>
      </c>
      <c r="F104" s="104">
        <v>898</v>
      </c>
      <c r="G104" s="106" t="s">
        <v>1225</v>
      </c>
      <c r="H104" s="111" t="s">
        <v>1003</v>
      </c>
      <c r="I104" s="104" t="s">
        <v>104</v>
      </c>
      <c r="J104" s="104" t="s">
        <v>256</v>
      </c>
      <c r="K104" s="104" t="s">
        <v>233</v>
      </c>
      <c r="L104" s="104" t="s">
        <v>653</v>
      </c>
      <c r="M104" s="104" t="s">
        <v>108</v>
      </c>
      <c r="N104" s="108"/>
      <c r="O104" s="104"/>
      <c r="P104" s="108">
        <v>0.75</v>
      </c>
      <c r="Q104" s="108"/>
      <c r="R104" s="104"/>
      <c r="S104" s="253">
        <f>(10^(((LOG(P104*10))*3.3177)+0.5544))/1000</f>
        <v>2.868076648580788</v>
      </c>
      <c r="T104" s="104" t="s">
        <v>1162</v>
      </c>
      <c r="U104" s="108">
        <v>0.84909999999999997</v>
      </c>
      <c r="V104" s="107"/>
      <c r="W104" s="114" t="s">
        <v>1163</v>
      </c>
    </row>
    <row r="105" spans="1:23" ht="21" customHeight="1">
      <c r="A105" s="104" t="s">
        <v>169</v>
      </c>
      <c r="B105" s="104" t="s">
        <v>149</v>
      </c>
      <c r="C105" s="454" t="s">
        <v>150</v>
      </c>
      <c r="D105" s="105" t="s">
        <v>151</v>
      </c>
      <c r="E105" s="104">
        <v>31058</v>
      </c>
      <c r="F105" s="104">
        <v>2</v>
      </c>
      <c r="G105" s="106" t="s">
        <v>164</v>
      </c>
      <c r="H105" s="104" t="s">
        <v>165</v>
      </c>
      <c r="I105" s="104" t="s">
        <v>104</v>
      </c>
      <c r="J105" s="104" t="s">
        <v>105</v>
      </c>
      <c r="K105" s="104" t="s">
        <v>155</v>
      </c>
      <c r="L105" s="104" t="s">
        <v>658</v>
      </c>
      <c r="M105" s="104" t="s">
        <v>108</v>
      </c>
      <c r="N105" s="108" t="s">
        <v>17</v>
      </c>
      <c r="O105" s="104" t="s">
        <v>17</v>
      </c>
      <c r="P105" s="113">
        <v>2.5960000000000001</v>
      </c>
      <c r="Q105" s="113">
        <v>2.7760000000000002</v>
      </c>
      <c r="R105" s="104" t="s">
        <v>17</v>
      </c>
      <c r="S105" s="253">
        <f>(10^((2.9*LOG((P105))+1.209)))</f>
        <v>257.32595639093211</v>
      </c>
      <c r="T105" s="103" t="s">
        <v>1386</v>
      </c>
      <c r="U105" s="108">
        <v>0.96399999999999997</v>
      </c>
      <c r="V105" s="107">
        <v>30.5</v>
      </c>
      <c r="W105" s="414" t="s">
        <v>1385</v>
      </c>
    </row>
    <row r="106" spans="1:23" ht="21" customHeight="1">
      <c r="A106" s="104" t="s">
        <v>273</v>
      </c>
      <c r="B106" s="104" t="s">
        <v>74</v>
      </c>
      <c r="C106" s="454" t="s">
        <v>266</v>
      </c>
      <c r="D106" s="105" t="s">
        <v>499</v>
      </c>
      <c r="E106" s="104">
        <v>43445</v>
      </c>
      <c r="F106" s="104">
        <v>36</v>
      </c>
      <c r="G106" s="106" t="s">
        <v>1184</v>
      </c>
      <c r="H106" s="104"/>
      <c r="I106" s="104" t="s">
        <v>225</v>
      </c>
      <c r="J106" s="104" t="s">
        <v>284</v>
      </c>
      <c r="K106" s="104" t="s">
        <v>252</v>
      </c>
      <c r="L106" s="104" t="s">
        <v>415</v>
      </c>
      <c r="M106" s="104" t="s">
        <v>108</v>
      </c>
      <c r="N106" s="108"/>
      <c r="O106" s="104"/>
      <c r="P106" s="108"/>
      <c r="Q106" s="108"/>
      <c r="R106" s="104"/>
      <c r="S106" s="253">
        <v>9.0443099999999994</v>
      </c>
      <c r="T106" s="104"/>
      <c r="U106" s="108"/>
      <c r="V106" s="107"/>
      <c r="W106" s="106"/>
    </row>
    <row r="107" spans="1:23" ht="21" customHeight="1">
      <c r="A107" s="104" t="s">
        <v>273</v>
      </c>
      <c r="B107" s="104" t="s">
        <v>74</v>
      </c>
      <c r="C107" s="454" t="s">
        <v>266</v>
      </c>
      <c r="D107" s="105" t="s">
        <v>1185</v>
      </c>
      <c r="E107" s="104">
        <v>43445</v>
      </c>
      <c r="F107" s="104">
        <v>35</v>
      </c>
      <c r="G107" s="106" t="s">
        <v>1184</v>
      </c>
      <c r="H107" s="104"/>
      <c r="I107" s="104" t="s">
        <v>225</v>
      </c>
      <c r="J107" s="104" t="s">
        <v>284</v>
      </c>
      <c r="K107" s="104" t="s">
        <v>252</v>
      </c>
      <c r="L107" s="104" t="s">
        <v>415</v>
      </c>
      <c r="M107" s="104" t="s">
        <v>108</v>
      </c>
      <c r="N107" s="108"/>
      <c r="O107" s="104"/>
      <c r="P107" s="108"/>
      <c r="Q107" s="108"/>
      <c r="R107" s="104"/>
      <c r="S107" s="253">
        <v>9.1945499999999996</v>
      </c>
      <c r="T107" s="104"/>
      <c r="U107" s="108"/>
      <c r="V107" s="107"/>
      <c r="W107" s="106"/>
    </row>
    <row r="108" spans="1:23" ht="21" customHeight="1">
      <c r="A108" s="103" t="s">
        <v>601</v>
      </c>
      <c r="B108" s="103" t="s">
        <v>602</v>
      </c>
      <c r="C108" s="421" t="s">
        <v>609</v>
      </c>
      <c r="D108" s="396" t="s">
        <v>610</v>
      </c>
      <c r="E108" s="103">
        <v>40481</v>
      </c>
      <c r="F108" s="103">
        <v>1</v>
      </c>
      <c r="G108" s="103" t="s">
        <v>1468</v>
      </c>
      <c r="H108" s="103" t="s">
        <v>1469</v>
      </c>
      <c r="I108" s="104" t="s">
        <v>104</v>
      </c>
      <c r="J108" s="103" t="s">
        <v>105</v>
      </c>
      <c r="K108" s="103" t="s">
        <v>986</v>
      </c>
      <c r="L108" s="104" t="s">
        <v>987</v>
      </c>
      <c r="M108" s="103"/>
      <c r="N108" s="103"/>
      <c r="O108" s="103">
        <v>45.5</v>
      </c>
      <c r="P108" s="103"/>
      <c r="Q108" s="103"/>
      <c r="R108" s="103"/>
      <c r="S108" s="476">
        <v>7507.6</v>
      </c>
      <c r="T108" s="103" t="s">
        <v>1470</v>
      </c>
      <c r="U108" s="103">
        <v>0.99</v>
      </c>
      <c r="V108" s="103" t="s">
        <v>287</v>
      </c>
      <c r="W108" s="414" t="s">
        <v>1471</v>
      </c>
    </row>
    <row r="109" spans="1:23" ht="21" customHeight="1">
      <c r="A109" s="104" t="s">
        <v>218</v>
      </c>
      <c r="B109" s="104" t="s">
        <v>193</v>
      </c>
      <c r="C109" s="454" t="s">
        <v>194</v>
      </c>
      <c r="D109" s="105" t="s">
        <v>195</v>
      </c>
      <c r="E109" s="104" t="s">
        <v>639</v>
      </c>
      <c r="F109" s="104" t="s">
        <v>640</v>
      </c>
      <c r="G109" s="106" t="s">
        <v>641</v>
      </c>
      <c r="H109" s="104" t="s">
        <v>642</v>
      </c>
      <c r="I109" s="104" t="s">
        <v>104</v>
      </c>
      <c r="J109" s="104" t="s">
        <v>105</v>
      </c>
      <c r="K109" s="104" t="s">
        <v>126</v>
      </c>
      <c r="L109" s="104" t="s">
        <v>636</v>
      </c>
      <c r="M109" s="104" t="s">
        <v>108</v>
      </c>
      <c r="N109" s="113" t="s">
        <v>17</v>
      </c>
      <c r="O109" s="104" t="s">
        <v>17</v>
      </c>
      <c r="P109" s="108">
        <v>1.587</v>
      </c>
      <c r="Q109" s="108">
        <v>0.82799999999999996</v>
      </c>
      <c r="R109" s="104" t="s">
        <v>17</v>
      </c>
      <c r="S109" s="253">
        <f>(10^((3.35*LOG((P109*10))+0.35)))/1000</f>
        <v>23.546843894653286</v>
      </c>
      <c r="T109" s="104" t="s">
        <v>637</v>
      </c>
      <c r="U109" s="108">
        <v>0.93</v>
      </c>
      <c r="V109" s="107">
        <v>47.2</v>
      </c>
      <c r="W109" s="106" t="s">
        <v>638</v>
      </c>
    </row>
    <row r="110" spans="1:23" ht="21" customHeight="1">
      <c r="A110" s="416" t="s">
        <v>562</v>
      </c>
      <c r="B110" s="416" t="s">
        <v>571</v>
      </c>
      <c r="C110" s="455" t="s">
        <v>572</v>
      </c>
      <c r="D110" s="461" t="s">
        <v>573</v>
      </c>
      <c r="E110" s="416">
        <v>31041</v>
      </c>
      <c r="F110" s="416">
        <v>129</v>
      </c>
      <c r="G110" s="456" t="s">
        <v>1341</v>
      </c>
      <c r="H110" s="416" t="s">
        <v>171</v>
      </c>
      <c r="I110" s="104" t="s">
        <v>104</v>
      </c>
      <c r="J110" s="416" t="s">
        <v>1342</v>
      </c>
      <c r="K110" s="416" t="s">
        <v>665</v>
      </c>
      <c r="L110" s="416" t="s">
        <v>1343</v>
      </c>
      <c r="M110" s="416" t="s">
        <v>114</v>
      </c>
      <c r="N110" s="458"/>
      <c r="O110" s="416"/>
      <c r="P110" s="458">
        <v>4.6100000000000003</v>
      </c>
      <c r="Q110" s="458">
        <v>2</v>
      </c>
      <c r="R110" s="416"/>
      <c r="S110" s="459"/>
      <c r="T110" s="416"/>
      <c r="U110" s="458"/>
      <c r="V110" s="460"/>
      <c r="W110" s="466"/>
    </row>
    <row r="111" spans="1:23" ht="21" customHeight="1">
      <c r="A111" s="104" t="s">
        <v>169</v>
      </c>
      <c r="B111" s="104" t="s">
        <v>149</v>
      </c>
      <c r="C111" s="454" t="s">
        <v>150</v>
      </c>
      <c r="D111" s="105" t="s">
        <v>151</v>
      </c>
      <c r="E111" s="104"/>
      <c r="F111" s="104">
        <v>-999</v>
      </c>
      <c r="G111" s="106" t="s">
        <v>641</v>
      </c>
      <c r="H111" s="104" t="s">
        <v>642</v>
      </c>
      <c r="I111" s="104" t="s">
        <v>104</v>
      </c>
      <c r="J111" s="104" t="s">
        <v>105</v>
      </c>
      <c r="K111" s="104" t="s">
        <v>172</v>
      </c>
      <c r="L111" s="104" t="s">
        <v>1238</v>
      </c>
      <c r="M111" s="104"/>
      <c r="N111" s="108" t="s">
        <v>17</v>
      </c>
      <c r="O111" s="104" t="s">
        <v>17</v>
      </c>
      <c r="P111" s="113">
        <v>2.0949999999999998</v>
      </c>
      <c r="Q111" s="113">
        <v>1.5640000000000001</v>
      </c>
      <c r="R111" s="104" t="s">
        <v>17</v>
      </c>
      <c r="S111" s="253">
        <f>(10^((3.187*LOG((P111))+1.264)))</f>
        <v>193.91593339805473</v>
      </c>
      <c r="T111" s="103" t="s">
        <v>1387</v>
      </c>
      <c r="U111" s="108">
        <v>0.98499999999999999</v>
      </c>
      <c r="V111" s="107">
        <v>16.5</v>
      </c>
      <c r="W111" s="414" t="s">
        <v>1385</v>
      </c>
    </row>
    <row r="112" spans="1:23" ht="21" customHeight="1">
      <c r="A112" s="104" t="s">
        <v>169</v>
      </c>
      <c r="B112" s="104" t="s">
        <v>149</v>
      </c>
      <c r="C112" s="454" t="s">
        <v>150</v>
      </c>
      <c r="D112" s="105" t="s">
        <v>151</v>
      </c>
      <c r="E112" s="104"/>
      <c r="F112" s="104">
        <v>-999</v>
      </c>
      <c r="G112" s="106" t="s">
        <v>641</v>
      </c>
      <c r="H112" s="104" t="s">
        <v>642</v>
      </c>
      <c r="I112" s="104" t="s">
        <v>104</v>
      </c>
      <c r="J112" s="104" t="s">
        <v>105</v>
      </c>
      <c r="K112" s="104" t="s">
        <v>166</v>
      </c>
      <c r="L112" s="104" t="s">
        <v>939</v>
      </c>
      <c r="M112" s="104"/>
      <c r="N112" s="108" t="s">
        <v>17</v>
      </c>
      <c r="O112" s="104" t="s">
        <v>17</v>
      </c>
      <c r="P112" s="113">
        <v>2.488</v>
      </c>
      <c r="Q112" s="113">
        <v>2.4940000000000002</v>
      </c>
      <c r="R112" s="104" t="s">
        <v>17</v>
      </c>
      <c r="S112" s="253">
        <f>(( (10^((3.01*LOG((P112))+1.216))) +  (10^((2.9*LOG((P112))+1.209)))))/2</f>
        <v>241.5309189946737</v>
      </c>
      <c r="T112" s="103" t="s">
        <v>1393</v>
      </c>
      <c r="U112" s="108">
        <v>0.98599999999999999</v>
      </c>
      <c r="V112" s="107">
        <v>16.899999999999999</v>
      </c>
      <c r="W112" s="414" t="s">
        <v>1385</v>
      </c>
    </row>
    <row r="113" spans="1:23" ht="21" customHeight="1">
      <c r="A113" s="104" t="s">
        <v>169</v>
      </c>
      <c r="B113" s="104" t="s">
        <v>149</v>
      </c>
      <c r="C113" s="454" t="s">
        <v>150</v>
      </c>
      <c r="D113" s="105" t="s">
        <v>151</v>
      </c>
      <c r="E113" s="104"/>
      <c r="F113" s="104" t="s">
        <v>1403</v>
      </c>
      <c r="G113" s="106" t="s">
        <v>641</v>
      </c>
      <c r="H113" s="104" t="s">
        <v>642</v>
      </c>
      <c r="I113" s="104" t="s">
        <v>104</v>
      </c>
      <c r="J113" s="104" t="s">
        <v>105</v>
      </c>
      <c r="K113" s="104" t="s">
        <v>172</v>
      </c>
      <c r="L113" s="104" t="s">
        <v>1238</v>
      </c>
      <c r="M113" s="104"/>
      <c r="N113" s="108" t="s">
        <v>17</v>
      </c>
      <c r="O113" s="104" t="s">
        <v>17</v>
      </c>
      <c r="P113" s="113">
        <v>2.871</v>
      </c>
      <c r="Q113" s="113">
        <v>1.58</v>
      </c>
      <c r="R113" s="104" t="s">
        <v>17</v>
      </c>
      <c r="S113" s="253">
        <f>(10^((3.187*LOG((P113))+1.264)))</f>
        <v>529.36080794713189</v>
      </c>
      <c r="T113" s="103" t="s">
        <v>1387</v>
      </c>
      <c r="U113" s="108">
        <v>0.98499999999999999</v>
      </c>
      <c r="V113" s="107">
        <v>16.5</v>
      </c>
      <c r="W113" s="414" t="s">
        <v>1385</v>
      </c>
    </row>
    <row r="114" spans="1:23" ht="21" customHeight="1">
      <c r="A114" s="104" t="s">
        <v>169</v>
      </c>
      <c r="B114" s="104" t="s">
        <v>149</v>
      </c>
      <c r="C114" s="454" t="s">
        <v>150</v>
      </c>
      <c r="D114" s="105" t="s">
        <v>151</v>
      </c>
      <c r="E114" s="104"/>
      <c r="F114" s="104" t="s">
        <v>1403</v>
      </c>
      <c r="G114" s="106" t="s">
        <v>641</v>
      </c>
      <c r="H114" s="104" t="s">
        <v>642</v>
      </c>
      <c r="I114" s="104" t="s">
        <v>104</v>
      </c>
      <c r="J114" s="104" t="s">
        <v>105</v>
      </c>
      <c r="K114" s="104" t="s">
        <v>172</v>
      </c>
      <c r="L114" s="104" t="s">
        <v>1238</v>
      </c>
      <c r="M114" s="104"/>
      <c r="N114" s="108" t="s">
        <v>17</v>
      </c>
      <c r="O114" s="104" t="s">
        <v>17</v>
      </c>
      <c r="P114" s="113">
        <v>2.996</v>
      </c>
      <c r="Q114" s="113">
        <v>1.738</v>
      </c>
      <c r="R114" s="104" t="s">
        <v>17</v>
      </c>
      <c r="S114" s="253">
        <f>(10^((3.187*LOG((P114))+1.264)))</f>
        <v>606.37145042544682</v>
      </c>
      <c r="T114" s="103" t="s">
        <v>1387</v>
      </c>
      <c r="U114" s="108">
        <v>0.98499999999999999</v>
      </c>
      <c r="V114" s="107">
        <v>16.5</v>
      </c>
      <c r="W114" s="414" t="s">
        <v>1385</v>
      </c>
    </row>
    <row r="115" spans="1:23" ht="21" customHeight="1">
      <c r="A115" s="104" t="s">
        <v>169</v>
      </c>
      <c r="B115" s="104" t="s">
        <v>149</v>
      </c>
      <c r="C115" s="454" t="s">
        <v>150</v>
      </c>
      <c r="D115" s="105" t="s">
        <v>151</v>
      </c>
      <c r="E115" s="104"/>
      <c r="F115" s="104">
        <v>-999</v>
      </c>
      <c r="G115" s="106" t="s">
        <v>641</v>
      </c>
      <c r="H115" s="104" t="s">
        <v>642</v>
      </c>
      <c r="I115" s="104" t="s">
        <v>104</v>
      </c>
      <c r="J115" s="104" t="s">
        <v>105</v>
      </c>
      <c r="K115" s="104" t="s">
        <v>153</v>
      </c>
      <c r="L115" s="104" t="s">
        <v>1100</v>
      </c>
      <c r="M115" s="104"/>
      <c r="N115" s="108" t="s">
        <v>17</v>
      </c>
      <c r="O115" s="104" t="s">
        <v>17</v>
      </c>
      <c r="P115" s="113">
        <v>3.1909999999999998</v>
      </c>
      <c r="Q115" s="113">
        <v>2.0499999999999998</v>
      </c>
      <c r="R115" s="104" t="s">
        <v>17</v>
      </c>
      <c r="S115" s="253">
        <f>( (10^((2.965*LOG((P115))+1.383))) +  (10^((3.09*LOG((P115))+1.29))))/2</f>
        <v>728.44630883940511</v>
      </c>
      <c r="T115" s="103" t="s">
        <v>1415</v>
      </c>
      <c r="U115" s="108"/>
      <c r="V115" s="107"/>
      <c r="W115" s="414" t="s">
        <v>1385</v>
      </c>
    </row>
    <row r="116" spans="1:23" ht="21" customHeight="1">
      <c r="A116" s="104" t="s">
        <v>169</v>
      </c>
      <c r="B116" s="104" t="s">
        <v>149</v>
      </c>
      <c r="C116" s="454" t="s">
        <v>150</v>
      </c>
      <c r="D116" s="105" t="s">
        <v>151</v>
      </c>
      <c r="E116" s="104"/>
      <c r="F116" s="104" t="s">
        <v>1403</v>
      </c>
      <c r="G116" s="106" t="s">
        <v>641</v>
      </c>
      <c r="H116" s="104" t="s">
        <v>642</v>
      </c>
      <c r="I116" s="104" t="s">
        <v>104</v>
      </c>
      <c r="J116" s="104" t="s">
        <v>105</v>
      </c>
      <c r="K116" s="104" t="s">
        <v>172</v>
      </c>
      <c r="L116" s="104" t="s">
        <v>1238</v>
      </c>
      <c r="M116" s="104"/>
      <c r="N116" s="108" t="s">
        <v>17</v>
      </c>
      <c r="O116" s="104" t="s">
        <v>17</v>
      </c>
      <c r="P116" s="113">
        <v>3.1850000000000001</v>
      </c>
      <c r="Q116" s="113">
        <v>1.839</v>
      </c>
      <c r="R116" s="104" t="s">
        <v>17</v>
      </c>
      <c r="S116" s="253">
        <f>(10^((3.187*LOG((P116))+1.264)))</f>
        <v>736.90206692738025</v>
      </c>
      <c r="T116" s="103" t="s">
        <v>1387</v>
      </c>
      <c r="U116" s="108">
        <v>0.98499999999999999</v>
      </c>
      <c r="V116" s="107">
        <v>16.5</v>
      </c>
      <c r="W116" s="414" t="s">
        <v>1385</v>
      </c>
    </row>
    <row r="117" spans="1:23" ht="21" customHeight="1">
      <c r="A117" s="103" t="s">
        <v>601</v>
      </c>
      <c r="B117" s="103" t="s">
        <v>602</v>
      </c>
      <c r="C117" s="421" t="s">
        <v>609</v>
      </c>
      <c r="D117" s="396" t="s">
        <v>610</v>
      </c>
      <c r="E117" s="103">
        <v>200</v>
      </c>
      <c r="F117" s="103">
        <v>2193</v>
      </c>
      <c r="G117" s="103" t="s">
        <v>641</v>
      </c>
      <c r="H117" s="103" t="s">
        <v>1491</v>
      </c>
      <c r="I117" s="104" t="s">
        <v>104</v>
      </c>
      <c r="J117" s="103" t="s">
        <v>105</v>
      </c>
      <c r="K117" s="103" t="s">
        <v>1486</v>
      </c>
      <c r="L117" s="103" t="s">
        <v>1487</v>
      </c>
      <c r="M117" s="103"/>
      <c r="N117" s="103"/>
      <c r="O117" s="103"/>
      <c r="P117" s="103">
        <v>11.82</v>
      </c>
      <c r="Q117" s="103">
        <v>8.57</v>
      </c>
      <c r="R117" s="103"/>
      <c r="S117" s="476"/>
      <c r="T117" s="103"/>
      <c r="U117" s="103"/>
      <c r="V117" s="103"/>
      <c r="W117" s="414"/>
    </row>
    <row r="118" spans="1:23" ht="21" customHeight="1">
      <c r="A118" s="103" t="s">
        <v>601</v>
      </c>
      <c r="B118" s="103" t="s">
        <v>602</v>
      </c>
      <c r="C118" s="421" t="s">
        <v>609</v>
      </c>
      <c r="D118" s="396" t="s">
        <v>610</v>
      </c>
      <c r="E118" s="103" t="s">
        <v>1478</v>
      </c>
      <c r="F118" s="103" t="s">
        <v>1479</v>
      </c>
      <c r="G118" s="103" t="s">
        <v>641</v>
      </c>
      <c r="H118" s="103" t="s">
        <v>642</v>
      </c>
      <c r="I118" s="104" t="s">
        <v>104</v>
      </c>
      <c r="J118" s="103" t="s">
        <v>105</v>
      </c>
      <c r="K118" s="103" t="s">
        <v>1474</v>
      </c>
      <c r="L118" s="103" t="s">
        <v>1480</v>
      </c>
      <c r="M118" s="103"/>
      <c r="N118" s="103"/>
      <c r="O118" s="103"/>
      <c r="P118" s="103">
        <v>16.55</v>
      </c>
      <c r="Q118" s="103">
        <v>8.7799999999999994</v>
      </c>
      <c r="R118" s="103"/>
      <c r="S118" s="476"/>
      <c r="T118" s="103"/>
      <c r="U118" s="103"/>
      <c r="V118" s="103"/>
      <c r="W118" s="414"/>
    </row>
    <row r="119" spans="1:23" ht="21" customHeight="1">
      <c r="A119" s="103" t="s">
        <v>601</v>
      </c>
      <c r="B119" s="103" t="s">
        <v>602</v>
      </c>
      <c r="C119" s="421" t="s">
        <v>609</v>
      </c>
      <c r="D119" s="396" t="s">
        <v>610</v>
      </c>
      <c r="E119" s="103" t="s">
        <v>1478</v>
      </c>
      <c r="F119" s="103">
        <v>2166</v>
      </c>
      <c r="G119" s="103" t="s">
        <v>641</v>
      </c>
      <c r="H119" s="103" t="s">
        <v>642</v>
      </c>
      <c r="I119" s="104" t="s">
        <v>104</v>
      </c>
      <c r="J119" s="103" t="s">
        <v>105</v>
      </c>
      <c r="K119" s="103" t="s">
        <v>1486</v>
      </c>
      <c r="L119" s="103" t="s">
        <v>1487</v>
      </c>
      <c r="M119" s="103"/>
      <c r="N119" s="103"/>
      <c r="O119" s="103"/>
      <c r="P119" s="103">
        <v>11.33</v>
      </c>
      <c r="Q119" s="103">
        <v>8.73</v>
      </c>
      <c r="R119" s="103"/>
      <c r="S119" s="476"/>
      <c r="T119" s="103"/>
      <c r="U119" s="103"/>
      <c r="V119" s="103"/>
      <c r="W119" s="414"/>
    </row>
    <row r="120" spans="1:23" ht="21" customHeight="1">
      <c r="A120" s="103" t="s">
        <v>601</v>
      </c>
      <c r="B120" s="103" t="s">
        <v>602</v>
      </c>
      <c r="C120" s="421" t="s">
        <v>603</v>
      </c>
      <c r="D120" s="105" t="s">
        <v>151</v>
      </c>
      <c r="E120" s="103">
        <v>870</v>
      </c>
      <c r="F120" s="103">
        <v>2315</v>
      </c>
      <c r="G120" s="103" t="s">
        <v>1514</v>
      </c>
      <c r="H120" s="103" t="s">
        <v>642</v>
      </c>
      <c r="I120" s="104" t="s">
        <v>104</v>
      </c>
      <c r="J120" s="103" t="s">
        <v>105</v>
      </c>
      <c r="K120" s="103" t="s">
        <v>185</v>
      </c>
      <c r="L120" s="103" t="s">
        <v>186</v>
      </c>
      <c r="M120" s="103"/>
      <c r="N120" s="103"/>
      <c r="O120" s="103"/>
      <c r="P120" s="103">
        <v>10.17</v>
      </c>
      <c r="Q120" s="103">
        <v>4</v>
      </c>
      <c r="R120" s="103"/>
      <c r="S120" s="476"/>
      <c r="T120" s="103"/>
      <c r="U120" s="103"/>
      <c r="V120" s="103"/>
      <c r="W120" s="414"/>
    </row>
    <row r="121" spans="1:23" ht="21" customHeight="1">
      <c r="A121" s="103" t="s">
        <v>601</v>
      </c>
      <c r="B121" s="103" t="s">
        <v>602</v>
      </c>
      <c r="C121" s="421" t="s">
        <v>603</v>
      </c>
      <c r="D121" s="105" t="s">
        <v>151</v>
      </c>
      <c r="E121" s="103">
        <v>30924</v>
      </c>
      <c r="F121" s="103" t="s">
        <v>1518</v>
      </c>
      <c r="G121" s="103" t="s">
        <v>1519</v>
      </c>
      <c r="H121" s="103" t="s">
        <v>184</v>
      </c>
      <c r="I121" s="104" t="s">
        <v>104</v>
      </c>
      <c r="J121" s="103" t="s">
        <v>105</v>
      </c>
      <c r="K121" s="103" t="s">
        <v>158</v>
      </c>
      <c r="L121" s="103" t="s">
        <v>1494</v>
      </c>
      <c r="M121" s="103"/>
      <c r="N121" s="103"/>
      <c r="O121" s="103"/>
      <c r="P121" s="103">
        <v>16.8</v>
      </c>
      <c r="Q121" s="103">
        <v>8.9</v>
      </c>
      <c r="R121" s="103"/>
      <c r="S121" s="476"/>
      <c r="T121" s="103"/>
      <c r="U121" s="103"/>
      <c r="V121" s="103"/>
      <c r="W121" s="414"/>
    </row>
    <row r="122" spans="1:23" ht="21" customHeight="1">
      <c r="A122" s="104" t="s">
        <v>169</v>
      </c>
      <c r="B122" s="104" t="s">
        <v>246</v>
      </c>
      <c r="C122" s="454" t="s">
        <v>247</v>
      </c>
      <c r="D122" s="105" t="s">
        <v>248</v>
      </c>
      <c r="E122" s="104">
        <v>31024</v>
      </c>
      <c r="F122" s="104">
        <v>1</v>
      </c>
      <c r="G122" s="106" t="s">
        <v>1437</v>
      </c>
      <c r="H122" s="111" t="s">
        <v>1438</v>
      </c>
      <c r="I122" s="104" t="s">
        <v>104</v>
      </c>
      <c r="J122" s="104" t="s">
        <v>105</v>
      </c>
      <c r="K122" s="104" t="s">
        <v>112</v>
      </c>
      <c r="L122" s="104" t="s">
        <v>663</v>
      </c>
      <c r="M122" s="104" t="s">
        <v>108</v>
      </c>
      <c r="N122" s="108" t="s">
        <v>17</v>
      </c>
      <c r="O122" s="104" t="s">
        <v>17</v>
      </c>
      <c r="P122" s="108">
        <v>2.3570000000000002</v>
      </c>
      <c r="Q122" s="108">
        <v>1.802</v>
      </c>
      <c r="R122" s="104" t="s">
        <v>17</v>
      </c>
      <c r="S122" s="253">
        <f>(10^((3.187*LOG((P122))+1.264)))</f>
        <v>282.29942236578654</v>
      </c>
      <c r="T122" s="103" t="s">
        <v>1387</v>
      </c>
      <c r="U122" s="108">
        <v>0.98499999999999999</v>
      </c>
      <c r="V122" s="107">
        <v>16.5</v>
      </c>
      <c r="W122" s="414" t="s">
        <v>1385</v>
      </c>
    </row>
    <row r="123" spans="1:23" ht="21" customHeight="1">
      <c r="A123" s="104" t="s">
        <v>218</v>
      </c>
      <c r="B123" s="104" t="s">
        <v>202</v>
      </c>
      <c r="C123" s="454" t="s">
        <v>203</v>
      </c>
      <c r="D123" s="105" t="s">
        <v>204</v>
      </c>
      <c r="E123" s="104">
        <v>177</v>
      </c>
      <c r="F123" s="104" t="s">
        <v>994</v>
      </c>
      <c r="G123" s="106" t="s">
        <v>990</v>
      </c>
      <c r="H123" s="104" t="s">
        <v>991</v>
      </c>
      <c r="I123" s="104" t="s">
        <v>104</v>
      </c>
      <c r="J123" s="104" t="s">
        <v>105</v>
      </c>
      <c r="K123" s="104" t="s">
        <v>185</v>
      </c>
      <c r="L123" s="104" t="s">
        <v>636</v>
      </c>
      <c r="M123" s="104"/>
      <c r="N123" s="108" t="s">
        <v>17</v>
      </c>
      <c r="O123" s="104" t="s">
        <v>17</v>
      </c>
      <c r="P123" s="113">
        <v>5.7299999999999995</v>
      </c>
      <c r="Q123" s="113">
        <v>3.2469999999999999</v>
      </c>
      <c r="R123" s="104" t="s">
        <v>17</v>
      </c>
      <c r="S123" s="253">
        <f>(10^((3.19*LOG((P123*10))+0.51)))/1000</f>
        <v>1313.7515580068437</v>
      </c>
      <c r="T123" s="104" t="s">
        <v>979</v>
      </c>
      <c r="U123" s="108">
        <v>0.9</v>
      </c>
      <c r="V123" s="107">
        <v>39.4</v>
      </c>
      <c r="W123" s="106" t="s">
        <v>980</v>
      </c>
    </row>
    <row r="124" spans="1:23" ht="21" customHeight="1">
      <c r="A124" s="104" t="s">
        <v>218</v>
      </c>
      <c r="B124" s="104" t="s">
        <v>202</v>
      </c>
      <c r="C124" s="454" t="s">
        <v>203</v>
      </c>
      <c r="D124" s="105" t="s">
        <v>204</v>
      </c>
      <c r="E124" s="104">
        <v>177</v>
      </c>
      <c r="F124" s="104" t="s">
        <v>996</v>
      </c>
      <c r="G124" s="106" t="s">
        <v>990</v>
      </c>
      <c r="H124" s="104" t="s">
        <v>991</v>
      </c>
      <c r="I124" s="104" t="s">
        <v>104</v>
      </c>
      <c r="J124" s="104" t="s">
        <v>105</v>
      </c>
      <c r="K124" s="104" t="s">
        <v>185</v>
      </c>
      <c r="L124" s="104" t="s">
        <v>984</v>
      </c>
      <c r="M124" s="104"/>
      <c r="N124" s="108" t="s">
        <v>17</v>
      </c>
      <c r="O124" s="104" t="s">
        <v>17</v>
      </c>
      <c r="P124" s="113">
        <v>4.6459999999999999</v>
      </c>
      <c r="Q124" s="113">
        <v>2.46</v>
      </c>
      <c r="R124" s="104" t="s">
        <v>17</v>
      </c>
      <c r="S124" s="253">
        <f>(((10^(3.15*LOG((P124*10))+0.94))+(10^(3.12*LOG((P124*10))+0.94))+(10^(3.21*LOG((P124*10))+0.92))+(10^(3.19*LOG((P124*10))+0.51)))/4)/1000</f>
        <v>1369.6656967387223</v>
      </c>
      <c r="T124" s="104" t="s">
        <v>985</v>
      </c>
      <c r="U124" s="108">
        <v>0.88</v>
      </c>
      <c r="V124" s="107">
        <v>42.47</v>
      </c>
      <c r="W124" s="106" t="s">
        <v>980</v>
      </c>
    </row>
    <row r="125" spans="1:23" ht="21" customHeight="1">
      <c r="A125" s="104" t="s">
        <v>218</v>
      </c>
      <c r="B125" s="104" t="s">
        <v>202</v>
      </c>
      <c r="C125" s="454" t="s">
        <v>203</v>
      </c>
      <c r="D125" s="105" t="s">
        <v>204</v>
      </c>
      <c r="E125" s="104">
        <v>999</v>
      </c>
      <c r="F125" s="104">
        <v>-999</v>
      </c>
      <c r="G125" s="106" t="s">
        <v>990</v>
      </c>
      <c r="H125" s="104" t="s">
        <v>991</v>
      </c>
      <c r="I125" s="104" t="s">
        <v>104</v>
      </c>
      <c r="J125" s="104" t="s">
        <v>105</v>
      </c>
      <c r="K125" s="104" t="s">
        <v>174</v>
      </c>
      <c r="L125" s="104" t="s">
        <v>340</v>
      </c>
      <c r="M125" s="104"/>
      <c r="N125" s="108" t="s">
        <v>17</v>
      </c>
      <c r="O125" s="104" t="s">
        <v>17</v>
      </c>
      <c r="P125" s="113">
        <v>5.4189999999999996</v>
      </c>
      <c r="Q125" s="113">
        <v>1.9899999999999998</v>
      </c>
      <c r="R125" s="104" t="s">
        <v>17</v>
      </c>
      <c r="S125" s="253">
        <f>(((((10^((3.19*LOG((P125*10))+0.51)))))))/1000</f>
        <v>1099.5173625657785</v>
      </c>
      <c r="T125" s="104" t="s">
        <v>979</v>
      </c>
      <c r="U125" s="108">
        <v>0.89</v>
      </c>
      <c r="V125" s="107">
        <v>39.18</v>
      </c>
      <c r="W125" s="106" t="s">
        <v>992</v>
      </c>
    </row>
    <row r="126" spans="1:23" ht="21" customHeight="1">
      <c r="A126" s="104" t="s">
        <v>169</v>
      </c>
      <c r="B126" s="104" t="s">
        <v>149</v>
      </c>
      <c r="C126" s="454" t="s">
        <v>150</v>
      </c>
      <c r="D126" s="105" t="s">
        <v>151</v>
      </c>
      <c r="E126" s="104"/>
      <c r="F126" s="104">
        <v>-999</v>
      </c>
      <c r="G126" s="106" t="s">
        <v>990</v>
      </c>
      <c r="H126" s="104" t="s">
        <v>991</v>
      </c>
      <c r="I126" s="104" t="s">
        <v>104</v>
      </c>
      <c r="J126" s="104" t="s">
        <v>105</v>
      </c>
      <c r="K126" s="104" t="s">
        <v>185</v>
      </c>
      <c r="L126" s="104" t="s">
        <v>997</v>
      </c>
      <c r="M126" s="104"/>
      <c r="N126" s="108" t="s">
        <v>17</v>
      </c>
      <c r="O126" s="104" t="s">
        <v>17</v>
      </c>
      <c r="P126" s="113">
        <v>2.8739999999999997</v>
      </c>
      <c r="Q126" s="113">
        <v>1.841</v>
      </c>
      <c r="R126" s="104" t="s">
        <v>17</v>
      </c>
      <c r="S126" s="253">
        <f t="shared" ref="S126:S132" si="1">((10^((3.187*LOG((P126))+1.264))+(10^((3.01*LOG((P126))+1.216)))+(10^(((2.999*(LOG(P126)))+1.162)))))/3</f>
        <v>423.32512740299109</v>
      </c>
      <c r="T126" s="103" t="s">
        <v>1384</v>
      </c>
      <c r="U126" s="108">
        <v>0.98499999999999999</v>
      </c>
      <c r="V126" s="107">
        <v>16.5</v>
      </c>
      <c r="W126" s="414" t="s">
        <v>1385</v>
      </c>
    </row>
    <row r="127" spans="1:23" ht="21" customHeight="1">
      <c r="A127" s="104" t="s">
        <v>169</v>
      </c>
      <c r="B127" s="104" t="s">
        <v>149</v>
      </c>
      <c r="C127" s="454" t="s">
        <v>150</v>
      </c>
      <c r="D127" s="105" t="s">
        <v>151</v>
      </c>
      <c r="E127" s="104"/>
      <c r="F127" s="104">
        <v>-999</v>
      </c>
      <c r="G127" s="106" t="s">
        <v>990</v>
      </c>
      <c r="H127" s="104" t="s">
        <v>991</v>
      </c>
      <c r="I127" s="104" t="s">
        <v>104</v>
      </c>
      <c r="J127" s="104" t="s">
        <v>105</v>
      </c>
      <c r="K127" s="104" t="s">
        <v>185</v>
      </c>
      <c r="L127" s="104" t="s">
        <v>997</v>
      </c>
      <c r="M127" s="104"/>
      <c r="N127" s="108" t="s">
        <v>17</v>
      </c>
      <c r="O127" s="104" t="s">
        <v>17</v>
      </c>
      <c r="P127" s="113">
        <v>2.8980000000000001</v>
      </c>
      <c r="Q127" s="113">
        <v>1.923</v>
      </c>
      <c r="R127" s="104" t="s">
        <v>17</v>
      </c>
      <c r="S127" s="253">
        <f t="shared" si="1"/>
        <v>434.31188428953482</v>
      </c>
      <c r="T127" s="103" t="s">
        <v>1384</v>
      </c>
      <c r="U127" s="108">
        <v>0.98499999999999999</v>
      </c>
      <c r="V127" s="107">
        <v>16.5</v>
      </c>
      <c r="W127" s="414" t="s">
        <v>1385</v>
      </c>
    </row>
    <row r="128" spans="1:23" ht="21" customHeight="1">
      <c r="A128" s="104" t="s">
        <v>169</v>
      </c>
      <c r="B128" s="104" t="s">
        <v>149</v>
      </c>
      <c r="C128" s="454" t="s">
        <v>150</v>
      </c>
      <c r="D128" s="105" t="s">
        <v>151</v>
      </c>
      <c r="E128" s="104"/>
      <c r="F128" s="104">
        <v>-999</v>
      </c>
      <c r="G128" s="106" t="s">
        <v>990</v>
      </c>
      <c r="H128" s="104" t="s">
        <v>991</v>
      </c>
      <c r="I128" s="104" t="s">
        <v>104</v>
      </c>
      <c r="J128" s="104" t="s">
        <v>105</v>
      </c>
      <c r="K128" s="104" t="s">
        <v>185</v>
      </c>
      <c r="L128" s="104" t="s">
        <v>997</v>
      </c>
      <c r="M128" s="104"/>
      <c r="N128" s="108" t="s">
        <v>17</v>
      </c>
      <c r="O128" s="104" t="s">
        <v>17</v>
      </c>
      <c r="P128" s="113">
        <v>2.94</v>
      </c>
      <c r="Q128" s="113">
        <v>1.7690000000000001</v>
      </c>
      <c r="R128" s="104" t="s">
        <v>17</v>
      </c>
      <c r="S128" s="253">
        <f t="shared" si="1"/>
        <v>453.99991508301429</v>
      </c>
      <c r="T128" s="103" t="s">
        <v>1384</v>
      </c>
      <c r="U128" s="108">
        <v>0.98499999999999999</v>
      </c>
      <c r="V128" s="107">
        <v>16.5</v>
      </c>
      <c r="W128" s="414" t="s">
        <v>1385</v>
      </c>
    </row>
    <row r="129" spans="1:23" ht="21" customHeight="1">
      <c r="A129" s="104" t="s">
        <v>169</v>
      </c>
      <c r="B129" s="104" t="s">
        <v>149</v>
      </c>
      <c r="C129" s="454" t="s">
        <v>150</v>
      </c>
      <c r="D129" s="105" t="s">
        <v>151</v>
      </c>
      <c r="E129" s="104"/>
      <c r="F129" s="104">
        <v>-999</v>
      </c>
      <c r="G129" s="106" t="s">
        <v>990</v>
      </c>
      <c r="H129" s="104" t="s">
        <v>991</v>
      </c>
      <c r="I129" s="104" t="s">
        <v>104</v>
      </c>
      <c r="J129" s="104" t="s">
        <v>105</v>
      </c>
      <c r="K129" s="104" t="s">
        <v>185</v>
      </c>
      <c r="L129" s="104" t="s">
        <v>997</v>
      </c>
      <c r="M129" s="104"/>
      <c r="N129" s="108" t="s">
        <v>17</v>
      </c>
      <c r="O129" s="104" t="s">
        <v>17</v>
      </c>
      <c r="P129" s="113">
        <v>2.9530000000000003</v>
      </c>
      <c r="Q129" s="113">
        <v>2.7709999999999999</v>
      </c>
      <c r="R129" s="104" t="s">
        <v>17</v>
      </c>
      <c r="S129" s="253">
        <f t="shared" si="1"/>
        <v>460.2139650837841</v>
      </c>
      <c r="T129" s="103" t="s">
        <v>1384</v>
      </c>
      <c r="U129" s="108">
        <v>0.98499999999999999</v>
      </c>
      <c r="V129" s="107">
        <v>16.5</v>
      </c>
      <c r="W129" s="414" t="s">
        <v>1385</v>
      </c>
    </row>
    <row r="130" spans="1:23" ht="21" customHeight="1">
      <c r="A130" s="104" t="s">
        <v>169</v>
      </c>
      <c r="B130" s="104" t="s">
        <v>149</v>
      </c>
      <c r="C130" s="454" t="s">
        <v>150</v>
      </c>
      <c r="D130" s="105" t="s">
        <v>151</v>
      </c>
      <c r="E130" s="104"/>
      <c r="F130" s="104">
        <v>-999</v>
      </c>
      <c r="G130" s="106" t="s">
        <v>990</v>
      </c>
      <c r="H130" s="104" t="s">
        <v>991</v>
      </c>
      <c r="I130" s="104" t="s">
        <v>104</v>
      </c>
      <c r="J130" s="104" t="s">
        <v>105</v>
      </c>
      <c r="K130" s="104" t="s">
        <v>185</v>
      </c>
      <c r="L130" s="104" t="s">
        <v>997</v>
      </c>
      <c r="M130" s="104"/>
      <c r="N130" s="108" t="s">
        <v>17</v>
      </c>
      <c r="O130" s="104" t="s">
        <v>17</v>
      </c>
      <c r="P130" s="113">
        <v>2.9929999999999999</v>
      </c>
      <c r="Q130" s="113">
        <v>2.9820000000000002</v>
      </c>
      <c r="R130" s="104" t="s">
        <v>17</v>
      </c>
      <c r="S130" s="253">
        <f t="shared" si="1"/>
        <v>479.69451472576981</v>
      </c>
      <c r="T130" s="103" t="s">
        <v>1384</v>
      </c>
      <c r="U130" s="108">
        <v>0.98499999999999999</v>
      </c>
      <c r="V130" s="107">
        <v>16.5</v>
      </c>
      <c r="W130" s="414" t="s">
        <v>1385</v>
      </c>
    </row>
    <row r="131" spans="1:23" ht="21" customHeight="1">
      <c r="A131" s="104" t="s">
        <v>169</v>
      </c>
      <c r="B131" s="104" t="s">
        <v>149</v>
      </c>
      <c r="C131" s="454" t="s">
        <v>150</v>
      </c>
      <c r="D131" s="105" t="s">
        <v>151</v>
      </c>
      <c r="E131" s="104"/>
      <c r="F131" s="104">
        <v>-999</v>
      </c>
      <c r="G131" s="106" t="s">
        <v>990</v>
      </c>
      <c r="H131" s="104" t="s">
        <v>991</v>
      </c>
      <c r="I131" s="104" t="s">
        <v>104</v>
      </c>
      <c r="J131" s="104" t="s">
        <v>105</v>
      </c>
      <c r="K131" s="104" t="s">
        <v>185</v>
      </c>
      <c r="L131" s="104" t="s">
        <v>997</v>
      </c>
      <c r="M131" s="104"/>
      <c r="N131" s="108" t="s">
        <v>17</v>
      </c>
      <c r="O131" s="104" t="s">
        <v>17</v>
      </c>
      <c r="P131" s="113">
        <v>3.0859999999999999</v>
      </c>
      <c r="Q131" s="113">
        <v>2.4170000000000003</v>
      </c>
      <c r="R131" s="104" t="s">
        <v>17</v>
      </c>
      <c r="S131" s="253">
        <f t="shared" si="1"/>
        <v>527.12711788726665</v>
      </c>
      <c r="T131" s="103" t="s">
        <v>1384</v>
      </c>
      <c r="U131" s="108">
        <v>0.98499999999999999</v>
      </c>
      <c r="V131" s="107">
        <v>16.5</v>
      </c>
      <c r="W131" s="414" t="s">
        <v>1385</v>
      </c>
    </row>
    <row r="132" spans="1:23" ht="21" customHeight="1">
      <c r="A132" s="104" t="s">
        <v>169</v>
      </c>
      <c r="B132" s="104" t="s">
        <v>149</v>
      </c>
      <c r="C132" s="454" t="s">
        <v>150</v>
      </c>
      <c r="D132" s="105" t="s">
        <v>151</v>
      </c>
      <c r="E132" s="104"/>
      <c r="F132" s="104">
        <v>-999</v>
      </c>
      <c r="G132" s="106" t="s">
        <v>990</v>
      </c>
      <c r="H132" s="104" t="s">
        <v>991</v>
      </c>
      <c r="I132" s="104" t="s">
        <v>104</v>
      </c>
      <c r="J132" s="104" t="s">
        <v>105</v>
      </c>
      <c r="K132" s="104" t="s">
        <v>185</v>
      </c>
      <c r="L132" s="104" t="s">
        <v>997</v>
      </c>
      <c r="M132" s="104"/>
      <c r="N132" s="108" t="s">
        <v>17</v>
      </c>
      <c r="O132" s="104" t="s">
        <v>17</v>
      </c>
      <c r="P132" s="113">
        <v>3.1510000000000002</v>
      </c>
      <c r="Q132" s="113">
        <v>1.7730000000000001</v>
      </c>
      <c r="R132" s="104" t="s">
        <v>17</v>
      </c>
      <c r="S132" s="253">
        <f t="shared" si="1"/>
        <v>562.09848421664879</v>
      </c>
      <c r="T132" s="103" t="s">
        <v>1384</v>
      </c>
      <c r="U132" s="108">
        <v>0.98499999999999999</v>
      </c>
      <c r="V132" s="107">
        <v>16.5</v>
      </c>
      <c r="W132" s="414" t="s">
        <v>1385</v>
      </c>
    </row>
    <row r="133" spans="1:23" ht="21" customHeight="1">
      <c r="A133" s="104" t="s">
        <v>169</v>
      </c>
      <c r="B133" s="104" t="s">
        <v>149</v>
      </c>
      <c r="C133" s="454" t="s">
        <v>150</v>
      </c>
      <c r="D133" s="105" t="s">
        <v>151</v>
      </c>
      <c r="E133" s="104"/>
      <c r="F133" s="104">
        <v>-999</v>
      </c>
      <c r="G133" s="106" t="s">
        <v>990</v>
      </c>
      <c r="H133" s="104" t="s">
        <v>991</v>
      </c>
      <c r="I133" s="104" t="s">
        <v>104</v>
      </c>
      <c r="J133" s="104" t="s">
        <v>105</v>
      </c>
      <c r="K133" s="104" t="s">
        <v>1175</v>
      </c>
      <c r="L133" s="104" t="s">
        <v>1176</v>
      </c>
      <c r="M133" s="104"/>
      <c r="N133" s="108" t="s">
        <v>17</v>
      </c>
      <c r="O133" s="104" t="s">
        <v>17</v>
      </c>
      <c r="P133" s="113">
        <v>2.9460000000000002</v>
      </c>
      <c r="Q133" s="113">
        <v>1.4</v>
      </c>
      <c r="R133" s="104" t="s">
        <v>17</v>
      </c>
      <c r="S133" s="253">
        <f>( (10^((2.965*LOG((P133))+1.383))) +  (10^((3.09*LOG((P133))+1.29))))/2</f>
        <v>572.0599812916372</v>
      </c>
      <c r="T133" s="103" t="s">
        <v>1412</v>
      </c>
      <c r="U133" s="108"/>
      <c r="V133" s="107"/>
      <c r="W133" s="414" t="s">
        <v>1385</v>
      </c>
    </row>
    <row r="134" spans="1:23" ht="21" customHeight="1">
      <c r="A134" s="104" t="s">
        <v>169</v>
      </c>
      <c r="B134" s="104" t="s">
        <v>149</v>
      </c>
      <c r="C134" s="454" t="s">
        <v>150</v>
      </c>
      <c r="D134" s="105" t="s">
        <v>151</v>
      </c>
      <c r="E134" s="104"/>
      <c r="F134" s="104">
        <v>-999</v>
      </c>
      <c r="G134" s="106" t="s">
        <v>990</v>
      </c>
      <c r="H134" s="104" t="s">
        <v>991</v>
      </c>
      <c r="I134" s="104" t="s">
        <v>104</v>
      </c>
      <c r="J134" s="104" t="s">
        <v>105</v>
      </c>
      <c r="K134" s="104" t="s">
        <v>185</v>
      </c>
      <c r="L134" s="104" t="s">
        <v>997</v>
      </c>
      <c r="M134" s="104"/>
      <c r="N134" s="108" t="s">
        <v>17</v>
      </c>
      <c r="O134" s="104" t="s">
        <v>17</v>
      </c>
      <c r="P134" s="113">
        <v>3.6829999999999998</v>
      </c>
      <c r="Q134" s="113">
        <v>2.52</v>
      </c>
      <c r="R134" s="104" t="s">
        <v>17</v>
      </c>
      <c r="S134" s="253">
        <f>((10^((3.187*LOG((P134))+1.264))+(10^((3.01*LOG((P134))+1.216)))+(10^(((2.999*(LOG(P134)))+1.162)))))/3</f>
        <v>909.19413287746045</v>
      </c>
      <c r="T134" s="103" t="s">
        <v>1384</v>
      </c>
      <c r="U134" s="108">
        <v>0.98499999999999999</v>
      </c>
      <c r="V134" s="107">
        <v>16.5</v>
      </c>
      <c r="W134" s="414" t="s">
        <v>1385</v>
      </c>
    </row>
    <row r="135" spans="1:23" ht="21" customHeight="1">
      <c r="A135" s="104" t="s">
        <v>169</v>
      </c>
      <c r="B135" s="104" t="s">
        <v>149</v>
      </c>
      <c r="C135" s="454" t="s">
        <v>150</v>
      </c>
      <c r="D135" s="105" t="s">
        <v>151</v>
      </c>
      <c r="E135" s="104"/>
      <c r="F135" s="104" t="s">
        <v>1400</v>
      </c>
      <c r="G135" s="106" t="s">
        <v>1401</v>
      </c>
      <c r="H135" s="104" t="s">
        <v>991</v>
      </c>
      <c r="I135" s="104" t="s">
        <v>104</v>
      </c>
      <c r="J135" s="104" t="s">
        <v>105</v>
      </c>
      <c r="K135" s="104" t="s">
        <v>174</v>
      </c>
      <c r="L135" s="104" t="s">
        <v>340</v>
      </c>
      <c r="M135" s="104"/>
      <c r="N135" s="108" t="s">
        <v>17</v>
      </c>
      <c r="O135" s="104" t="s">
        <v>17</v>
      </c>
      <c r="P135" s="113">
        <v>2.722</v>
      </c>
      <c r="Q135" s="113">
        <v>1.589</v>
      </c>
      <c r="R135" s="104" t="s">
        <v>17</v>
      </c>
      <c r="S135" s="253">
        <f xml:space="preserve"> (10^((2.999*LOG((P135))+1.162)))</f>
        <v>292.56978629612831</v>
      </c>
      <c r="T135" s="103" t="s">
        <v>1392</v>
      </c>
      <c r="U135" s="108">
        <v>0.98699999999999999</v>
      </c>
      <c r="V135" s="107">
        <v>18</v>
      </c>
      <c r="W135" s="414" t="s">
        <v>1388</v>
      </c>
    </row>
    <row r="136" spans="1:23" ht="21" customHeight="1">
      <c r="A136" s="104" t="s">
        <v>169</v>
      </c>
      <c r="B136" s="104" t="s">
        <v>149</v>
      </c>
      <c r="C136" s="454" t="s">
        <v>150</v>
      </c>
      <c r="D136" s="105" t="s">
        <v>151</v>
      </c>
      <c r="E136" s="104"/>
      <c r="F136" s="104" t="s">
        <v>1065</v>
      </c>
      <c r="G136" s="106" t="s">
        <v>1401</v>
      </c>
      <c r="H136" s="104" t="s">
        <v>991</v>
      </c>
      <c r="I136" s="104" t="s">
        <v>104</v>
      </c>
      <c r="J136" s="104" t="s">
        <v>105</v>
      </c>
      <c r="K136" s="104" t="s">
        <v>185</v>
      </c>
      <c r="L136" s="104" t="s">
        <v>997</v>
      </c>
      <c r="M136" s="104"/>
      <c r="N136" s="108" t="s">
        <v>17</v>
      </c>
      <c r="O136" s="104" t="s">
        <v>17</v>
      </c>
      <c r="P136" s="113">
        <v>2.58</v>
      </c>
      <c r="Q136" s="113">
        <v>2.2930000000000001</v>
      </c>
      <c r="R136" s="104" t="s">
        <v>17</v>
      </c>
      <c r="S136" s="253">
        <f>((10^((3.187*LOG((P136))+1.264))+(10^((3.01*LOG((P136))+1.216)))+(10^(((2.999*(LOG(P136)))+1.162)))))/3</f>
        <v>303.59534881205508</v>
      </c>
      <c r="T136" s="103" t="s">
        <v>1384</v>
      </c>
      <c r="U136" s="108">
        <v>0.98499999999999999</v>
      </c>
      <c r="V136" s="107">
        <v>16.5</v>
      </c>
      <c r="W136" s="414" t="s">
        <v>1385</v>
      </c>
    </row>
    <row r="137" spans="1:23" ht="21" customHeight="1">
      <c r="A137" s="104" t="s">
        <v>169</v>
      </c>
      <c r="B137" s="104" t="s">
        <v>149</v>
      </c>
      <c r="C137" s="454" t="s">
        <v>150</v>
      </c>
      <c r="D137" s="105" t="s">
        <v>151</v>
      </c>
      <c r="E137" s="104"/>
      <c r="F137" s="104" t="s">
        <v>1400</v>
      </c>
      <c r="G137" s="106" t="s">
        <v>1401</v>
      </c>
      <c r="H137" s="104" t="s">
        <v>991</v>
      </c>
      <c r="I137" s="104" t="s">
        <v>104</v>
      </c>
      <c r="J137" s="104" t="s">
        <v>105</v>
      </c>
      <c r="K137" s="104" t="s">
        <v>166</v>
      </c>
      <c r="L137" s="104" t="s">
        <v>939</v>
      </c>
      <c r="M137" s="104"/>
      <c r="N137" s="108" t="s">
        <v>17</v>
      </c>
      <c r="O137" s="104" t="s">
        <v>17</v>
      </c>
      <c r="P137" s="113">
        <v>2.7690000000000001</v>
      </c>
      <c r="Q137" s="113">
        <v>1.7149999999999999</v>
      </c>
      <c r="R137" s="104" t="s">
        <v>17</v>
      </c>
      <c r="S137" s="253">
        <f>( (10^((3.01*LOG((P137))+1.216))) +  (10^((2.9*LOG((P137))+1.209))))/2</f>
        <v>331.4784258599679</v>
      </c>
      <c r="T137" s="103" t="s">
        <v>1393</v>
      </c>
      <c r="U137" s="108">
        <v>0.98599999999999999</v>
      </c>
      <c r="V137" s="107">
        <v>16.899999999999999</v>
      </c>
      <c r="W137" s="414" t="s">
        <v>1385</v>
      </c>
    </row>
    <row r="138" spans="1:23" ht="21" customHeight="1">
      <c r="A138" s="104" t="s">
        <v>169</v>
      </c>
      <c r="B138" s="104" t="s">
        <v>149</v>
      </c>
      <c r="C138" s="454" t="s">
        <v>150</v>
      </c>
      <c r="D138" s="105" t="s">
        <v>151</v>
      </c>
      <c r="E138" s="104"/>
      <c r="F138" s="104">
        <v>122</v>
      </c>
      <c r="G138" s="106" t="s">
        <v>1401</v>
      </c>
      <c r="H138" s="104" t="s">
        <v>991</v>
      </c>
      <c r="I138" s="104" t="s">
        <v>104</v>
      </c>
      <c r="J138" s="104" t="s">
        <v>105</v>
      </c>
      <c r="K138" s="104" t="s">
        <v>166</v>
      </c>
      <c r="L138" s="104" t="s">
        <v>939</v>
      </c>
      <c r="M138" s="104"/>
      <c r="N138" s="108" t="s">
        <v>17</v>
      </c>
      <c r="O138" s="104" t="s">
        <v>17</v>
      </c>
      <c r="P138" s="113">
        <v>2.8440000000000003</v>
      </c>
      <c r="Q138" s="113">
        <v>2.859</v>
      </c>
      <c r="R138" s="104" t="s">
        <v>17</v>
      </c>
      <c r="S138" s="253">
        <f>( (10^((3.01*LOG((P138))+1.216))) +  (10^((2.9*LOG((P138))+1.209))))/2</f>
        <v>358.75188621828698</v>
      </c>
      <c r="T138" s="103" t="s">
        <v>1393</v>
      </c>
      <c r="U138" s="108">
        <v>0.98599999999999999</v>
      </c>
      <c r="V138" s="107">
        <v>16.899999999999999</v>
      </c>
      <c r="W138" s="414" t="s">
        <v>1385</v>
      </c>
    </row>
    <row r="139" spans="1:23" ht="21" customHeight="1">
      <c r="A139" s="104" t="s">
        <v>169</v>
      </c>
      <c r="B139" s="104" t="s">
        <v>149</v>
      </c>
      <c r="C139" s="454" t="s">
        <v>150</v>
      </c>
      <c r="D139" s="105" t="s">
        <v>151</v>
      </c>
      <c r="E139" s="104"/>
      <c r="F139" s="104" t="s">
        <v>1085</v>
      </c>
      <c r="G139" s="106" t="s">
        <v>1401</v>
      </c>
      <c r="H139" s="104" t="s">
        <v>991</v>
      </c>
      <c r="I139" s="104" t="s">
        <v>104</v>
      </c>
      <c r="J139" s="104" t="s">
        <v>105</v>
      </c>
      <c r="K139" s="104" t="s">
        <v>185</v>
      </c>
      <c r="L139" s="104" t="s">
        <v>997</v>
      </c>
      <c r="M139" s="104"/>
      <c r="N139" s="108" t="s">
        <v>17</v>
      </c>
      <c r="O139" s="104" t="s">
        <v>17</v>
      </c>
      <c r="P139" s="113">
        <v>2.7530000000000001</v>
      </c>
      <c r="Q139" s="113">
        <v>2.7039999999999997</v>
      </c>
      <c r="R139" s="104" t="s">
        <v>17</v>
      </c>
      <c r="S139" s="253">
        <f>((10^((3.187*LOG((P139))+1.264))+(10^((3.01*LOG((P139))+1.216)))+(10^(((2.999*(LOG(P139)))+1.162)))))/3</f>
        <v>370.78463785125615</v>
      </c>
      <c r="T139" s="103" t="s">
        <v>1384</v>
      </c>
      <c r="U139" s="108">
        <v>0.98499999999999999</v>
      </c>
      <c r="V139" s="107">
        <v>16.5</v>
      </c>
      <c r="W139" s="414" t="s">
        <v>1385</v>
      </c>
    </row>
    <row r="140" spans="1:23" ht="21" customHeight="1">
      <c r="A140" s="104" t="s">
        <v>169</v>
      </c>
      <c r="B140" s="104" t="s">
        <v>149</v>
      </c>
      <c r="C140" s="454" t="s">
        <v>150</v>
      </c>
      <c r="D140" s="105" t="s">
        <v>151</v>
      </c>
      <c r="E140" s="104"/>
      <c r="F140" s="104" t="s">
        <v>1400</v>
      </c>
      <c r="G140" s="106" t="s">
        <v>1401</v>
      </c>
      <c r="H140" s="104" t="s">
        <v>991</v>
      </c>
      <c r="I140" s="104" t="s">
        <v>104</v>
      </c>
      <c r="J140" s="104" t="s">
        <v>105</v>
      </c>
      <c r="K140" s="104" t="s">
        <v>172</v>
      </c>
      <c r="L140" s="104" t="s">
        <v>1238</v>
      </c>
      <c r="M140" s="104"/>
      <c r="N140" s="108" t="s">
        <v>17</v>
      </c>
      <c r="O140" s="104" t="s">
        <v>17</v>
      </c>
      <c r="P140" s="113">
        <v>2.88</v>
      </c>
      <c r="Q140" s="113">
        <v>1.9890000000000001</v>
      </c>
      <c r="R140" s="104" t="s">
        <v>17</v>
      </c>
      <c r="S140" s="253">
        <f>(10^((3.187*LOG((P140))+1.264)))</f>
        <v>534.6675890932886</v>
      </c>
      <c r="T140" s="103" t="s">
        <v>1387</v>
      </c>
      <c r="U140" s="108">
        <v>0.98499999999999999</v>
      </c>
      <c r="V140" s="107">
        <v>16.5</v>
      </c>
      <c r="W140" s="414" t="s">
        <v>1385</v>
      </c>
    </row>
    <row r="141" spans="1:23" ht="21" customHeight="1">
      <c r="A141" s="104" t="s">
        <v>169</v>
      </c>
      <c r="B141" s="104" t="s">
        <v>149</v>
      </c>
      <c r="C141" s="454" t="s">
        <v>150</v>
      </c>
      <c r="D141" s="105" t="s">
        <v>151</v>
      </c>
      <c r="E141" s="104"/>
      <c r="F141" s="104" t="s">
        <v>1400</v>
      </c>
      <c r="G141" s="106" t="s">
        <v>1401</v>
      </c>
      <c r="H141" s="104" t="s">
        <v>991</v>
      </c>
      <c r="I141" s="104" t="s">
        <v>104</v>
      </c>
      <c r="J141" s="104" t="s">
        <v>105</v>
      </c>
      <c r="K141" s="104" t="s">
        <v>178</v>
      </c>
      <c r="L141" s="104" t="s">
        <v>1110</v>
      </c>
      <c r="M141" s="104"/>
      <c r="N141" s="108" t="s">
        <v>17</v>
      </c>
      <c r="O141" s="104" t="s">
        <v>17</v>
      </c>
      <c r="P141" s="113">
        <v>2.8600000000000003</v>
      </c>
      <c r="Q141" s="113">
        <v>2.0430000000000001</v>
      </c>
      <c r="R141" s="104" t="s">
        <v>17</v>
      </c>
      <c r="S141" s="253">
        <f>(10^((2.965*LOG((P141))+1.383)))</f>
        <v>544.65975733337552</v>
      </c>
      <c r="T141" s="103" t="s">
        <v>1410</v>
      </c>
      <c r="U141" s="108">
        <v>0.95699999999999996</v>
      </c>
      <c r="V141" s="108">
        <v>37.6</v>
      </c>
      <c r="W141" s="414" t="s">
        <v>1388</v>
      </c>
    </row>
    <row r="142" spans="1:23" ht="21" customHeight="1">
      <c r="A142" s="104" t="s">
        <v>169</v>
      </c>
      <c r="B142" s="104" t="s">
        <v>149</v>
      </c>
      <c r="C142" s="454" t="s">
        <v>150</v>
      </c>
      <c r="D142" s="105" t="s">
        <v>151</v>
      </c>
      <c r="E142" s="104"/>
      <c r="F142" s="104" t="s">
        <v>1433</v>
      </c>
      <c r="G142" s="106" t="s">
        <v>1401</v>
      </c>
      <c r="H142" s="104" t="s">
        <v>991</v>
      </c>
      <c r="I142" s="104" t="s">
        <v>104</v>
      </c>
      <c r="J142" s="104" t="s">
        <v>105</v>
      </c>
      <c r="K142" s="104" t="s">
        <v>153</v>
      </c>
      <c r="L142" s="104" t="s">
        <v>1100</v>
      </c>
      <c r="M142" s="104"/>
      <c r="N142" s="108" t="s">
        <v>17</v>
      </c>
      <c r="O142" s="104" t="s">
        <v>17</v>
      </c>
      <c r="P142" s="113">
        <v>3.6469999999999998</v>
      </c>
      <c r="Q142" s="113">
        <v>1.4990000000000001</v>
      </c>
      <c r="R142" s="104" t="s">
        <v>17</v>
      </c>
      <c r="S142" s="253">
        <f>( (10^((2.965*LOG((P142))+1.383))) +  (10^((3.09*LOG((P142))+1.29))))/2</f>
        <v>1091.2131175164564</v>
      </c>
      <c r="T142" s="103" t="s">
        <v>1415</v>
      </c>
      <c r="U142" s="108"/>
      <c r="V142" s="107"/>
      <c r="W142" s="414" t="s">
        <v>1385</v>
      </c>
    </row>
    <row r="143" spans="1:23" ht="21" customHeight="1">
      <c r="A143" s="104" t="s">
        <v>169</v>
      </c>
      <c r="B143" s="104" t="s">
        <v>149</v>
      </c>
      <c r="C143" s="454" t="s">
        <v>150</v>
      </c>
      <c r="D143" s="105" t="s">
        <v>151</v>
      </c>
      <c r="E143" s="104">
        <v>5</v>
      </c>
      <c r="F143" s="104" t="s">
        <v>1085</v>
      </c>
      <c r="G143" s="106" t="s">
        <v>1389</v>
      </c>
      <c r="H143" s="104" t="s">
        <v>991</v>
      </c>
      <c r="I143" s="104" t="s">
        <v>104</v>
      </c>
      <c r="J143" s="104" t="s">
        <v>105</v>
      </c>
      <c r="K143" s="104" t="s">
        <v>185</v>
      </c>
      <c r="L143" s="104" t="s">
        <v>997</v>
      </c>
      <c r="M143" s="104"/>
      <c r="N143" s="108" t="s">
        <v>17</v>
      </c>
      <c r="O143" s="104" t="s">
        <v>17</v>
      </c>
      <c r="P143" s="113">
        <v>2.2600000000000002</v>
      </c>
      <c r="Q143" s="113">
        <v>2.391</v>
      </c>
      <c r="R143" s="104" t="s">
        <v>17</v>
      </c>
      <c r="S143" s="253">
        <f>((10^((3.187*LOG((P143))+1.264))+(10^((3.01*LOG((P143))+1.216)))+(10^(((2.999*(LOG(P143)))+1.162)))))/3</f>
        <v>201.9208980393781</v>
      </c>
      <c r="T143" s="103" t="s">
        <v>1384</v>
      </c>
      <c r="U143" s="108">
        <v>0.98499999999999999</v>
      </c>
      <c r="V143" s="107">
        <v>16.5</v>
      </c>
      <c r="W143" s="414" t="s">
        <v>1385</v>
      </c>
    </row>
    <row r="144" spans="1:23" ht="21" customHeight="1">
      <c r="A144" s="104" t="s">
        <v>169</v>
      </c>
      <c r="B144" s="104" t="s">
        <v>149</v>
      </c>
      <c r="C144" s="454" t="s">
        <v>150</v>
      </c>
      <c r="D144" s="105" t="s">
        <v>151</v>
      </c>
      <c r="E144" s="104">
        <v>5</v>
      </c>
      <c r="F144" s="104" t="s">
        <v>1065</v>
      </c>
      <c r="G144" s="106" t="s">
        <v>1389</v>
      </c>
      <c r="H144" s="104" t="s">
        <v>991</v>
      </c>
      <c r="I144" s="104" t="s">
        <v>104</v>
      </c>
      <c r="J144" s="104" t="s">
        <v>105</v>
      </c>
      <c r="K144" s="104" t="s">
        <v>185</v>
      </c>
      <c r="L144" s="104" t="s">
        <v>997</v>
      </c>
      <c r="M144" s="104"/>
      <c r="N144" s="108" t="s">
        <v>17</v>
      </c>
      <c r="O144" s="104" t="s">
        <v>17</v>
      </c>
      <c r="P144" s="113">
        <v>2.7130000000000001</v>
      </c>
      <c r="Q144" s="113">
        <v>1.746</v>
      </c>
      <c r="R144" s="104" t="s">
        <v>17</v>
      </c>
      <c r="S144" s="253">
        <f>((10^((3.187*LOG((P144))+1.264))+(10^((3.01*LOG((P144))+1.216)))+(10^(((2.999*(LOG(P144)))+1.162)))))/3</f>
        <v>354.43771612594446</v>
      </c>
      <c r="T144" s="103" t="s">
        <v>1384</v>
      </c>
      <c r="U144" s="108">
        <v>0.98499999999999999</v>
      </c>
      <c r="V144" s="107">
        <v>16.5</v>
      </c>
      <c r="W144" s="414" t="s">
        <v>1385</v>
      </c>
    </row>
    <row r="145" spans="1:23" ht="21" customHeight="1">
      <c r="A145" s="104" t="s">
        <v>218</v>
      </c>
      <c r="B145" s="104" t="s">
        <v>187</v>
      </c>
      <c r="C145" s="454" t="s">
        <v>188</v>
      </c>
      <c r="D145" s="105" t="s">
        <v>189</v>
      </c>
      <c r="E145" s="104">
        <v>2271</v>
      </c>
      <c r="F145" s="104">
        <v>2400</v>
      </c>
      <c r="G145" s="106" t="s">
        <v>1140</v>
      </c>
      <c r="H145" s="104" t="s">
        <v>991</v>
      </c>
      <c r="I145" s="104" t="s">
        <v>104</v>
      </c>
      <c r="J145" s="104" t="s">
        <v>105</v>
      </c>
      <c r="K145" s="104" t="s">
        <v>209</v>
      </c>
      <c r="L145" s="104" t="s">
        <v>684</v>
      </c>
      <c r="M145" s="104" t="s">
        <v>114</v>
      </c>
      <c r="N145" s="108" t="s">
        <v>17</v>
      </c>
      <c r="O145" s="104" t="s">
        <v>17</v>
      </c>
      <c r="P145" s="113">
        <v>1.704</v>
      </c>
      <c r="Q145" s="113">
        <v>1.3439999999999999</v>
      </c>
      <c r="R145" s="104" t="s">
        <v>17</v>
      </c>
      <c r="S145" s="253">
        <f>(10^((3.201*LOG((P145))+1.13)))</f>
        <v>74.290650133263753</v>
      </c>
      <c r="T145" s="104" t="s">
        <v>1139</v>
      </c>
      <c r="U145" s="108">
        <v>0.94399999999999995</v>
      </c>
      <c r="V145" s="107">
        <v>31.1</v>
      </c>
      <c r="W145" s="106" t="s">
        <v>975</v>
      </c>
    </row>
    <row r="146" spans="1:23" ht="21" customHeight="1">
      <c r="A146" s="104" t="s">
        <v>218</v>
      </c>
      <c r="B146" s="104" t="s">
        <v>187</v>
      </c>
      <c r="C146" s="454" t="s">
        <v>188</v>
      </c>
      <c r="D146" s="105" t="s">
        <v>189</v>
      </c>
      <c r="E146" s="104">
        <v>2271</v>
      </c>
      <c r="F146" s="104">
        <v>2400</v>
      </c>
      <c r="G146" s="106" t="s">
        <v>1140</v>
      </c>
      <c r="H146" s="104" t="s">
        <v>991</v>
      </c>
      <c r="I146" s="104" t="s">
        <v>104</v>
      </c>
      <c r="J146" s="104" t="s">
        <v>105</v>
      </c>
      <c r="K146" s="104" t="s">
        <v>126</v>
      </c>
      <c r="L146" s="104" t="s">
        <v>636</v>
      </c>
      <c r="M146" s="104" t="s">
        <v>114</v>
      </c>
      <c r="N146" s="108" t="s">
        <v>17</v>
      </c>
      <c r="O146" s="104" t="s">
        <v>17</v>
      </c>
      <c r="P146" s="113">
        <v>2.194</v>
      </c>
      <c r="Q146" s="113">
        <v>1.2869999999999999</v>
      </c>
      <c r="R146" s="104" t="s">
        <v>17</v>
      </c>
      <c r="S146" s="253">
        <f>(10^((2.81*LOG((P146*10))+1.18)))/1000</f>
        <v>88.894504047521025</v>
      </c>
      <c r="T146" s="104" t="s">
        <v>1132</v>
      </c>
      <c r="U146" s="108">
        <v>0.89</v>
      </c>
      <c r="V146" s="107">
        <v>60.5</v>
      </c>
      <c r="W146" s="106" t="s">
        <v>1133</v>
      </c>
    </row>
    <row r="147" spans="1:23" ht="21" customHeight="1">
      <c r="A147" s="104" t="s">
        <v>169</v>
      </c>
      <c r="B147" s="104" t="s">
        <v>149</v>
      </c>
      <c r="C147" s="454" t="s">
        <v>150</v>
      </c>
      <c r="D147" s="105" t="s">
        <v>151</v>
      </c>
      <c r="E147" s="104">
        <v>2271</v>
      </c>
      <c r="F147" s="104">
        <v>-999</v>
      </c>
      <c r="G147" s="106" t="s">
        <v>1140</v>
      </c>
      <c r="H147" s="104" t="s">
        <v>991</v>
      </c>
      <c r="I147" s="104" t="s">
        <v>104</v>
      </c>
      <c r="J147" s="104" t="s">
        <v>105</v>
      </c>
      <c r="K147" s="104" t="s">
        <v>185</v>
      </c>
      <c r="L147" s="104" t="s">
        <v>997</v>
      </c>
      <c r="M147" s="104"/>
      <c r="N147" s="108" t="s">
        <v>17</v>
      </c>
      <c r="O147" s="104" t="s">
        <v>17</v>
      </c>
      <c r="P147" s="113">
        <v>3.0170000000000003</v>
      </c>
      <c r="Q147" s="113">
        <v>1.9530000000000001</v>
      </c>
      <c r="R147" s="104" t="s">
        <v>17</v>
      </c>
      <c r="S147" s="253">
        <f>((10^((3.187*LOG((P147))+1.264))+(10^((3.01*LOG((P147))+1.216)))+(10^(((2.999*(LOG(P147)))+1.162)))))/3</f>
        <v>491.6464239394013</v>
      </c>
      <c r="T147" s="103" t="s">
        <v>1384</v>
      </c>
      <c r="U147" s="108">
        <v>0.98499999999999999</v>
      </c>
      <c r="V147" s="107">
        <v>16.5</v>
      </c>
      <c r="W147" s="414" t="s">
        <v>1385</v>
      </c>
    </row>
    <row r="148" spans="1:23" ht="21" customHeight="1">
      <c r="A148" s="104" t="s">
        <v>169</v>
      </c>
      <c r="B148" s="104" t="s">
        <v>149</v>
      </c>
      <c r="C148" s="454" t="s">
        <v>150</v>
      </c>
      <c r="D148" s="105" t="s">
        <v>151</v>
      </c>
      <c r="E148" s="104">
        <v>2271</v>
      </c>
      <c r="F148" s="104">
        <v>-999</v>
      </c>
      <c r="G148" s="106" t="s">
        <v>1140</v>
      </c>
      <c r="H148" s="104" t="s">
        <v>991</v>
      </c>
      <c r="I148" s="104" t="s">
        <v>104</v>
      </c>
      <c r="J148" s="104" t="s">
        <v>105</v>
      </c>
      <c r="K148" s="104" t="s">
        <v>1175</v>
      </c>
      <c r="L148" s="104" t="s">
        <v>1176</v>
      </c>
      <c r="M148" s="104"/>
      <c r="N148" s="108" t="s">
        <v>17</v>
      </c>
      <c r="O148" s="104" t="s">
        <v>17</v>
      </c>
      <c r="P148" s="113">
        <v>2.94</v>
      </c>
      <c r="Q148" s="113">
        <v>3.2649999999999997</v>
      </c>
      <c r="R148" s="104" t="s">
        <v>17</v>
      </c>
      <c r="S148" s="253">
        <f>( (10^((2.965*LOG((P148))+1.383))) +  (10^((3.09*LOG((P148))+1.29))))/2</f>
        <v>568.54281179302609</v>
      </c>
      <c r="T148" s="103" t="s">
        <v>1412</v>
      </c>
      <c r="U148" s="108"/>
      <c r="V148" s="107"/>
      <c r="W148" s="414" t="s">
        <v>1385</v>
      </c>
    </row>
    <row r="149" spans="1:23" ht="21" customHeight="1">
      <c r="A149" s="104" t="s">
        <v>169</v>
      </c>
      <c r="B149" s="104" t="s">
        <v>149</v>
      </c>
      <c r="C149" s="454" t="s">
        <v>150</v>
      </c>
      <c r="D149" s="105" t="s">
        <v>151</v>
      </c>
      <c r="E149" s="104">
        <v>2271</v>
      </c>
      <c r="F149" s="104">
        <v>-999</v>
      </c>
      <c r="G149" s="106" t="s">
        <v>1140</v>
      </c>
      <c r="H149" s="104" t="s">
        <v>991</v>
      </c>
      <c r="I149" s="104" t="s">
        <v>104</v>
      </c>
      <c r="J149" s="104" t="s">
        <v>105</v>
      </c>
      <c r="K149" s="104" t="s">
        <v>153</v>
      </c>
      <c r="L149" s="104" t="s">
        <v>1100</v>
      </c>
      <c r="M149" s="104"/>
      <c r="N149" s="108" t="s">
        <v>17</v>
      </c>
      <c r="O149" s="104" t="s">
        <v>17</v>
      </c>
      <c r="P149" s="113">
        <v>3.02</v>
      </c>
      <c r="Q149" s="113">
        <v>1.345</v>
      </c>
      <c r="R149" s="104" t="s">
        <v>17</v>
      </c>
      <c r="S149" s="253">
        <f>( (10^((2.965*LOG((P149))+1.383))) +  (10^((3.09*LOG((P149))+1.29))))/2</f>
        <v>616.64379725716753</v>
      </c>
      <c r="T149" s="103" t="s">
        <v>1415</v>
      </c>
      <c r="U149" s="108"/>
      <c r="V149" s="107"/>
      <c r="W149" s="414" t="s">
        <v>1385</v>
      </c>
    </row>
    <row r="150" spans="1:23" ht="21" customHeight="1">
      <c r="A150" s="104" t="s">
        <v>169</v>
      </c>
      <c r="B150" s="104" t="s">
        <v>149</v>
      </c>
      <c r="C150" s="454" t="s">
        <v>150</v>
      </c>
      <c r="D150" s="105" t="s">
        <v>151</v>
      </c>
      <c r="E150" s="104">
        <v>2271</v>
      </c>
      <c r="F150" s="104">
        <v>-999</v>
      </c>
      <c r="G150" s="106" t="s">
        <v>1140</v>
      </c>
      <c r="H150" s="104" t="s">
        <v>991</v>
      </c>
      <c r="I150" s="104" t="s">
        <v>104</v>
      </c>
      <c r="J150" s="104" t="s">
        <v>105</v>
      </c>
      <c r="K150" s="104" t="s">
        <v>1175</v>
      </c>
      <c r="L150" s="104" t="s">
        <v>1176</v>
      </c>
      <c r="M150" s="104"/>
      <c r="N150" s="108" t="s">
        <v>17</v>
      </c>
      <c r="O150" s="104" t="s">
        <v>17</v>
      </c>
      <c r="P150" s="113">
        <v>3.0430000000000001</v>
      </c>
      <c r="Q150" s="113">
        <v>3.0059999999999998</v>
      </c>
      <c r="R150" s="104" t="s">
        <v>17</v>
      </c>
      <c r="S150" s="253">
        <f>( (10^((2.965*LOG((P150))+1.383))) +  (10^((3.09*LOG((P150))+1.29))))/2</f>
        <v>630.9605943250001</v>
      </c>
      <c r="T150" s="103" t="s">
        <v>1412</v>
      </c>
      <c r="U150" s="108"/>
      <c r="V150" s="107"/>
      <c r="W150" s="414" t="s">
        <v>1385</v>
      </c>
    </row>
    <row r="151" spans="1:23" ht="21" customHeight="1">
      <c r="A151" s="104" t="s">
        <v>169</v>
      </c>
      <c r="B151" s="104" t="s">
        <v>149</v>
      </c>
      <c r="C151" s="454" t="s">
        <v>150</v>
      </c>
      <c r="D151" s="105" t="s">
        <v>151</v>
      </c>
      <c r="E151" s="104">
        <v>2271</v>
      </c>
      <c r="F151" s="104">
        <v>-999</v>
      </c>
      <c r="G151" s="106" t="s">
        <v>1140</v>
      </c>
      <c r="H151" s="104" t="s">
        <v>991</v>
      </c>
      <c r="I151" s="104" t="s">
        <v>104</v>
      </c>
      <c r="J151" s="104" t="s">
        <v>105</v>
      </c>
      <c r="K151" s="104" t="s">
        <v>153</v>
      </c>
      <c r="L151" s="104" t="s">
        <v>1100</v>
      </c>
      <c r="M151" s="104"/>
      <c r="N151" s="108" t="s">
        <v>17</v>
      </c>
      <c r="O151" s="104" t="s">
        <v>17</v>
      </c>
      <c r="P151" s="113">
        <v>3.2210000000000001</v>
      </c>
      <c r="Q151" s="113">
        <v>1.528</v>
      </c>
      <c r="R151" s="104" t="s">
        <v>17</v>
      </c>
      <c r="S151" s="253">
        <f>( (10^((2.965*LOG((P151))+1.383))) +  (10^((3.09*LOG((P151))+1.29))))/2</f>
        <v>749.3632124712052</v>
      </c>
      <c r="T151" s="103" t="s">
        <v>1415</v>
      </c>
      <c r="U151" s="108"/>
      <c r="V151" s="107"/>
      <c r="W151" s="414" t="s">
        <v>1385</v>
      </c>
    </row>
    <row r="152" spans="1:23" ht="21" customHeight="1">
      <c r="A152" s="104" t="s">
        <v>169</v>
      </c>
      <c r="B152" s="104" t="s">
        <v>149</v>
      </c>
      <c r="C152" s="454" t="s">
        <v>150</v>
      </c>
      <c r="D152" s="105" t="s">
        <v>151</v>
      </c>
      <c r="E152" s="104">
        <v>2351</v>
      </c>
      <c r="F152" s="104">
        <v>9</v>
      </c>
      <c r="G152" s="106" t="s">
        <v>1140</v>
      </c>
      <c r="H152" s="104" t="s">
        <v>991</v>
      </c>
      <c r="I152" s="104" t="s">
        <v>104</v>
      </c>
      <c r="J152" s="104" t="s">
        <v>105</v>
      </c>
      <c r="K152" s="104" t="s">
        <v>174</v>
      </c>
      <c r="L152" s="104" t="s">
        <v>340</v>
      </c>
      <c r="M152" s="104" t="s">
        <v>114</v>
      </c>
      <c r="N152" s="108" t="s">
        <v>17</v>
      </c>
      <c r="O152" s="104" t="s">
        <v>17</v>
      </c>
      <c r="P152" s="113">
        <v>2.4750000000000001</v>
      </c>
      <c r="Q152" s="113">
        <v>1.163</v>
      </c>
      <c r="R152" s="104" t="s">
        <v>17</v>
      </c>
      <c r="S152" s="253">
        <f xml:space="preserve"> (10^((2.999*LOG((P152))+1.162)))</f>
        <v>219.954086253725</v>
      </c>
      <c r="T152" s="103" t="s">
        <v>1392</v>
      </c>
      <c r="U152" s="108">
        <v>0.98699999999999999</v>
      </c>
      <c r="V152" s="107">
        <v>18</v>
      </c>
      <c r="W152" s="414" t="s">
        <v>1388</v>
      </c>
    </row>
    <row r="153" spans="1:23" ht="21" customHeight="1">
      <c r="A153" s="104" t="s">
        <v>169</v>
      </c>
      <c r="B153" s="104" t="s">
        <v>149</v>
      </c>
      <c r="C153" s="454" t="s">
        <v>150</v>
      </c>
      <c r="D153" s="105" t="s">
        <v>151</v>
      </c>
      <c r="E153" s="104">
        <v>2351</v>
      </c>
      <c r="F153" s="104">
        <v>42</v>
      </c>
      <c r="G153" s="106" t="s">
        <v>1140</v>
      </c>
      <c r="H153" s="104" t="s">
        <v>991</v>
      </c>
      <c r="I153" s="104" t="s">
        <v>104</v>
      </c>
      <c r="J153" s="104" t="s">
        <v>105</v>
      </c>
      <c r="K153" s="104" t="s">
        <v>185</v>
      </c>
      <c r="L153" s="104" t="s">
        <v>997</v>
      </c>
      <c r="M153" s="104" t="s">
        <v>108</v>
      </c>
      <c r="N153" s="108" t="s">
        <v>17</v>
      </c>
      <c r="O153" s="104" t="s">
        <v>17</v>
      </c>
      <c r="P153" s="113">
        <v>2.4510000000000001</v>
      </c>
      <c r="Q153" s="113">
        <v>1.4079999999999999</v>
      </c>
      <c r="R153" s="104" t="s">
        <v>17</v>
      </c>
      <c r="S153" s="253">
        <f t="shared" ref="S153:S164" si="2">((10^((3.187*LOG((P153))+1.264))+(10^((3.01*LOG((P153))+1.216)))+(10^(((2.999*(LOG(P153)))+1.162)))))/3</f>
        <v>259.22962143207366</v>
      </c>
      <c r="T153" s="103" t="s">
        <v>1384</v>
      </c>
      <c r="U153" s="108">
        <v>0.98499999999999999</v>
      </c>
      <c r="V153" s="107">
        <v>16.5</v>
      </c>
      <c r="W153" s="414" t="s">
        <v>1385</v>
      </c>
    </row>
    <row r="154" spans="1:23" ht="21" customHeight="1">
      <c r="A154" s="104" t="s">
        <v>169</v>
      </c>
      <c r="B154" s="104" t="s">
        <v>149</v>
      </c>
      <c r="C154" s="454" t="s">
        <v>150</v>
      </c>
      <c r="D154" s="105" t="s">
        <v>151</v>
      </c>
      <c r="E154" s="104">
        <v>2351</v>
      </c>
      <c r="F154" s="104">
        <v>4</v>
      </c>
      <c r="G154" s="106" t="s">
        <v>1140</v>
      </c>
      <c r="H154" s="104" t="s">
        <v>991</v>
      </c>
      <c r="I154" s="104" t="s">
        <v>104</v>
      </c>
      <c r="J154" s="104" t="s">
        <v>105</v>
      </c>
      <c r="K154" s="104" t="s">
        <v>185</v>
      </c>
      <c r="L154" s="104" t="s">
        <v>997</v>
      </c>
      <c r="M154" s="104" t="s">
        <v>114</v>
      </c>
      <c r="N154" s="108" t="s">
        <v>17</v>
      </c>
      <c r="O154" s="104" t="s">
        <v>17</v>
      </c>
      <c r="P154" s="113">
        <v>2.4750000000000001</v>
      </c>
      <c r="Q154" s="113">
        <v>2.7069999999999999</v>
      </c>
      <c r="R154" s="104" t="s">
        <v>17</v>
      </c>
      <c r="S154" s="253">
        <f t="shared" si="2"/>
        <v>267.12712594068921</v>
      </c>
      <c r="T154" s="103" t="s">
        <v>1384</v>
      </c>
      <c r="U154" s="108">
        <v>0.98499999999999999</v>
      </c>
      <c r="V154" s="107">
        <v>16.5</v>
      </c>
      <c r="W154" s="414" t="s">
        <v>1385</v>
      </c>
    </row>
    <row r="155" spans="1:23" ht="21" customHeight="1">
      <c r="A155" s="104" t="s">
        <v>169</v>
      </c>
      <c r="B155" s="104" t="s">
        <v>149</v>
      </c>
      <c r="C155" s="454" t="s">
        <v>150</v>
      </c>
      <c r="D155" s="105" t="s">
        <v>151</v>
      </c>
      <c r="E155" s="104">
        <v>2351</v>
      </c>
      <c r="F155" s="104">
        <v>25</v>
      </c>
      <c r="G155" s="106" t="s">
        <v>1140</v>
      </c>
      <c r="H155" s="104" t="s">
        <v>991</v>
      </c>
      <c r="I155" s="104" t="s">
        <v>104</v>
      </c>
      <c r="J155" s="104" t="s">
        <v>105</v>
      </c>
      <c r="K155" s="104" t="s">
        <v>185</v>
      </c>
      <c r="L155" s="104" t="s">
        <v>997</v>
      </c>
      <c r="M155" s="104" t="s">
        <v>108</v>
      </c>
      <c r="N155" s="108" t="s">
        <v>17</v>
      </c>
      <c r="O155" s="104" t="s">
        <v>17</v>
      </c>
      <c r="P155" s="113">
        <v>2.5369999999999999</v>
      </c>
      <c r="Q155" s="113">
        <v>1.871</v>
      </c>
      <c r="R155" s="104" t="s">
        <v>17</v>
      </c>
      <c r="S155" s="253">
        <f t="shared" si="2"/>
        <v>288.2788023095747</v>
      </c>
      <c r="T155" s="103" t="s">
        <v>1384</v>
      </c>
      <c r="U155" s="108">
        <v>0.98499999999999999</v>
      </c>
      <c r="V155" s="107">
        <v>16.5</v>
      </c>
      <c r="W155" s="414" t="s">
        <v>1385</v>
      </c>
    </row>
    <row r="156" spans="1:23" ht="21" customHeight="1">
      <c r="A156" s="104" t="s">
        <v>169</v>
      </c>
      <c r="B156" s="104" t="s">
        <v>149</v>
      </c>
      <c r="C156" s="454" t="s">
        <v>150</v>
      </c>
      <c r="D156" s="105" t="s">
        <v>151</v>
      </c>
      <c r="E156" s="104">
        <v>2351</v>
      </c>
      <c r="F156" s="104">
        <v>15</v>
      </c>
      <c r="G156" s="106" t="s">
        <v>1140</v>
      </c>
      <c r="H156" s="104" t="s">
        <v>991</v>
      </c>
      <c r="I156" s="104" t="s">
        <v>104</v>
      </c>
      <c r="J156" s="104" t="s">
        <v>105</v>
      </c>
      <c r="K156" s="104" t="s">
        <v>185</v>
      </c>
      <c r="L156" s="104" t="s">
        <v>997</v>
      </c>
      <c r="M156" s="104" t="s">
        <v>114</v>
      </c>
      <c r="N156" s="108" t="s">
        <v>17</v>
      </c>
      <c r="O156" s="104" t="s">
        <v>17</v>
      </c>
      <c r="P156" s="113">
        <v>2.641</v>
      </c>
      <c r="Q156" s="113">
        <v>1.877</v>
      </c>
      <c r="R156" s="104" t="s">
        <v>17</v>
      </c>
      <c r="S156" s="253">
        <f t="shared" si="2"/>
        <v>326.25395162809474</v>
      </c>
      <c r="T156" s="103" t="s">
        <v>1384</v>
      </c>
      <c r="U156" s="108">
        <v>0.98499999999999999</v>
      </c>
      <c r="V156" s="107">
        <v>16.5</v>
      </c>
      <c r="W156" s="414" t="s">
        <v>1385</v>
      </c>
    </row>
    <row r="157" spans="1:23" ht="21" customHeight="1">
      <c r="A157" s="104" t="s">
        <v>169</v>
      </c>
      <c r="B157" s="104" t="s">
        <v>149</v>
      </c>
      <c r="C157" s="454" t="s">
        <v>150</v>
      </c>
      <c r="D157" s="105" t="s">
        <v>151</v>
      </c>
      <c r="E157" s="104">
        <v>2351</v>
      </c>
      <c r="F157" s="104">
        <v>28</v>
      </c>
      <c r="G157" s="106" t="s">
        <v>1140</v>
      </c>
      <c r="H157" s="104" t="s">
        <v>991</v>
      </c>
      <c r="I157" s="104" t="s">
        <v>104</v>
      </c>
      <c r="J157" s="104" t="s">
        <v>105</v>
      </c>
      <c r="K157" s="104" t="s">
        <v>185</v>
      </c>
      <c r="L157" s="104" t="s">
        <v>997</v>
      </c>
      <c r="M157" s="104" t="s">
        <v>108</v>
      </c>
      <c r="N157" s="108" t="s">
        <v>17</v>
      </c>
      <c r="O157" s="104" t="s">
        <v>17</v>
      </c>
      <c r="P157" s="113">
        <v>2.7309999999999999</v>
      </c>
      <c r="Q157" s="113">
        <v>1.9910000000000001</v>
      </c>
      <c r="R157" s="104" t="s">
        <v>17</v>
      </c>
      <c r="S157" s="253">
        <f t="shared" si="2"/>
        <v>361.73216847694795</v>
      </c>
      <c r="T157" s="103" t="s">
        <v>1384</v>
      </c>
      <c r="U157" s="108">
        <v>0.98499999999999999</v>
      </c>
      <c r="V157" s="107">
        <v>16.5</v>
      </c>
      <c r="W157" s="414" t="s">
        <v>1385</v>
      </c>
    </row>
    <row r="158" spans="1:23" ht="21" customHeight="1">
      <c r="A158" s="104" t="s">
        <v>169</v>
      </c>
      <c r="B158" s="104" t="s">
        <v>149</v>
      </c>
      <c r="C158" s="454" t="s">
        <v>150</v>
      </c>
      <c r="D158" s="105" t="s">
        <v>151</v>
      </c>
      <c r="E158" s="104">
        <v>2351</v>
      </c>
      <c r="F158" s="104">
        <v>29</v>
      </c>
      <c r="G158" s="106" t="s">
        <v>1140</v>
      </c>
      <c r="H158" s="104" t="s">
        <v>991</v>
      </c>
      <c r="I158" s="104" t="s">
        <v>104</v>
      </c>
      <c r="J158" s="104" t="s">
        <v>105</v>
      </c>
      <c r="K158" s="104" t="s">
        <v>185</v>
      </c>
      <c r="L158" s="104" t="s">
        <v>997</v>
      </c>
      <c r="M158" s="104" t="s">
        <v>108</v>
      </c>
      <c r="N158" s="108" t="s">
        <v>17</v>
      </c>
      <c r="O158" s="104" t="s">
        <v>17</v>
      </c>
      <c r="P158" s="113">
        <v>2.7629999999999999</v>
      </c>
      <c r="Q158" s="113">
        <v>1.65</v>
      </c>
      <c r="R158" s="104" t="s">
        <v>17</v>
      </c>
      <c r="S158" s="253">
        <f t="shared" si="2"/>
        <v>374.94955540297616</v>
      </c>
      <c r="T158" s="103" t="s">
        <v>1384</v>
      </c>
      <c r="U158" s="108">
        <v>0.98499999999999999</v>
      </c>
      <c r="V158" s="107">
        <v>16.5</v>
      </c>
      <c r="W158" s="414" t="s">
        <v>1385</v>
      </c>
    </row>
    <row r="159" spans="1:23" ht="21" customHeight="1">
      <c r="A159" s="104" t="s">
        <v>169</v>
      </c>
      <c r="B159" s="104" t="s">
        <v>149</v>
      </c>
      <c r="C159" s="454" t="s">
        <v>150</v>
      </c>
      <c r="D159" s="105" t="s">
        <v>151</v>
      </c>
      <c r="E159" s="104">
        <v>2351</v>
      </c>
      <c r="F159" s="104">
        <v>11</v>
      </c>
      <c r="G159" s="106" t="s">
        <v>1140</v>
      </c>
      <c r="H159" s="104" t="s">
        <v>991</v>
      </c>
      <c r="I159" s="104" t="s">
        <v>104</v>
      </c>
      <c r="J159" s="104" t="s">
        <v>105</v>
      </c>
      <c r="K159" s="104" t="s">
        <v>185</v>
      </c>
      <c r="L159" s="104" t="s">
        <v>997</v>
      </c>
      <c r="M159" s="104" t="s">
        <v>114</v>
      </c>
      <c r="N159" s="108" t="s">
        <v>17</v>
      </c>
      <c r="O159" s="104" t="s">
        <v>17</v>
      </c>
      <c r="P159" s="113">
        <v>2.7670000000000003</v>
      </c>
      <c r="Q159" s="113">
        <v>1.798</v>
      </c>
      <c r="R159" s="104" t="s">
        <v>17</v>
      </c>
      <c r="S159" s="253">
        <f t="shared" si="2"/>
        <v>376.62434186934752</v>
      </c>
      <c r="T159" s="103" t="s">
        <v>1384</v>
      </c>
      <c r="U159" s="108">
        <v>0.98499999999999999</v>
      </c>
      <c r="V159" s="107">
        <v>16.5</v>
      </c>
      <c r="W159" s="414" t="s">
        <v>1385</v>
      </c>
    </row>
    <row r="160" spans="1:23" ht="21" customHeight="1">
      <c r="A160" s="104" t="s">
        <v>169</v>
      </c>
      <c r="B160" s="104" t="s">
        <v>149</v>
      </c>
      <c r="C160" s="454" t="s">
        <v>150</v>
      </c>
      <c r="D160" s="105" t="s">
        <v>151</v>
      </c>
      <c r="E160" s="104">
        <v>2351</v>
      </c>
      <c r="F160" s="104">
        <v>16</v>
      </c>
      <c r="G160" s="106" t="s">
        <v>1140</v>
      </c>
      <c r="H160" s="104" t="s">
        <v>991</v>
      </c>
      <c r="I160" s="104" t="s">
        <v>104</v>
      </c>
      <c r="J160" s="104" t="s">
        <v>105</v>
      </c>
      <c r="K160" s="104" t="s">
        <v>185</v>
      </c>
      <c r="L160" s="104" t="s">
        <v>997</v>
      </c>
      <c r="M160" s="104" t="s">
        <v>114</v>
      </c>
      <c r="N160" s="108" t="s">
        <v>17</v>
      </c>
      <c r="O160" s="104" t="s">
        <v>17</v>
      </c>
      <c r="P160" s="113">
        <v>2.8440000000000003</v>
      </c>
      <c r="Q160" s="113">
        <v>1.8780000000000001</v>
      </c>
      <c r="R160" s="104" t="s">
        <v>17</v>
      </c>
      <c r="S160" s="253">
        <f t="shared" si="2"/>
        <v>409.85798853379146</v>
      </c>
      <c r="T160" s="103" t="s">
        <v>1384</v>
      </c>
      <c r="U160" s="108">
        <v>0.98499999999999999</v>
      </c>
      <c r="V160" s="107">
        <v>16.5</v>
      </c>
      <c r="W160" s="414" t="s">
        <v>1385</v>
      </c>
    </row>
    <row r="161" spans="1:23" ht="21" customHeight="1">
      <c r="A161" s="104" t="s">
        <v>169</v>
      </c>
      <c r="B161" s="104" t="s">
        <v>149</v>
      </c>
      <c r="C161" s="454" t="s">
        <v>150</v>
      </c>
      <c r="D161" s="105" t="s">
        <v>151</v>
      </c>
      <c r="E161" s="104">
        <v>2351</v>
      </c>
      <c r="F161" s="104">
        <v>24</v>
      </c>
      <c r="G161" s="106" t="s">
        <v>1140</v>
      </c>
      <c r="H161" s="104" t="s">
        <v>991</v>
      </c>
      <c r="I161" s="104" t="s">
        <v>104</v>
      </c>
      <c r="J161" s="104" t="s">
        <v>105</v>
      </c>
      <c r="K161" s="104" t="s">
        <v>185</v>
      </c>
      <c r="L161" s="104" t="s">
        <v>997</v>
      </c>
      <c r="M161" s="104" t="s">
        <v>108</v>
      </c>
      <c r="N161" s="108" t="s">
        <v>17</v>
      </c>
      <c r="O161" s="104" t="s">
        <v>17</v>
      </c>
      <c r="P161" s="113">
        <v>2.8519999999999999</v>
      </c>
      <c r="Q161" s="113">
        <v>1.5820000000000001</v>
      </c>
      <c r="R161" s="104" t="s">
        <v>17</v>
      </c>
      <c r="S161" s="253">
        <f t="shared" si="2"/>
        <v>413.42046138658657</v>
      </c>
      <c r="T161" s="103" t="s">
        <v>1384</v>
      </c>
      <c r="U161" s="108">
        <v>0.98499999999999999</v>
      </c>
      <c r="V161" s="107">
        <v>16.5</v>
      </c>
      <c r="W161" s="414" t="s">
        <v>1385</v>
      </c>
    </row>
    <row r="162" spans="1:23" ht="21" customHeight="1">
      <c r="A162" s="104" t="s">
        <v>169</v>
      </c>
      <c r="B162" s="104" t="s">
        <v>149</v>
      </c>
      <c r="C162" s="454" t="s">
        <v>150</v>
      </c>
      <c r="D162" s="105" t="s">
        <v>151</v>
      </c>
      <c r="E162" s="104">
        <v>2351</v>
      </c>
      <c r="F162" s="104">
        <v>19</v>
      </c>
      <c r="G162" s="106" t="s">
        <v>1140</v>
      </c>
      <c r="H162" s="104" t="s">
        <v>991</v>
      </c>
      <c r="I162" s="104" t="s">
        <v>104</v>
      </c>
      <c r="J162" s="104" t="s">
        <v>105</v>
      </c>
      <c r="K162" s="104" t="s">
        <v>185</v>
      </c>
      <c r="L162" s="104" t="s">
        <v>997</v>
      </c>
      <c r="M162" s="104" t="s">
        <v>114</v>
      </c>
      <c r="N162" s="108" t="s">
        <v>17</v>
      </c>
      <c r="O162" s="104" t="s">
        <v>17</v>
      </c>
      <c r="P162" s="113">
        <v>2.8579999999999997</v>
      </c>
      <c r="Q162" s="113">
        <v>2.12</v>
      </c>
      <c r="R162" s="104" t="s">
        <v>17</v>
      </c>
      <c r="S162" s="253">
        <f t="shared" si="2"/>
        <v>416.10601650999598</v>
      </c>
      <c r="T162" s="103" t="s">
        <v>1384</v>
      </c>
      <c r="U162" s="108">
        <v>0.98499999999999999</v>
      </c>
      <c r="V162" s="107">
        <v>16.5</v>
      </c>
      <c r="W162" s="414" t="s">
        <v>1385</v>
      </c>
    </row>
    <row r="163" spans="1:23" ht="21" customHeight="1">
      <c r="A163" s="104" t="s">
        <v>169</v>
      </c>
      <c r="B163" s="104" t="s">
        <v>149</v>
      </c>
      <c r="C163" s="454" t="s">
        <v>150</v>
      </c>
      <c r="D163" s="105" t="s">
        <v>151</v>
      </c>
      <c r="E163" s="104">
        <v>2351</v>
      </c>
      <c r="F163" s="104">
        <v>13</v>
      </c>
      <c r="G163" s="106" t="s">
        <v>1140</v>
      </c>
      <c r="H163" s="104" t="s">
        <v>991</v>
      </c>
      <c r="I163" s="104" t="s">
        <v>104</v>
      </c>
      <c r="J163" s="104" t="s">
        <v>105</v>
      </c>
      <c r="K163" s="104" t="s">
        <v>185</v>
      </c>
      <c r="L163" s="104" t="s">
        <v>997</v>
      </c>
      <c r="M163" s="104" t="s">
        <v>114</v>
      </c>
      <c r="N163" s="108" t="s">
        <v>17</v>
      </c>
      <c r="O163" s="104" t="s">
        <v>17</v>
      </c>
      <c r="P163" s="113">
        <v>2.8609999999999998</v>
      </c>
      <c r="Q163" s="113">
        <v>1.86</v>
      </c>
      <c r="R163" s="104" t="s">
        <v>17</v>
      </c>
      <c r="S163" s="253">
        <f t="shared" si="2"/>
        <v>417.45320731719676</v>
      </c>
      <c r="T163" s="103" t="s">
        <v>1384</v>
      </c>
      <c r="U163" s="108">
        <v>0.98499999999999999</v>
      </c>
      <c r="V163" s="107">
        <v>16.5</v>
      </c>
      <c r="W163" s="414" t="s">
        <v>1385</v>
      </c>
    </row>
    <row r="164" spans="1:23" ht="21" customHeight="1">
      <c r="A164" s="104" t="s">
        <v>169</v>
      </c>
      <c r="B164" s="104" t="s">
        <v>149</v>
      </c>
      <c r="C164" s="454" t="s">
        <v>150</v>
      </c>
      <c r="D164" s="105" t="s">
        <v>151</v>
      </c>
      <c r="E164" s="104">
        <v>2351</v>
      </c>
      <c r="F164" s="104">
        <v>52</v>
      </c>
      <c r="G164" s="106" t="s">
        <v>1140</v>
      </c>
      <c r="H164" s="104" t="s">
        <v>991</v>
      </c>
      <c r="I164" s="104" t="s">
        <v>104</v>
      </c>
      <c r="J164" s="104" t="s">
        <v>105</v>
      </c>
      <c r="K164" s="104" t="s">
        <v>185</v>
      </c>
      <c r="L164" s="104" t="s">
        <v>997</v>
      </c>
      <c r="M164" s="104" t="s">
        <v>114</v>
      </c>
      <c r="N164" s="108" t="s">
        <v>17</v>
      </c>
      <c r="O164" s="104" t="s">
        <v>17</v>
      </c>
      <c r="P164" s="113">
        <v>2.8769999999999998</v>
      </c>
      <c r="Q164" s="113">
        <v>1.1739999999999999</v>
      </c>
      <c r="R164" s="104" t="s">
        <v>17</v>
      </c>
      <c r="S164" s="253">
        <f t="shared" si="2"/>
        <v>424.68807247979902</v>
      </c>
      <c r="T164" s="103" t="s">
        <v>1384</v>
      </c>
      <c r="U164" s="108">
        <v>0.98499999999999999</v>
      </c>
      <c r="V164" s="107">
        <v>16.5</v>
      </c>
      <c r="W164" s="414" t="s">
        <v>1385</v>
      </c>
    </row>
    <row r="165" spans="1:23" ht="21" customHeight="1">
      <c r="A165" s="104" t="s">
        <v>169</v>
      </c>
      <c r="B165" s="104" t="s">
        <v>149</v>
      </c>
      <c r="C165" s="454" t="s">
        <v>150</v>
      </c>
      <c r="D165" s="105" t="s">
        <v>151</v>
      </c>
      <c r="E165" s="104">
        <v>2351</v>
      </c>
      <c r="F165" s="104">
        <v>5</v>
      </c>
      <c r="G165" s="106" t="s">
        <v>1140</v>
      </c>
      <c r="H165" s="104" t="s">
        <v>991</v>
      </c>
      <c r="I165" s="104" t="s">
        <v>104</v>
      </c>
      <c r="J165" s="104" t="s">
        <v>105</v>
      </c>
      <c r="K165" s="104" t="s">
        <v>174</v>
      </c>
      <c r="L165" s="104" t="s">
        <v>340</v>
      </c>
      <c r="M165" s="104" t="s">
        <v>114</v>
      </c>
      <c r="N165" s="108" t="s">
        <v>17</v>
      </c>
      <c r="O165" s="104" t="s">
        <v>17</v>
      </c>
      <c r="P165" s="113">
        <v>3.0840000000000001</v>
      </c>
      <c r="Q165" s="113">
        <v>1.3439999999999999</v>
      </c>
      <c r="R165" s="104" t="s">
        <v>17</v>
      </c>
      <c r="S165" s="253">
        <f xml:space="preserve"> (10^((2.999*LOG((P165))+1.162)))</f>
        <v>425.45535449683086</v>
      </c>
      <c r="T165" s="103" t="s">
        <v>1392</v>
      </c>
      <c r="U165" s="108">
        <v>0.98699999999999999</v>
      </c>
      <c r="V165" s="107">
        <v>18</v>
      </c>
      <c r="W165" s="414" t="s">
        <v>1388</v>
      </c>
    </row>
    <row r="166" spans="1:23" ht="21" customHeight="1">
      <c r="A166" s="104" t="s">
        <v>169</v>
      </c>
      <c r="B166" s="104" t="s">
        <v>149</v>
      </c>
      <c r="C166" s="454" t="s">
        <v>150</v>
      </c>
      <c r="D166" s="105" t="s">
        <v>151</v>
      </c>
      <c r="E166" s="104">
        <v>2351</v>
      </c>
      <c r="F166" s="104">
        <v>46</v>
      </c>
      <c r="G166" s="106" t="s">
        <v>1140</v>
      </c>
      <c r="H166" s="104" t="s">
        <v>991</v>
      </c>
      <c r="I166" s="104" t="s">
        <v>104</v>
      </c>
      <c r="J166" s="104" t="s">
        <v>105</v>
      </c>
      <c r="K166" s="104" t="s">
        <v>185</v>
      </c>
      <c r="L166" s="104" t="s">
        <v>997</v>
      </c>
      <c r="M166" s="104" t="s">
        <v>108</v>
      </c>
      <c r="N166" s="108" t="s">
        <v>17</v>
      </c>
      <c r="O166" s="104" t="s">
        <v>17</v>
      </c>
      <c r="P166" s="113">
        <v>2.8899999999999997</v>
      </c>
      <c r="Q166" s="113">
        <v>1.8859999999999999</v>
      </c>
      <c r="R166" s="104" t="s">
        <v>17</v>
      </c>
      <c r="S166" s="253">
        <f>((10^((3.187*LOG((P166))+1.264))+(10^((3.01*LOG((P166))+1.216)))+(10^(((2.999*(LOG(P166)))+1.162)))))/3</f>
        <v>430.62846823921853</v>
      </c>
      <c r="T166" s="103" t="s">
        <v>1384</v>
      </c>
      <c r="U166" s="108">
        <v>0.98499999999999999</v>
      </c>
      <c r="V166" s="107">
        <v>16.5</v>
      </c>
      <c r="W166" s="414" t="s">
        <v>1385</v>
      </c>
    </row>
    <row r="167" spans="1:23" ht="21" customHeight="1">
      <c r="A167" s="104" t="s">
        <v>169</v>
      </c>
      <c r="B167" s="104" t="s">
        <v>149</v>
      </c>
      <c r="C167" s="454" t="s">
        <v>150</v>
      </c>
      <c r="D167" s="105" t="s">
        <v>151</v>
      </c>
      <c r="E167" s="104">
        <v>2351</v>
      </c>
      <c r="F167" s="104">
        <v>43</v>
      </c>
      <c r="G167" s="106" t="s">
        <v>1140</v>
      </c>
      <c r="H167" s="104" t="s">
        <v>991</v>
      </c>
      <c r="I167" s="104" t="s">
        <v>104</v>
      </c>
      <c r="J167" s="104" t="s">
        <v>105</v>
      </c>
      <c r="K167" s="104" t="s">
        <v>172</v>
      </c>
      <c r="L167" s="104" t="s">
        <v>1238</v>
      </c>
      <c r="M167" s="104" t="s">
        <v>108</v>
      </c>
      <c r="N167" s="108" t="s">
        <v>17</v>
      </c>
      <c r="O167" s="104" t="s">
        <v>17</v>
      </c>
      <c r="P167" s="113">
        <v>2.6960000000000002</v>
      </c>
      <c r="Q167" s="113">
        <v>1.657</v>
      </c>
      <c r="R167" s="104" t="s">
        <v>17</v>
      </c>
      <c r="S167" s="253">
        <f>(10^((3.187*LOG((P167))+1.264)))</f>
        <v>433.21579504940382</v>
      </c>
      <c r="T167" s="103" t="s">
        <v>1387</v>
      </c>
      <c r="U167" s="108">
        <v>0.98499999999999999</v>
      </c>
      <c r="V167" s="107">
        <v>16.5</v>
      </c>
      <c r="W167" s="414" t="s">
        <v>1385</v>
      </c>
    </row>
    <row r="168" spans="1:23" ht="21" customHeight="1">
      <c r="A168" s="104" t="s">
        <v>169</v>
      </c>
      <c r="B168" s="104" t="s">
        <v>149</v>
      </c>
      <c r="C168" s="454" t="s">
        <v>150</v>
      </c>
      <c r="D168" s="105" t="s">
        <v>151</v>
      </c>
      <c r="E168" s="104">
        <v>2351</v>
      </c>
      <c r="F168" s="104">
        <v>23</v>
      </c>
      <c r="G168" s="106" t="s">
        <v>1140</v>
      </c>
      <c r="H168" s="104" t="s">
        <v>991</v>
      </c>
      <c r="I168" s="104" t="s">
        <v>104</v>
      </c>
      <c r="J168" s="104" t="s">
        <v>105</v>
      </c>
      <c r="K168" s="104" t="s">
        <v>185</v>
      </c>
      <c r="L168" s="104" t="s">
        <v>997</v>
      </c>
      <c r="M168" s="104" t="s">
        <v>108</v>
      </c>
      <c r="N168" s="108" t="s">
        <v>17</v>
      </c>
      <c r="O168" s="104" t="s">
        <v>17</v>
      </c>
      <c r="P168" s="113">
        <v>2.9329999999999998</v>
      </c>
      <c r="Q168" s="113">
        <v>1.8069999999999999</v>
      </c>
      <c r="R168" s="104" t="s">
        <v>17</v>
      </c>
      <c r="S168" s="253">
        <f>((10^((3.187*LOG((P168))+1.264))+(10^((3.01*LOG((P168))+1.216)))+(10^(((2.999*(LOG(P168)))+1.162)))))/3</f>
        <v>450.67751310803641</v>
      </c>
      <c r="T168" s="103" t="s">
        <v>1384</v>
      </c>
      <c r="U168" s="108">
        <v>0.98499999999999999</v>
      </c>
      <c r="V168" s="107">
        <v>16.5</v>
      </c>
      <c r="W168" s="414" t="s">
        <v>1385</v>
      </c>
    </row>
    <row r="169" spans="1:23" ht="21" customHeight="1">
      <c r="A169" s="104" t="s">
        <v>169</v>
      </c>
      <c r="B169" s="104" t="s">
        <v>149</v>
      </c>
      <c r="C169" s="454" t="s">
        <v>150</v>
      </c>
      <c r="D169" s="105" t="s">
        <v>151</v>
      </c>
      <c r="E169" s="104">
        <v>2351</v>
      </c>
      <c r="F169" s="104">
        <v>8</v>
      </c>
      <c r="G169" s="106" t="s">
        <v>1140</v>
      </c>
      <c r="H169" s="104" t="s">
        <v>991</v>
      </c>
      <c r="I169" s="104" t="s">
        <v>104</v>
      </c>
      <c r="J169" s="104" t="s">
        <v>105</v>
      </c>
      <c r="K169" s="104" t="s">
        <v>153</v>
      </c>
      <c r="L169" s="104" t="s">
        <v>1100</v>
      </c>
      <c r="M169" s="104" t="s">
        <v>114</v>
      </c>
      <c r="N169" s="108" t="s">
        <v>17</v>
      </c>
      <c r="O169" s="104" t="s">
        <v>17</v>
      </c>
      <c r="P169" s="113">
        <v>2.7399999999999998</v>
      </c>
      <c r="Q169" s="113">
        <v>1.2810000000000001</v>
      </c>
      <c r="R169" s="104" t="s">
        <v>17</v>
      </c>
      <c r="S169" s="253">
        <f>( (10^((2.965*LOG((P169))+1.383))) +  (10^((3.09*LOG((P169))+1.29))))/2</f>
        <v>459.42167673181814</v>
      </c>
      <c r="T169" s="103" t="s">
        <v>1415</v>
      </c>
      <c r="U169" s="108"/>
      <c r="V169" s="107"/>
      <c r="W169" s="414" t="s">
        <v>1385</v>
      </c>
    </row>
    <row r="170" spans="1:23" ht="21" customHeight="1">
      <c r="A170" s="104" t="s">
        <v>169</v>
      </c>
      <c r="B170" s="104" t="s">
        <v>149</v>
      </c>
      <c r="C170" s="454" t="s">
        <v>150</v>
      </c>
      <c r="D170" s="105" t="s">
        <v>151</v>
      </c>
      <c r="E170" s="104">
        <v>2351</v>
      </c>
      <c r="F170" s="104">
        <v>3</v>
      </c>
      <c r="G170" s="106" t="s">
        <v>1140</v>
      </c>
      <c r="H170" s="104" t="s">
        <v>991</v>
      </c>
      <c r="I170" s="104" t="s">
        <v>104</v>
      </c>
      <c r="J170" s="104" t="s">
        <v>105</v>
      </c>
      <c r="K170" s="104" t="s">
        <v>166</v>
      </c>
      <c r="L170" s="104" t="s">
        <v>939</v>
      </c>
      <c r="M170" s="104" t="s">
        <v>108</v>
      </c>
      <c r="N170" s="108" t="s">
        <v>17</v>
      </c>
      <c r="O170" s="104" t="s">
        <v>17</v>
      </c>
      <c r="P170" s="113">
        <v>3.1429999999999998</v>
      </c>
      <c r="Q170" s="113">
        <v>3.1550000000000002</v>
      </c>
      <c r="R170" s="104" t="s">
        <v>17</v>
      </c>
      <c r="S170" s="253">
        <f>( (10^((3.01*LOG((P170))+1.216))) +  (10^((2.9*LOG((P170))+1.209))))/2</f>
        <v>482.2227730752669</v>
      </c>
      <c r="T170" s="103" t="s">
        <v>1393</v>
      </c>
      <c r="U170" s="108">
        <v>0.98599999999999999</v>
      </c>
      <c r="V170" s="107">
        <v>16.899999999999999</v>
      </c>
      <c r="W170" s="414" t="s">
        <v>1385</v>
      </c>
    </row>
    <row r="171" spans="1:23" ht="21" customHeight="1">
      <c r="A171" s="104" t="s">
        <v>169</v>
      </c>
      <c r="B171" s="104" t="s">
        <v>149</v>
      </c>
      <c r="C171" s="454" t="s">
        <v>150</v>
      </c>
      <c r="D171" s="105" t="s">
        <v>151</v>
      </c>
      <c r="E171" s="104">
        <v>2351</v>
      </c>
      <c r="F171" s="104">
        <v>33</v>
      </c>
      <c r="G171" s="106" t="s">
        <v>1140</v>
      </c>
      <c r="H171" s="104" t="s">
        <v>991</v>
      </c>
      <c r="I171" s="104" t="s">
        <v>104</v>
      </c>
      <c r="J171" s="104" t="s">
        <v>105</v>
      </c>
      <c r="K171" s="104" t="s">
        <v>185</v>
      </c>
      <c r="L171" s="104" t="s">
        <v>997</v>
      </c>
      <c r="M171" s="104" t="s">
        <v>108</v>
      </c>
      <c r="N171" s="108" t="s">
        <v>17</v>
      </c>
      <c r="O171" s="104" t="s">
        <v>17</v>
      </c>
      <c r="P171" s="113">
        <v>3.004</v>
      </c>
      <c r="Q171" s="113">
        <v>1.597</v>
      </c>
      <c r="R171" s="104" t="s">
        <v>17</v>
      </c>
      <c r="S171" s="253">
        <f>((10^((3.187*LOG((P171))+1.264))+(10^((3.01*LOG((P171))+1.216)))+(10^(((2.999*(LOG(P171)))+1.162)))))/3</f>
        <v>485.14778222378339</v>
      </c>
      <c r="T171" s="103" t="s">
        <v>1384</v>
      </c>
      <c r="U171" s="108">
        <v>0.98499999999999999</v>
      </c>
      <c r="V171" s="107">
        <v>16.5</v>
      </c>
      <c r="W171" s="414" t="s">
        <v>1385</v>
      </c>
    </row>
    <row r="172" spans="1:23" ht="21" customHeight="1">
      <c r="A172" s="104" t="s">
        <v>169</v>
      </c>
      <c r="B172" s="104" t="s">
        <v>149</v>
      </c>
      <c r="C172" s="454" t="s">
        <v>150</v>
      </c>
      <c r="D172" s="105" t="s">
        <v>151</v>
      </c>
      <c r="E172" s="104">
        <v>2351</v>
      </c>
      <c r="F172" s="104">
        <v>11</v>
      </c>
      <c r="G172" s="106" t="s">
        <v>1140</v>
      </c>
      <c r="H172" s="104" t="s">
        <v>991</v>
      </c>
      <c r="I172" s="104" t="s">
        <v>104</v>
      </c>
      <c r="J172" s="104" t="s">
        <v>105</v>
      </c>
      <c r="K172" s="104" t="s">
        <v>185</v>
      </c>
      <c r="L172" s="104" t="s">
        <v>997</v>
      </c>
      <c r="M172" s="104" t="s">
        <v>114</v>
      </c>
      <c r="N172" s="108" t="s">
        <v>17</v>
      </c>
      <c r="O172" s="104" t="s">
        <v>17</v>
      </c>
      <c r="P172" s="113">
        <v>3.0469999999999997</v>
      </c>
      <c r="Q172" s="113">
        <v>2.8440000000000003</v>
      </c>
      <c r="R172" s="104" t="s">
        <v>17</v>
      </c>
      <c r="S172" s="253">
        <f>((10^((3.187*LOG((P172))+1.264))+(10^((3.01*LOG((P172))+1.216)))+(10^(((2.999*(LOG(P172)))+1.162)))))/3</f>
        <v>506.86747763263111</v>
      </c>
      <c r="T172" s="103" t="s">
        <v>1384</v>
      </c>
      <c r="U172" s="108">
        <v>0.98499999999999999</v>
      </c>
      <c r="V172" s="107">
        <v>16.5</v>
      </c>
      <c r="W172" s="414" t="s">
        <v>1385</v>
      </c>
    </row>
    <row r="173" spans="1:23" ht="21" customHeight="1">
      <c r="A173" s="104" t="s">
        <v>169</v>
      </c>
      <c r="B173" s="104" t="s">
        <v>149</v>
      </c>
      <c r="C173" s="454" t="s">
        <v>150</v>
      </c>
      <c r="D173" s="105" t="s">
        <v>151</v>
      </c>
      <c r="E173" s="104">
        <v>2351</v>
      </c>
      <c r="F173" s="104">
        <v>30</v>
      </c>
      <c r="G173" s="106" t="s">
        <v>1140</v>
      </c>
      <c r="H173" s="104" t="s">
        <v>991</v>
      </c>
      <c r="I173" s="104" t="s">
        <v>104</v>
      </c>
      <c r="J173" s="104" t="s">
        <v>105</v>
      </c>
      <c r="K173" s="104" t="s">
        <v>185</v>
      </c>
      <c r="L173" s="104" t="s">
        <v>997</v>
      </c>
      <c r="M173" s="104" t="s">
        <v>108</v>
      </c>
      <c r="N173" s="108" t="s">
        <v>17</v>
      </c>
      <c r="O173" s="104" t="s">
        <v>17</v>
      </c>
      <c r="P173" s="113">
        <v>3.056</v>
      </c>
      <c r="Q173" s="113">
        <v>1.6120000000000001</v>
      </c>
      <c r="R173" s="104" t="s">
        <v>17</v>
      </c>
      <c r="S173" s="253">
        <f>((10^((3.187*LOG((P173))+1.264))+(10^((3.01*LOG((P173))+1.216)))+(10^(((2.999*(LOG(P173)))+1.162)))))/3</f>
        <v>511.49517446791475</v>
      </c>
      <c r="T173" s="103" t="s">
        <v>1384</v>
      </c>
      <c r="U173" s="108">
        <v>0.98499999999999999</v>
      </c>
      <c r="V173" s="107">
        <v>16.5</v>
      </c>
      <c r="W173" s="414" t="s">
        <v>1385</v>
      </c>
    </row>
    <row r="174" spans="1:23" ht="21" customHeight="1">
      <c r="A174" s="104" t="s">
        <v>169</v>
      </c>
      <c r="B174" s="104" t="s">
        <v>149</v>
      </c>
      <c r="C174" s="454" t="s">
        <v>150</v>
      </c>
      <c r="D174" s="105" t="s">
        <v>151</v>
      </c>
      <c r="E174" s="104">
        <v>2351</v>
      </c>
      <c r="F174" s="104">
        <v>51</v>
      </c>
      <c r="G174" s="106" t="s">
        <v>1140</v>
      </c>
      <c r="H174" s="104" t="s">
        <v>991</v>
      </c>
      <c r="I174" s="104" t="s">
        <v>104</v>
      </c>
      <c r="J174" s="104" t="s">
        <v>105</v>
      </c>
      <c r="K174" s="104" t="s">
        <v>153</v>
      </c>
      <c r="L174" s="104" t="s">
        <v>1100</v>
      </c>
      <c r="M174" s="104" t="s">
        <v>114</v>
      </c>
      <c r="N174" s="108" t="s">
        <v>17</v>
      </c>
      <c r="O174" s="104" t="s">
        <v>17</v>
      </c>
      <c r="P174" s="113">
        <v>2.8579999999999997</v>
      </c>
      <c r="Q174" s="113">
        <v>1.3720000000000001</v>
      </c>
      <c r="R174" s="104" t="s">
        <v>17</v>
      </c>
      <c r="S174" s="253">
        <f>( (10^((2.965*LOG((P174))+1.383))) +  (10^((3.09*LOG((P174))+1.29))))/2</f>
        <v>521.91663042683911</v>
      </c>
      <c r="T174" s="103" t="s">
        <v>1415</v>
      </c>
      <c r="U174" s="108"/>
      <c r="V174" s="107"/>
      <c r="W174" s="414" t="s">
        <v>1385</v>
      </c>
    </row>
    <row r="175" spans="1:23" ht="21" customHeight="1">
      <c r="A175" s="104" t="s">
        <v>169</v>
      </c>
      <c r="B175" s="104" t="s">
        <v>149</v>
      </c>
      <c r="C175" s="454" t="s">
        <v>150</v>
      </c>
      <c r="D175" s="105" t="s">
        <v>151</v>
      </c>
      <c r="E175" s="104">
        <v>2351</v>
      </c>
      <c r="F175" s="104">
        <v>10</v>
      </c>
      <c r="G175" s="106" t="s">
        <v>1140</v>
      </c>
      <c r="H175" s="104" t="s">
        <v>991</v>
      </c>
      <c r="I175" s="104" t="s">
        <v>104</v>
      </c>
      <c r="J175" s="104" t="s">
        <v>105</v>
      </c>
      <c r="K175" s="104" t="s">
        <v>185</v>
      </c>
      <c r="L175" s="104" t="s">
        <v>997</v>
      </c>
      <c r="M175" s="104" t="s">
        <v>114</v>
      </c>
      <c r="N175" s="108" t="s">
        <v>17</v>
      </c>
      <c r="O175" s="104" t="s">
        <v>17</v>
      </c>
      <c r="P175" s="113">
        <v>3.0920000000000001</v>
      </c>
      <c r="Q175" s="113">
        <v>1.6659999999999999</v>
      </c>
      <c r="R175" s="104" t="s">
        <v>17</v>
      </c>
      <c r="S175" s="253">
        <f>((10^((3.187*LOG((P175))+1.264))+(10^((3.01*LOG((P175))+1.216)))+(10^(((2.999*(LOG(P175)))+1.162)))))/3</f>
        <v>530.29179336115101</v>
      </c>
      <c r="T175" s="103" t="s">
        <v>1384</v>
      </c>
      <c r="U175" s="108">
        <v>0.98499999999999999</v>
      </c>
      <c r="V175" s="107">
        <v>16.5</v>
      </c>
      <c r="W175" s="414" t="s">
        <v>1385</v>
      </c>
    </row>
    <row r="176" spans="1:23" ht="21" customHeight="1">
      <c r="A176" s="104" t="s">
        <v>169</v>
      </c>
      <c r="B176" s="104" t="s">
        <v>149</v>
      </c>
      <c r="C176" s="454" t="s">
        <v>150</v>
      </c>
      <c r="D176" s="105" t="s">
        <v>151</v>
      </c>
      <c r="E176" s="104">
        <v>2351</v>
      </c>
      <c r="F176" s="104">
        <v>22</v>
      </c>
      <c r="G176" s="106" t="s">
        <v>1140</v>
      </c>
      <c r="H176" s="104" t="s">
        <v>991</v>
      </c>
      <c r="I176" s="104" t="s">
        <v>104</v>
      </c>
      <c r="J176" s="104" t="s">
        <v>105</v>
      </c>
      <c r="K176" s="104" t="s">
        <v>185</v>
      </c>
      <c r="L176" s="104" t="s">
        <v>997</v>
      </c>
      <c r="M176" s="104" t="s">
        <v>114</v>
      </c>
      <c r="N176" s="108" t="s">
        <v>17</v>
      </c>
      <c r="O176" s="104" t="s">
        <v>17</v>
      </c>
      <c r="P176" s="113">
        <v>3.2570000000000001</v>
      </c>
      <c r="Q176" s="113">
        <v>2.0010000000000003</v>
      </c>
      <c r="R176" s="104" t="s">
        <v>17</v>
      </c>
      <c r="S176" s="253">
        <f>((10^((3.187*LOG((P176))+1.264))+(10^((3.01*LOG((P176))+1.216)))+(10^(((2.999*(LOG(P176)))+1.162)))))/3</f>
        <v>622.44020339961787</v>
      </c>
      <c r="T176" s="103" t="s">
        <v>1384</v>
      </c>
      <c r="U176" s="108">
        <v>0.98499999999999999</v>
      </c>
      <c r="V176" s="107">
        <v>16.5</v>
      </c>
      <c r="W176" s="414" t="s">
        <v>1385</v>
      </c>
    </row>
    <row r="177" spans="1:23" ht="21" customHeight="1">
      <c r="A177" s="104" t="s">
        <v>169</v>
      </c>
      <c r="B177" s="104" t="s">
        <v>149</v>
      </c>
      <c r="C177" s="454" t="s">
        <v>150</v>
      </c>
      <c r="D177" s="105" t="s">
        <v>151</v>
      </c>
      <c r="E177" s="104">
        <v>2351</v>
      </c>
      <c r="F177" s="104">
        <v>12</v>
      </c>
      <c r="G177" s="106" t="s">
        <v>1140</v>
      </c>
      <c r="H177" s="104" t="s">
        <v>991</v>
      </c>
      <c r="I177" s="104" t="s">
        <v>104</v>
      </c>
      <c r="J177" s="104" t="s">
        <v>105</v>
      </c>
      <c r="K177" s="104" t="s">
        <v>185</v>
      </c>
      <c r="L177" s="104" t="s">
        <v>997</v>
      </c>
      <c r="M177" s="104" t="s">
        <v>114</v>
      </c>
      <c r="N177" s="108" t="s">
        <v>17</v>
      </c>
      <c r="O177" s="104" t="s">
        <v>17</v>
      </c>
      <c r="P177" s="113">
        <v>3.3</v>
      </c>
      <c r="Q177" s="113">
        <v>1.861</v>
      </c>
      <c r="R177" s="104" t="s">
        <v>17</v>
      </c>
      <c r="S177" s="253">
        <f>((10^((3.187*LOG((P177))+1.264))+(10^((3.01*LOG((P177))+1.216)))+(10^(((2.999*(LOG(P177)))+1.162)))))/3</f>
        <v>648.11770593468725</v>
      </c>
      <c r="T177" s="103" t="s">
        <v>1384</v>
      </c>
      <c r="U177" s="108">
        <v>0.98499999999999999</v>
      </c>
      <c r="V177" s="107">
        <v>16.5</v>
      </c>
      <c r="W177" s="414" t="s">
        <v>1385</v>
      </c>
    </row>
    <row r="178" spans="1:23" ht="21" customHeight="1">
      <c r="A178" s="104" t="s">
        <v>169</v>
      </c>
      <c r="B178" s="104" t="s">
        <v>149</v>
      </c>
      <c r="C178" s="454" t="s">
        <v>150</v>
      </c>
      <c r="D178" s="105" t="s">
        <v>151</v>
      </c>
      <c r="E178" s="104">
        <v>2351</v>
      </c>
      <c r="F178" s="104">
        <v>20</v>
      </c>
      <c r="G178" s="106" t="s">
        <v>1140</v>
      </c>
      <c r="H178" s="104" t="s">
        <v>991</v>
      </c>
      <c r="I178" s="104" t="s">
        <v>104</v>
      </c>
      <c r="J178" s="104" t="s">
        <v>105</v>
      </c>
      <c r="K178" s="104" t="s">
        <v>185</v>
      </c>
      <c r="L178" s="104" t="s">
        <v>997</v>
      </c>
      <c r="M178" s="104" t="s">
        <v>114</v>
      </c>
      <c r="N178" s="108" t="s">
        <v>17</v>
      </c>
      <c r="O178" s="104" t="s">
        <v>17</v>
      </c>
      <c r="P178" s="113">
        <v>3.3049999999999997</v>
      </c>
      <c r="Q178" s="113">
        <v>2.1239999999999997</v>
      </c>
      <c r="R178" s="104" t="s">
        <v>17</v>
      </c>
      <c r="S178" s="253">
        <f>((10^((3.187*LOG((P178))+1.264))+(10^((3.01*LOG((P178))+1.216)))+(10^(((2.999*(LOG(P178)))+1.162)))))/3</f>
        <v>651.1491612065638</v>
      </c>
      <c r="T178" s="103" t="s">
        <v>1384</v>
      </c>
      <c r="U178" s="108">
        <v>0.98499999999999999</v>
      </c>
      <c r="V178" s="107">
        <v>16.5</v>
      </c>
      <c r="W178" s="414" t="s">
        <v>1385</v>
      </c>
    </row>
    <row r="179" spans="1:23" ht="21" customHeight="1">
      <c r="A179" s="104" t="s">
        <v>169</v>
      </c>
      <c r="B179" s="104" t="s">
        <v>149</v>
      </c>
      <c r="C179" s="454" t="s">
        <v>150</v>
      </c>
      <c r="D179" s="105" t="s">
        <v>151</v>
      </c>
      <c r="E179" s="104">
        <v>2351</v>
      </c>
      <c r="F179" s="104">
        <v>6</v>
      </c>
      <c r="G179" s="106" t="s">
        <v>1140</v>
      </c>
      <c r="H179" s="104" t="s">
        <v>991</v>
      </c>
      <c r="I179" s="104" t="s">
        <v>104</v>
      </c>
      <c r="J179" s="104" t="s">
        <v>105</v>
      </c>
      <c r="K179" s="104" t="s">
        <v>153</v>
      </c>
      <c r="L179" s="104" t="s">
        <v>1100</v>
      </c>
      <c r="M179" s="104" t="s">
        <v>114</v>
      </c>
      <c r="N179" s="108" t="s">
        <v>17</v>
      </c>
      <c r="O179" s="104" t="s">
        <v>17</v>
      </c>
      <c r="P179" s="113">
        <v>3.15</v>
      </c>
      <c r="Q179" s="113">
        <v>1.3900000000000001</v>
      </c>
      <c r="R179" s="104" t="s">
        <v>17</v>
      </c>
      <c r="S179" s="253">
        <f>( (10^((2.965*LOG((P179))+1.383))) +  (10^((3.09*LOG((P179))+1.29))))/2</f>
        <v>700.49753779803939</v>
      </c>
      <c r="T179" s="103" t="s">
        <v>1415</v>
      </c>
      <c r="U179" s="108"/>
      <c r="V179" s="107"/>
      <c r="W179" s="414" t="s">
        <v>1385</v>
      </c>
    </row>
    <row r="180" spans="1:23" ht="21" customHeight="1">
      <c r="A180" s="104" t="s">
        <v>169</v>
      </c>
      <c r="B180" s="104" t="s">
        <v>149</v>
      </c>
      <c r="C180" s="454" t="s">
        <v>150</v>
      </c>
      <c r="D180" s="105" t="s">
        <v>151</v>
      </c>
      <c r="E180" s="104">
        <v>2351</v>
      </c>
      <c r="F180" s="104">
        <v>53</v>
      </c>
      <c r="G180" s="106" t="s">
        <v>1140</v>
      </c>
      <c r="H180" s="104" t="s">
        <v>991</v>
      </c>
      <c r="I180" s="104" t="s">
        <v>104</v>
      </c>
      <c r="J180" s="104" t="s">
        <v>105</v>
      </c>
      <c r="K180" s="104" t="s">
        <v>153</v>
      </c>
      <c r="L180" s="104" t="s">
        <v>1100</v>
      </c>
      <c r="M180" s="104" t="s">
        <v>114</v>
      </c>
      <c r="N180" s="108" t="s">
        <v>17</v>
      </c>
      <c r="O180" s="104" t="s">
        <v>17</v>
      </c>
      <c r="P180" s="113">
        <v>3.2600000000000002</v>
      </c>
      <c r="Q180" s="113">
        <v>1.355</v>
      </c>
      <c r="R180" s="104" t="s">
        <v>17</v>
      </c>
      <c r="S180" s="253">
        <f>( (10^((2.965*LOG((P180))+1.383))) +  (10^((3.09*LOG((P180))+1.29))))/2</f>
        <v>777.15163552436377</v>
      </c>
      <c r="T180" s="103" t="s">
        <v>1415</v>
      </c>
      <c r="U180" s="108"/>
      <c r="V180" s="107"/>
      <c r="W180" s="414" t="s">
        <v>1385</v>
      </c>
    </row>
    <row r="181" spans="1:23" ht="21" customHeight="1">
      <c r="A181" s="104" t="s">
        <v>169</v>
      </c>
      <c r="B181" s="104" t="s">
        <v>149</v>
      </c>
      <c r="C181" s="454" t="s">
        <v>150</v>
      </c>
      <c r="D181" s="105" t="s">
        <v>151</v>
      </c>
      <c r="E181" s="104">
        <v>2351</v>
      </c>
      <c r="F181" s="104">
        <v>39</v>
      </c>
      <c r="G181" s="106" t="s">
        <v>1140</v>
      </c>
      <c r="H181" s="104" t="s">
        <v>991</v>
      </c>
      <c r="I181" s="104" t="s">
        <v>104</v>
      </c>
      <c r="J181" s="104" t="s">
        <v>105</v>
      </c>
      <c r="K181" s="104" t="s">
        <v>153</v>
      </c>
      <c r="L181" s="104" t="s">
        <v>1100</v>
      </c>
      <c r="M181" s="104" t="s">
        <v>114</v>
      </c>
      <c r="N181" s="108" t="s">
        <v>17</v>
      </c>
      <c r="O181" s="104" t="s">
        <v>17</v>
      </c>
      <c r="P181" s="113">
        <v>3.46</v>
      </c>
      <c r="Q181" s="113">
        <v>1.605</v>
      </c>
      <c r="R181" s="104" t="s">
        <v>17</v>
      </c>
      <c r="S181" s="253">
        <f>( (10^((2.965*LOG((P181))+1.383))) +  (10^((3.09*LOG((P181))+1.29))))/2</f>
        <v>930.55429465388761</v>
      </c>
      <c r="T181" s="103" t="s">
        <v>1415</v>
      </c>
      <c r="U181" s="108"/>
      <c r="V181" s="107"/>
      <c r="W181" s="414" t="s">
        <v>1385</v>
      </c>
    </row>
    <row r="182" spans="1:23" ht="21" customHeight="1">
      <c r="A182" s="104" t="s">
        <v>169</v>
      </c>
      <c r="B182" s="104" t="s">
        <v>149</v>
      </c>
      <c r="C182" s="454" t="s">
        <v>150</v>
      </c>
      <c r="D182" s="105" t="s">
        <v>151</v>
      </c>
      <c r="E182" s="104">
        <v>2384</v>
      </c>
      <c r="F182" s="104" t="s">
        <v>753</v>
      </c>
      <c r="G182" s="106" t="s">
        <v>1140</v>
      </c>
      <c r="H182" s="104" t="s">
        <v>991</v>
      </c>
      <c r="I182" s="104" t="s">
        <v>104</v>
      </c>
      <c r="J182" s="104" t="s">
        <v>105</v>
      </c>
      <c r="K182" s="104" t="s">
        <v>155</v>
      </c>
      <c r="L182" s="104" t="s">
        <v>658</v>
      </c>
      <c r="M182" s="104" t="s">
        <v>114</v>
      </c>
      <c r="N182" s="108" t="s">
        <v>17</v>
      </c>
      <c r="O182" s="104" t="s">
        <v>17</v>
      </c>
      <c r="P182" s="113">
        <v>2.7440000000000002</v>
      </c>
      <c r="Q182" s="113">
        <v>2.9820000000000002</v>
      </c>
      <c r="R182" s="104" t="s">
        <v>17</v>
      </c>
      <c r="S182" s="253">
        <f>(10^((2.9*LOG((P182))+1.209)))</f>
        <v>302.21353469142667</v>
      </c>
      <c r="T182" s="103" t="s">
        <v>1386</v>
      </c>
      <c r="U182" s="108">
        <v>0.96399999999999997</v>
      </c>
      <c r="V182" s="107">
        <v>30.5</v>
      </c>
      <c r="W182" s="414" t="s">
        <v>1385</v>
      </c>
    </row>
    <row r="183" spans="1:23" ht="21" customHeight="1">
      <c r="A183" s="104" t="s">
        <v>169</v>
      </c>
      <c r="B183" s="104" t="s">
        <v>149</v>
      </c>
      <c r="C183" s="454" t="s">
        <v>150</v>
      </c>
      <c r="D183" s="105" t="s">
        <v>151</v>
      </c>
      <c r="E183" s="104">
        <v>2384</v>
      </c>
      <c r="F183" s="104" t="s">
        <v>753</v>
      </c>
      <c r="G183" s="106" t="s">
        <v>1140</v>
      </c>
      <c r="H183" s="104" t="s">
        <v>991</v>
      </c>
      <c r="I183" s="104" t="s">
        <v>104</v>
      </c>
      <c r="J183" s="104" t="s">
        <v>105</v>
      </c>
      <c r="K183" s="104" t="s">
        <v>143</v>
      </c>
      <c r="L183" s="104" t="s">
        <v>408</v>
      </c>
      <c r="M183" s="104" t="s">
        <v>114</v>
      </c>
      <c r="N183" s="108" t="s">
        <v>17</v>
      </c>
      <c r="O183" s="104" t="s">
        <v>17</v>
      </c>
      <c r="P183" s="113">
        <v>2.9</v>
      </c>
      <c r="Q183" s="113">
        <v>2.8839999999999999</v>
      </c>
      <c r="R183" s="104" t="s">
        <v>17</v>
      </c>
      <c r="S183" s="253">
        <f>(10^((2.9*LOG((P183))+1.209)))</f>
        <v>354.77596817777027</v>
      </c>
      <c r="T183" s="103" t="s">
        <v>1386</v>
      </c>
      <c r="U183" s="108">
        <v>0.96399999999999997</v>
      </c>
      <c r="V183" s="107">
        <v>30.5</v>
      </c>
      <c r="W183" s="414" t="s">
        <v>1385</v>
      </c>
    </row>
    <row r="184" spans="1:23" ht="21" customHeight="1">
      <c r="A184" s="104" t="s">
        <v>169</v>
      </c>
      <c r="B184" s="104" t="s">
        <v>149</v>
      </c>
      <c r="C184" s="454" t="s">
        <v>150</v>
      </c>
      <c r="D184" s="105" t="s">
        <v>151</v>
      </c>
      <c r="E184" s="104">
        <v>2384</v>
      </c>
      <c r="F184" s="104" t="s">
        <v>753</v>
      </c>
      <c r="G184" s="106" t="s">
        <v>1140</v>
      </c>
      <c r="H184" s="104" t="s">
        <v>991</v>
      </c>
      <c r="I184" s="104" t="s">
        <v>104</v>
      </c>
      <c r="J184" s="104" t="s">
        <v>105</v>
      </c>
      <c r="K184" s="104" t="s">
        <v>162</v>
      </c>
      <c r="L184" s="104" t="s">
        <v>1053</v>
      </c>
      <c r="M184" s="104" t="s">
        <v>114</v>
      </c>
      <c r="N184" s="108" t="s">
        <v>17</v>
      </c>
      <c r="O184" s="104" t="s">
        <v>17</v>
      </c>
      <c r="P184" s="113">
        <v>2.5140000000000002</v>
      </c>
      <c r="Q184" s="113">
        <v>2.7039999999999997</v>
      </c>
      <c r="R184" s="104" t="s">
        <v>17</v>
      </c>
      <c r="S184" s="253">
        <f>(10^((2.965*LOG((P184))+1.383)))</f>
        <v>371.60627203640752</v>
      </c>
      <c r="T184" s="103" t="s">
        <v>1410</v>
      </c>
      <c r="U184" s="108">
        <v>0.95699999999999996</v>
      </c>
      <c r="V184" s="108">
        <v>37.6</v>
      </c>
      <c r="W184" s="414" t="s">
        <v>1385</v>
      </c>
    </row>
    <row r="185" spans="1:23" ht="21" customHeight="1">
      <c r="A185" s="104" t="s">
        <v>169</v>
      </c>
      <c r="B185" s="104" t="s">
        <v>149</v>
      </c>
      <c r="C185" s="454" t="s">
        <v>150</v>
      </c>
      <c r="D185" s="105" t="s">
        <v>151</v>
      </c>
      <c r="E185" s="104">
        <v>2384</v>
      </c>
      <c r="F185" s="104" t="s">
        <v>753</v>
      </c>
      <c r="G185" s="106" t="s">
        <v>1140</v>
      </c>
      <c r="H185" s="104" t="s">
        <v>991</v>
      </c>
      <c r="I185" s="104" t="s">
        <v>104</v>
      </c>
      <c r="J185" s="104" t="s">
        <v>105</v>
      </c>
      <c r="K185" s="104" t="s">
        <v>252</v>
      </c>
      <c r="L185" s="104" t="s">
        <v>415</v>
      </c>
      <c r="M185" s="104" t="s">
        <v>114</v>
      </c>
      <c r="N185" s="108" t="s">
        <v>17</v>
      </c>
      <c r="O185" s="104" t="s">
        <v>17</v>
      </c>
      <c r="P185" s="113">
        <v>2.6239999999999997</v>
      </c>
      <c r="Q185" s="113">
        <v>2.7359999999999998</v>
      </c>
      <c r="R185" s="104" t="s">
        <v>17</v>
      </c>
      <c r="S185" s="253">
        <f>(10^((3.09*LOG((P185))+1.29)))</f>
        <v>384.236163094056</v>
      </c>
      <c r="T185" s="103" t="s">
        <v>1413</v>
      </c>
      <c r="U185" s="108">
        <v>0.98599999999999999</v>
      </c>
      <c r="V185" s="107">
        <v>21</v>
      </c>
      <c r="W185" s="414" t="s">
        <v>1385</v>
      </c>
    </row>
    <row r="186" spans="1:23" ht="21" customHeight="1">
      <c r="A186" s="104" t="s">
        <v>169</v>
      </c>
      <c r="B186" s="104" t="s">
        <v>149</v>
      </c>
      <c r="C186" s="454" t="s">
        <v>150</v>
      </c>
      <c r="D186" s="105" t="s">
        <v>151</v>
      </c>
      <c r="E186" s="104" t="s">
        <v>1414</v>
      </c>
      <c r="F186" s="104" t="s">
        <v>753</v>
      </c>
      <c r="G186" s="106" t="s">
        <v>1140</v>
      </c>
      <c r="H186" s="104" t="s">
        <v>991</v>
      </c>
      <c r="I186" s="104" t="s">
        <v>104</v>
      </c>
      <c r="J186" s="104" t="s">
        <v>105</v>
      </c>
      <c r="K186" s="104" t="s">
        <v>185</v>
      </c>
      <c r="L186" s="104" t="s">
        <v>997</v>
      </c>
      <c r="M186" s="104"/>
      <c r="N186" s="108" t="s">
        <v>17</v>
      </c>
      <c r="O186" s="104" t="s">
        <v>17</v>
      </c>
      <c r="P186" s="113">
        <v>2.79</v>
      </c>
      <c r="Q186" s="113">
        <v>2.714</v>
      </c>
      <c r="R186" s="104" t="s">
        <v>17</v>
      </c>
      <c r="S186" s="253">
        <f>((10^((3.187*LOG((P186))+1.264))+(10^((3.01*LOG((P186))+1.216)))+(10^(((2.999*(LOG(P186)))+1.162)))))/3</f>
        <v>386.3526405171163</v>
      </c>
      <c r="T186" s="103" t="s">
        <v>1384</v>
      </c>
      <c r="U186" s="108">
        <v>0.98499999999999999</v>
      </c>
      <c r="V186" s="107">
        <v>16.5</v>
      </c>
      <c r="W186" s="414" t="s">
        <v>1385</v>
      </c>
    </row>
    <row r="187" spans="1:23" ht="21" customHeight="1">
      <c r="A187" s="104" t="s">
        <v>169</v>
      </c>
      <c r="B187" s="104" t="s">
        <v>149</v>
      </c>
      <c r="C187" s="454" t="s">
        <v>150</v>
      </c>
      <c r="D187" s="105" t="s">
        <v>151</v>
      </c>
      <c r="E187" s="104" t="s">
        <v>1426</v>
      </c>
      <c r="F187" s="104" t="s">
        <v>753</v>
      </c>
      <c r="G187" s="106" t="s">
        <v>1140</v>
      </c>
      <c r="H187" s="104" t="s">
        <v>991</v>
      </c>
      <c r="I187" s="104" t="s">
        <v>104</v>
      </c>
      <c r="J187" s="104" t="s">
        <v>105</v>
      </c>
      <c r="K187" s="104" t="s">
        <v>185</v>
      </c>
      <c r="L187" s="104" t="s">
        <v>997</v>
      </c>
      <c r="M187" s="104"/>
      <c r="N187" s="108" t="s">
        <v>17</v>
      </c>
      <c r="O187" s="104" t="s">
        <v>17</v>
      </c>
      <c r="P187" s="113">
        <v>3.37</v>
      </c>
      <c r="Q187" s="113">
        <v>2.9620000000000002</v>
      </c>
      <c r="R187" s="104" t="s">
        <v>17</v>
      </c>
      <c r="S187" s="253">
        <f>((10^((3.187*LOG((P187))+1.264))+(10^((3.01*LOG((P187))+1.216)))+(10^(((2.999*(LOG(P187)))+1.162)))))/3</f>
        <v>691.43527373679751</v>
      </c>
      <c r="T187" s="103" t="s">
        <v>1384</v>
      </c>
      <c r="U187" s="108">
        <v>0.98499999999999999</v>
      </c>
      <c r="V187" s="107">
        <v>16.5</v>
      </c>
      <c r="W187" s="414" t="s">
        <v>1385</v>
      </c>
    </row>
    <row r="188" spans="1:23" ht="21" customHeight="1">
      <c r="A188" s="104" t="s">
        <v>169</v>
      </c>
      <c r="B188" s="104" t="s">
        <v>149</v>
      </c>
      <c r="C188" s="454" t="s">
        <v>150</v>
      </c>
      <c r="D188" s="105" t="s">
        <v>151</v>
      </c>
      <c r="E188" s="104"/>
      <c r="F188" s="104">
        <v>121</v>
      </c>
      <c r="G188" s="106" t="s">
        <v>1140</v>
      </c>
      <c r="H188" s="104" t="s">
        <v>991</v>
      </c>
      <c r="I188" s="104" t="s">
        <v>104</v>
      </c>
      <c r="J188" s="104" t="s">
        <v>105</v>
      </c>
      <c r="K188" s="104" t="s">
        <v>185</v>
      </c>
      <c r="L188" s="104" t="s">
        <v>997</v>
      </c>
      <c r="M188" s="104"/>
      <c r="N188" s="108" t="s">
        <v>17</v>
      </c>
      <c r="O188" s="104" t="s">
        <v>17</v>
      </c>
      <c r="P188" s="113">
        <v>2.7519999999999998</v>
      </c>
      <c r="Q188" s="113">
        <v>2.593</v>
      </c>
      <c r="R188" s="104" t="s">
        <v>17</v>
      </c>
      <c r="S188" s="253">
        <f>((10^((3.187*LOG((P188))+1.264))+(10^((3.01*LOG((P188))+1.216)))+(10^(((2.999*(LOG(P188)))+1.162)))))/3</f>
        <v>370.36987507648001</v>
      </c>
      <c r="T188" s="103" t="s">
        <v>1384</v>
      </c>
      <c r="U188" s="108">
        <v>0.98499999999999999</v>
      </c>
      <c r="V188" s="107">
        <v>16.5</v>
      </c>
      <c r="W188" s="414" t="s">
        <v>1385</v>
      </c>
    </row>
    <row r="189" spans="1:23" ht="21" customHeight="1">
      <c r="A189" s="103" t="s">
        <v>601</v>
      </c>
      <c r="B189" s="103" t="s">
        <v>602</v>
      </c>
      <c r="C189" s="421" t="s">
        <v>609</v>
      </c>
      <c r="D189" s="396" t="s">
        <v>610</v>
      </c>
      <c r="E189" s="103">
        <v>2271</v>
      </c>
      <c r="F189" s="103" t="s">
        <v>1482</v>
      </c>
      <c r="G189" s="103" t="s">
        <v>1140</v>
      </c>
      <c r="H189" s="103" t="s">
        <v>991</v>
      </c>
      <c r="I189" s="104" t="s">
        <v>104</v>
      </c>
      <c r="J189" s="103" t="s">
        <v>105</v>
      </c>
      <c r="K189" s="103" t="s">
        <v>1474</v>
      </c>
      <c r="L189" s="103" t="s">
        <v>1480</v>
      </c>
      <c r="M189" s="103"/>
      <c r="N189" s="103"/>
      <c r="O189" s="103"/>
      <c r="P189" s="103">
        <v>17.649999999999999</v>
      </c>
      <c r="Q189" s="103">
        <v>9.43</v>
      </c>
      <c r="R189" s="103"/>
      <c r="S189" s="476"/>
      <c r="T189" s="103"/>
      <c r="U189" s="103"/>
      <c r="V189" s="103"/>
      <c r="W189" s="414"/>
    </row>
    <row r="190" spans="1:23" ht="21" customHeight="1">
      <c r="A190" s="103" t="s">
        <v>601</v>
      </c>
      <c r="B190" s="103" t="s">
        <v>602</v>
      </c>
      <c r="C190" s="421" t="s">
        <v>609</v>
      </c>
      <c r="D190" s="396" t="s">
        <v>610</v>
      </c>
      <c r="E190" s="103">
        <v>2271</v>
      </c>
      <c r="F190" s="103">
        <v>2143</v>
      </c>
      <c r="G190" s="103" t="s">
        <v>1140</v>
      </c>
      <c r="H190" s="103" t="s">
        <v>991</v>
      </c>
      <c r="I190" s="104" t="s">
        <v>104</v>
      </c>
      <c r="J190" s="103" t="s">
        <v>105</v>
      </c>
      <c r="K190" s="103" t="s">
        <v>1486</v>
      </c>
      <c r="L190" s="103" t="s">
        <v>1487</v>
      </c>
      <c r="M190" s="103"/>
      <c r="N190" s="103"/>
      <c r="O190" s="103"/>
      <c r="P190" s="103">
        <v>12.4</v>
      </c>
      <c r="Q190" s="103">
        <v>9.4</v>
      </c>
      <c r="R190" s="103"/>
      <c r="S190" s="476"/>
      <c r="T190" s="103"/>
      <c r="U190" s="103"/>
      <c r="V190" s="103"/>
      <c r="W190" s="414"/>
    </row>
    <row r="191" spans="1:23" ht="21" customHeight="1">
      <c r="A191" s="103" t="s">
        <v>601</v>
      </c>
      <c r="B191" s="103" t="s">
        <v>602</v>
      </c>
      <c r="C191" s="421" t="s">
        <v>609</v>
      </c>
      <c r="D191" s="396" t="s">
        <v>610</v>
      </c>
      <c r="E191" s="103">
        <v>2271</v>
      </c>
      <c r="F191" s="103" t="s">
        <v>1492</v>
      </c>
      <c r="G191" s="103" t="s">
        <v>1140</v>
      </c>
      <c r="H191" s="103" t="s">
        <v>991</v>
      </c>
      <c r="I191" s="104" t="s">
        <v>104</v>
      </c>
      <c r="J191" s="103" t="s">
        <v>105</v>
      </c>
      <c r="K191" s="103" t="s">
        <v>1486</v>
      </c>
      <c r="L191" s="103" t="s">
        <v>1487</v>
      </c>
      <c r="M191" s="103"/>
      <c r="N191" s="103"/>
      <c r="O191" s="103"/>
      <c r="P191" s="103">
        <v>13.1</v>
      </c>
      <c r="Q191" s="103">
        <v>9.9</v>
      </c>
      <c r="R191" s="103"/>
      <c r="S191" s="476"/>
      <c r="T191" s="103"/>
      <c r="U191" s="103"/>
      <c r="V191" s="103"/>
      <c r="W191" s="414"/>
    </row>
    <row r="192" spans="1:23" ht="21" customHeight="1">
      <c r="A192" s="104" t="s">
        <v>273</v>
      </c>
      <c r="B192" s="104" t="s">
        <v>551</v>
      </c>
      <c r="C192" s="454" t="s">
        <v>552</v>
      </c>
      <c r="D192" s="105" t="s">
        <v>553</v>
      </c>
      <c r="E192" s="104" t="s">
        <v>185</v>
      </c>
      <c r="F192" s="104">
        <v>458</v>
      </c>
      <c r="G192" s="106" t="s">
        <v>1305</v>
      </c>
      <c r="H192" s="104"/>
      <c r="I192" s="104" t="s">
        <v>289</v>
      </c>
      <c r="J192" s="104" t="s">
        <v>105</v>
      </c>
      <c r="K192" s="104" t="s">
        <v>112</v>
      </c>
      <c r="L192" s="104" t="s">
        <v>663</v>
      </c>
      <c r="M192" s="104" t="s">
        <v>108</v>
      </c>
      <c r="N192" s="108" t="s">
        <v>17</v>
      </c>
      <c r="O192" s="104" t="s">
        <v>17</v>
      </c>
      <c r="P192" s="108">
        <v>0.68499999999999994</v>
      </c>
      <c r="Q192" s="108" t="s">
        <v>17</v>
      </c>
      <c r="R192" s="104" t="s">
        <v>17</v>
      </c>
      <c r="S192" s="253">
        <f>(10^((3.9287*LOG(P192*10))+-0.5516))/1000</f>
        <v>0.53898607887962713</v>
      </c>
      <c r="T192" s="104" t="s">
        <v>1292</v>
      </c>
      <c r="U192" s="108">
        <v>0.81</v>
      </c>
      <c r="V192" s="107"/>
      <c r="W192" s="114" t="s">
        <v>105</v>
      </c>
    </row>
    <row r="193" spans="1:23" ht="21" customHeight="1">
      <c r="A193" s="104" t="s">
        <v>273</v>
      </c>
      <c r="B193" s="104" t="s">
        <v>551</v>
      </c>
      <c r="C193" s="454" t="s">
        <v>552</v>
      </c>
      <c r="D193" s="105" t="s">
        <v>553</v>
      </c>
      <c r="E193" s="104" t="s">
        <v>185</v>
      </c>
      <c r="F193" s="104">
        <v>459</v>
      </c>
      <c r="G193" s="106" t="s">
        <v>1305</v>
      </c>
      <c r="H193" s="104"/>
      <c r="I193" s="104" t="s">
        <v>289</v>
      </c>
      <c r="J193" s="104" t="s">
        <v>105</v>
      </c>
      <c r="K193" s="104" t="s">
        <v>112</v>
      </c>
      <c r="L193" s="104" t="s">
        <v>663</v>
      </c>
      <c r="M193" s="104" t="s">
        <v>108</v>
      </c>
      <c r="N193" s="108" t="s">
        <v>17</v>
      </c>
      <c r="O193" s="104" t="s">
        <v>17</v>
      </c>
      <c r="P193" s="113">
        <v>0.72300000000000009</v>
      </c>
      <c r="Q193" s="113" t="s">
        <v>17</v>
      </c>
      <c r="R193" s="104" t="s">
        <v>17</v>
      </c>
      <c r="S193" s="253">
        <f>(10^((3.9287*LOG(P193*10))+-0.5516))/1000</f>
        <v>0.66634114165693714</v>
      </c>
      <c r="T193" s="104" t="s">
        <v>1292</v>
      </c>
      <c r="U193" s="108">
        <v>0.81</v>
      </c>
      <c r="V193" s="107"/>
      <c r="W193" s="114" t="s">
        <v>105</v>
      </c>
    </row>
    <row r="194" spans="1:23" ht="21" customHeight="1">
      <c r="A194" s="104" t="s">
        <v>273</v>
      </c>
      <c r="B194" s="104" t="s">
        <v>551</v>
      </c>
      <c r="C194" s="454" t="s">
        <v>552</v>
      </c>
      <c r="D194" s="105" t="s">
        <v>553</v>
      </c>
      <c r="E194" s="104" t="s">
        <v>185</v>
      </c>
      <c r="F194" s="104">
        <v>457</v>
      </c>
      <c r="G194" s="106" t="s">
        <v>1305</v>
      </c>
      <c r="H194" s="104"/>
      <c r="I194" s="104" t="s">
        <v>289</v>
      </c>
      <c r="J194" s="104" t="s">
        <v>105</v>
      </c>
      <c r="K194" s="104" t="s">
        <v>112</v>
      </c>
      <c r="L194" s="104" t="s">
        <v>663</v>
      </c>
      <c r="M194" s="104" t="s">
        <v>108</v>
      </c>
      <c r="N194" s="108" t="s">
        <v>17</v>
      </c>
      <c r="O194" s="104" t="s">
        <v>17</v>
      </c>
      <c r="P194" s="108">
        <v>0.75700000000000001</v>
      </c>
      <c r="Q194" s="108" t="s">
        <v>17</v>
      </c>
      <c r="R194" s="104" t="s">
        <v>17</v>
      </c>
      <c r="S194" s="253">
        <f>(10^((3.9287*LOG(P194*10))+-0.5516))/1000</f>
        <v>0.79818577155580961</v>
      </c>
      <c r="T194" s="104" t="s">
        <v>1292</v>
      </c>
      <c r="U194" s="108">
        <v>0.81</v>
      </c>
      <c r="V194" s="107"/>
      <c r="W194" s="114" t="s">
        <v>105</v>
      </c>
    </row>
    <row r="195" spans="1:23" ht="21" customHeight="1">
      <c r="A195" s="104" t="s">
        <v>273</v>
      </c>
      <c r="B195" s="104" t="s">
        <v>551</v>
      </c>
      <c r="C195" s="454" t="s">
        <v>552</v>
      </c>
      <c r="D195" s="105" t="s">
        <v>553</v>
      </c>
      <c r="E195" s="104" t="s">
        <v>185</v>
      </c>
      <c r="F195" s="104">
        <v>464</v>
      </c>
      <c r="G195" s="106" t="s">
        <v>1305</v>
      </c>
      <c r="H195" s="104"/>
      <c r="I195" s="104" t="s">
        <v>289</v>
      </c>
      <c r="J195" s="104" t="s">
        <v>105</v>
      </c>
      <c r="K195" s="104" t="s">
        <v>112</v>
      </c>
      <c r="L195" s="104" t="s">
        <v>663</v>
      </c>
      <c r="M195" s="104" t="s">
        <v>108</v>
      </c>
      <c r="N195" s="108" t="s">
        <v>17</v>
      </c>
      <c r="O195" s="104" t="s">
        <v>17</v>
      </c>
      <c r="P195" s="113">
        <v>0.79400000000000004</v>
      </c>
      <c r="Q195" s="113" t="s">
        <v>17</v>
      </c>
      <c r="R195" s="104" t="s">
        <v>17</v>
      </c>
      <c r="S195" s="253">
        <f>(10^((3.9287*LOG(P195*10))+-0.5516))/1000</f>
        <v>0.962775007293592</v>
      </c>
      <c r="T195" s="104" t="s">
        <v>1292</v>
      </c>
      <c r="U195" s="108">
        <v>0.81</v>
      </c>
      <c r="V195" s="107"/>
      <c r="W195" s="114" t="s">
        <v>105</v>
      </c>
    </row>
    <row r="196" spans="1:23" ht="27.75" customHeight="1">
      <c r="A196" s="104" t="s">
        <v>273</v>
      </c>
      <c r="B196" s="104" t="s">
        <v>551</v>
      </c>
      <c r="C196" s="454" t="s">
        <v>552</v>
      </c>
      <c r="D196" s="105" t="s">
        <v>553</v>
      </c>
      <c r="E196" s="104" t="s">
        <v>185</v>
      </c>
      <c r="F196" s="104">
        <v>466</v>
      </c>
      <c r="G196" s="106" t="s">
        <v>1305</v>
      </c>
      <c r="H196" s="104"/>
      <c r="I196" s="104" t="s">
        <v>289</v>
      </c>
      <c r="J196" s="104" t="s">
        <v>105</v>
      </c>
      <c r="K196" s="104" t="s">
        <v>112</v>
      </c>
      <c r="L196" s="104" t="s">
        <v>663</v>
      </c>
      <c r="M196" s="104" t="s">
        <v>108</v>
      </c>
      <c r="N196" s="108" t="s">
        <v>17</v>
      </c>
      <c r="O196" s="104" t="s">
        <v>17</v>
      </c>
      <c r="P196" s="113">
        <v>0.80700000000000005</v>
      </c>
      <c r="Q196" s="113" t="s">
        <v>17</v>
      </c>
      <c r="R196" s="104" t="s">
        <v>17</v>
      </c>
      <c r="S196" s="253">
        <f>(10^((3.9287*LOG(P196*10))+-0.5516))/1000</f>
        <v>1.0262048334517153</v>
      </c>
      <c r="T196" s="104" t="s">
        <v>1292</v>
      </c>
      <c r="U196" s="108">
        <v>0.81</v>
      </c>
      <c r="V196" s="107"/>
      <c r="W196" s="114" t="s">
        <v>105</v>
      </c>
    </row>
    <row r="197" spans="1:23" ht="21" customHeight="1">
      <c r="A197" s="104" t="s">
        <v>273</v>
      </c>
      <c r="B197" s="104" t="s">
        <v>551</v>
      </c>
      <c r="C197" s="454" t="s">
        <v>552</v>
      </c>
      <c r="D197" s="105" t="s">
        <v>553</v>
      </c>
      <c r="E197" s="104" t="s">
        <v>185</v>
      </c>
      <c r="F197" s="104">
        <v>459</v>
      </c>
      <c r="G197" s="106" t="s">
        <v>1305</v>
      </c>
      <c r="H197" s="104"/>
      <c r="I197" s="104" t="s">
        <v>289</v>
      </c>
      <c r="J197" s="104" t="s">
        <v>105</v>
      </c>
      <c r="K197" s="104" t="s">
        <v>290</v>
      </c>
      <c r="L197" s="104" t="s">
        <v>973</v>
      </c>
      <c r="M197" s="104" t="s">
        <v>292</v>
      </c>
      <c r="N197" s="108" t="s">
        <v>17</v>
      </c>
      <c r="O197" s="104" t="s">
        <v>17</v>
      </c>
      <c r="P197" s="108">
        <v>7.5409999999999995</v>
      </c>
      <c r="Q197" s="108" t="s">
        <v>17</v>
      </c>
      <c r="R197" s="104" t="s">
        <v>17</v>
      </c>
      <c r="S197" s="253">
        <f>(10^((3.39*LOG(P197*10))+-6.03))</f>
        <v>2.1601509939368366</v>
      </c>
      <c r="T197" s="103" t="s">
        <v>1295</v>
      </c>
      <c r="U197" s="108">
        <v>0.9</v>
      </c>
      <c r="V197" s="107">
        <v>40</v>
      </c>
      <c r="W197" s="114" t="s">
        <v>1296</v>
      </c>
    </row>
    <row r="198" spans="1:23" ht="21" customHeight="1">
      <c r="A198" s="104" t="s">
        <v>273</v>
      </c>
      <c r="B198" s="104" t="s">
        <v>551</v>
      </c>
      <c r="C198" s="454" t="s">
        <v>552</v>
      </c>
      <c r="D198" s="105" t="s">
        <v>553</v>
      </c>
      <c r="E198" s="104" t="s">
        <v>185</v>
      </c>
      <c r="F198" s="104">
        <v>458</v>
      </c>
      <c r="G198" s="106" t="s">
        <v>1305</v>
      </c>
      <c r="H198" s="104"/>
      <c r="I198" s="104" t="s">
        <v>289</v>
      </c>
      <c r="J198" s="104" t="s">
        <v>105</v>
      </c>
      <c r="K198" s="104" t="s">
        <v>290</v>
      </c>
      <c r="L198" s="104" t="s">
        <v>973</v>
      </c>
      <c r="M198" s="104" t="s">
        <v>292</v>
      </c>
      <c r="N198" s="108" t="s">
        <v>17</v>
      </c>
      <c r="O198" s="104" t="s">
        <v>17</v>
      </c>
      <c r="P198" s="108">
        <v>7.6629999999999994</v>
      </c>
      <c r="Q198" s="108" t="s">
        <v>17</v>
      </c>
      <c r="R198" s="104" t="s">
        <v>17</v>
      </c>
      <c r="S198" s="253">
        <f>(10^((3.39*LOG(P198*10))+-6.03))</f>
        <v>2.2809303220655095</v>
      </c>
      <c r="T198" s="103" t="s">
        <v>1295</v>
      </c>
      <c r="U198" s="108">
        <v>0.9</v>
      </c>
      <c r="V198" s="107">
        <v>40</v>
      </c>
      <c r="W198" s="114" t="s">
        <v>1296</v>
      </c>
    </row>
    <row r="199" spans="1:23" ht="21" customHeight="1">
      <c r="A199" s="104" t="s">
        <v>273</v>
      </c>
      <c r="B199" s="104" t="s">
        <v>551</v>
      </c>
      <c r="C199" s="454" t="s">
        <v>552</v>
      </c>
      <c r="D199" s="105" t="s">
        <v>553</v>
      </c>
      <c r="E199" s="104" t="s">
        <v>185</v>
      </c>
      <c r="F199" s="104">
        <v>466</v>
      </c>
      <c r="G199" s="106" t="s">
        <v>1305</v>
      </c>
      <c r="H199" s="104"/>
      <c r="I199" s="104" t="s">
        <v>289</v>
      </c>
      <c r="J199" s="104" t="s">
        <v>105</v>
      </c>
      <c r="K199" s="104" t="s">
        <v>290</v>
      </c>
      <c r="L199" s="104" t="s">
        <v>973</v>
      </c>
      <c r="M199" s="104" t="s">
        <v>292</v>
      </c>
      <c r="N199" s="108" t="s">
        <v>17</v>
      </c>
      <c r="O199" s="104" t="s">
        <v>17</v>
      </c>
      <c r="P199" s="113">
        <v>7.7610000000000001</v>
      </c>
      <c r="Q199" s="113" t="s">
        <v>17</v>
      </c>
      <c r="R199" s="104" t="s">
        <v>17</v>
      </c>
      <c r="S199" s="253">
        <f>(10^((3.39*LOG(P199*10))+-6.03))</f>
        <v>2.3813374769419964</v>
      </c>
      <c r="T199" s="103" t="s">
        <v>1295</v>
      </c>
      <c r="U199" s="108">
        <v>0.9</v>
      </c>
      <c r="V199" s="107">
        <v>40</v>
      </c>
      <c r="W199" s="114" t="s">
        <v>1296</v>
      </c>
    </row>
    <row r="200" spans="1:23" ht="21" customHeight="1">
      <c r="A200" s="104" t="s">
        <v>273</v>
      </c>
      <c r="B200" s="104" t="s">
        <v>551</v>
      </c>
      <c r="C200" s="454" t="s">
        <v>552</v>
      </c>
      <c r="D200" s="105" t="s">
        <v>553</v>
      </c>
      <c r="E200" s="104" t="s">
        <v>185</v>
      </c>
      <c r="F200" s="104">
        <v>464</v>
      </c>
      <c r="G200" s="106" t="s">
        <v>1305</v>
      </c>
      <c r="H200" s="104"/>
      <c r="I200" s="104" t="s">
        <v>289</v>
      </c>
      <c r="J200" s="104" t="s">
        <v>105</v>
      </c>
      <c r="K200" s="104" t="s">
        <v>290</v>
      </c>
      <c r="L200" s="104" t="s">
        <v>973</v>
      </c>
      <c r="M200" s="104" t="s">
        <v>292</v>
      </c>
      <c r="N200" s="108" t="s">
        <v>17</v>
      </c>
      <c r="O200" s="104" t="s">
        <v>17</v>
      </c>
      <c r="P200" s="113">
        <v>8.2859999999999996</v>
      </c>
      <c r="Q200" s="113" t="s">
        <v>17</v>
      </c>
      <c r="R200" s="104" t="s">
        <v>17</v>
      </c>
      <c r="S200" s="253">
        <f>(10^((3.39*LOG(P200*10))+-6.03))</f>
        <v>2.972961664812209</v>
      </c>
      <c r="T200" s="103" t="s">
        <v>1295</v>
      </c>
      <c r="U200" s="108">
        <v>0.9</v>
      </c>
      <c r="V200" s="107">
        <v>40</v>
      </c>
      <c r="W200" s="114" t="s">
        <v>1296</v>
      </c>
    </row>
    <row r="201" spans="1:23" ht="21" customHeight="1">
      <c r="A201" s="103" t="s">
        <v>601</v>
      </c>
      <c r="B201" s="103" t="s">
        <v>602</v>
      </c>
      <c r="C201" s="421" t="s">
        <v>603</v>
      </c>
      <c r="D201" s="105" t="s">
        <v>151</v>
      </c>
      <c r="E201" s="103">
        <v>31055</v>
      </c>
      <c r="F201" s="103">
        <v>4</v>
      </c>
      <c r="G201" s="103" t="s">
        <v>1498</v>
      </c>
      <c r="H201" s="103" t="s">
        <v>171</v>
      </c>
      <c r="I201" s="104" t="s">
        <v>104</v>
      </c>
      <c r="J201" s="103" t="s">
        <v>105</v>
      </c>
      <c r="K201" s="104" t="s">
        <v>1441</v>
      </c>
      <c r="L201" s="104" t="s">
        <v>1442</v>
      </c>
      <c r="M201" s="103"/>
      <c r="N201" s="103">
        <v>15</v>
      </c>
      <c r="O201" s="103">
        <v>41.5</v>
      </c>
      <c r="P201" s="103"/>
      <c r="Q201" s="103"/>
      <c r="R201" s="103"/>
      <c r="S201" s="476">
        <v>6447</v>
      </c>
      <c r="T201" s="103" t="s">
        <v>1472</v>
      </c>
      <c r="U201" s="103">
        <v>0.95</v>
      </c>
      <c r="V201" s="103" t="s">
        <v>287</v>
      </c>
      <c r="W201" s="414" t="s">
        <v>1471</v>
      </c>
    </row>
    <row r="202" spans="1:23" ht="21" customHeight="1">
      <c r="A202" s="104" t="s">
        <v>218</v>
      </c>
      <c r="B202" s="104" t="s">
        <v>389</v>
      </c>
      <c r="C202" s="454" t="s">
        <v>390</v>
      </c>
      <c r="D202" s="105" t="s">
        <v>151</v>
      </c>
      <c r="E202" s="104">
        <v>40450</v>
      </c>
      <c r="F202" s="104" t="s">
        <v>782</v>
      </c>
      <c r="G202" s="106" t="s">
        <v>783</v>
      </c>
      <c r="H202" s="104" t="s">
        <v>784</v>
      </c>
      <c r="I202" s="104" t="s">
        <v>104</v>
      </c>
      <c r="J202" s="104" t="s">
        <v>105</v>
      </c>
      <c r="K202" s="104" t="s">
        <v>785</v>
      </c>
      <c r="L202" s="104" t="s">
        <v>786</v>
      </c>
      <c r="M202" s="104"/>
      <c r="N202" s="108"/>
      <c r="O202" s="104"/>
      <c r="P202" s="108">
        <v>3.4240000000000004</v>
      </c>
      <c r="Q202" s="108">
        <v>4.1139999999999999</v>
      </c>
      <c r="R202" s="104" t="s">
        <v>17</v>
      </c>
      <c r="S202" s="113">
        <v>169.5</v>
      </c>
      <c r="T202" s="104" t="s">
        <v>787</v>
      </c>
      <c r="U202" s="108">
        <v>0.95289999999999997</v>
      </c>
      <c r="V202" s="107">
        <v>20</v>
      </c>
      <c r="W202" s="106" t="s">
        <v>694</v>
      </c>
    </row>
    <row r="203" spans="1:23" ht="21" customHeight="1">
      <c r="A203" s="104" t="s">
        <v>218</v>
      </c>
      <c r="B203" s="104" t="s">
        <v>389</v>
      </c>
      <c r="C203" s="454" t="s">
        <v>390</v>
      </c>
      <c r="D203" s="105" t="s">
        <v>151</v>
      </c>
      <c r="E203" s="104">
        <v>40450</v>
      </c>
      <c r="F203" s="104">
        <v>1975</v>
      </c>
      <c r="G203" s="106" t="s">
        <v>783</v>
      </c>
      <c r="H203" s="104" t="s">
        <v>784</v>
      </c>
      <c r="I203" s="104" t="s">
        <v>104</v>
      </c>
      <c r="J203" s="104" t="s">
        <v>105</v>
      </c>
      <c r="K203" s="104" t="s">
        <v>729</v>
      </c>
      <c r="L203" s="104" t="s">
        <v>730</v>
      </c>
      <c r="M203" s="104"/>
      <c r="N203" s="108"/>
      <c r="O203" s="104"/>
      <c r="P203" s="108">
        <v>3.4780000000000002</v>
      </c>
      <c r="Q203" s="108">
        <v>2.2809999999999997</v>
      </c>
      <c r="R203" s="104" t="s">
        <v>17</v>
      </c>
      <c r="S203" s="113">
        <f>((10^((3.52*LOG((P203))+1.372)) +( 10^((3.375*LOG((P203))+1.119))) +10^((3.395*LOG((P203))+1.061)))/3)</f>
        <v>1189.8842430609802</v>
      </c>
      <c r="T203" s="104" t="s">
        <v>731</v>
      </c>
      <c r="U203" s="108">
        <v>0.91</v>
      </c>
      <c r="V203" s="107">
        <v>36</v>
      </c>
      <c r="W203" s="106" t="s">
        <v>732</v>
      </c>
    </row>
    <row r="204" spans="1:23" ht="21" customHeight="1">
      <c r="A204" s="104" t="s">
        <v>218</v>
      </c>
      <c r="B204" s="104" t="s">
        <v>389</v>
      </c>
      <c r="C204" s="454" t="s">
        <v>390</v>
      </c>
      <c r="D204" s="105" t="s">
        <v>151</v>
      </c>
      <c r="E204" s="104">
        <v>40450</v>
      </c>
      <c r="F204" s="104">
        <v>2571</v>
      </c>
      <c r="G204" s="106" t="s">
        <v>783</v>
      </c>
      <c r="H204" s="104" t="s">
        <v>784</v>
      </c>
      <c r="I204" s="104" t="s">
        <v>104</v>
      </c>
      <c r="J204" s="104" t="s">
        <v>105</v>
      </c>
      <c r="K204" s="104" t="s">
        <v>683</v>
      </c>
      <c r="L204" s="104" t="s">
        <v>728</v>
      </c>
      <c r="M204" s="104" t="s">
        <v>108</v>
      </c>
      <c r="N204" s="108"/>
      <c r="O204" s="104"/>
      <c r="P204" s="108">
        <v>3.4659999999999997</v>
      </c>
      <c r="Q204" s="108">
        <v>1.33</v>
      </c>
      <c r="R204" s="104" t="s">
        <v>17</v>
      </c>
      <c r="S204" s="113">
        <f>(((10^((3.52*LOG((P204))+1.372)))+(10^(3.375*LOG((P204))+1.119)))/2)</f>
        <v>1372.1711026052888</v>
      </c>
      <c r="T204" s="104" t="s">
        <v>910</v>
      </c>
      <c r="U204" s="108">
        <v>0.93500000000000005</v>
      </c>
      <c r="V204" s="107">
        <v>30.8</v>
      </c>
      <c r="W204" s="106" t="s">
        <v>700</v>
      </c>
    </row>
    <row r="205" spans="1:23" ht="21" customHeight="1">
      <c r="A205" s="104" t="s">
        <v>273</v>
      </c>
      <c r="B205" s="104" t="s">
        <v>74</v>
      </c>
      <c r="C205" s="454" t="s">
        <v>266</v>
      </c>
      <c r="D205" s="105" t="s">
        <v>267</v>
      </c>
      <c r="E205" s="104">
        <v>40450</v>
      </c>
      <c r="F205" s="104">
        <v>1608</v>
      </c>
      <c r="G205" s="106" t="s">
        <v>783</v>
      </c>
      <c r="H205" s="104" t="s">
        <v>784</v>
      </c>
      <c r="I205" s="104" t="s">
        <v>104</v>
      </c>
      <c r="J205" s="104" t="s">
        <v>105</v>
      </c>
      <c r="K205" s="104" t="s">
        <v>112</v>
      </c>
      <c r="L205" s="104" t="s">
        <v>663</v>
      </c>
      <c r="M205" s="104" t="s">
        <v>108</v>
      </c>
      <c r="N205" s="108" t="s">
        <v>17</v>
      </c>
      <c r="O205" s="104" t="s">
        <v>17</v>
      </c>
      <c r="P205" s="108">
        <v>1.657</v>
      </c>
      <c r="Q205" s="108" t="s">
        <v>17</v>
      </c>
      <c r="R205" s="104" t="s">
        <v>17</v>
      </c>
      <c r="S205" s="253">
        <v>6.9600915099483434</v>
      </c>
      <c r="T205" s="104" t="s">
        <v>1167</v>
      </c>
      <c r="U205" s="108">
        <v>0.96</v>
      </c>
      <c r="V205" s="107">
        <v>12.4</v>
      </c>
      <c r="W205" s="114" t="s">
        <v>284</v>
      </c>
    </row>
    <row r="206" spans="1:23" ht="21" customHeight="1">
      <c r="A206" s="104" t="s">
        <v>273</v>
      </c>
      <c r="B206" s="104" t="s">
        <v>74</v>
      </c>
      <c r="C206" s="454" t="s">
        <v>266</v>
      </c>
      <c r="D206" s="105" t="s">
        <v>267</v>
      </c>
      <c r="E206" s="104">
        <v>40450</v>
      </c>
      <c r="F206" s="104">
        <v>1603</v>
      </c>
      <c r="G206" s="106" t="s">
        <v>783</v>
      </c>
      <c r="H206" s="104" t="s">
        <v>784</v>
      </c>
      <c r="I206" s="104" t="s">
        <v>104</v>
      </c>
      <c r="J206" s="104" t="s">
        <v>105</v>
      </c>
      <c r="K206" s="104" t="s">
        <v>112</v>
      </c>
      <c r="L206" s="104" t="s">
        <v>663</v>
      </c>
      <c r="M206" s="104" t="s">
        <v>108</v>
      </c>
      <c r="N206" s="108" t="s">
        <v>17</v>
      </c>
      <c r="O206" s="104" t="s">
        <v>17</v>
      </c>
      <c r="P206" s="108">
        <v>2.1040000000000001</v>
      </c>
      <c r="Q206" s="108">
        <v>0.80700000000000005</v>
      </c>
      <c r="R206" s="104" t="s">
        <v>17</v>
      </c>
      <c r="S206" s="253">
        <v>14.01277036238449</v>
      </c>
      <c r="T206" s="104" t="s">
        <v>1167</v>
      </c>
      <c r="U206" s="108">
        <v>0.96</v>
      </c>
      <c r="V206" s="107">
        <v>12.4</v>
      </c>
      <c r="W206" s="114" t="s">
        <v>284</v>
      </c>
    </row>
    <row r="207" spans="1:23" ht="21" customHeight="1">
      <c r="A207" s="416" t="s">
        <v>273</v>
      </c>
      <c r="B207" s="416" t="s">
        <v>80</v>
      </c>
      <c r="C207" s="455" t="s">
        <v>132</v>
      </c>
      <c r="D207" s="461" t="s">
        <v>133</v>
      </c>
      <c r="E207" s="416">
        <v>43539</v>
      </c>
      <c r="F207" s="416">
        <v>1</v>
      </c>
      <c r="G207" s="456" t="s">
        <v>1328</v>
      </c>
      <c r="H207" s="416"/>
      <c r="I207" s="104" t="s">
        <v>225</v>
      </c>
      <c r="J207" s="416" t="s">
        <v>105</v>
      </c>
      <c r="K207" s="416" t="s">
        <v>112</v>
      </c>
      <c r="L207" s="416" t="s">
        <v>663</v>
      </c>
      <c r="M207" s="416" t="s">
        <v>114</v>
      </c>
      <c r="N207" s="458" t="s">
        <v>17</v>
      </c>
      <c r="O207" s="416" t="s">
        <v>17</v>
      </c>
      <c r="P207" s="457">
        <v>1.9949999999999999</v>
      </c>
      <c r="Q207" s="457">
        <v>1.2130000000000001</v>
      </c>
      <c r="R207" s="416" t="s">
        <v>17</v>
      </c>
      <c r="S207" s="459">
        <f>(10^((LOG(P207*10)*1.9336)+2.6699))/1000</f>
        <v>152.57015641969576</v>
      </c>
      <c r="T207" s="416" t="s">
        <v>1327</v>
      </c>
      <c r="U207" s="458">
        <v>0.57999999999999996</v>
      </c>
      <c r="V207" s="460" t="s">
        <v>287</v>
      </c>
      <c r="W207" s="466" t="s">
        <v>105</v>
      </c>
    </row>
    <row r="208" spans="1:23" ht="21" customHeight="1">
      <c r="A208" s="104" t="s">
        <v>273</v>
      </c>
      <c r="B208" s="104" t="s">
        <v>74</v>
      </c>
      <c r="C208" s="454" t="s">
        <v>266</v>
      </c>
      <c r="D208" s="105" t="s">
        <v>282</v>
      </c>
      <c r="E208" s="104">
        <v>1295</v>
      </c>
      <c r="F208" s="104">
        <v>104</v>
      </c>
      <c r="G208" s="106" t="s">
        <v>1171</v>
      </c>
      <c r="H208" s="104"/>
      <c r="I208" s="104" t="s">
        <v>104</v>
      </c>
      <c r="J208" s="104" t="s">
        <v>284</v>
      </c>
      <c r="K208" s="104" t="s">
        <v>1164</v>
      </c>
      <c r="L208" s="104" t="s">
        <v>1165</v>
      </c>
      <c r="M208" s="104" t="s">
        <v>108</v>
      </c>
      <c r="N208" s="108"/>
      <c r="O208" s="104"/>
      <c r="P208" s="108"/>
      <c r="Q208" s="108"/>
      <c r="R208" s="104"/>
      <c r="S208" s="253">
        <v>51.296599999999998</v>
      </c>
      <c r="T208" s="104"/>
      <c r="U208" s="108"/>
      <c r="V208" s="107"/>
      <c r="W208" s="106"/>
    </row>
    <row r="209" spans="1:23" ht="21" customHeight="1">
      <c r="A209" s="104" t="s">
        <v>273</v>
      </c>
      <c r="B209" s="104" t="s">
        <v>74</v>
      </c>
      <c r="C209" s="454" t="s">
        <v>266</v>
      </c>
      <c r="D209" s="105" t="s">
        <v>267</v>
      </c>
      <c r="E209" s="104">
        <v>1295</v>
      </c>
      <c r="F209" s="104">
        <v>1</v>
      </c>
      <c r="G209" s="106" t="s">
        <v>1171</v>
      </c>
      <c r="H209" s="104"/>
      <c r="I209" s="104" t="s">
        <v>104</v>
      </c>
      <c r="J209" s="104" t="s">
        <v>284</v>
      </c>
      <c r="K209" s="104" t="s">
        <v>112</v>
      </c>
      <c r="L209" s="104" t="s">
        <v>663</v>
      </c>
      <c r="M209" s="104" t="s">
        <v>114</v>
      </c>
      <c r="N209" s="108"/>
      <c r="O209" s="104"/>
      <c r="P209" s="108"/>
      <c r="Q209" s="108"/>
      <c r="R209" s="104"/>
      <c r="S209" s="253">
        <v>9.9258100000000002</v>
      </c>
      <c r="T209" s="104"/>
      <c r="U209" s="108"/>
      <c r="V209" s="107"/>
      <c r="W209" s="106"/>
    </row>
    <row r="210" spans="1:23" ht="21" customHeight="1">
      <c r="A210" s="104" t="s">
        <v>273</v>
      </c>
      <c r="B210" s="104" t="s">
        <v>74</v>
      </c>
      <c r="C210" s="454" t="s">
        <v>266</v>
      </c>
      <c r="D210" s="105" t="s">
        <v>267</v>
      </c>
      <c r="E210" s="104">
        <v>1295</v>
      </c>
      <c r="F210" s="104">
        <v>3</v>
      </c>
      <c r="G210" s="106" t="s">
        <v>1171</v>
      </c>
      <c r="H210" s="104"/>
      <c r="I210" s="104" t="s">
        <v>104</v>
      </c>
      <c r="J210" s="104" t="s">
        <v>284</v>
      </c>
      <c r="K210" s="104" t="s">
        <v>112</v>
      </c>
      <c r="L210" s="104" t="s">
        <v>663</v>
      </c>
      <c r="M210" s="104" t="s">
        <v>114</v>
      </c>
      <c r="N210" s="108"/>
      <c r="O210" s="104"/>
      <c r="P210" s="108"/>
      <c r="Q210" s="108"/>
      <c r="R210" s="104"/>
      <c r="S210" s="253">
        <v>11.54622</v>
      </c>
      <c r="T210" s="104"/>
      <c r="U210" s="108"/>
      <c r="V210" s="107"/>
      <c r="W210" s="106"/>
    </row>
    <row r="211" spans="1:23" ht="21" customHeight="1">
      <c r="A211" s="104" t="s">
        <v>273</v>
      </c>
      <c r="B211" s="104" t="s">
        <v>74</v>
      </c>
      <c r="C211" s="454" t="s">
        <v>266</v>
      </c>
      <c r="D211" s="105" t="s">
        <v>1240</v>
      </c>
      <c r="E211" s="104">
        <v>1295</v>
      </c>
      <c r="F211" s="104">
        <v>100</v>
      </c>
      <c r="G211" s="106" t="s">
        <v>1171</v>
      </c>
      <c r="H211" s="104"/>
      <c r="I211" s="104" t="s">
        <v>104</v>
      </c>
      <c r="J211" s="104" t="s">
        <v>284</v>
      </c>
      <c r="K211" s="104" t="s">
        <v>121</v>
      </c>
      <c r="L211" s="104" t="s">
        <v>1041</v>
      </c>
      <c r="M211" s="104" t="s">
        <v>114</v>
      </c>
      <c r="N211" s="108"/>
      <c r="O211" s="104"/>
      <c r="P211" s="108"/>
      <c r="Q211" s="108"/>
      <c r="R211" s="104"/>
      <c r="S211" s="253">
        <v>18.843830000000001</v>
      </c>
      <c r="T211" s="104"/>
      <c r="U211" s="108"/>
      <c r="V211" s="107"/>
      <c r="W211" s="106"/>
    </row>
    <row r="212" spans="1:23" ht="21" customHeight="1">
      <c r="A212" s="104" t="s">
        <v>273</v>
      </c>
      <c r="B212" s="104" t="s">
        <v>74</v>
      </c>
      <c r="C212" s="454" t="s">
        <v>266</v>
      </c>
      <c r="D212" s="105" t="s">
        <v>1240</v>
      </c>
      <c r="E212" s="104">
        <v>1295</v>
      </c>
      <c r="F212" s="104">
        <v>101</v>
      </c>
      <c r="G212" s="106" t="s">
        <v>1171</v>
      </c>
      <c r="H212" s="104"/>
      <c r="I212" s="104" t="s">
        <v>104</v>
      </c>
      <c r="J212" s="104" t="s">
        <v>284</v>
      </c>
      <c r="K212" s="104" t="s">
        <v>136</v>
      </c>
      <c r="L212" s="104" t="s">
        <v>1032</v>
      </c>
      <c r="M212" s="104" t="s">
        <v>114</v>
      </c>
      <c r="N212" s="108"/>
      <c r="O212" s="104"/>
      <c r="P212" s="108"/>
      <c r="Q212" s="108"/>
      <c r="R212" s="104"/>
      <c r="S212" s="253">
        <v>22.940740000000002</v>
      </c>
      <c r="T212" s="104"/>
      <c r="U212" s="108"/>
      <c r="V212" s="107"/>
      <c r="W212" s="106"/>
    </row>
    <row r="213" spans="1:23" ht="21" customHeight="1">
      <c r="A213" s="104" t="s">
        <v>273</v>
      </c>
      <c r="B213" s="104" t="s">
        <v>74</v>
      </c>
      <c r="C213" s="454" t="s">
        <v>299</v>
      </c>
      <c r="D213" s="105" t="s">
        <v>151</v>
      </c>
      <c r="E213" s="104">
        <v>1295</v>
      </c>
      <c r="F213" s="104">
        <v>8</v>
      </c>
      <c r="G213" s="106" t="s">
        <v>1171</v>
      </c>
      <c r="H213" s="104"/>
      <c r="I213" s="104" t="s">
        <v>104</v>
      </c>
      <c r="J213" s="104" t="s">
        <v>284</v>
      </c>
      <c r="K213" s="104" t="s">
        <v>112</v>
      </c>
      <c r="L213" s="104" t="s">
        <v>663</v>
      </c>
      <c r="M213" s="104" t="s">
        <v>114</v>
      </c>
      <c r="N213" s="108"/>
      <c r="O213" s="104"/>
      <c r="P213" s="108"/>
      <c r="Q213" s="108"/>
      <c r="R213" s="104"/>
      <c r="S213" s="253">
        <v>2.0862099999999999</v>
      </c>
      <c r="T213" s="104"/>
      <c r="U213" s="108"/>
      <c r="V213" s="107"/>
      <c r="W213" s="106"/>
    </row>
    <row r="214" spans="1:23" ht="21" customHeight="1">
      <c r="A214" s="104" t="s">
        <v>273</v>
      </c>
      <c r="B214" s="104" t="s">
        <v>74</v>
      </c>
      <c r="C214" s="454" t="s">
        <v>299</v>
      </c>
      <c r="D214" s="105" t="s">
        <v>151</v>
      </c>
      <c r="E214" s="104">
        <v>1295</v>
      </c>
      <c r="F214" s="104">
        <v>2</v>
      </c>
      <c r="G214" s="106" t="s">
        <v>1171</v>
      </c>
      <c r="H214" s="104"/>
      <c r="I214" s="104" t="s">
        <v>104</v>
      </c>
      <c r="J214" s="104" t="s">
        <v>284</v>
      </c>
      <c r="K214" s="104" t="s">
        <v>112</v>
      </c>
      <c r="L214" s="104" t="s">
        <v>663</v>
      </c>
      <c r="M214" s="104" t="s">
        <v>114</v>
      </c>
      <c r="N214" s="108"/>
      <c r="O214" s="104"/>
      <c r="P214" s="108"/>
      <c r="Q214" s="108"/>
      <c r="R214" s="104"/>
      <c r="S214" s="253">
        <v>2.3743000000000003</v>
      </c>
      <c r="T214" s="104"/>
      <c r="U214" s="108"/>
      <c r="V214" s="107"/>
      <c r="W214" s="106"/>
    </row>
    <row r="215" spans="1:23" ht="21" customHeight="1">
      <c r="A215" s="104" t="s">
        <v>273</v>
      </c>
      <c r="B215" s="104" t="s">
        <v>74</v>
      </c>
      <c r="C215" s="454" t="s">
        <v>299</v>
      </c>
      <c r="D215" s="105" t="s">
        <v>151</v>
      </c>
      <c r="E215" s="104">
        <v>1295</v>
      </c>
      <c r="F215" s="104">
        <v>6</v>
      </c>
      <c r="G215" s="106" t="s">
        <v>1171</v>
      </c>
      <c r="H215" s="104"/>
      <c r="I215" s="104" t="s">
        <v>104</v>
      </c>
      <c r="J215" s="104" t="s">
        <v>284</v>
      </c>
      <c r="K215" s="104" t="s">
        <v>112</v>
      </c>
      <c r="L215" s="104" t="s">
        <v>663</v>
      </c>
      <c r="M215" s="104" t="s">
        <v>114</v>
      </c>
      <c r="N215" s="108"/>
      <c r="O215" s="104"/>
      <c r="P215" s="108"/>
      <c r="Q215" s="108"/>
      <c r="R215" s="104"/>
      <c r="S215" s="253">
        <v>2.4105300000000001</v>
      </c>
      <c r="T215" s="104"/>
      <c r="U215" s="108"/>
      <c r="V215" s="107"/>
      <c r="W215" s="106"/>
    </row>
    <row r="216" spans="1:23" ht="21" customHeight="1">
      <c r="A216" s="104" t="s">
        <v>273</v>
      </c>
      <c r="B216" s="104" t="s">
        <v>74</v>
      </c>
      <c r="C216" s="454" t="s">
        <v>299</v>
      </c>
      <c r="D216" s="105" t="s">
        <v>151</v>
      </c>
      <c r="E216" s="104">
        <v>1295</v>
      </c>
      <c r="F216" s="104">
        <v>9</v>
      </c>
      <c r="G216" s="106" t="s">
        <v>1171</v>
      </c>
      <c r="H216" s="104"/>
      <c r="I216" s="104" t="s">
        <v>104</v>
      </c>
      <c r="J216" s="104" t="s">
        <v>284</v>
      </c>
      <c r="K216" s="104" t="s">
        <v>112</v>
      </c>
      <c r="L216" s="104" t="s">
        <v>663</v>
      </c>
      <c r="M216" s="104" t="s">
        <v>108</v>
      </c>
      <c r="N216" s="108"/>
      <c r="O216" s="104"/>
      <c r="P216" s="108"/>
      <c r="Q216" s="108"/>
      <c r="R216" s="104"/>
      <c r="S216" s="253">
        <v>2.7070100000000004</v>
      </c>
      <c r="T216" s="104"/>
      <c r="U216" s="108"/>
      <c r="V216" s="107"/>
      <c r="W216" s="106"/>
    </row>
    <row r="217" spans="1:23" ht="21" customHeight="1">
      <c r="A217" s="104" t="s">
        <v>273</v>
      </c>
      <c r="B217" s="104" t="s">
        <v>74</v>
      </c>
      <c r="C217" s="454" t="s">
        <v>299</v>
      </c>
      <c r="D217" s="105" t="s">
        <v>151</v>
      </c>
      <c r="E217" s="104">
        <v>1295</v>
      </c>
      <c r="F217" s="104">
        <v>50</v>
      </c>
      <c r="G217" s="106" t="s">
        <v>1171</v>
      </c>
      <c r="H217" s="104"/>
      <c r="I217" s="104" t="s">
        <v>104</v>
      </c>
      <c r="J217" s="104" t="s">
        <v>284</v>
      </c>
      <c r="K217" s="104" t="s">
        <v>112</v>
      </c>
      <c r="L217" s="104" t="s">
        <v>663</v>
      </c>
      <c r="M217" s="104" t="s">
        <v>108</v>
      </c>
      <c r="N217" s="108"/>
      <c r="O217" s="104"/>
      <c r="P217" s="108"/>
      <c r="Q217" s="108"/>
      <c r="R217" s="104"/>
      <c r="S217" s="253">
        <v>3.4002800000000004</v>
      </c>
      <c r="T217" s="104"/>
      <c r="U217" s="108"/>
      <c r="V217" s="107"/>
      <c r="W217" s="106"/>
    </row>
    <row r="218" spans="1:23" ht="21" customHeight="1">
      <c r="A218" s="103" t="s">
        <v>601</v>
      </c>
      <c r="B218" s="103" t="s">
        <v>602</v>
      </c>
      <c r="C218" s="421" t="s">
        <v>609</v>
      </c>
      <c r="D218" s="396" t="s">
        <v>610</v>
      </c>
      <c r="E218" s="103">
        <v>157</v>
      </c>
      <c r="F218" s="103">
        <v>2159</v>
      </c>
      <c r="G218" s="103" t="s">
        <v>1489</v>
      </c>
      <c r="H218" s="103" t="s">
        <v>1490</v>
      </c>
      <c r="I218" s="104" t="s">
        <v>104</v>
      </c>
      <c r="J218" s="103" t="s">
        <v>105</v>
      </c>
      <c r="K218" s="103" t="s">
        <v>1486</v>
      </c>
      <c r="L218" s="103" t="s">
        <v>1487</v>
      </c>
      <c r="M218" s="103"/>
      <c r="N218" s="103"/>
      <c r="O218" s="103"/>
      <c r="P218" s="103">
        <v>9.83</v>
      </c>
      <c r="Q218" s="103">
        <v>7.4</v>
      </c>
      <c r="R218" s="103"/>
      <c r="S218" s="476"/>
      <c r="T218" s="103"/>
      <c r="U218" s="103"/>
      <c r="V218" s="103"/>
      <c r="W218" s="414"/>
    </row>
    <row r="219" spans="1:23" ht="21" customHeight="1">
      <c r="A219" s="103" t="s">
        <v>601</v>
      </c>
      <c r="B219" s="103" t="s">
        <v>602</v>
      </c>
      <c r="C219" s="421" t="s">
        <v>603</v>
      </c>
      <c r="D219" s="105" t="s">
        <v>151</v>
      </c>
      <c r="E219" s="103">
        <v>31022</v>
      </c>
      <c r="F219" s="103">
        <v>8</v>
      </c>
      <c r="G219" s="103" t="s">
        <v>1507</v>
      </c>
      <c r="H219" s="103" t="s">
        <v>1467</v>
      </c>
      <c r="I219" s="104" t="s">
        <v>104</v>
      </c>
      <c r="J219" s="103" t="s">
        <v>105</v>
      </c>
      <c r="K219" s="104" t="s">
        <v>1441</v>
      </c>
      <c r="L219" s="104" t="s">
        <v>1442</v>
      </c>
      <c r="M219" s="103" t="s">
        <v>114</v>
      </c>
      <c r="N219" s="103"/>
      <c r="O219" s="103">
        <v>51</v>
      </c>
      <c r="P219" s="103">
        <v>20.3</v>
      </c>
      <c r="Q219" s="103"/>
      <c r="R219" s="103"/>
      <c r="S219" s="476">
        <v>9878</v>
      </c>
      <c r="T219" s="103" t="s">
        <v>1472</v>
      </c>
      <c r="U219" s="103">
        <v>0.95</v>
      </c>
      <c r="V219" s="103" t="s">
        <v>287</v>
      </c>
      <c r="W219" s="414" t="s">
        <v>1471</v>
      </c>
    </row>
    <row r="220" spans="1:23" ht="21" customHeight="1">
      <c r="A220" s="103" t="s">
        <v>601</v>
      </c>
      <c r="B220" s="103" t="s">
        <v>602</v>
      </c>
      <c r="C220" s="421" t="s">
        <v>603</v>
      </c>
      <c r="D220" s="105" t="s">
        <v>151</v>
      </c>
      <c r="E220" s="103">
        <v>31022</v>
      </c>
      <c r="F220" s="103">
        <v>7</v>
      </c>
      <c r="G220" s="103" t="s">
        <v>1507</v>
      </c>
      <c r="H220" s="103" t="s">
        <v>1467</v>
      </c>
      <c r="I220" s="104" t="s">
        <v>104</v>
      </c>
      <c r="J220" s="103" t="s">
        <v>105</v>
      </c>
      <c r="K220" s="104" t="s">
        <v>1441</v>
      </c>
      <c r="L220" s="104" t="s">
        <v>1442</v>
      </c>
      <c r="M220" s="103" t="s">
        <v>108</v>
      </c>
      <c r="N220" s="103"/>
      <c r="O220" s="103">
        <v>52</v>
      </c>
      <c r="P220" s="103"/>
      <c r="Q220" s="103"/>
      <c r="R220" s="103"/>
      <c r="S220" s="253">
        <f>(10^(2.07*LOG(O220*10)-1.61))</f>
        <v>10283.167768633102</v>
      </c>
      <c r="T220" s="103" t="s">
        <v>1472</v>
      </c>
      <c r="U220" s="103">
        <v>0.95</v>
      </c>
      <c r="V220" s="103" t="s">
        <v>287</v>
      </c>
      <c r="W220" s="414" t="s">
        <v>1471</v>
      </c>
    </row>
    <row r="221" spans="1:23" ht="21" customHeight="1">
      <c r="A221" s="663" t="s">
        <v>218</v>
      </c>
      <c r="B221" s="663" t="s">
        <v>221</v>
      </c>
      <c r="C221" s="664" t="s">
        <v>222</v>
      </c>
      <c r="D221" s="665" t="s">
        <v>151</v>
      </c>
      <c r="E221" s="663">
        <v>40619</v>
      </c>
      <c r="F221" s="663">
        <v>9</v>
      </c>
      <c r="G221" s="666" t="s">
        <v>3685</v>
      </c>
      <c r="H221" s="663"/>
      <c r="I221" s="663" t="s">
        <v>104</v>
      </c>
      <c r="J221" s="663" t="s">
        <v>3678</v>
      </c>
      <c r="K221" s="663" t="s">
        <v>155</v>
      </c>
      <c r="L221" s="663" t="s">
        <v>3684</v>
      </c>
      <c r="M221" s="663" t="s">
        <v>108</v>
      </c>
      <c r="N221" s="667"/>
      <c r="O221" s="663"/>
      <c r="P221" s="670">
        <v>15.02</v>
      </c>
      <c r="Q221" s="670">
        <v>12.22</v>
      </c>
      <c r="R221" s="663"/>
      <c r="S221" s="668"/>
      <c r="T221" s="663"/>
      <c r="U221" s="667"/>
      <c r="V221" s="669"/>
      <c r="W221" s="671"/>
    </row>
    <row r="222" spans="1:23" ht="21" customHeight="1">
      <c r="A222" s="663" t="s">
        <v>218</v>
      </c>
      <c r="B222" s="663" t="s">
        <v>221</v>
      </c>
      <c r="C222" s="664" t="s">
        <v>222</v>
      </c>
      <c r="D222" s="665" t="s">
        <v>151</v>
      </c>
      <c r="E222" s="663">
        <v>40619</v>
      </c>
      <c r="F222" s="663">
        <v>22</v>
      </c>
      <c r="G222" s="666" t="s">
        <v>3685</v>
      </c>
      <c r="H222" s="663"/>
      <c r="I222" s="663" t="s">
        <v>104</v>
      </c>
      <c r="J222" s="663" t="s">
        <v>3678</v>
      </c>
      <c r="K222" s="663" t="s">
        <v>112</v>
      </c>
      <c r="L222" s="663" t="s">
        <v>3686</v>
      </c>
      <c r="M222" s="663" t="s">
        <v>108</v>
      </c>
      <c r="N222" s="667"/>
      <c r="O222" s="663"/>
      <c r="P222" s="670">
        <v>20.55</v>
      </c>
      <c r="Q222" s="670">
        <v>9.75</v>
      </c>
      <c r="R222" s="663"/>
      <c r="S222" s="668"/>
      <c r="T222" s="663"/>
      <c r="U222" s="667"/>
      <c r="V222" s="669"/>
      <c r="W222" s="671"/>
    </row>
    <row r="223" spans="1:23" ht="21" customHeight="1">
      <c r="A223" s="663" t="s">
        <v>218</v>
      </c>
      <c r="B223" s="663" t="s">
        <v>221</v>
      </c>
      <c r="C223" s="664" t="s">
        <v>222</v>
      </c>
      <c r="D223" s="665" t="s">
        <v>151</v>
      </c>
      <c r="E223" s="663">
        <v>40619</v>
      </c>
      <c r="F223" s="663" t="s">
        <v>3687</v>
      </c>
      <c r="G223" s="666" t="s">
        <v>3685</v>
      </c>
      <c r="H223" s="663"/>
      <c r="I223" s="663" t="s">
        <v>104</v>
      </c>
      <c r="J223" s="663" t="s">
        <v>3678</v>
      </c>
      <c r="K223" s="663" t="s">
        <v>143</v>
      </c>
      <c r="L223" s="663" t="s">
        <v>3688</v>
      </c>
      <c r="M223" s="663" t="s">
        <v>1199</v>
      </c>
      <c r="N223" s="667"/>
      <c r="O223" s="663"/>
      <c r="P223" s="670">
        <v>13.4</v>
      </c>
      <c r="Q223" s="670">
        <v>11.58</v>
      </c>
      <c r="R223" s="663"/>
      <c r="S223" s="668"/>
      <c r="T223" s="663"/>
      <c r="U223" s="667"/>
      <c r="V223" s="669"/>
      <c r="W223" s="671"/>
    </row>
    <row r="224" spans="1:23" ht="21" customHeight="1">
      <c r="A224" s="103" t="s">
        <v>601</v>
      </c>
      <c r="B224" s="103" t="s">
        <v>602</v>
      </c>
      <c r="C224" s="421" t="s">
        <v>603</v>
      </c>
      <c r="D224" s="105" t="s">
        <v>151</v>
      </c>
      <c r="E224" s="103">
        <v>43068</v>
      </c>
      <c r="F224" s="103">
        <v>1</v>
      </c>
      <c r="G224" s="103" t="s">
        <v>1527</v>
      </c>
      <c r="H224" s="103" t="s">
        <v>1528</v>
      </c>
      <c r="I224" s="104" t="s">
        <v>104</v>
      </c>
      <c r="J224" s="103" t="s">
        <v>105</v>
      </c>
      <c r="K224" s="103" t="s">
        <v>883</v>
      </c>
      <c r="L224" s="103" t="s">
        <v>1517</v>
      </c>
      <c r="M224" s="103"/>
      <c r="N224" s="103"/>
      <c r="O224" s="103"/>
      <c r="P224" s="103">
        <v>17.399999999999999</v>
      </c>
      <c r="Q224" s="103">
        <v>9.1999999999999993</v>
      </c>
      <c r="R224" s="103"/>
      <c r="S224" s="476"/>
      <c r="T224" s="103"/>
      <c r="U224" s="103"/>
      <c r="V224" s="103"/>
      <c r="W224" s="414"/>
    </row>
    <row r="225" spans="1:23" ht="21" customHeight="1">
      <c r="A225" s="104" t="s">
        <v>273</v>
      </c>
      <c r="B225" s="104" t="s">
        <v>551</v>
      </c>
      <c r="C225" s="454" t="s">
        <v>552</v>
      </c>
      <c r="D225" s="105" t="s">
        <v>553</v>
      </c>
      <c r="E225" s="104" t="s">
        <v>185</v>
      </c>
      <c r="F225" s="104">
        <v>2079</v>
      </c>
      <c r="G225" s="106" t="s">
        <v>1307</v>
      </c>
      <c r="H225" s="104"/>
      <c r="I225" s="104" t="s">
        <v>289</v>
      </c>
      <c r="J225" s="104" t="s">
        <v>105</v>
      </c>
      <c r="K225" s="104" t="s">
        <v>290</v>
      </c>
      <c r="L225" s="104" t="s">
        <v>973</v>
      </c>
      <c r="M225" s="104" t="s">
        <v>292</v>
      </c>
      <c r="N225" s="108" t="s">
        <v>17</v>
      </c>
      <c r="O225" s="104" t="s">
        <v>17</v>
      </c>
      <c r="P225" s="113">
        <v>8.0079999999999991</v>
      </c>
      <c r="Q225" s="113" t="s">
        <v>17</v>
      </c>
      <c r="R225" s="104" t="s">
        <v>17</v>
      </c>
      <c r="S225" s="253">
        <f>(10^((3.39*LOG(P225*10))+-6.03))</f>
        <v>2.6481743734819898</v>
      </c>
      <c r="T225" s="103" t="s">
        <v>1295</v>
      </c>
      <c r="U225" s="108">
        <v>0.9</v>
      </c>
      <c r="V225" s="107">
        <v>40</v>
      </c>
      <c r="W225" s="114" t="s">
        <v>1296</v>
      </c>
    </row>
    <row r="226" spans="1:23" ht="21" customHeight="1">
      <c r="A226" s="104" t="s">
        <v>273</v>
      </c>
      <c r="B226" s="104" t="s">
        <v>74</v>
      </c>
      <c r="C226" s="454" t="s">
        <v>266</v>
      </c>
      <c r="D226" s="105" t="s">
        <v>1185</v>
      </c>
      <c r="E226" s="104">
        <v>43201</v>
      </c>
      <c r="F226" s="104">
        <v>2</v>
      </c>
      <c r="G226" s="106" t="s">
        <v>1195</v>
      </c>
      <c r="H226" s="104"/>
      <c r="I226" s="104" t="s">
        <v>225</v>
      </c>
      <c r="J226" s="104" t="s">
        <v>284</v>
      </c>
      <c r="K226" s="104" t="s">
        <v>112</v>
      </c>
      <c r="L226" s="104" t="s">
        <v>663</v>
      </c>
      <c r="M226" s="104" t="s">
        <v>108</v>
      </c>
      <c r="N226" s="108"/>
      <c r="O226" s="104"/>
      <c r="P226" s="108"/>
      <c r="Q226" s="108"/>
      <c r="R226" s="104"/>
      <c r="S226" s="253">
        <v>7.8668500000000003</v>
      </c>
      <c r="T226" s="104"/>
      <c r="U226" s="108"/>
      <c r="V226" s="107"/>
      <c r="W226" s="106"/>
    </row>
    <row r="227" spans="1:23" ht="21" customHeight="1">
      <c r="A227" s="416" t="s">
        <v>273</v>
      </c>
      <c r="B227" s="416" t="s">
        <v>80</v>
      </c>
      <c r="C227" s="455" t="s">
        <v>132</v>
      </c>
      <c r="D227" s="461" t="s">
        <v>133</v>
      </c>
      <c r="E227" s="416">
        <v>41284</v>
      </c>
      <c r="F227" s="416">
        <v>215</v>
      </c>
      <c r="G227" s="456" t="s">
        <v>1330</v>
      </c>
      <c r="H227" s="416" t="s">
        <v>1331</v>
      </c>
      <c r="I227" s="104" t="s">
        <v>225</v>
      </c>
      <c r="J227" s="416" t="s">
        <v>105</v>
      </c>
      <c r="K227" s="416" t="s">
        <v>155</v>
      </c>
      <c r="L227" s="416" t="s">
        <v>658</v>
      </c>
      <c r="M227" s="416" t="s">
        <v>114</v>
      </c>
      <c r="N227" s="458" t="s">
        <v>17</v>
      </c>
      <c r="O227" s="416" t="s">
        <v>17</v>
      </c>
      <c r="P227" s="458">
        <v>2.9969999999999999</v>
      </c>
      <c r="Q227" s="458">
        <v>1.7609999999999999</v>
      </c>
      <c r="R227" s="416" t="s">
        <v>17</v>
      </c>
      <c r="S227" s="459">
        <f>(10^((LOG(P227*10)*1.6579)+3.0836))/1000</f>
        <v>340.25064028215667</v>
      </c>
      <c r="T227" s="416" t="s">
        <v>1323</v>
      </c>
      <c r="U227" s="458">
        <v>0.4</v>
      </c>
      <c r="V227" s="460" t="s">
        <v>287</v>
      </c>
      <c r="W227" s="456" t="s">
        <v>1319</v>
      </c>
    </row>
    <row r="228" spans="1:23" ht="21" customHeight="1">
      <c r="A228" s="416" t="s">
        <v>273</v>
      </c>
      <c r="B228" s="416" t="s">
        <v>80</v>
      </c>
      <c r="C228" s="455" t="s">
        <v>132</v>
      </c>
      <c r="D228" s="105" t="s">
        <v>1336</v>
      </c>
      <c r="E228" s="416">
        <v>41284</v>
      </c>
      <c r="F228" s="416">
        <v>16</v>
      </c>
      <c r="G228" s="456" t="s">
        <v>1330</v>
      </c>
      <c r="H228" s="416" t="s">
        <v>1331</v>
      </c>
      <c r="I228" s="104" t="s">
        <v>225</v>
      </c>
      <c r="J228" s="416" t="s">
        <v>105</v>
      </c>
      <c r="K228" s="416" t="s">
        <v>112</v>
      </c>
      <c r="L228" s="416" t="s">
        <v>663</v>
      </c>
      <c r="M228" s="416" t="s">
        <v>108</v>
      </c>
      <c r="N228" s="458" t="s">
        <v>17</v>
      </c>
      <c r="O228" s="416" t="s">
        <v>17</v>
      </c>
      <c r="P228" s="458">
        <v>2.073</v>
      </c>
      <c r="Q228" s="458">
        <v>1.323</v>
      </c>
      <c r="R228" s="416" t="s">
        <v>17</v>
      </c>
      <c r="S228" s="459">
        <f>(10^((LOG(P228*10)*1.9336)+2.6699))/1000</f>
        <v>164.31469708507569</v>
      </c>
      <c r="T228" s="416" t="s">
        <v>1327</v>
      </c>
      <c r="U228" s="458">
        <v>0.57999999999999996</v>
      </c>
      <c r="V228" s="460" t="s">
        <v>287</v>
      </c>
      <c r="W228" s="466" t="s">
        <v>105</v>
      </c>
    </row>
    <row r="229" spans="1:23" ht="21" customHeight="1">
      <c r="A229" s="103" t="s">
        <v>218</v>
      </c>
      <c r="B229" s="103" t="s">
        <v>389</v>
      </c>
      <c r="C229" s="421" t="s">
        <v>390</v>
      </c>
      <c r="D229" s="396" t="s">
        <v>470</v>
      </c>
      <c r="E229" s="103">
        <v>740</v>
      </c>
      <c r="F229" s="103">
        <v>1</v>
      </c>
      <c r="G229" s="414" t="s">
        <v>762</v>
      </c>
      <c r="H229" s="103" t="s">
        <v>763</v>
      </c>
      <c r="I229" s="104" t="s">
        <v>225</v>
      </c>
      <c r="J229" s="103" t="s">
        <v>105</v>
      </c>
      <c r="K229" s="103" t="s">
        <v>112</v>
      </c>
      <c r="L229" s="103" t="s">
        <v>663</v>
      </c>
      <c r="M229" s="103" t="s">
        <v>114</v>
      </c>
      <c r="N229" s="254"/>
      <c r="O229" s="103"/>
      <c r="P229" s="254">
        <v>2.4</v>
      </c>
      <c r="Q229" s="254">
        <v>1.8960000000000001</v>
      </c>
      <c r="R229" s="103" t="s">
        <v>17</v>
      </c>
      <c r="S229" s="113">
        <f>10^((3.52*LOG((P229))+1.372))</f>
        <v>513.26726970285711</v>
      </c>
      <c r="T229" s="103" t="s">
        <v>764</v>
      </c>
      <c r="U229" s="254">
        <v>0.93</v>
      </c>
      <c r="V229" s="386">
        <v>34</v>
      </c>
      <c r="W229" s="414" t="s">
        <v>700</v>
      </c>
    </row>
    <row r="230" spans="1:23" ht="21" customHeight="1">
      <c r="A230" s="103" t="s">
        <v>218</v>
      </c>
      <c r="B230" s="103" t="s">
        <v>389</v>
      </c>
      <c r="C230" s="421" t="s">
        <v>390</v>
      </c>
      <c r="D230" s="396" t="s">
        <v>470</v>
      </c>
      <c r="E230" s="103">
        <v>740</v>
      </c>
      <c r="F230" s="103">
        <v>5</v>
      </c>
      <c r="G230" s="414" t="s">
        <v>762</v>
      </c>
      <c r="H230" s="103" t="s">
        <v>763</v>
      </c>
      <c r="I230" s="104" t="s">
        <v>225</v>
      </c>
      <c r="J230" s="103" t="s">
        <v>105</v>
      </c>
      <c r="K230" s="103" t="s">
        <v>665</v>
      </c>
      <c r="L230" s="103" t="s">
        <v>666</v>
      </c>
      <c r="M230" s="103"/>
      <c r="N230" s="254"/>
      <c r="O230" s="103"/>
      <c r="P230" s="254">
        <v>6.6</v>
      </c>
      <c r="Q230" s="254">
        <v>3.4</v>
      </c>
      <c r="R230" s="103" t="s">
        <v>17</v>
      </c>
      <c r="S230" s="113">
        <f>(10^((2.922*LOG((P230))+0.6162)))</f>
        <v>1025.4332126552313</v>
      </c>
      <c r="T230" s="103" t="s">
        <v>774</v>
      </c>
      <c r="U230" s="254">
        <v>0.94199999999999995</v>
      </c>
      <c r="V230" s="386">
        <v>24</v>
      </c>
      <c r="W230" s="414" t="s">
        <v>694</v>
      </c>
    </row>
    <row r="231" spans="1:23" ht="21" customHeight="1">
      <c r="A231" s="103" t="s">
        <v>601</v>
      </c>
      <c r="B231" s="103" t="s">
        <v>602</v>
      </c>
      <c r="C231" s="421" t="s">
        <v>603</v>
      </c>
      <c r="D231" s="105" t="s">
        <v>151</v>
      </c>
      <c r="E231" s="103">
        <v>40529</v>
      </c>
      <c r="F231" s="103">
        <v>13</v>
      </c>
      <c r="G231" s="103" t="s">
        <v>1512</v>
      </c>
      <c r="H231" s="103" t="s">
        <v>1513</v>
      </c>
      <c r="I231" s="104" t="s">
        <v>104</v>
      </c>
      <c r="J231" s="103" t="s">
        <v>105</v>
      </c>
      <c r="K231" s="103" t="s">
        <v>126</v>
      </c>
      <c r="L231" s="103" t="s">
        <v>175</v>
      </c>
      <c r="M231" s="103" t="s">
        <v>108</v>
      </c>
      <c r="N231" s="103"/>
      <c r="O231" s="103"/>
      <c r="P231" s="103">
        <v>23.2</v>
      </c>
      <c r="Q231" s="103">
        <v>9</v>
      </c>
      <c r="R231" s="103"/>
      <c r="S231" s="476"/>
      <c r="T231" s="103"/>
      <c r="U231" s="103"/>
      <c r="V231" s="103"/>
      <c r="W231" s="414"/>
    </row>
    <row r="232" spans="1:23" ht="21" customHeight="1">
      <c r="A232" s="103" t="s">
        <v>601</v>
      </c>
      <c r="B232" s="103" t="s">
        <v>602</v>
      </c>
      <c r="C232" s="421" t="s">
        <v>603</v>
      </c>
      <c r="D232" s="105" t="s">
        <v>151</v>
      </c>
      <c r="E232" s="103">
        <v>40529</v>
      </c>
      <c r="F232" s="103">
        <v>9</v>
      </c>
      <c r="G232" s="103" t="s">
        <v>1529</v>
      </c>
      <c r="H232" s="103" t="s">
        <v>1530</v>
      </c>
      <c r="I232" s="104" t="s">
        <v>104</v>
      </c>
      <c r="J232" s="103" t="s">
        <v>105</v>
      </c>
      <c r="K232" s="103" t="s">
        <v>883</v>
      </c>
      <c r="L232" s="103" t="s">
        <v>186</v>
      </c>
      <c r="M232" s="103" t="s">
        <v>114</v>
      </c>
      <c r="N232" s="103"/>
      <c r="O232" s="103"/>
      <c r="P232" s="103">
        <v>19.2</v>
      </c>
      <c r="Q232" s="103">
        <v>10.4</v>
      </c>
      <c r="R232" s="103"/>
      <c r="S232" s="476"/>
      <c r="T232" s="103"/>
      <c r="U232" s="103"/>
      <c r="V232" s="103"/>
      <c r="W232" s="414"/>
    </row>
    <row r="233" spans="1:23" ht="21" customHeight="1">
      <c r="A233" s="103" t="s">
        <v>601</v>
      </c>
      <c r="B233" s="103" t="s">
        <v>602</v>
      </c>
      <c r="C233" s="421" t="s">
        <v>603</v>
      </c>
      <c r="D233" s="105" t="s">
        <v>151</v>
      </c>
      <c r="E233" s="103">
        <v>31218</v>
      </c>
      <c r="F233" s="103" t="s">
        <v>753</v>
      </c>
      <c r="G233" s="103" t="s">
        <v>1505</v>
      </c>
      <c r="H233" s="103" t="s">
        <v>1506</v>
      </c>
      <c r="I233" s="104" t="s">
        <v>104</v>
      </c>
      <c r="J233" s="103" t="s">
        <v>105</v>
      </c>
      <c r="K233" s="103" t="s">
        <v>986</v>
      </c>
      <c r="L233" s="104" t="s">
        <v>987</v>
      </c>
      <c r="M233" s="103"/>
      <c r="N233" s="103"/>
      <c r="O233" s="103">
        <v>51</v>
      </c>
      <c r="P233" s="103"/>
      <c r="Q233" s="103"/>
      <c r="R233" s="103"/>
      <c r="S233" s="476">
        <v>9497.2000000000007</v>
      </c>
      <c r="T233" s="103" t="s">
        <v>1470</v>
      </c>
      <c r="U233" s="103">
        <v>0.99</v>
      </c>
      <c r="V233" s="103" t="s">
        <v>287</v>
      </c>
      <c r="W233" s="414" t="s">
        <v>1471</v>
      </c>
    </row>
    <row r="234" spans="1:23" ht="21" customHeight="1">
      <c r="A234" s="104" t="s">
        <v>218</v>
      </c>
      <c r="B234" s="104" t="s">
        <v>221</v>
      </c>
      <c r="C234" s="454" t="s">
        <v>222</v>
      </c>
      <c r="D234" s="105" t="s">
        <v>151</v>
      </c>
      <c r="E234" s="104">
        <v>43136</v>
      </c>
      <c r="F234" s="104">
        <v>1</v>
      </c>
      <c r="G234" s="106" t="s">
        <v>1036</v>
      </c>
      <c r="H234" s="104" t="s">
        <v>1037</v>
      </c>
      <c r="I234" s="104" t="s">
        <v>104</v>
      </c>
      <c r="J234" s="104" t="s">
        <v>105</v>
      </c>
      <c r="K234" s="104" t="s">
        <v>136</v>
      </c>
      <c r="L234" s="104" t="s">
        <v>1032</v>
      </c>
      <c r="M234" s="104"/>
      <c r="N234" s="108" t="s">
        <v>17</v>
      </c>
      <c r="O234" s="104" t="s">
        <v>17</v>
      </c>
      <c r="P234" s="108">
        <v>5.59</v>
      </c>
      <c r="Q234" s="108">
        <v>3.4</v>
      </c>
      <c r="R234" s="104" t="s">
        <v>17</v>
      </c>
      <c r="S234" s="253">
        <f>(10^((2.9*LOG((Q234))-0.0883)))</f>
        <v>28.378462307142687</v>
      </c>
      <c r="T234" s="104" t="s">
        <v>1033</v>
      </c>
      <c r="U234" s="108">
        <v>0.95</v>
      </c>
      <c r="V234" s="107">
        <v>22</v>
      </c>
      <c r="W234" s="106" t="s">
        <v>1038</v>
      </c>
    </row>
    <row r="235" spans="1:23" ht="21" customHeight="1">
      <c r="A235" s="104" t="s">
        <v>218</v>
      </c>
      <c r="B235" s="104" t="s">
        <v>221</v>
      </c>
      <c r="C235" s="454" t="s">
        <v>222</v>
      </c>
      <c r="D235" s="105" t="s">
        <v>151</v>
      </c>
      <c r="E235" s="104">
        <v>43136</v>
      </c>
      <c r="F235" s="104">
        <v>1</v>
      </c>
      <c r="G235" s="106" t="s">
        <v>1036</v>
      </c>
      <c r="H235" s="104" t="s">
        <v>1037</v>
      </c>
      <c r="I235" s="104" t="s">
        <v>104</v>
      </c>
      <c r="J235" s="104" t="s">
        <v>105</v>
      </c>
      <c r="K235" s="104" t="s">
        <v>785</v>
      </c>
      <c r="L235" s="104" t="s">
        <v>786</v>
      </c>
      <c r="M235" s="104" t="s">
        <v>108</v>
      </c>
      <c r="N235" s="108" t="s">
        <v>17</v>
      </c>
      <c r="O235" s="104" t="s">
        <v>17</v>
      </c>
      <c r="P235" s="108">
        <v>3.125</v>
      </c>
      <c r="Q235" s="108">
        <v>2.06</v>
      </c>
      <c r="R235" s="104" t="s">
        <v>17</v>
      </c>
      <c r="S235" s="253">
        <f>(10^((2.6568*LOG((P235))+0.607)))</f>
        <v>83.505972397892776</v>
      </c>
      <c r="T235" s="104" t="s">
        <v>1045</v>
      </c>
      <c r="U235" s="108">
        <v>0.95</v>
      </c>
      <c r="V235" s="107">
        <v>26</v>
      </c>
      <c r="W235" s="106" t="s">
        <v>650</v>
      </c>
    </row>
    <row r="236" spans="1:23" ht="21" customHeight="1">
      <c r="A236" s="104" t="s">
        <v>218</v>
      </c>
      <c r="B236" s="104" t="s">
        <v>221</v>
      </c>
      <c r="C236" s="454" t="s">
        <v>222</v>
      </c>
      <c r="D236" s="105" t="s">
        <v>151</v>
      </c>
      <c r="E236" s="104">
        <v>41174</v>
      </c>
      <c r="F236" s="104" t="s">
        <v>753</v>
      </c>
      <c r="G236" s="106" t="s">
        <v>1057</v>
      </c>
      <c r="H236" s="104" t="s">
        <v>1058</v>
      </c>
      <c r="I236" s="104" t="s">
        <v>225</v>
      </c>
      <c r="J236" s="104" t="s">
        <v>105</v>
      </c>
      <c r="K236" s="104" t="s">
        <v>160</v>
      </c>
      <c r="L236" s="104" t="s">
        <v>1059</v>
      </c>
      <c r="M236" s="104" t="s">
        <v>114</v>
      </c>
      <c r="N236" s="108" t="s">
        <v>17</v>
      </c>
      <c r="O236" s="104" t="s">
        <v>17</v>
      </c>
      <c r="P236" s="108">
        <v>1.0980000000000001</v>
      </c>
      <c r="Q236" s="108">
        <v>1.02</v>
      </c>
      <c r="R236" s="104" t="s">
        <v>17</v>
      </c>
      <c r="S236" s="253">
        <f>(10^((3.26*LOG((P236*10))+1.31)))/1000</f>
        <v>50.392235943240934</v>
      </c>
      <c r="T236" s="104" t="s">
        <v>1060</v>
      </c>
      <c r="U236" s="108">
        <v>0.86</v>
      </c>
      <c r="V236" s="107">
        <v>66.8</v>
      </c>
      <c r="W236" s="106" t="s">
        <v>342</v>
      </c>
    </row>
    <row r="237" spans="1:23" ht="21" customHeight="1">
      <c r="A237" s="104" t="s">
        <v>218</v>
      </c>
      <c r="B237" s="104" t="s">
        <v>221</v>
      </c>
      <c r="C237" s="454" t="s">
        <v>222</v>
      </c>
      <c r="D237" s="105" t="s">
        <v>151</v>
      </c>
      <c r="E237" s="104">
        <v>41174</v>
      </c>
      <c r="F237" s="104" t="s">
        <v>753</v>
      </c>
      <c r="G237" s="106" t="s">
        <v>1057</v>
      </c>
      <c r="H237" s="104" t="s">
        <v>1058</v>
      </c>
      <c r="I237" s="104" t="s">
        <v>225</v>
      </c>
      <c r="J237" s="104" t="s">
        <v>105</v>
      </c>
      <c r="K237" s="104" t="s">
        <v>1062</v>
      </c>
      <c r="L237" s="104" t="s">
        <v>1063</v>
      </c>
      <c r="M237" s="104" t="s">
        <v>114</v>
      </c>
      <c r="N237" s="108" t="s">
        <v>17</v>
      </c>
      <c r="O237" s="104" t="s">
        <v>17</v>
      </c>
      <c r="P237" s="108">
        <v>1.1119999999999999</v>
      </c>
      <c r="Q237" s="108">
        <v>0.92799999999999994</v>
      </c>
      <c r="R237" s="104" t="s">
        <v>17</v>
      </c>
      <c r="S237" s="253">
        <f>(10^((3.26*LOG((P237*10))+1.31)))/1000</f>
        <v>52.517205220809174</v>
      </c>
      <c r="T237" s="104" t="s">
        <v>1060</v>
      </c>
      <c r="U237" s="108">
        <v>0.89</v>
      </c>
      <c r="V237" s="107">
        <v>66.8</v>
      </c>
      <c r="W237" s="106" t="s">
        <v>342</v>
      </c>
    </row>
    <row r="238" spans="1:23" ht="21" customHeight="1">
      <c r="A238" s="104" t="s">
        <v>218</v>
      </c>
      <c r="B238" s="104" t="s">
        <v>221</v>
      </c>
      <c r="C238" s="454" t="s">
        <v>222</v>
      </c>
      <c r="D238" s="105" t="s">
        <v>151</v>
      </c>
      <c r="E238" s="104">
        <v>41174</v>
      </c>
      <c r="F238" s="104" t="s">
        <v>1065</v>
      </c>
      <c r="G238" s="106" t="s">
        <v>1057</v>
      </c>
      <c r="H238" s="104" t="s">
        <v>1058</v>
      </c>
      <c r="I238" s="104" t="s">
        <v>225</v>
      </c>
      <c r="J238" s="104" t="s">
        <v>105</v>
      </c>
      <c r="K238" s="104" t="s">
        <v>209</v>
      </c>
      <c r="L238" s="104" t="s">
        <v>684</v>
      </c>
      <c r="M238" s="104" t="s">
        <v>114</v>
      </c>
      <c r="N238" s="108" t="s">
        <v>17</v>
      </c>
      <c r="O238" s="104" t="s">
        <v>17</v>
      </c>
      <c r="P238" s="108">
        <v>1.577</v>
      </c>
      <c r="Q238" s="108">
        <v>1.0699999999999998</v>
      </c>
      <c r="R238" s="104" t="s">
        <v>17</v>
      </c>
      <c r="S238" s="253">
        <f>(10^((3.106*LOG((P238))+1.119)))</f>
        <v>54.133391829279191</v>
      </c>
      <c r="T238" s="104" t="s">
        <v>1044</v>
      </c>
      <c r="U238" s="108">
        <v>0.95099999999999996</v>
      </c>
      <c r="V238" s="107">
        <v>20.399999999999999</v>
      </c>
      <c r="W238" s="106" t="s">
        <v>1028</v>
      </c>
    </row>
    <row r="239" spans="1:23" ht="21" customHeight="1">
      <c r="A239" s="104" t="s">
        <v>218</v>
      </c>
      <c r="B239" s="104" t="s">
        <v>221</v>
      </c>
      <c r="C239" s="454" t="s">
        <v>222</v>
      </c>
      <c r="D239" s="105" t="s">
        <v>151</v>
      </c>
      <c r="E239" s="104">
        <v>41174</v>
      </c>
      <c r="F239" s="104">
        <v>55</v>
      </c>
      <c r="G239" s="106" t="s">
        <v>1057</v>
      </c>
      <c r="H239" s="104" t="s">
        <v>1058</v>
      </c>
      <c r="I239" s="104" t="s">
        <v>225</v>
      </c>
      <c r="J239" s="104" t="s">
        <v>105</v>
      </c>
      <c r="K239" s="104" t="s">
        <v>129</v>
      </c>
      <c r="L239" s="104" t="s">
        <v>1080</v>
      </c>
      <c r="M239" s="104" t="s">
        <v>114</v>
      </c>
      <c r="N239" s="108" t="s">
        <v>17</v>
      </c>
      <c r="O239" s="104" t="s">
        <v>17</v>
      </c>
      <c r="P239" s="108">
        <v>1.675</v>
      </c>
      <c r="Q239" s="108">
        <v>0.97399999999999998</v>
      </c>
      <c r="R239" s="104" t="s">
        <v>17</v>
      </c>
      <c r="S239" s="253">
        <f>(((10^((3.334*LOG((P239))+1.27)))+(10^(3.106*LOG((P239))+1.119))+(10^(3.143*LOG((P239))+0.799)))/3)</f>
        <v>67.029667990792518</v>
      </c>
      <c r="T239" s="104" t="s">
        <v>1081</v>
      </c>
      <c r="U239" s="108">
        <v>0.95199999999999996</v>
      </c>
      <c r="V239" s="107">
        <v>21.7</v>
      </c>
      <c r="W239" s="106" t="s">
        <v>1028</v>
      </c>
    </row>
    <row r="240" spans="1:23" ht="21" customHeight="1">
      <c r="A240" s="104" t="s">
        <v>218</v>
      </c>
      <c r="B240" s="104" t="s">
        <v>221</v>
      </c>
      <c r="C240" s="454" t="s">
        <v>222</v>
      </c>
      <c r="D240" s="105" t="s">
        <v>151</v>
      </c>
      <c r="E240" s="104">
        <v>41174</v>
      </c>
      <c r="F240" s="104" t="s">
        <v>1085</v>
      </c>
      <c r="G240" s="106" t="s">
        <v>1057</v>
      </c>
      <c r="H240" s="104" t="s">
        <v>1058</v>
      </c>
      <c r="I240" s="104" t="s">
        <v>225</v>
      </c>
      <c r="J240" s="104" t="s">
        <v>105</v>
      </c>
      <c r="K240" s="104" t="s">
        <v>112</v>
      </c>
      <c r="L240" s="104" t="s">
        <v>663</v>
      </c>
      <c r="M240" s="104" t="s">
        <v>114</v>
      </c>
      <c r="N240" s="108" t="s">
        <v>17</v>
      </c>
      <c r="O240" s="104" t="s">
        <v>17</v>
      </c>
      <c r="P240" s="108">
        <v>1.4970000000000001</v>
      </c>
      <c r="Q240" s="108">
        <v>1.02</v>
      </c>
      <c r="R240" s="104" t="s">
        <v>17</v>
      </c>
      <c r="S240" s="253">
        <f>(10^((3.334*LOG((P240))+1.27)))</f>
        <v>71.48081282799086</v>
      </c>
      <c r="T240" s="104" t="s">
        <v>1027</v>
      </c>
      <c r="U240" s="108">
        <v>0.93</v>
      </c>
      <c r="V240" s="107">
        <v>23.9</v>
      </c>
      <c r="W240" s="106" t="s">
        <v>1028</v>
      </c>
    </row>
    <row r="241" spans="1:23" ht="21" customHeight="1">
      <c r="A241" s="104" t="s">
        <v>218</v>
      </c>
      <c r="B241" s="104" t="s">
        <v>389</v>
      </c>
      <c r="C241" s="454" t="s">
        <v>390</v>
      </c>
      <c r="D241" s="105" t="s">
        <v>777</v>
      </c>
      <c r="E241" s="104">
        <v>933</v>
      </c>
      <c r="F241" s="104">
        <v>3390</v>
      </c>
      <c r="G241" s="106" t="s">
        <v>102</v>
      </c>
      <c r="H241" s="104" t="s">
        <v>103</v>
      </c>
      <c r="I241" s="104" t="s">
        <v>104</v>
      </c>
      <c r="J241" s="104" t="s">
        <v>105</v>
      </c>
      <c r="K241" s="104" t="s">
        <v>126</v>
      </c>
      <c r="L241" s="104" t="s">
        <v>636</v>
      </c>
      <c r="M241" s="104" t="s">
        <v>114</v>
      </c>
      <c r="N241" s="108"/>
      <c r="O241" s="104"/>
      <c r="P241" s="108">
        <v>4.9979999999999993</v>
      </c>
      <c r="Q241" s="108">
        <v>1.716</v>
      </c>
      <c r="R241" s="104" t="s">
        <v>17</v>
      </c>
      <c r="S241" s="113">
        <f>10^(((LOG(P241))*3.236)+0.745)</f>
        <v>1014.6229249792609</v>
      </c>
      <c r="T241" s="104" t="s">
        <v>717</v>
      </c>
      <c r="U241" s="108">
        <v>0.92900000000000005</v>
      </c>
      <c r="V241" s="107">
        <v>33.299999999999997</v>
      </c>
      <c r="W241" s="106" t="s">
        <v>700</v>
      </c>
    </row>
    <row r="242" spans="1:23" ht="21" customHeight="1">
      <c r="A242" s="104" t="s">
        <v>218</v>
      </c>
      <c r="B242" s="104" t="s">
        <v>389</v>
      </c>
      <c r="C242" s="454" t="s">
        <v>390</v>
      </c>
      <c r="D242" s="105" t="s">
        <v>777</v>
      </c>
      <c r="E242" s="104">
        <v>933</v>
      </c>
      <c r="F242" s="104">
        <v>609</v>
      </c>
      <c r="G242" s="106" t="s">
        <v>102</v>
      </c>
      <c r="H242" s="104" t="s">
        <v>103</v>
      </c>
      <c r="I242" s="104" t="s">
        <v>104</v>
      </c>
      <c r="J242" s="104" t="s">
        <v>105</v>
      </c>
      <c r="K242" s="106" t="s">
        <v>781</v>
      </c>
      <c r="L242" s="104" t="s">
        <v>708</v>
      </c>
      <c r="M242" s="104" t="s">
        <v>114</v>
      </c>
      <c r="N242" s="108"/>
      <c r="O242" s="104"/>
      <c r="P242" s="108">
        <v>4.6390000000000002</v>
      </c>
      <c r="Q242" s="108">
        <v>1.627</v>
      </c>
      <c r="R242" s="104" t="s">
        <v>17</v>
      </c>
      <c r="S242" s="113">
        <f>((10^((3.395*LOG((P242))+1.061))))</f>
        <v>2106.2540083109343</v>
      </c>
      <c r="T242" s="104" t="s">
        <v>709</v>
      </c>
      <c r="U242" s="108">
        <v>0.91200000000000003</v>
      </c>
      <c r="V242" s="107">
        <v>36.5</v>
      </c>
      <c r="W242" s="106" t="s">
        <v>732</v>
      </c>
    </row>
    <row r="243" spans="1:23" ht="21" customHeight="1">
      <c r="A243" s="104" t="s">
        <v>218</v>
      </c>
      <c r="B243" s="104" t="s">
        <v>389</v>
      </c>
      <c r="C243" s="454" t="s">
        <v>390</v>
      </c>
      <c r="D243" s="105" t="s">
        <v>777</v>
      </c>
      <c r="E243" s="104">
        <v>933</v>
      </c>
      <c r="F243" s="104">
        <v>1280</v>
      </c>
      <c r="G243" s="106" t="s">
        <v>102</v>
      </c>
      <c r="H243" s="104" t="s">
        <v>103</v>
      </c>
      <c r="I243" s="104" t="s">
        <v>104</v>
      </c>
      <c r="J243" s="104" t="s">
        <v>105</v>
      </c>
      <c r="K243" s="106" t="s">
        <v>112</v>
      </c>
      <c r="L243" s="104" t="s">
        <v>663</v>
      </c>
      <c r="M243" s="104" t="s">
        <v>108</v>
      </c>
      <c r="N243" s="108"/>
      <c r="O243" s="104"/>
      <c r="P243" s="108">
        <v>3.7670000000000003</v>
      </c>
      <c r="Q243" s="108">
        <v>1.5489999999999999</v>
      </c>
      <c r="R243" s="104" t="s">
        <v>17</v>
      </c>
      <c r="S243" s="113">
        <f>10^((3.52*LOG((P243))+1.372))</f>
        <v>2509.022657075499</v>
      </c>
      <c r="T243" s="104" t="s">
        <v>718</v>
      </c>
      <c r="U243" s="108">
        <v>0.93</v>
      </c>
      <c r="V243" s="107">
        <v>34</v>
      </c>
      <c r="W243" s="106" t="s">
        <v>700</v>
      </c>
    </row>
    <row r="244" spans="1:23" ht="21" customHeight="1">
      <c r="A244" s="104" t="s">
        <v>218</v>
      </c>
      <c r="B244" s="104" t="s">
        <v>389</v>
      </c>
      <c r="C244" s="454" t="s">
        <v>390</v>
      </c>
      <c r="D244" s="105" t="s">
        <v>777</v>
      </c>
      <c r="E244" s="104">
        <v>933</v>
      </c>
      <c r="F244" s="104">
        <v>583</v>
      </c>
      <c r="G244" s="106" t="s">
        <v>102</v>
      </c>
      <c r="H244" s="104" t="s">
        <v>103</v>
      </c>
      <c r="I244" s="104" t="s">
        <v>104</v>
      </c>
      <c r="J244" s="104" t="s">
        <v>105</v>
      </c>
      <c r="K244" s="104" t="s">
        <v>665</v>
      </c>
      <c r="L244" s="104" t="s">
        <v>666</v>
      </c>
      <c r="M244" s="104" t="s">
        <v>108</v>
      </c>
      <c r="N244" s="108"/>
      <c r="O244" s="104"/>
      <c r="P244" s="108">
        <v>9.0920000000000005</v>
      </c>
      <c r="Q244" s="108">
        <v>4.359</v>
      </c>
      <c r="R244" s="104" t="s">
        <v>17</v>
      </c>
      <c r="S244" s="113">
        <f>(10^((2.922*LOG((P244))+0.6162)))</f>
        <v>2614.5854850330124</v>
      </c>
      <c r="T244" s="104" t="s">
        <v>774</v>
      </c>
      <c r="U244" s="108">
        <v>0.94199999999999995</v>
      </c>
      <c r="V244" s="107">
        <v>24</v>
      </c>
      <c r="W244" s="106" t="s">
        <v>694</v>
      </c>
    </row>
    <row r="245" spans="1:23" ht="21" customHeight="1">
      <c r="A245" s="104" t="s">
        <v>218</v>
      </c>
      <c r="B245" s="104" t="s">
        <v>389</v>
      </c>
      <c r="C245" s="454" t="s">
        <v>390</v>
      </c>
      <c r="D245" s="105" t="s">
        <v>151</v>
      </c>
      <c r="E245" s="104">
        <v>933</v>
      </c>
      <c r="F245" s="104">
        <v>3403</v>
      </c>
      <c r="G245" s="106" t="s">
        <v>102</v>
      </c>
      <c r="H245" s="104" t="s">
        <v>103</v>
      </c>
      <c r="I245" s="104" t="s">
        <v>104</v>
      </c>
      <c r="J245" s="104" t="s">
        <v>105</v>
      </c>
      <c r="K245" s="106" t="s">
        <v>158</v>
      </c>
      <c r="L245" s="104" t="s">
        <v>686</v>
      </c>
      <c r="M245" s="104" t="s">
        <v>108</v>
      </c>
      <c r="N245" s="108"/>
      <c r="O245" s="104"/>
      <c r="P245" s="108">
        <v>3.8740000000000001</v>
      </c>
      <c r="Q245" s="108">
        <v>2.2039999999999997</v>
      </c>
      <c r="R245" s="104" t="s">
        <v>17</v>
      </c>
      <c r="S245" s="113">
        <f>(10^((3.12*LOG((P245*10))+0.94)))/1000</f>
        <v>785.34051541456688</v>
      </c>
      <c r="T245" s="104" t="s">
        <v>896</v>
      </c>
      <c r="U245" s="108">
        <v>0.9</v>
      </c>
      <c r="V245" s="107">
        <v>39.4</v>
      </c>
      <c r="W245" s="106" t="s">
        <v>704</v>
      </c>
    </row>
    <row r="246" spans="1:23" ht="21" customHeight="1">
      <c r="A246" s="104" t="s">
        <v>218</v>
      </c>
      <c r="B246" s="104" t="s">
        <v>389</v>
      </c>
      <c r="C246" s="454" t="s">
        <v>390</v>
      </c>
      <c r="D246" s="105" t="s">
        <v>151</v>
      </c>
      <c r="E246" s="104">
        <v>933</v>
      </c>
      <c r="F246" s="104">
        <v>999</v>
      </c>
      <c r="G246" s="106" t="s">
        <v>102</v>
      </c>
      <c r="H246" s="104" t="s">
        <v>103</v>
      </c>
      <c r="I246" s="104" t="s">
        <v>104</v>
      </c>
      <c r="J246" s="104" t="s">
        <v>105</v>
      </c>
      <c r="K246" s="106" t="s">
        <v>143</v>
      </c>
      <c r="L246" s="104" t="s">
        <v>708</v>
      </c>
      <c r="M246" s="104" t="s">
        <v>114</v>
      </c>
      <c r="N246" s="108"/>
      <c r="O246" s="104"/>
      <c r="P246" s="108">
        <v>3.694</v>
      </c>
      <c r="Q246" s="108">
        <v>1.9010000000000002</v>
      </c>
      <c r="R246" s="104" t="s">
        <v>17</v>
      </c>
      <c r="S246" s="113">
        <f>((10^((3.395*LOG((P246))+1.061))))</f>
        <v>971.96795158817724</v>
      </c>
      <c r="T246" s="104" t="s">
        <v>709</v>
      </c>
      <c r="U246" s="108">
        <v>0.91200000000000003</v>
      </c>
      <c r="V246" s="107">
        <v>36.5</v>
      </c>
      <c r="W246" s="106" t="s">
        <v>700</v>
      </c>
    </row>
    <row r="247" spans="1:23" ht="21" customHeight="1">
      <c r="A247" s="104" t="s">
        <v>218</v>
      </c>
      <c r="B247" s="104" t="s">
        <v>389</v>
      </c>
      <c r="C247" s="454" t="s">
        <v>390</v>
      </c>
      <c r="D247" s="105" t="s">
        <v>151</v>
      </c>
      <c r="E247" s="104">
        <v>933</v>
      </c>
      <c r="F247" s="104">
        <v>3525</v>
      </c>
      <c r="G247" s="106" t="s">
        <v>102</v>
      </c>
      <c r="H247" s="104" t="s">
        <v>103</v>
      </c>
      <c r="I247" s="104" t="s">
        <v>104</v>
      </c>
      <c r="J247" s="104" t="s">
        <v>105</v>
      </c>
      <c r="K247" s="104" t="s">
        <v>962</v>
      </c>
      <c r="L247" s="104" t="s">
        <v>963</v>
      </c>
      <c r="M247" s="104" t="s">
        <v>108</v>
      </c>
      <c r="N247" s="108"/>
      <c r="O247" s="104"/>
      <c r="P247" s="108">
        <v>3.2729999999999997</v>
      </c>
      <c r="Q247" s="108">
        <v>2.7160000000000002</v>
      </c>
      <c r="R247" s="104" t="s">
        <v>17</v>
      </c>
      <c r="S247" s="113">
        <f>(((10^((3.13*LOG((P247*10))+1.17)))+(10^(3.15*LOG((P247*10))+0.94))/2)/1000)</f>
        <v>1073.8324255281696</v>
      </c>
      <c r="T247" s="104" t="s">
        <v>964</v>
      </c>
      <c r="U247" s="108">
        <v>0.91</v>
      </c>
      <c r="V247" s="107">
        <v>40</v>
      </c>
      <c r="W247" s="106" t="s">
        <v>704</v>
      </c>
    </row>
    <row r="248" spans="1:23" ht="21" customHeight="1">
      <c r="A248" s="104" t="s">
        <v>218</v>
      </c>
      <c r="B248" s="104" t="s">
        <v>389</v>
      </c>
      <c r="C248" s="454" t="s">
        <v>390</v>
      </c>
      <c r="D248" s="105" t="s">
        <v>151</v>
      </c>
      <c r="E248" s="104">
        <v>933</v>
      </c>
      <c r="F248" s="104">
        <v>3335</v>
      </c>
      <c r="G248" s="106" t="s">
        <v>102</v>
      </c>
      <c r="H248" s="104" t="s">
        <v>103</v>
      </c>
      <c r="I248" s="104" t="s">
        <v>104</v>
      </c>
      <c r="J248" s="104" t="s">
        <v>105</v>
      </c>
      <c r="K248" s="104" t="s">
        <v>665</v>
      </c>
      <c r="L248" s="104" t="s">
        <v>666</v>
      </c>
      <c r="M248" s="104" t="s">
        <v>108</v>
      </c>
      <c r="N248" s="108"/>
      <c r="O248" s="104"/>
      <c r="P248" s="108">
        <v>6.827</v>
      </c>
      <c r="Q248" s="108">
        <v>3.992</v>
      </c>
      <c r="R248" s="104" t="s">
        <v>17</v>
      </c>
      <c r="S248" s="113">
        <f>(10^((2.922*LOG((P248))+0.6162)))</f>
        <v>1131.930536329003</v>
      </c>
      <c r="T248" s="104" t="s">
        <v>774</v>
      </c>
      <c r="U248" s="108">
        <v>0.94199999999999995</v>
      </c>
      <c r="V248" s="107">
        <v>24</v>
      </c>
      <c r="W248" s="106" t="s">
        <v>694</v>
      </c>
    </row>
    <row r="249" spans="1:23" ht="21" customHeight="1">
      <c r="A249" s="104" t="s">
        <v>218</v>
      </c>
      <c r="B249" s="104" t="s">
        <v>389</v>
      </c>
      <c r="C249" s="454" t="s">
        <v>390</v>
      </c>
      <c r="D249" s="105" t="s">
        <v>151</v>
      </c>
      <c r="E249" s="104">
        <v>933</v>
      </c>
      <c r="F249" s="104">
        <v>2198</v>
      </c>
      <c r="G249" s="106" t="s">
        <v>102</v>
      </c>
      <c r="H249" s="104" t="s">
        <v>103</v>
      </c>
      <c r="I249" s="104" t="s">
        <v>104</v>
      </c>
      <c r="J249" s="104" t="s">
        <v>105</v>
      </c>
      <c r="K249" s="104" t="s">
        <v>209</v>
      </c>
      <c r="L249" s="104" t="s">
        <v>684</v>
      </c>
      <c r="M249" s="104" t="s">
        <v>114</v>
      </c>
      <c r="N249" s="108"/>
      <c r="O249" s="104"/>
      <c r="P249" s="108">
        <v>3.7590000000000003</v>
      </c>
      <c r="Q249" s="108">
        <v>1.6940000000000002</v>
      </c>
      <c r="R249" s="104" t="s">
        <v>17</v>
      </c>
      <c r="S249" s="113">
        <f>10^(((LOG(P249))*3.375)+1.119)</f>
        <v>1147.80760861978</v>
      </c>
      <c r="T249" s="104" t="s">
        <v>699</v>
      </c>
      <c r="U249" s="108">
        <v>0.93</v>
      </c>
      <c r="V249" s="107">
        <v>33.6</v>
      </c>
      <c r="W249" s="106" t="s">
        <v>700</v>
      </c>
    </row>
    <row r="250" spans="1:23" ht="21" customHeight="1">
      <c r="A250" s="104" t="s">
        <v>218</v>
      </c>
      <c r="B250" s="104" t="s">
        <v>389</v>
      </c>
      <c r="C250" s="454" t="s">
        <v>390</v>
      </c>
      <c r="D250" s="105" t="s">
        <v>151</v>
      </c>
      <c r="E250" s="104">
        <v>933</v>
      </c>
      <c r="F250" s="104">
        <v>4307</v>
      </c>
      <c r="G250" s="106" t="s">
        <v>102</v>
      </c>
      <c r="H250" s="104" t="s">
        <v>103</v>
      </c>
      <c r="I250" s="104" t="s">
        <v>104</v>
      </c>
      <c r="J250" s="104" t="s">
        <v>105</v>
      </c>
      <c r="K250" s="104" t="s">
        <v>665</v>
      </c>
      <c r="L250" s="104" t="s">
        <v>666</v>
      </c>
      <c r="M250" s="104"/>
      <c r="N250" s="108"/>
      <c r="O250" s="104"/>
      <c r="P250" s="108">
        <v>6.9550000000000001</v>
      </c>
      <c r="Q250" s="108">
        <v>3.9790000000000001</v>
      </c>
      <c r="R250" s="104" t="s">
        <v>17</v>
      </c>
      <c r="S250" s="113">
        <f>(10^((2.922*LOG((P250))+0.6162)))</f>
        <v>1195.0669238865953</v>
      </c>
      <c r="T250" s="104" t="s">
        <v>774</v>
      </c>
      <c r="U250" s="108">
        <v>0.94199999999999995</v>
      </c>
      <c r="V250" s="107">
        <v>24</v>
      </c>
      <c r="W250" s="106" t="s">
        <v>694</v>
      </c>
    </row>
    <row r="251" spans="1:23" ht="21" customHeight="1">
      <c r="A251" s="104" t="s">
        <v>218</v>
      </c>
      <c r="B251" s="104" t="s">
        <v>389</v>
      </c>
      <c r="C251" s="454" t="s">
        <v>390</v>
      </c>
      <c r="D251" s="105" t="s">
        <v>151</v>
      </c>
      <c r="E251" s="104">
        <v>933</v>
      </c>
      <c r="F251" s="104">
        <v>330</v>
      </c>
      <c r="G251" s="106" t="s">
        <v>102</v>
      </c>
      <c r="H251" s="104" t="s">
        <v>103</v>
      </c>
      <c r="I251" s="104" t="s">
        <v>104</v>
      </c>
      <c r="J251" s="104" t="s">
        <v>105</v>
      </c>
      <c r="K251" s="106" t="s">
        <v>143</v>
      </c>
      <c r="L251" s="104" t="s">
        <v>708</v>
      </c>
      <c r="M251" s="104" t="s">
        <v>108</v>
      </c>
      <c r="N251" s="108"/>
      <c r="O251" s="104"/>
      <c r="P251" s="108">
        <v>3.9530000000000003</v>
      </c>
      <c r="Q251" s="108">
        <v>1.569</v>
      </c>
      <c r="R251" s="104" t="s">
        <v>17</v>
      </c>
      <c r="S251" s="113">
        <f>((10^((3.395*LOG((P251))+1.061))))</f>
        <v>1223.3945309323406</v>
      </c>
      <c r="T251" s="104" t="s">
        <v>709</v>
      </c>
      <c r="U251" s="108">
        <v>0.91200000000000003</v>
      </c>
      <c r="V251" s="107">
        <v>36.5</v>
      </c>
      <c r="W251" s="106" t="s">
        <v>700</v>
      </c>
    </row>
    <row r="252" spans="1:23" ht="21" customHeight="1">
      <c r="A252" s="104" t="s">
        <v>218</v>
      </c>
      <c r="B252" s="104" t="s">
        <v>389</v>
      </c>
      <c r="C252" s="454" t="s">
        <v>390</v>
      </c>
      <c r="D252" s="105" t="s">
        <v>151</v>
      </c>
      <c r="E252" s="104">
        <v>933</v>
      </c>
      <c r="F252" s="104">
        <v>3285</v>
      </c>
      <c r="G252" s="106" t="s">
        <v>102</v>
      </c>
      <c r="H252" s="104" t="s">
        <v>103</v>
      </c>
      <c r="I252" s="104" t="s">
        <v>104</v>
      </c>
      <c r="J252" s="104" t="s">
        <v>105</v>
      </c>
      <c r="K252" s="104" t="s">
        <v>209</v>
      </c>
      <c r="L252" s="104" t="s">
        <v>684</v>
      </c>
      <c r="M252" s="104" t="s">
        <v>114</v>
      </c>
      <c r="N252" s="108"/>
      <c r="O252" s="104"/>
      <c r="P252" s="108">
        <v>4.1109999999999998</v>
      </c>
      <c r="Q252" s="108">
        <v>1.556</v>
      </c>
      <c r="R252" s="104" t="s">
        <v>17</v>
      </c>
      <c r="S252" s="113">
        <f>10^(((LOG(P252))*3.375)+1.119)</f>
        <v>1552.6470201229697</v>
      </c>
      <c r="T252" s="104" t="s">
        <v>699</v>
      </c>
      <c r="U252" s="108">
        <v>0.93</v>
      </c>
      <c r="V252" s="107">
        <v>33.6</v>
      </c>
      <c r="W252" s="106" t="s">
        <v>700</v>
      </c>
    </row>
    <row r="253" spans="1:23" ht="21" customHeight="1">
      <c r="A253" s="104" t="s">
        <v>218</v>
      </c>
      <c r="B253" s="104" t="s">
        <v>202</v>
      </c>
      <c r="C253" s="454" t="s">
        <v>203</v>
      </c>
      <c r="D253" s="105" t="s">
        <v>204</v>
      </c>
      <c r="E253" s="104">
        <v>933</v>
      </c>
      <c r="F253" s="104">
        <v>1922</v>
      </c>
      <c r="G253" s="106" t="s">
        <v>249</v>
      </c>
      <c r="H253" s="104" t="s">
        <v>103</v>
      </c>
      <c r="I253" s="104" t="s">
        <v>104</v>
      </c>
      <c r="J253" s="104" t="s">
        <v>105</v>
      </c>
      <c r="K253" s="104" t="s">
        <v>174</v>
      </c>
      <c r="L253" s="104" t="s">
        <v>340</v>
      </c>
      <c r="M253" s="104" t="s">
        <v>114</v>
      </c>
      <c r="N253" s="108" t="s">
        <v>17</v>
      </c>
      <c r="O253" s="104" t="s">
        <v>17</v>
      </c>
      <c r="P253" s="113">
        <v>6.0579999999999998</v>
      </c>
      <c r="Q253" s="113">
        <v>2.008</v>
      </c>
      <c r="R253" s="104" t="s">
        <v>17</v>
      </c>
      <c r="S253" s="253">
        <f>(((((10^((3.19*LOG((P253*10))+0.51)))))))/1000</f>
        <v>1569.0268231831512</v>
      </c>
      <c r="T253" s="104" t="s">
        <v>979</v>
      </c>
      <c r="U253" s="108">
        <v>0.89</v>
      </c>
      <c r="V253" s="107">
        <v>39.18</v>
      </c>
      <c r="W253" s="106" t="s">
        <v>992</v>
      </c>
    </row>
    <row r="254" spans="1:23" ht="21" customHeight="1">
      <c r="A254" s="104" t="s">
        <v>218</v>
      </c>
      <c r="B254" s="104" t="s">
        <v>221</v>
      </c>
      <c r="C254" s="454" t="s">
        <v>222</v>
      </c>
      <c r="D254" s="105" t="s">
        <v>151</v>
      </c>
      <c r="E254" s="104">
        <v>933</v>
      </c>
      <c r="F254" s="104">
        <v>578</v>
      </c>
      <c r="G254" s="106" t="s">
        <v>102</v>
      </c>
      <c r="H254" s="104" t="s">
        <v>103</v>
      </c>
      <c r="I254" s="104" t="s">
        <v>104</v>
      </c>
      <c r="J254" s="104" t="s">
        <v>105</v>
      </c>
      <c r="K254" s="104" t="s">
        <v>121</v>
      </c>
      <c r="L254" s="104" t="s">
        <v>1041</v>
      </c>
      <c r="M254" s="104" t="s">
        <v>114</v>
      </c>
      <c r="N254" s="108" t="s">
        <v>17</v>
      </c>
      <c r="O254" s="104" t="s">
        <v>17</v>
      </c>
      <c r="P254" s="108">
        <v>3.0880000000000001</v>
      </c>
      <c r="Q254" s="108">
        <v>3.2640000000000002</v>
      </c>
      <c r="R254" s="104" t="s">
        <v>17</v>
      </c>
      <c r="S254" s="253">
        <f>(10^(((2.6389*LOG((Q254)))+0.2582)))</f>
        <v>41.108844630759805</v>
      </c>
      <c r="T254" s="104" t="s">
        <v>1042</v>
      </c>
      <c r="U254" s="108">
        <v>0.96</v>
      </c>
      <c r="V254" s="107">
        <v>19</v>
      </c>
      <c r="W254" s="106" t="s">
        <v>1043</v>
      </c>
    </row>
    <row r="255" spans="1:23" ht="21" customHeight="1">
      <c r="A255" s="104" t="s">
        <v>218</v>
      </c>
      <c r="B255" s="104" t="s">
        <v>221</v>
      </c>
      <c r="C255" s="454" t="s">
        <v>222</v>
      </c>
      <c r="D255" s="105" t="s">
        <v>151</v>
      </c>
      <c r="E255" s="104">
        <v>933</v>
      </c>
      <c r="F255" s="104">
        <v>1657</v>
      </c>
      <c r="G255" s="106" t="s">
        <v>102</v>
      </c>
      <c r="H255" s="104" t="s">
        <v>103</v>
      </c>
      <c r="I255" s="104" t="s">
        <v>104</v>
      </c>
      <c r="J255" s="104" t="s">
        <v>105</v>
      </c>
      <c r="K255" s="104" t="s">
        <v>121</v>
      </c>
      <c r="L255" s="104" t="s">
        <v>1041</v>
      </c>
      <c r="M255" s="104" t="s">
        <v>108</v>
      </c>
      <c r="N255" s="108" t="s">
        <v>17</v>
      </c>
      <c r="O255" s="104" t="s">
        <v>17</v>
      </c>
      <c r="P255" s="108">
        <v>3.2329999999999997</v>
      </c>
      <c r="Q255" s="108">
        <v>3.4130000000000003</v>
      </c>
      <c r="R255" s="104" t="s">
        <v>17</v>
      </c>
      <c r="S255" s="253">
        <f>(10^(((2.6389*LOG((Q255)))+0.2582)))</f>
        <v>46.248042039212294</v>
      </c>
      <c r="T255" s="104" t="s">
        <v>1042</v>
      </c>
      <c r="U255" s="108">
        <v>0.96</v>
      </c>
      <c r="V255" s="107">
        <v>19</v>
      </c>
      <c r="W255" s="106" t="s">
        <v>1043</v>
      </c>
    </row>
    <row r="256" spans="1:23" ht="21" customHeight="1">
      <c r="A256" s="104" t="s">
        <v>218</v>
      </c>
      <c r="B256" s="104" t="s">
        <v>221</v>
      </c>
      <c r="C256" s="454" t="s">
        <v>222</v>
      </c>
      <c r="D256" s="105" t="s">
        <v>151</v>
      </c>
      <c r="E256" s="104">
        <v>933</v>
      </c>
      <c r="F256" s="104">
        <v>3675</v>
      </c>
      <c r="G256" s="106" t="s">
        <v>102</v>
      </c>
      <c r="H256" s="104" t="s">
        <v>103</v>
      </c>
      <c r="I256" s="104" t="s">
        <v>104</v>
      </c>
      <c r="J256" s="104" t="s">
        <v>105</v>
      </c>
      <c r="K256" s="104" t="s">
        <v>158</v>
      </c>
      <c r="L256" s="104" t="s">
        <v>686</v>
      </c>
      <c r="M256" s="104" t="s">
        <v>108</v>
      </c>
      <c r="N256" s="108" t="s">
        <v>17</v>
      </c>
      <c r="O256" s="104" t="s">
        <v>17</v>
      </c>
      <c r="P256" s="108">
        <v>1.532</v>
      </c>
      <c r="Q256" s="108">
        <v>1.33</v>
      </c>
      <c r="R256" s="104" t="s">
        <v>17</v>
      </c>
      <c r="S256" s="253">
        <f>(10^((3.29*LOG((P256*10))+0.8)))/1000</f>
        <v>50.061209464081031</v>
      </c>
      <c r="T256" s="104" t="s">
        <v>687</v>
      </c>
      <c r="U256" s="108">
        <v>0.93</v>
      </c>
      <c r="V256" s="107">
        <v>44.7</v>
      </c>
      <c r="W256" s="106" t="s">
        <v>644</v>
      </c>
    </row>
    <row r="257" spans="1:23" ht="21" customHeight="1">
      <c r="A257" s="104" t="s">
        <v>218</v>
      </c>
      <c r="B257" s="104" t="s">
        <v>221</v>
      </c>
      <c r="C257" s="454" t="s">
        <v>222</v>
      </c>
      <c r="D257" s="105" t="s">
        <v>151</v>
      </c>
      <c r="E257" s="104">
        <v>933</v>
      </c>
      <c r="F257" s="104">
        <v>458</v>
      </c>
      <c r="G257" s="106" t="s">
        <v>249</v>
      </c>
      <c r="H257" s="104" t="s">
        <v>103</v>
      </c>
      <c r="I257" s="104" t="s">
        <v>104</v>
      </c>
      <c r="J257" s="104" t="s">
        <v>105</v>
      </c>
      <c r="K257" s="104" t="s">
        <v>962</v>
      </c>
      <c r="L257" s="104" t="s">
        <v>1089</v>
      </c>
      <c r="M257" s="104" t="s">
        <v>114</v>
      </c>
      <c r="N257" s="108" t="s">
        <v>17</v>
      </c>
      <c r="O257" s="104" t="s">
        <v>17</v>
      </c>
      <c r="P257" s="108">
        <v>1.6780000000000002</v>
      </c>
      <c r="Q257" s="108">
        <v>1.3779999999999999</v>
      </c>
      <c r="R257" s="104" t="s">
        <v>17</v>
      </c>
      <c r="S257" s="253">
        <f>(((10^((3.21*LOG((P257*10))+1.07))) +(10^((3.34*LOG((P257*10))+0.73))))/2)/1000</f>
        <v>83.278459342154704</v>
      </c>
      <c r="T257" s="104" t="s">
        <v>1090</v>
      </c>
      <c r="U257" s="108">
        <v>0.96</v>
      </c>
      <c r="V257" s="107">
        <v>35.1</v>
      </c>
      <c r="W257" s="106" t="s">
        <v>644</v>
      </c>
    </row>
    <row r="258" spans="1:23" ht="21" customHeight="1">
      <c r="A258" s="104" t="s">
        <v>218</v>
      </c>
      <c r="B258" s="104" t="s">
        <v>187</v>
      </c>
      <c r="C258" s="454" t="s">
        <v>490</v>
      </c>
      <c r="D258" s="105" t="s">
        <v>491</v>
      </c>
      <c r="E258" s="104">
        <v>933</v>
      </c>
      <c r="F258" s="104">
        <v>3011</v>
      </c>
      <c r="G258" s="106" t="s">
        <v>102</v>
      </c>
      <c r="H258" s="104" t="s">
        <v>103</v>
      </c>
      <c r="I258" s="104" t="s">
        <v>104</v>
      </c>
      <c r="J258" s="104" t="s">
        <v>105</v>
      </c>
      <c r="K258" s="104" t="s">
        <v>155</v>
      </c>
      <c r="L258" s="104" t="s">
        <v>658</v>
      </c>
      <c r="M258" s="104" t="s">
        <v>108</v>
      </c>
      <c r="N258" s="108" t="s">
        <v>17</v>
      </c>
      <c r="O258" s="104" t="s">
        <v>17</v>
      </c>
      <c r="P258" s="113">
        <v>1.131</v>
      </c>
      <c r="Q258" s="113">
        <v>1.2410000000000001</v>
      </c>
      <c r="R258" s="104" t="s">
        <v>17</v>
      </c>
      <c r="S258" s="253">
        <f>(10^((3.11*LOG((P258*10))+1.11)))/1000</f>
        <v>24.337092979186504</v>
      </c>
      <c r="T258" s="104" t="s">
        <v>1124</v>
      </c>
      <c r="U258" s="108">
        <v>0.97</v>
      </c>
      <c r="V258" s="107">
        <v>34.6</v>
      </c>
      <c r="W258" s="106" t="s">
        <v>1125</v>
      </c>
    </row>
    <row r="259" spans="1:23" ht="21" customHeight="1">
      <c r="A259" s="104" t="s">
        <v>218</v>
      </c>
      <c r="B259" s="104" t="s">
        <v>187</v>
      </c>
      <c r="C259" s="454" t="s">
        <v>490</v>
      </c>
      <c r="D259" s="105" t="s">
        <v>491</v>
      </c>
      <c r="E259" s="104">
        <v>933</v>
      </c>
      <c r="F259" s="104">
        <v>1396</v>
      </c>
      <c r="G259" s="106" t="s">
        <v>102</v>
      </c>
      <c r="H259" s="104" t="s">
        <v>103</v>
      </c>
      <c r="I259" s="104" t="s">
        <v>104</v>
      </c>
      <c r="J259" s="104" t="s">
        <v>105</v>
      </c>
      <c r="K259" s="104" t="s">
        <v>665</v>
      </c>
      <c r="L259" s="104" t="s">
        <v>666</v>
      </c>
      <c r="M259" s="104" t="s">
        <v>114</v>
      </c>
      <c r="N259" s="108" t="s">
        <v>17</v>
      </c>
      <c r="O259" s="104" t="s">
        <v>17</v>
      </c>
      <c r="P259" s="108">
        <v>0.92100000000000004</v>
      </c>
      <c r="Q259" s="108">
        <v>1.1800000000000002</v>
      </c>
      <c r="R259" s="104" t="s">
        <v>17</v>
      </c>
      <c r="S259" s="253">
        <f>(10^((2.9934*LOG((Q259))+1.23)))</f>
        <v>27.872222526793216</v>
      </c>
      <c r="T259" s="104" t="s">
        <v>1126</v>
      </c>
      <c r="U259" s="108">
        <v>0.92</v>
      </c>
      <c r="V259" s="107">
        <v>19</v>
      </c>
      <c r="W259" s="106" t="s">
        <v>1127</v>
      </c>
    </row>
    <row r="260" spans="1:23" ht="21" customHeight="1">
      <c r="A260" s="104" t="s">
        <v>218</v>
      </c>
      <c r="B260" s="104" t="s">
        <v>187</v>
      </c>
      <c r="C260" s="454" t="s">
        <v>490</v>
      </c>
      <c r="D260" s="105" t="s">
        <v>491</v>
      </c>
      <c r="E260" s="104">
        <v>933</v>
      </c>
      <c r="F260" s="104">
        <v>3488</v>
      </c>
      <c r="G260" s="106" t="s">
        <v>102</v>
      </c>
      <c r="H260" s="104" t="s">
        <v>103</v>
      </c>
      <c r="I260" s="104" t="s">
        <v>104</v>
      </c>
      <c r="J260" s="104" t="s">
        <v>105</v>
      </c>
      <c r="K260" s="104" t="s">
        <v>665</v>
      </c>
      <c r="L260" s="104" t="s">
        <v>666</v>
      </c>
      <c r="M260" s="104" t="s">
        <v>114</v>
      </c>
      <c r="N260" s="108" t="s">
        <v>17</v>
      </c>
      <c r="O260" s="104" t="s">
        <v>17</v>
      </c>
      <c r="P260" s="108">
        <v>0.873</v>
      </c>
      <c r="Q260" s="108">
        <v>1.236</v>
      </c>
      <c r="R260" s="104" t="s">
        <v>17</v>
      </c>
      <c r="S260" s="253">
        <f>(10^((2.9934*LOG((Q260))+1.23)))</f>
        <v>32.0219732469007</v>
      </c>
      <c r="T260" s="104" t="s">
        <v>1126</v>
      </c>
      <c r="U260" s="108">
        <v>0.92</v>
      </c>
      <c r="V260" s="107">
        <v>19</v>
      </c>
      <c r="W260" s="106" t="s">
        <v>1127</v>
      </c>
    </row>
    <row r="261" spans="1:23" ht="21" customHeight="1">
      <c r="A261" s="104" t="s">
        <v>218</v>
      </c>
      <c r="B261" s="104" t="s">
        <v>187</v>
      </c>
      <c r="C261" s="454" t="s">
        <v>490</v>
      </c>
      <c r="D261" s="105" t="s">
        <v>491</v>
      </c>
      <c r="E261" s="104">
        <v>933</v>
      </c>
      <c r="F261" s="104">
        <v>1402</v>
      </c>
      <c r="G261" s="106" t="s">
        <v>102</v>
      </c>
      <c r="H261" s="104" t="s">
        <v>103</v>
      </c>
      <c r="I261" s="104" t="s">
        <v>104</v>
      </c>
      <c r="J261" s="104" t="s">
        <v>1128</v>
      </c>
      <c r="K261" s="104" t="s">
        <v>143</v>
      </c>
      <c r="L261" s="104" t="s">
        <v>408</v>
      </c>
      <c r="M261" s="104" t="s">
        <v>114</v>
      </c>
      <c r="N261" s="108" t="s">
        <v>17</v>
      </c>
      <c r="O261" s="104" t="s">
        <v>17</v>
      </c>
      <c r="P261" s="108">
        <v>1.73</v>
      </c>
      <c r="Q261" s="108">
        <v>1.6</v>
      </c>
      <c r="R261" s="104" t="s">
        <v>17</v>
      </c>
      <c r="S261" s="253">
        <f>(((10^((2.96*LOG((P261*10))+1.09)))))/1000</f>
        <v>56.835078642288728</v>
      </c>
      <c r="T261" s="104" t="s">
        <v>1129</v>
      </c>
      <c r="U261" s="108">
        <v>0.95</v>
      </c>
      <c r="V261" s="107">
        <v>42.15</v>
      </c>
      <c r="W261" s="106" t="s">
        <v>1130</v>
      </c>
    </row>
    <row r="262" spans="1:23" ht="21" customHeight="1">
      <c r="A262" s="104" t="s">
        <v>218</v>
      </c>
      <c r="B262" s="104" t="s">
        <v>187</v>
      </c>
      <c r="C262" s="454" t="s">
        <v>490</v>
      </c>
      <c r="D262" s="105" t="s">
        <v>491</v>
      </c>
      <c r="E262" s="104">
        <v>933</v>
      </c>
      <c r="F262" s="104">
        <v>1402</v>
      </c>
      <c r="G262" s="106" t="s">
        <v>102</v>
      </c>
      <c r="H262" s="104" t="s">
        <v>103</v>
      </c>
      <c r="I262" s="104" t="s">
        <v>104</v>
      </c>
      <c r="J262" s="104" t="s">
        <v>105</v>
      </c>
      <c r="K262" s="104" t="s">
        <v>143</v>
      </c>
      <c r="L262" s="104" t="s">
        <v>408</v>
      </c>
      <c r="M262" s="104" t="s">
        <v>114</v>
      </c>
      <c r="N262" s="108" t="s">
        <v>17</v>
      </c>
      <c r="O262" s="104" t="s">
        <v>17</v>
      </c>
      <c r="P262" s="113">
        <v>1.778</v>
      </c>
      <c r="Q262" s="113">
        <v>1.589</v>
      </c>
      <c r="R262" s="104" t="s">
        <v>17</v>
      </c>
      <c r="S262" s="253">
        <f>(((10^((2.96*LOG((P262*10))+1.09)))))/1000</f>
        <v>61.630827601612417</v>
      </c>
      <c r="T262" s="104" t="s">
        <v>1129</v>
      </c>
      <c r="U262" s="108">
        <v>0.95</v>
      </c>
      <c r="V262" s="107">
        <v>42.15</v>
      </c>
      <c r="W262" s="106" t="s">
        <v>1130</v>
      </c>
    </row>
    <row r="263" spans="1:23" ht="21" customHeight="1">
      <c r="A263" s="104" t="s">
        <v>218</v>
      </c>
      <c r="B263" s="104" t="s">
        <v>187</v>
      </c>
      <c r="C263" s="454" t="s">
        <v>490</v>
      </c>
      <c r="D263" s="105" t="s">
        <v>491</v>
      </c>
      <c r="E263" s="104">
        <v>933</v>
      </c>
      <c r="F263" s="104">
        <v>3360</v>
      </c>
      <c r="G263" s="106" t="s">
        <v>102</v>
      </c>
      <c r="H263" s="104" t="s">
        <v>103</v>
      </c>
      <c r="I263" s="104" t="s">
        <v>104</v>
      </c>
      <c r="J263" s="104" t="s">
        <v>105</v>
      </c>
      <c r="K263" s="104" t="s">
        <v>112</v>
      </c>
      <c r="L263" s="104" t="s">
        <v>663</v>
      </c>
      <c r="M263" s="104" t="s">
        <v>108</v>
      </c>
      <c r="N263" s="108" t="s">
        <v>17</v>
      </c>
      <c r="O263" s="104" t="s">
        <v>17</v>
      </c>
      <c r="P263" s="113">
        <v>1.4</v>
      </c>
      <c r="Q263" s="113">
        <v>1.2630000000000001</v>
      </c>
      <c r="R263" s="104" t="s">
        <v>17</v>
      </c>
      <c r="S263" s="253">
        <f>(10^((3.263*LOG((P263))+1.337)))</f>
        <v>65.135204412092747</v>
      </c>
      <c r="T263" s="104" t="s">
        <v>977</v>
      </c>
      <c r="U263" s="108">
        <v>0.93300000000000005</v>
      </c>
      <c r="V263" s="107">
        <v>34.6</v>
      </c>
      <c r="W263" s="106" t="s">
        <v>978</v>
      </c>
    </row>
    <row r="264" spans="1:23" ht="21" customHeight="1">
      <c r="A264" s="104" t="s">
        <v>218</v>
      </c>
      <c r="B264" s="104" t="s">
        <v>187</v>
      </c>
      <c r="C264" s="454" t="s">
        <v>490</v>
      </c>
      <c r="D264" s="105" t="s">
        <v>491</v>
      </c>
      <c r="E264" s="104">
        <v>933</v>
      </c>
      <c r="F264" s="104">
        <v>1401</v>
      </c>
      <c r="G264" s="106" t="s">
        <v>102</v>
      </c>
      <c r="H264" s="104" t="s">
        <v>103</v>
      </c>
      <c r="I264" s="104" t="s">
        <v>104</v>
      </c>
      <c r="J264" s="104" t="s">
        <v>1128</v>
      </c>
      <c r="K264" s="104" t="s">
        <v>155</v>
      </c>
      <c r="L264" s="104" t="s">
        <v>658</v>
      </c>
      <c r="M264" s="104" t="s">
        <v>114</v>
      </c>
      <c r="N264" s="108" t="s">
        <v>17</v>
      </c>
      <c r="O264" s="104" t="s">
        <v>17</v>
      </c>
      <c r="P264" s="108">
        <v>1.57</v>
      </c>
      <c r="Q264" s="108">
        <v>1.48</v>
      </c>
      <c r="R264" s="104" t="s">
        <v>17</v>
      </c>
      <c r="S264" s="253">
        <f>(10^((3.11*LOG((P264*10))+1.11)))/1000</f>
        <v>67.491319503659042</v>
      </c>
      <c r="T264" s="104" t="s">
        <v>1124</v>
      </c>
      <c r="U264" s="108">
        <v>0.97</v>
      </c>
      <c r="V264" s="107">
        <v>34.6</v>
      </c>
      <c r="W264" s="106" t="s">
        <v>1125</v>
      </c>
    </row>
    <row r="265" spans="1:23" ht="21" customHeight="1">
      <c r="A265" s="104" t="s">
        <v>218</v>
      </c>
      <c r="B265" s="104" t="s">
        <v>187</v>
      </c>
      <c r="C265" s="454" t="s">
        <v>490</v>
      </c>
      <c r="D265" s="105" t="s">
        <v>491</v>
      </c>
      <c r="E265" s="104">
        <v>933</v>
      </c>
      <c r="F265" s="104">
        <v>995</v>
      </c>
      <c r="G265" s="106" t="s">
        <v>102</v>
      </c>
      <c r="H265" s="104" t="s">
        <v>103</v>
      </c>
      <c r="I265" s="104" t="s">
        <v>104</v>
      </c>
      <c r="J265" s="104" t="s">
        <v>1128</v>
      </c>
      <c r="K265" s="104" t="s">
        <v>112</v>
      </c>
      <c r="L265" s="104" t="s">
        <v>663</v>
      </c>
      <c r="M265" s="104" t="s">
        <v>114</v>
      </c>
      <c r="N265" s="108"/>
      <c r="O265" s="104"/>
      <c r="P265" s="108">
        <v>1.42</v>
      </c>
      <c r="Q265" s="108">
        <v>1.28</v>
      </c>
      <c r="R265" s="104"/>
      <c r="S265" s="253">
        <f>(10^((3.263*LOG((P265))+1.337)))</f>
        <v>68.220809395282288</v>
      </c>
      <c r="T265" s="104" t="s">
        <v>977</v>
      </c>
      <c r="U265" s="108">
        <v>0.93300000000000005</v>
      </c>
      <c r="V265" s="107">
        <v>34.6</v>
      </c>
      <c r="W265" s="106" t="s">
        <v>978</v>
      </c>
    </row>
    <row r="266" spans="1:23" ht="21" customHeight="1">
      <c r="A266" s="104" t="s">
        <v>218</v>
      </c>
      <c r="B266" s="104" t="s">
        <v>187</v>
      </c>
      <c r="C266" s="454" t="s">
        <v>490</v>
      </c>
      <c r="D266" s="105" t="s">
        <v>491</v>
      </c>
      <c r="E266" s="104">
        <v>933</v>
      </c>
      <c r="F266" s="104">
        <v>3581</v>
      </c>
      <c r="G266" s="106" t="s">
        <v>102</v>
      </c>
      <c r="H266" s="104" t="s">
        <v>103</v>
      </c>
      <c r="I266" s="104" t="s">
        <v>104</v>
      </c>
      <c r="J266" s="104" t="s">
        <v>1128</v>
      </c>
      <c r="K266" s="104" t="s">
        <v>158</v>
      </c>
      <c r="L266" s="104" t="s">
        <v>686</v>
      </c>
      <c r="M266" s="104" t="s">
        <v>108</v>
      </c>
      <c r="N266" s="108" t="s">
        <v>17</v>
      </c>
      <c r="O266" s="104" t="s">
        <v>17</v>
      </c>
      <c r="P266" s="108">
        <v>1.88</v>
      </c>
      <c r="Q266" s="108">
        <v>1.44</v>
      </c>
      <c r="R266" s="104" t="s">
        <v>17</v>
      </c>
      <c r="S266" s="253">
        <f>(10^((2.63*LOG((P266*10))+1.49)))/1000</f>
        <v>69.348192102809747</v>
      </c>
      <c r="T266" s="104" t="s">
        <v>1131</v>
      </c>
      <c r="U266" s="108">
        <v>0.88</v>
      </c>
      <c r="V266" s="107">
        <v>64.05</v>
      </c>
      <c r="W266" s="106" t="s">
        <v>1130</v>
      </c>
    </row>
    <row r="267" spans="1:23" ht="21" customHeight="1">
      <c r="A267" s="104" t="s">
        <v>218</v>
      </c>
      <c r="B267" s="104" t="s">
        <v>187</v>
      </c>
      <c r="C267" s="454" t="s">
        <v>490</v>
      </c>
      <c r="D267" s="105" t="s">
        <v>491</v>
      </c>
      <c r="E267" s="104">
        <v>933</v>
      </c>
      <c r="F267" s="104">
        <v>4342</v>
      </c>
      <c r="G267" s="106" t="s">
        <v>102</v>
      </c>
      <c r="H267" s="104" t="s">
        <v>103</v>
      </c>
      <c r="I267" s="104" t="s">
        <v>104</v>
      </c>
      <c r="J267" s="104" t="s">
        <v>105</v>
      </c>
      <c r="K267" s="104" t="s">
        <v>155</v>
      </c>
      <c r="L267" s="104" t="s">
        <v>658</v>
      </c>
      <c r="M267" s="104" t="s">
        <v>114</v>
      </c>
      <c r="N267" s="108" t="s">
        <v>17</v>
      </c>
      <c r="O267" s="104" t="s">
        <v>17</v>
      </c>
      <c r="P267" s="108">
        <v>1.69</v>
      </c>
      <c r="Q267" s="108">
        <v>1.385</v>
      </c>
      <c r="R267" s="104" t="s">
        <v>17</v>
      </c>
      <c r="S267" s="253">
        <f>(10^((3.11*LOG((P267*10))+1.11)))/1000</f>
        <v>84.864811585230683</v>
      </c>
      <c r="T267" s="104" t="s">
        <v>1124</v>
      </c>
      <c r="U267" s="108">
        <v>0.97</v>
      </c>
      <c r="V267" s="107">
        <v>34.6</v>
      </c>
      <c r="W267" s="106" t="s">
        <v>1125</v>
      </c>
    </row>
    <row r="268" spans="1:23" ht="21" customHeight="1">
      <c r="A268" s="104" t="s">
        <v>218</v>
      </c>
      <c r="B268" s="104" t="s">
        <v>187</v>
      </c>
      <c r="C268" s="454" t="s">
        <v>490</v>
      </c>
      <c r="D268" s="105" t="s">
        <v>491</v>
      </c>
      <c r="E268" s="104">
        <v>933</v>
      </c>
      <c r="F268" s="104">
        <v>72</v>
      </c>
      <c r="G268" s="106" t="s">
        <v>102</v>
      </c>
      <c r="H268" s="104" t="s">
        <v>103</v>
      </c>
      <c r="I268" s="104" t="s">
        <v>104</v>
      </c>
      <c r="J268" s="104" t="s">
        <v>105</v>
      </c>
      <c r="K268" s="104" t="s">
        <v>155</v>
      </c>
      <c r="L268" s="104" t="s">
        <v>658</v>
      </c>
      <c r="M268" s="104" t="s">
        <v>108</v>
      </c>
      <c r="N268" s="108" t="s">
        <v>17</v>
      </c>
      <c r="O268" s="104" t="s">
        <v>17</v>
      </c>
      <c r="P268" s="108">
        <v>1.738</v>
      </c>
      <c r="Q268" s="108">
        <v>1.353</v>
      </c>
      <c r="R268" s="104" t="s">
        <v>17</v>
      </c>
      <c r="S268" s="253">
        <f>(10^((3.11*LOG((P268*10))+1.11)))/1000</f>
        <v>92.588018824368888</v>
      </c>
      <c r="T268" s="104" t="s">
        <v>1124</v>
      </c>
      <c r="U268" s="108">
        <v>0.97</v>
      </c>
      <c r="V268" s="107">
        <v>34.6</v>
      </c>
      <c r="W268" s="106" t="s">
        <v>1125</v>
      </c>
    </row>
    <row r="269" spans="1:23" ht="21" customHeight="1">
      <c r="A269" s="104" t="s">
        <v>218</v>
      </c>
      <c r="B269" s="104" t="s">
        <v>187</v>
      </c>
      <c r="C269" s="454" t="s">
        <v>490</v>
      </c>
      <c r="D269" s="105" t="s">
        <v>491</v>
      </c>
      <c r="E269" s="104">
        <v>933</v>
      </c>
      <c r="F269" s="104">
        <v>1350</v>
      </c>
      <c r="G269" s="106" t="s">
        <v>102</v>
      </c>
      <c r="H269" s="104" t="s">
        <v>103</v>
      </c>
      <c r="I269" s="104" t="s">
        <v>104</v>
      </c>
      <c r="J269" s="104" t="s">
        <v>1128</v>
      </c>
      <c r="K269" s="104" t="s">
        <v>126</v>
      </c>
      <c r="L269" s="104" t="s">
        <v>636</v>
      </c>
      <c r="M269" s="104" t="s">
        <v>114</v>
      </c>
      <c r="N269" s="108"/>
      <c r="O269" s="104"/>
      <c r="P269" s="108">
        <v>2.2799999999999998</v>
      </c>
      <c r="Q269" s="108">
        <v>1.41</v>
      </c>
      <c r="R269" s="104"/>
      <c r="S269" s="253">
        <f>(10^((2.81*LOG((P269*10))+1.18)))/1000</f>
        <v>99.036873144938383</v>
      </c>
      <c r="T269" s="104" t="s">
        <v>1132</v>
      </c>
      <c r="U269" s="108">
        <v>0.89</v>
      </c>
      <c r="V269" s="107">
        <v>60.5</v>
      </c>
      <c r="W269" s="106" t="s">
        <v>1133</v>
      </c>
    </row>
    <row r="270" spans="1:23" ht="21" customHeight="1">
      <c r="A270" s="104" t="s">
        <v>218</v>
      </c>
      <c r="B270" s="104" t="s">
        <v>187</v>
      </c>
      <c r="C270" s="454" t="s">
        <v>490</v>
      </c>
      <c r="D270" s="105" t="s">
        <v>491</v>
      </c>
      <c r="E270" s="104">
        <v>933</v>
      </c>
      <c r="F270" s="104">
        <v>3232</v>
      </c>
      <c r="G270" s="106" t="s">
        <v>102</v>
      </c>
      <c r="H270" s="104" t="s">
        <v>103</v>
      </c>
      <c r="I270" s="104" t="s">
        <v>104</v>
      </c>
      <c r="J270" s="104" t="s">
        <v>105</v>
      </c>
      <c r="K270" s="104" t="s">
        <v>126</v>
      </c>
      <c r="L270" s="104" t="s">
        <v>636</v>
      </c>
      <c r="M270" s="104" t="s">
        <v>114</v>
      </c>
      <c r="N270" s="108" t="s">
        <v>17</v>
      </c>
      <c r="O270" s="104" t="s">
        <v>17</v>
      </c>
      <c r="P270" s="108">
        <v>2.33</v>
      </c>
      <c r="Q270" s="108">
        <v>1.2130000000000001</v>
      </c>
      <c r="R270" s="104" t="s">
        <v>17</v>
      </c>
      <c r="S270" s="253">
        <f>(10^((2.81*LOG((P270*10))+1.18)))/1000</f>
        <v>105.2616414405597</v>
      </c>
      <c r="T270" s="104" t="s">
        <v>1132</v>
      </c>
      <c r="U270" s="108">
        <v>0.89</v>
      </c>
      <c r="V270" s="107">
        <v>60.5</v>
      </c>
      <c r="W270" s="106" t="s">
        <v>1133</v>
      </c>
    </row>
    <row r="271" spans="1:23" ht="21" customHeight="1">
      <c r="A271" s="104" t="s">
        <v>218</v>
      </c>
      <c r="B271" s="104" t="s">
        <v>187</v>
      </c>
      <c r="C271" s="454" t="s">
        <v>490</v>
      </c>
      <c r="D271" s="105" t="s">
        <v>491</v>
      </c>
      <c r="E271" s="104">
        <v>933</v>
      </c>
      <c r="F271" s="104">
        <v>2106</v>
      </c>
      <c r="G271" s="106" t="s">
        <v>102</v>
      </c>
      <c r="H271" s="104" t="s">
        <v>103</v>
      </c>
      <c r="I271" s="104" t="s">
        <v>104</v>
      </c>
      <c r="J271" s="104" t="s">
        <v>105</v>
      </c>
      <c r="K271" s="104" t="s">
        <v>112</v>
      </c>
      <c r="L271" s="104" t="s">
        <v>663</v>
      </c>
      <c r="M271" s="104" t="s">
        <v>108</v>
      </c>
      <c r="N271" s="108" t="s">
        <v>17</v>
      </c>
      <c r="O271" s="104" t="s">
        <v>17</v>
      </c>
      <c r="P271" s="113">
        <v>1.6300000000000001</v>
      </c>
      <c r="Q271" s="113">
        <v>0.95199999999999996</v>
      </c>
      <c r="R271" s="104" t="s">
        <v>17</v>
      </c>
      <c r="S271" s="253">
        <f>(10^((3.263*LOG((P271))+1.337)))</f>
        <v>106.99615055426273</v>
      </c>
      <c r="T271" s="104" t="s">
        <v>977</v>
      </c>
      <c r="U271" s="108">
        <v>0.93300000000000005</v>
      </c>
      <c r="V271" s="107">
        <v>34.6</v>
      </c>
      <c r="W271" s="106" t="s">
        <v>978</v>
      </c>
    </row>
    <row r="272" spans="1:23" ht="21" customHeight="1">
      <c r="A272" s="104" t="s">
        <v>218</v>
      </c>
      <c r="B272" s="104" t="s">
        <v>187</v>
      </c>
      <c r="C272" s="454" t="s">
        <v>490</v>
      </c>
      <c r="D272" s="105" t="s">
        <v>491</v>
      </c>
      <c r="E272" s="104">
        <v>933</v>
      </c>
      <c r="F272" s="104">
        <v>2107</v>
      </c>
      <c r="G272" s="106" t="s">
        <v>102</v>
      </c>
      <c r="H272" s="104" t="s">
        <v>103</v>
      </c>
      <c r="I272" s="104" t="s">
        <v>104</v>
      </c>
      <c r="J272" s="104" t="s">
        <v>105</v>
      </c>
      <c r="K272" s="104" t="s">
        <v>112</v>
      </c>
      <c r="L272" s="104" t="s">
        <v>663</v>
      </c>
      <c r="M272" s="104" t="s">
        <v>108</v>
      </c>
      <c r="N272" s="108" t="s">
        <v>17</v>
      </c>
      <c r="O272" s="104" t="s">
        <v>17</v>
      </c>
      <c r="P272" s="113">
        <v>1.6969999999999998</v>
      </c>
      <c r="Q272" s="113">
        <v>0.94199999999999995</v>
      </c>
      <c r="R272" s="104" t="s">
        <v>17</v>
      </c>
      <c r="S272" s="253">
        <f>(10^((3.263*LOG((P272))+1.337)))</f>
        <v>122.02585279914571</v>
      </c>
      <c r="T272" s="104" t="s">
        <v>977</v>
      </c>
      <c r="U272" s="108">
        <v>0.93300000000000005</v>
      </c>
      <c r="V272" s="107">
        <v>34.6</v>
      </c>
      <c r="W272" s="106" t="s">
        <v>978</v>
      </c>
    </row>
    <row r="273" spans="1:23" ht="21" customHeight="1">
      <c r="A273" s="104" t="s">
        <v>218</v>
      </c>
      <c r="B273" s="104" t="s">
        <v>187</v>
      </c>
      <c r="C273" s="454" t="s">
        <v>188</v>
      </c>
      <c r="D273" s="105" t="s">
        <v>189</v>
      </c>
      <c r="E273" s="104">
        <v>933</v>
      </c>
      <c r="F273" s="104">
        <v>3958</v>
      </c>
      <c r="G273" s="106" t="s">
        <v>102</v>
      </c>
      <c r="H273" s="104" t="s">
        <v>103</v>
      </c>
      <c r="I273" s="104" t="s">
        <v>104</v>
      </c>
      <c r="J273" s="104" t="s">
        <v>105</v>
      </c>
      <c r="K273" s="104" t="s">
        <v>126</v>
      </c>
      <c r="L273" s="104" t="s">
        <v>636</v>
      </c>
      <c r="M273" s="104" t="s">
        <v>108</v>
      </c>
      <c r="N273" s="108" t="s">
        <v>17</v>
      </c>
      <c r="O273" s="104" t="s">
        <v>17</v>
      </c>
      <c r="P273" s="108">
        <v>2.617</v>
      </c>
      <c r="Q273" s="108">
        <v>1.379</v>
      </c>
      <c r="R273" s="104" t="s">
        <v>17</v>
      </c>
      <c r="S273" s="253">
        <f>(10^((2.81*LOG((P273*10))+1.18)))/1000</f>
        <v>145.89098638753836</v>
      </c>
      <c r="T273" s="104" t="s">
        <v>1132</v>
      </c>
      <c r="U273" s="108">
        <v>0.89</v>
      </c>
      <c r="V273" s="107">
        <v>60.5</v>
      </c>
      <c r="W273" s="106" t="s">
        <v>1133</v>
      </c>
    </row>
    <row r="274" spans="1:23" ht="21" customHeight="1">
      <c r="A274" s="104" t="s">
        <v>218</v>
      </c>
      <c r="B274" s="104" t="s">
        <v>187</v>
      </c>
      <c r="C274" s="454" t="s">
        <v>1142</v>
      </c>
      <c r="D274" s="105" t="s">
        <v>189</v>
      </c>
      <c r="E274" s="104">
        <v>933</v>
      </c>
      <c r="F274" s="104">
        <v>895</v>
      </c>
      <c r="G274" s="106" t="s">
        <v>102</v>
      </c>
      <c r="H274" s="104" t="s">
        <v>103</v>
      </c>
      <c r="I274" s="104" t="s">
        <v>104</v>
      </c>
      <c r="J274" s="104" t="s">
        <v>105</v>
      </c>
      <c r="K274" s="104" t="s">
        <v>121</v>
      </c>
      <c r="L274" s="104" t="s">
        <v>1041</v>
      </c>
      <c r="M274" s="104" t="s">
        <v>108</v>
      </c>
      <c r="N274" s="108" t="s">
        <v>17</v>
      </c>
      <c r="O274" s="104" t="s">
        <v>17</v>
      </c>
      <c r="P274" s="113">
        <v>3.9590000000000005</v>
      </c>
      <c r="Q274" s="113">
        <v>3.9060000000000001</v>
      </c>
      <c r="R274" s="104" t="s">
        <v>17</v>
      </c>
      <c r="S274" s="253">
        <f>(10^(((LOG(P274))*2.6454)+0.2538))</f>
        <v>68.336492860006146</v>
      </c>
      <c r="T274" s="104" t="s">
        <v>1143</v>
      </c>
      <c r="U274" s="108">
        <v>0.96</v>
      </c>
      <c r="V274" s="107">
        <v>19</v>
      </c>
      <c r="W274" s="106" t="s">
        <v>1144</v>
      </c>
    </row>
    <row r="275" spans="1:23" ht="21" customHeight="1">
      <c r="A275" s="104" t="s">
        <v>218</v>
      </c>
      <c r="B275" s="104" t="s">
        <v>187</v>
      </c>
      <c r="C275" s="454" t="s">
        <v>1142</v>
      </c>
      <c r="D275" s="105" t="s">
        <v>189</v>
      </c>
      <c r="E275" s="104">
        <v>933</v>
      </c>
      <c r="F275" s="104">
        <v>1352</v>
      </c>
      <c r="G275" s="106" t="s">
        <v>102</v>
      </c>
      <c r="H275" s="104" t="s">
        <v>103</v>
      </c>
      <c r="I275" s="104" t="s">
        <v>104</v>
      </c>
      <c r="J275" s="104" t="s">
        <v>105</v>
      </c>
      <c r="K275" s="104" t="s">
        <v>121</v>
      </c>
      <c r="L275" s="104" t="s">
        <v>1041</v>
      </c>
      <c r="M275" s="104" t="s">
        <v>114</v>
      </c>
      <c r="N275" s="108" t="s">
        <v>17</v>
      </c>
      <c r="O275" s="104" t="s">
        <v>17</v>
      </c>
      <c r="P275" s="113">
        <v>4.0090000000000003</v>
      </c>
      <c r="Q275" s="113">
        <v>3.8159999999999998</v>
      </c>
      <c r="R275" s="104" t="s">
        <v>17</v>
      </c>
      <c r="S275" s="253">
        <f>(10^(((LOG(P275))*2.6454)+0.2538))</f>
        <v>70.643398365260637</v>
      </c>
      <c r="T275" s="104" t="s">
        <v>1143</v>
      </c>
      <c r="U275" s="108">
        <v>0.96</v>
      </c>
      <c r="V275" s="107">
        <v>19</v>
      </c>
      <c r="W275" s="106" t="s">
        <v>1144</v>
      </c>
    </row>
    <row r="276" spans="1:23" ht="21" customHeight="1">
      <c r="A276" s="104" t="s">
        <v>218</v>
      </c>
      <c r="B276" s="104" t="s">
        <v>187</v>
      </c>
      <c r="C276" s="454" t="s">
        <v>1142</v>
      </c>
      <c r="D276" s="105" t="s">
        <v>189</v>
      </c>
      <c r="E276" s="104">
        <v>933</v>
      </c>
      <c r="F276" s="104">
        <v>983</v>
      </c>
      <c r="G276" s="106" t="s">
        <v>102</v>
      </c>
      <c r="H276" s="104" t="s">
        <v>103</v>
      </c>
      <c r="I276" s="104" t="s">
        <v>104</v>
      </c>
      <c r="J276" s="104" t="s">
        <v>105</v>
      </c>
      <c r="K276" s="104" t="s">
        <v>121</v>
      </c>
      <c r="L276" s="104" t="s">
        <v>1041</v>
      </c>
      <c r="M276" s="104" t="s">
        <v>108</v>
      </c>
      <c r="N276" s="108" t="s">
        <v>17</v>
      </c>
      <c r="O276" s="104" t="s">
        <v>17</v>
      </c>
      <c r="P276" s="113">
        <v>4.0129999999999999</v>
      </c>
      <c r="Q276" s="113">
        <v>4.2939999999999996</v>
      </c>
      <c r="R276" s="104" t="s">
        <v>17</v>
      </c>
      <c r="S276" s="253">
        <f>(10^(((LOG(P276))*2.6454)+0.2538))</f>
        <v>70.83001196468355</v>
      </c>
      <c r="T276" s="104" t="s">
        <v>1143</v>
      </c>
      <c r="U276" s="108">
        <v>0.96</v>
      </c>
      <c r="V276" s="107">
        <v>19</v>
      </c>
      <c r="W276" s="106" t="s">
        <v>1144</v>
      </c>
    </row>
    <row r="277" spans="1:23" ht="21" customHeight="1">
      <c r="A277" s="104" t="s">
        <v>218</v>
      </c>
      <c r="B277" s="104" t="s">
        <v>187</v>
      </c>
      <c r="C277" s="454" t="s">
        <v>1142</v>
      </c>
      <c r="D277" s="105" t="s">
        <v>189</v>
      </c>
      <c r="E277" s="104">
        <v>933</v>
      </c>
      <c r="F277" s="104">
        <v>1351</v>
      </c>
      <c r="G277" s="106" t="s">
        <v>102</v>
      </c>
      <c r="H277" s="104" t="s">
        <v>103</v>
      </c>
      <c r="I277" s="104" t="s">
        <v>104</v>
      </c>
      <c r="J277" s="104" t="s">
        <v>105</v>
      </c>
      <c r="K277" s="104" t="s">
        <v>121</v>
      </c>
      <c r="L277" s="104" t="s">
        <v>1041</v>
      </c>
      <c r="M277" s="104" t="s">
        <v>114</v>
      </c>
      <c r="N277" s="108" t="s">
        <v>17</v>
      </c>
      <c r="O277" s="104" t="s">
        <v>17</v>
      </c>
      <c r="P277" s="113">
        <v>4.1850000000000005</v>
      </c>
      <c r="Q277" s="113">
        <v>4.2649999999999997</v>
      </c>
      <c r="R277" s="104" t="s">
        <v>17</v>
      </c>
      <c r="S277" s="253">
        <f>(10^(((LOG(P277))*2.6454)+0.2538))</f>
        <v>79.146766383430077</v>
      </c>
      <c r="T277" s="104" t="s">
        <v>1143</v>
      </c>
      <c r="U277" s="108">
        <v>0.96</v>
      </c>
      <c r="V277" s="107">
        <v>19</v>
      </c>
      <c r="W277" s="106" t="s">
        <v>1144</v>
      </c>
    </row>
    <row r="278" spans="1:23" ht="21" customHeight="1">
      <c r="A278" s="104" t="s">
        <v>218</v>
      </c>
      <c r="B278" s="104" t="s">
        <v>187</v>
      </c>
      <c r="C278" s="454" t="s">
        <v>1142</v>
      </c>
      <c r="D278" s="105" t="s">
        <v>189</v>
      </c>
      <c r="E278" s="104">
        <v>933</v>
      </c>
      <c r="F278" s="104">
        <v>1354</v>
      </c>
      <c r="G278" s="106" t="s">
        <v>102</v>
      </c>
      <c r="H278" s="104" t="s">
        <v>103</v>
      </c>
      <c r="I278" s="104" t="s">
        <v>104</v>
      </c>
      <c r="J278" s="104" t="s">
        <v>105</v>
      </c>
      <c r="K278" s="104" t="s">
        <v>136</v>
      </c>
      <c r="L278" s="104" t="s">
        <v>1032</v>
      </c>
      <c r="M278" s="104" t="s">
        <v>114</v>
      </c>
      <c r="N278" s="108" t="s">
        <v>17</v>
      </c>
      <c r="O278" s="104" t="s">
        <v>17</v>
      </c>
      <c r="P278" s="113">
        <v>4.5250000000000004</v>
      </c>
      <c r="Q278" s="113">
        <v>5.9329999999999998</v>
      </c>
      <c r="R278" s="104" t="s">
        <v>17</v>
      </c>
      <c r="S278" s="253">
        <f>(10^((3.0451*LOG(P278)-0.0643)))</f>
        <v>85.531117979602527</v>
      </c>
      <c r="T278" s="104" t="s">
        <v>1145</v>
      </c>
      <c r="U278" s="108">
        <v>0.93979999999999997</v>
      </c>
      <c r="V278" s="107">
        <v>16</v>
      </c>
      <c r="W278" s="106" t="s">
        <v>1146</v>
      </c>
    </row>
    <row r="279" spans="1:23" ht="21" customHeight="1">
      <c r="A279" s="104" t="s">
        <v>218</v>
      </c>
      <c r="B279" s="104" t="s">
        <v>187</v>
      </c>
      <c r="C279" s="454" t="s">
        <v>1142</v>
      </c>
      <c r="D279" s="105" t="s">
        <v>189</v>
      </c>
      <c r="E279" s="104">
        <v>933</v>
      </c>
      <c r="F279" s="104">
        <v>1850</v>
      </c>
      <c r="G279" s="106" t="s">
        <v>102</v>
      </c>
      <c r="H279" s="104" t="s">
        <v>103</v>
      </c>
      <c r="I279" s="104" t="s">
        <v>104</v>
      </c>
      <c r="J279" s="104" t="s">
        <v>105</v>
      </c>
      <c r="K279" s="104" t="s">
        <v>136</v>
      </c>
      <c r="L279" s="104" t="s">
        <v>1032</v>
      </c>
      <c r="M279" s="104" t="s">
        <v>108</v>
      </c>
      <c r="N279" s="108" t="s">
        <v>17</v>
      </c>
      <c r="O279" s="104" t="s">
        <v>17</v>
      </c>
      <c r="P279" s="113">
        <v>4.5619999999999994</v>
      </c>
      <c r="Q279" s="113">
        <v>5.5890000000000004</v>
      </c>
      <c r="R279" s="104" t="s">
        <v>17</v>
      </c>
      <c r="S279" s="253">
        <f>(10^((3.0451*LOG(P279)-0.0643)))</f>
        <v>87.67862813381501</v>
      </c>
      <c r="T279" s="104" t="s">
        <v>1145</v>
      </c>
      <c r="U279" s="108">
        <v>0.93979999999999997</v>
      </c>
      <c r="V279" s="107">
        <v>16</v>
      </c>
      <c r="W279" s="106" t="s">
        <v>1147</v>
      </c>
    </row>
    <row r="280" spans="1:23" ht="21" customHeight="1">
      <c r="A280" s="104" t="s">
        <v>218</v>
      </c>
      <c r="B280" s="104" t="s">
        <v>187</v>
      </c>
      <c r="C280" s="454" t="s">
        <v>1142</v>
      </c>
      <c r="D280" s="105" t="s">
        <v>189</v>
      </c>
      <c r="E280" s="104">
        <v>933</v>
      </c>
      <c r="F280" s="104">
        <v>1429</v>
      </c>
      <c r="G280" s="106" t="s">
        <v>102</v>
      </c>
      <c r="H280" s="104" t="s">
        <v>103</v>
      </c>
      <c r="I280" s="104" t="s">
        <v>104</v>
      </c>
      <c r="J280" s="104" t="s">
        <v>105</v>
      </c>
      <c r="K280" s="104" t="s">
        <v>136</v>
      </c>
      <c r="L280" s="104" t="s">
        <v>1032</v>
      </c>
      <c r="M280" s="104" t="s">
        <v>114</v>
      </c>
      <c r="N280" s="108" t="s">
        <v>17</v>
      </c>
      <c r="O280" s="104" t="s">
        <v>17</v>
      </c>
      <c r="P280" s="113">
        <v>4.5670000000000002</v>
      </c>
      <c r="Q280" s="113">
        <v>5.641</v>
      </c>
      <c r="R280" s="104" t="s">
        <v>17</v>
      </c>
      <c r="S280" s="253">
        <f>(10^((3.0451*LOG(P280)-0.0643)))</f>
        <v>87.971580268306028</v>
      </c>
      <c r="T280" s="104" t="s">
        <v>1145</v>
      </c>
      <c r="U280" s="108">
        <v>0.93979999999999997</v>
      </c>
      <c r="V280" s="107">
        <v>16</v>
      </c>
      <c r="W280" s="106" t="s">
        <v>1148</v>
      </c>
    </row>
    <row r="281" spans="1:23" ht="21" customHeight="1">
      <c r="A281" s="104" t="s">
        <v>218</v>
      </c>
      <c r="B281" s="104" t="s">
        <v>187</v>
      </c>
      <c r="C281" s="454" t="s">
        <v>1142</v>
      </c>
      <c r="D281" s="105" t="s">
        <v>189</v>
      </c>
      <c r="E281" s="104">
        <v>933</v>
      </c>
      <c r="F281" s="104">
        <v>1353</v>
      </c>
      <c r="G281" s="106" t="s">
        <v>102</v>
      </c>
      <c r="H281" s="104" t="s">
        <v>103</v>
      </c>
      <c r="I281" s="104" t="s">
        <v>104</v>
      </c>
      <c r="J281" s="104" t="s">
        <v>105</v>
      </c>
      <c r="K281" s="104" t="s">
        <v>136</v>
      </c>
      <c r="L281" s="104" t="s">
        <v>1032</v>
      </c>
      <c r="M281" s="104" t="s">
        <v>108</v>
      </c>
      <c r="N281" s="108" t="s">
        <v>17</v>
      </c>
      <c r="O281" s="104" t="s">
        <v>17</v>
      </c>
      <c r="P281" s="113">
        <v>4.7469999999999999</v>
      </c>
      <c r="Q281" s="113">
        <v>5.6440000000000001</v>
      </c>
      <c r="R281" s="104" t="s">
        <v>17</v>
      </c>
      <c r="S281" s="253">
        <f>(10^((3.0451*LOG(P281)-0.0643)))</f>
        <v>98.961029012049721</v>
      </c>
      <c r="T281" s="104" t="s">
        <v>1145</v>
      </c>
      <c r="U281" s="108">
        <v>0.93979999999999997</v>
      </c>
      <c r="V281" s="107">
        <v>16</v>
      </c>
      <c r="W281" s="106" t="s">
        <v>1149</v>
      </c>
    </row>
    <row r="282" spans="1:23" ht="21" customHeight="1">
      <c r="A282" s="104" t="s">
        <v>273</v>
      </c>
      <c r="B282" s="104" t="s">
        <v>74</v>
      </c>
      <c r="C282" s="454" t="s">
        <v>266</v>
      </c>
      <c r="D282" s="105" t="s">
        <v>282</v>
      </c>
      <c r="E282" s="104">
        <v>933</v>
      </c>
      <c r="F282" s="104">
        <v>483</v>
      </c>
      <c r="G282" s="106" t="s">
        <v>102</v>
      </c>
      <c r="H282" s="104"/>
      <c r="I282" s="104" t="s">
        <v>104</v>
      </c>
      <c r="J282" s="104" t="s">
        <v>284</v>
      </c>
      <c r="K282" s="104" t="s">
        <v>1154</v>
      </c>
      <c r="L282" s="104" t="s">
        <v>1155</v>
      </c>
      <c r="M282" s="104" t="s">
        <v>108</v>
      </c>
      <c r="N282" s="108"/>
      <c r="O282" s="104"/>
      <c r="P282" s="108"/>
      <c r="Q282" s="108"/>
      <c r="R282" s="104"/>
      <c r="S282" s="253">
        <v>32.421959999999999</v>
      </c>
      <c r="T282" s="104"/>
      <c r="U282" s="108"/>
      <c r="V282" s="107"/>
      <c r="W282" s="106"/>
    </row>
    <row r="283" spans="1:23" ht="21" customHeight="1">
      <c r="A283" s="104" t="s">
        <v>273</v>
      </c>
      <c r="B283" s="104" t="s">
        <v>74</v>
      </c>
      <c r="C283" s="454" t="s">
        <v>266</v>
      </c>
      <c r="D283" s="105" t="s">
        <v>282</v>
      </c>
      <c r="E283" s="104">
        <v>933</v>
      </c>
      <c r="F283" s="104">
        <v>2505</v>
      </c>
      <c r="G283" s="106" t="s">
        <v>102</v>
      </c>
      <c r="H283" s="104"/>
      <c r="I283" s="104" t="s">
        <v>104</v>
      </c>
      <c r="J283" s="104" t="s">
        <v>284</v>
      </c>
      <c r="K283" s="104" t="s">
        <v>691</v>
      </c>
      <c r="L283" s="104" t="s">
        <v>692</v>
      </c>
      <c r="M283" s="104" t="s">
        <v>114</v>
      </c>
      <c r="N283" s="108"/>
      <c r="O283" s="104"/>
      <c r="P283" s="108"/>
      <c r="Q283" s="108"/>
      <c r="R283" s="104"/>
      <c r="S283" s="253">
        <v>33.184980000000003</v>
      </c>
      <c r="T283" s="104"/>
      <c r="U283" s="108"/>
      <c r="V283" s="107"/>
      <c r="W283" s="106"/>
    </row>
    <row r="284" spans="1:23" ht="21" customHeight="1">
      <c r="A284" s="104" t="s">
        <v>273</v>
      </c>
      <c r="B284" s="104" t="s">
        <v>74</v>
      </c>
      <c r="C284" s="454" t="s">
        <v>266</v>
      </c>
      <c r="D284" s="105" t="s">
        <v>282</v>
      </c>
      <c r="E284" s="104">
        <v>933</v>
      </c>
      <c r="F284" s="104">
        <v>2275</v>
      </c>
      <c r="G284" s="106" t="s">
        <v>102</v>
      </c>
      <c r="H284" s="104"/>
      <c r="I284" s="104" t="s">
        <v>104</v>
      </c>
      <c r="J284" s="104" t="s">
        <v>284</v>
      </c>
      <c r="K284" s="104" t="s">
        <v>1159</v>
      </c>
      <c r="L284" s="104" t="s">
        <v>1160</v>
      </c>
      <c r="M284" s="104" t="s">
        <v>114</v>
      </c>
      <c r="N284" s="108"/>
      <c r="O284" s="104"/>
      <c r="P284" s="108"/>
      <c r="Q284" s="108"/>
      <c r="R284" s="104"/>
      <c r="S284" s="253">
        <v>34.520910000000001</v>
      </c>
      <c r="T284" s="104"/>
      <c r="U284" s="108"/>
      <c r="V284" s="107"/>
      <c r="W284" s="106"/>
    </row>
    <row r="285" spans="1:23" ht="21" customHeight="1">
      <c r="A285" s="104" t="s">
        <v>273</v>
      </c>
      <c r="B285" s="104" t="s">
        <v>74</v>
      </c>
      <c r="C285" s="454" t="s">
        <v>266</v>
      </c>
      <c r="D285" s="105" t="s">
        <v>282</v>
      </c>
      <c r="E285" s="104">
        <v>933</v>
      </c>
      <c r="F285" s="104">
        <v>1963</v>
      </c>
      <c r="G285" s="106" t="s">
        <v>102</v>
      </c>
      <c r="H285" s="104"/>
      <c r="I285" s="104" t="s">
        <v>104</v>
      </c>
      <c r="J285" s="104" t="s">
        <v>284</v>
      </c>
      <c r="K285" s="104" t="s">
        <v>660</v>
      </c>
      <c r="L285" s="104" t="s">
        <v>661</v>
      </c>
      <c r="M285" s="104"/>
      <c r="N285" s="108"/>
      <c r="O285" s="104"/>
      <c r="P285" s="108"/>
      <c r="Q285" s="108"/>
      <c r="R285" s="104"/>
      <c r="S285" s="253">
        <v>35.935130000000001</v>
      </c>
      <c r="T285" s="104"/>
      <c r="U285" s="108"/>
      <c r="V285" s="107"/>
      <c r="W285" s="106"/>
    </row>
    <row r="286" spans="1:23" ht="21" customHeight="1">
      <c r="A286" s="104" t="s">
        <v>273</v>
      </c>
      <c r="B286" s="104" t="s">
        <v>74</v>
      </c>
      <c r="C286" s="454" t="s">
        <v>266</v>
      </c>
      <c r="D286" s="105" t="s">
        <v>282</v>
      </c>
      <c r="E286" s="104">
        <v>933</v>
      </c>
      <c r="F286" s="104">
        <v>484</v>
      </c>
      <c r="G286" s="106" t="s">
        <v>102</v>
      </c>
      <c r="H286" s="104"/>
      <c r="I286" s="104" t="s">
        <v>104</v>
      </c>
      <c r="J286" s="104" t="s">
        <v>284</v>
      </c>
      <c r="K286" s="104" t="s">
        <v>691</v>
      </c>
      <c r="L286" s="104" t="s">
        <v>692</v>
      </c>
      <c r="M286" s="104" t="s">
        <v>108</v>
      </c>
      <c r="N286" s="108"/>
      <c r="O286" s="104"/>
      <c r="P286" s="108"/>
      <c r="Q286" s="108"/>
      <c r="R286" s="104"/>
      <c r="S286" s="253">
        <v>38.860140000000001</v>
      </c>
      <c r="T286" s="104"/>
      <c r="U286" s="108"/>
      <c r="V286" s="107"/>
      <c r="W286" s="106"/>
    </row>
    <row r="287" spans="1:23" ht="21" customHeight="1">
      <c r="A287" s="104" t="s">
        <v>273</v>
      </c>
      <c r="B287" s="104" t="s">
        <v>74</v>
      </c>
      <c r="C287" s="454" t="s">
        <v>266</v>
      </c>
      <c r="D287" s="105" t="s">
        <v>282</v>
      </c>
      <c r="E287" s="104">
        <v>933</v>
      </c>
      <c r="F287" s="104">
        <v>2274</v>
      </c>
      <c r="G287" s="106" t="s">
        <v>102</v>
      </c>
      <c r="H287" s="104"/>
      <c r="I287" s="104" t="s">
        <v>104</v>
      </c>
      <c r="J287" s="104" t="s">
        <v>284</v>
      </c>
      <c r="K287" s="104" t="s">
        <v>691</v>
      </c>
      <c r="L287" s="104" t="s">
        <v>692</v>
      </c>
      <c r="M287" s="104" t="s">
        <v>114</v>
      </c>
      <c r="N287" s="108"/>
      <c r="O287" s="104"/>
      <c r="P287" s="108"/>
      <c r="Q287" s="108"/>
      <c r="R287" s="104"/>
      <c r="S287" s="253">
        <v>38.860140000000001</v>
      </c>
      <c r="T287" s="104"/>
      <c r="U287" s="108"/>
      <c r="V287" s="107"/>
      <c r="W287" s="106"/>
    </row>
    <row r="288" spans="1:23" ht="21" customHeight="1">
      <c r="A288" s="104" t="s">
        <v>273</v>
      </c>
      <c r="B288" s="104" t="s">
        <v>74</v>
      </c>
      <c r="C288" s="454" t="s">
        <v>266</v>
      </c>
      <c r="D288" s="105" t="s">
        <v>282</v>
      </c>
      <c r="E288" s="104">
        <v>933</v>
      </c>
      <c r="F288" s="104">
        <v>1961</v>
      </c>
      <c r="G288" s="106" t="s">
        <v>102</v>
      </c>
      <c r="H288" s="104"/>
      <c r="I288" s="104" t="s">
        <v>104</v>
      </c>
      <c r="J288" s="104" t="s">
        <v>284</v>
      </c>
      <c r="K288" s="104" t="s">
        <v>1164</v>
      </c>
      <c r="L288" s="104" t="s">
        <v>1165</v>
      </c>
      <c r="M288" s="104" t="s">
        <v>108</v>
      </c>
      <c r="N288" s="108"/>
      <c r="O288" s="104"/>
      <c r="P288" s="108"/>
      <c r="Q288" s="108"/>
      <c r="R288" s="104"/>
      <c r="S288" s="253">
        <v>42.847410000000004</v>
      </c>
      <c r="T288" s="104"/>
      <c r="U288" s="108"/>
      <c r="V288" s="107"/>
      <c r="W288" s="106"/>
    </row>
    <row r="289" spans="1:23" ht="21" customHeight="1">
      <c r="A289" s="104" t="s">
        <v>273</v>
      </c>
      <c r="B289" s="104" t="s">
        <v>74</v>
      </c>
      <c r="C289" s="454" t="s">
        <v>266</v>
      </c>
      <c r="D289" s="105" t="s">
        <v>282</v>
      </c>
      <c r="E289" s="104">
        <v>933</v>
      </c>
      <c r="F289" s="104">
        <v>1195</v>
      </c>
      <c r="G289" s="106" t="s">
        <v>102</v>
      </c>
      <c r="H289" s="104"/>
      <c r="I289" s="104" t="s">
        <v>104</v>
      </c>
      <c r="J289" s="104" t="s">
        <v>284</v>
      </c>
      <c r="K289" s="104" t="s">
        <v>121</v>
      </c>
      <c r="L289" s="104" t="s">
        <v>1041</v>
      </c>
      <c r="M289" s="104" t="s">
        <v>108</v>
      </c>
      <c r="N289" s="108"/>
      <c r="O289" s="104"/>
      <c r="P289" s="108"/>
      <c r="Q289" s="108"/>
      <c r="R289" s="104"/>
      <c r="S289" s="253">
        <v>42.930570000000003</v>
      </c>
      <c r="T289" s="104"/>
      <c r="U289" s="108"/>
      <c r="V289" s="107"/>
      <c r="W289" s="106"/>
    </row>
    <row r="290" spans="1:23" ht="21" customHeight="1">
      <c r="A290" s="104" t="s">
        <v>273</v>
      </c>
      <c r="B290" s="104" t="s">
        <v>74</v>
      </c>
      <c r="C290" s="454" t="s">
        <v>266</v>
      </c>
      <c r="D290" s="105" t="s">
        <v>282</v>
      </c>
      <c r="E290" s="104">
        <v>933</v>
      </c>
      <c r="F290" s="104">
        <v>1961</v>
      </c>
      <c r="G290" s="106" t="s">
        <v>102</v>
      </c>
      <c r="H290" s="104"/>
      <c r="I290" s="104" t="s">
        <v>104</v>
      </c>
      <c r="J290" s="104" t="s">
        <v>284</v>
      </c>
      <c r="K290" s="104" t="s">
        <v>136</v>
      </c>
      <c r="L290" s="104" t="s">
        <v>1032</v>
      </c>
      <c r="M290" s="104" t="s">
        <v>108</v>
      </c>
      <c r="N290" s="108"/>
      <c r="O290" s="104"/>
      <c r="P290" s="108"/>
      <c r="Q290" s="108"/>
      <c r="R290" s="104"/>
      <c r="S290" s="253">
        <v>45.188569999999999</v>
      </c>
      <c r="T290" s="104"/>
      <c r="U290" s="108"/>
      <c r="V290" s="107"/>
      <c r="W290" s="106"/>
    </row>
    <row r="291" spans="1:23" ht="21" customHeight="1">
      <c r="A291" s="104" t="s">
        <v>273</v>
      </c>
      <c r="B291" s="104" t="s">
        <v>74</v>
      </c>
      <c r="C291" s="454" t="s">
        <v>266</v>
      </c>
      <c r="D291" s="105" t="s">
        <v>282</v>
      </c>
      <c r="E291" s="104">
        <v>933</v>
      </c>
      <c r="F291" s="104">
        <v>1846</v>
      </c>
      <c r="G291" s="106" t="s">
        <v>102</v>
      </c>
      <c r="H291" s="104"/>
      <c r="I291" s="104" t="s">
        <v>104</v>
      </c>
      <c r="J291" s="104" t="s">
        <v>284</v>
      </c>
      <c r="K291" s="104" t="s">
        <v>660</v>
      </c>
      <c r="L291" s="104" t="s">
        <v>661</v>
      </c>
      <c r="M291" s="104"/>
      <c r="N291" s="108"/>
      <c r="O291" s="104"/>
      <c r="P291" s="108"/>
      <c r="Q291" s="108"/>
      <c r="R291" s="104"/>
      <c r="S291" s="253">
        <v>51.143279999999997</v>
      </c>
      <c r="T291" s="104"/>
      <c r="U291" s="108"/>
      <c r="V291" s="107"/>
      <c r="W291" s="106"/>
    </row>
    <row r="292" spans="1:23" ht="21" customHeight="1">
      <c r="A292" s="104" t="s">
        <v>273</v>
      </c>
      <c r="B292" s="104" t="s">
        <v>74</v>
      </c>
      <c r="C292" s="454" t="s">
        <v>266</v>
      </c>
      <c r="D292" s="105" t="s">
        <v>282</v>
      </c>
      <c r="E292" s="104">
        <v>933</v>
      </c>
      <c r="F292" s="104">
        <v>1933</v>
      </c>
      <c r="G292" s="106" t="s">
        <v>102</v>
      </c>
      <c r="H292" s="104"/>
      <c r="I292" s="104" t="s">
        <v>104</v>
      </c>
      <c r="J292" s="104" t="s">
        <v>284</v>
      </c>
      <c r="K292" s="104" t="s">
        <v>691</v>
      </c>
      <c r="L292" s="104" t="s">
        <v>692</v>
      </c>
      <c r="M292" s="104" t="s">
        <v>114</v>
      </c>
      <c r="N292" s="108"/>
      <c r="O292" s="104"/>
      <c r="P292" s="108"/>
      <c r="Q292" s="108"/>
      <c r="R292" s="104"/>
      <c r="S292" s="253">
        <v>56.140339999999995</v>
      </c>
      <c r="T292" s="104"/>
      <c r="U292" s="108"/>
      <c r="V292" s="107"/>
      <c r="W292" s="106"/>
    </row>
    <row r="293" spans="1:23" ht="21" customHeight="1">
      <c r="A293" s="104" t="s">
        <v>273</v>
      </c>
      <c r="B293" s="104" t="s">
        <v>74</v>
      </c>
      <c r="C293" s="454" t="s">
        <v>266</v>
      </c>
      <c r="D293" s="105" t="s">
        <v>282</v>
      </c>
      <c r="E293" s="104">
        <v>933</v>
      </c>
      <c r="F293" s="104">
        <v>1962</v>
      </c>
      <c r="G293" s="106" t="s">
        <v>102</v>
      </c>
      <c r="H293" s="104"/>
      <c r="I293" s="104" t="s">
        <v>104</v>
      </c>
      <c r="J293" s="104" t="s">
        <v>284</v>
      </c>
      <c r="K293" s="104" t="s">
        <v>691</v>
      </c>
      <c r="L293" s="104" t="s">
        <v>692</v>
      </c>
      <c r="M293" s="104" t="s">
        <v>108</v>
      </c>
      <c r="N293" s="108"/>
      <c r="O293" s="104"/>
      <c r="P293" s="108"/>
      <c r="Q293" s="108"/>
      <c r="R293" s="104"/>
      <c r="S293" s="253">
        <v>56.140339999999995</v>
      </c>
      <c r="T293" s="104"/>
      <c r="U293" s="108"/>
      <c r="V293" s="107"/>
      <c r="W293" s="106"/>
    </row>
    <row r="294" spans="1:23" ht="21" customHeight="1">
      <c r="A294" s="104" t="s">
        <v>273</v>
      </c>
      <c r="B294" s="104" t="s">
        <v>74</v>
      </c>
      <c r="C294" s="454" t="s">
        <v>266</v>
      </c>
      <c r="D294" s="105" t="s">
        <v>282</v>
      </c>
      <c r="E294" s="104">
        <v>933</v>
      </c>
      <c r="F294" s="104">
        <v>1847</v>
      </c>
      <c r="G294" s="106" t="s">
        <v>102</v>
      </c>
      <c r="H294" s="104"/>
      <c r="I294" s="104" t="s">
        <v>104</v>
      </c>
      <c r="J294" s="104" t="s">
        <v>284</v>
      </c>
      <c r="K294" s="104" t="s">
        <v>1157</v>
      </c>
      <c r="L294" s="104" t="s">
        <v>1158</v>
      </c>
      <c r="M294" s="104" t="s">
        <v>114</v>
      </c>
      <c r="N294" s="108"/>
      <c r="O294" s="104"/>
      <c r="P294" s="108"/>
      <c r="Q294" s="108"/>
      <c r="R294" s="104"/>
      <c r="S294" s="253">
        <v>56.777550000000005</v>
      </c>
      <c r="T294" s="104"/>
      <c r="U294" s="108"/>
      <c r="V294" s="107"/>
      <c r="W294" s="106"/>
    </row>
    <row r="295" spans="1:23" ht="21" customHeight="1">
      <c r="A295" s="104" t="s">
        <v>273</v>
      </c>
      <c r="B295" s="104" t="s">
        <v>74</v>
      </c>
      <c r="C295" s="454" t="s">
        <v>266</v>
      </c>
      <c r="D295" s="105" t="s">
        <v>282</v>
      </c>
      <c r="E295" s="104">
        <v>933</v>
      </c>
      <c r="F295" s="104">
        <v>2822</v>
      </c>
      <c r="G295" s="106" t="s">
        <v>102</v>
      </c>
      <c r="H295" s="104"/>
      <c r="I295" s="104" t="s">
        <v>104</v>
      </c>
      <c r="J295" s="104" t="s">
        <v>284</v>
      </c>
      <c r="K295" s="104" t="s">
        <v>1179</v>
      </c>
      <c r="L295" s="104" t="s">
        <v>1180</v>
      </c>
      <c r="M295" s="104" t="s">
        <v>108</v>
      </c>
      <c r="N295" s="108"/>
      <c r="O295" s="104"/>
      <c r="P295" s="108"/>
      <c r="Q295" s="108"/>
      <c r="R295" s="104"/>
      <c r="S295" s="253">
        <v>56.926259999999999</v>
      </c>
      <c r="T295" s="104"/>
      <c r="U295" s="108"/>
      <c r="V295" s="107"/>
      <c r="W295" s="106"/>
    </row>
    <row r="296" spans="1:23" ht="21" customHeight="1">
      <c r="A296" s="104" t="s">
        <v>273</v>
      </c>
      <c r="B296" s="104" t="s">
        <v>74</v>
      </c>
      <c r="C296" s="454" t="s">
        <v>266</v>
      </c>
      <c r="D296" s="105" t="s">
        <v>282</v>
      </c>
      <c r="E296" s="104">
        <v>933</v>
      </c>
      <c r="F296" s="104">
        <v>1960</v>
      </c>
      <c r="G296" s="106" t="s">
        <v>102</v>
      </c>
      <c r="H296" s="104"/>
      <c r="I296" s="104" t="s">
        <v>104</v>
      </c>
      <c r="J296" s="104" t="s">
        <v>284</v>
      </c>
      <c r="K296" s="104" t="s">
        <v>1179</v>
      </c>
      <c r="L296" s="104" t="s">
        <v>1180</v>
      </c>
      <c r="M296" s="104" t="s">
        <v>114</v>
      </c>
      <c r="N296" s="108"/>
      <c r="O296" s="104"/>
      <c r="P296" s="108"/>
      <c r="Q296" s="108"/>
      <c r="R296" s="104"/>
      <c r="S296" s="253">
        <v>60.143230000000003</v>
      </c>
      <c r="T296" s="104"/>
      <c r="U296" s="108"/>
      <c r="V296" s="107"/>
      <c r="W296" s="106"/>
    </row>
    <row r="297" spans="1:23" ht="21" customHeight="1">
      <c r="A297" s="104" t="s">
        <v>273</v>
      </c>
      <c r="B297" s="104" t="s">
        <v>74</v>
      </c>
      <c r="C297" s="454" t="s">
        <v>266</v>
      </c>
      <c r="D297" s="105" t="s">
        <v>282</v>
      </c>
      <c r="E297" s="104">
        <v>933</v>
      </c>
      <c r="F297" s="104">
        <v>1907</v>
      </c>
      <c r="G297" s="106" t="s">
        <v>102</v>
      </c>
      <c r="H297" s="104"/>
      <c r="I297" s="104" t="s">
        <v>104</v>
      </c>
      <c r="J297" s="104" t="s">
        <v>284</v>
      </c>
      <c r="K297" s="104" t="s">
        <v>112</v>
      </c>
      <c r="L297" s="104" t="s">
        <v>663</v>
      </c>
      <c r="M297" s="104" t="s">
        <v>114</v>
      </c>
      <c r="N297" s="108"/>
      <c r="O297" s="104"/>
      <c r="P297" s="108"/>
      <c r="Q297" s="108"/>
      <c r="R297" s="104"/>
      <c r="S297" s="253">
        <v>62.828440000000001</v>
      </c>
      <c r="T297" s="104" t="s">
        <v>411</v>
      </c>
      <c r="U297" s="108"/>
      <c r="V297" s="107"/>
      <c r="W297" s="106"/>
    </row>
    <row r="298" spans="1:23" ht="21" customHeight="1">
      <c r="A298" s="104" t="s">
        <v>273</v>
      </c>
      <c r="B298" s="104" t="s">
        <v>74</v>
      </c>
      <c r="C298" s="454" t="s">
        <v>266</v>
      </c>
      <c r="D298" s="105" t="s">
        <v>282</v>
      </c>
      <c r="E298" s="104">
        <v>933</v>
      </c>
      <c r="F298" s="104">
        <v>3904</v>
      </c>
      <c r="G298" s="106" t="s">
        <v>102</v>
      </c>
      <c r="H298" s="104"/>
      <c r="I298" s="104" t="s">
        <v>104</v>
      </c>
      <c r="J298" s="104" t="s">
        <v>284</v>
      </c>
      <c r="K298" s="104" t="s">
        <v>1159</v>
      </c>
      <c r="L298" s="104" t="s">
        <v>1160</v>
      </c>
      <c r="M298" s="104" t="s">
        <v>114</v>
      </c>
      <c r="N298" s="108"/>
      <c r="O298" s="104"/>
      <c r="P298" s="108"/>
      <c r="Q298" s="108"/>
      <c r="R298" s="104"/>
      <c r="S298" s="253">
        <v>73.704920000000001</v>
      </c>
      <c r="T298" s="104"/>
      <c r="U298" s="108"/>
      <c r="V298" s="107"/>
      <c r="W298" s="106"/>
    </row>
    <row r="299" spans="1:23" ht="21" customHeight="1">
      <c r="A299" s="104" t="s">
        <v>273</v>
      </c>
      <c r="B299" s="104" t="s">
        <v>74</v>
      </c>
      <c r="C299" s="454" t="s">
        <v>266</v>
      </c>
      <c r="D299" s="105" t="s">
        <v>282</v>
      </c>
      <c r="E299" s="104">
        <v>933</v>
      </c>
      <c r="F299" s="104">
        <v>1848</v>
      </c>
      <c r="G299" s="106" t="s">
        <v>102</v>
      </c>
      <c r="H299" s="104"/>
      <c r="I299" s="104" t="s">
        <v>104</v>
      </c>
      <c r="J299" s="104" t="s">
        <v>284</v>
      </c>
      <c r="K299" s="104" t="s">
        <v>1159</v>
      </c>
      <c r="L299" s="104" t="s">
        <v>1160</v>
      </c>
      <c r="M299" s="104" t="s">
        <v>108</v>
      </c>
      <c r="N299" s="108"/>
      <c r="O299" s="104"/>
      <c r="P299" s="108"/>
      <c r="Q299" s="108"/>
      <c r="R299" s="104"/>
      <c r="S299" s="253">
        <v>77.238710000000012</v>
      </c>
      <c r="T299" s="104"/>
      <c r="U299" s="108"/>
      <c r="V299" s="107"/>
      <c r="W299" s="106"/>
    </row>
    <row r="300" spans="1:23" ht="21" customHeight="1">
      <c r="A300" s="104" t="s">
        <v>273</v>
      </c>
      <c r="B300" s="104" t="s">
        <v>74</v>
      </c>
      <c r="C300" s="454" t="s">
        <v>266</v>
      </c>
      <c r="D300" s="105" t="s">
        <v>282</v>
      </c>
      <c r="E300" s="104">
        <v>933</v>
      </c>
      <c r="F300" s="104">
        <v>1849</v>
      </c>
      <c r="G300" s="106" t="s">
        <v>102</v>
      </c>
      <c r="H300" s="104"/>
      <c r="I300" s="104" t="s">
        <v>104</v>
      </c>
      <c r="J300" s="104" t="s">
        <v>284</v>
      </c>
      <c r="K300" s="104" t="s">
        <v>1159</v>
      </c>
      <c r="L300" s="104" t="s">
        <v>1160</v>
      </c>
      <c r="M300" s="104" t="s">
        <v>114</v>
      </c>
      <c r="N300" s="108"/>
      <c r="O300" s="104"/>
      <c r="P300" s="108"/>
      <c r="Q300" s="108"/>
      <c r="R300" s="104"/>
      <c r="S300" s="253">
        <v>79.11018</v>
      </c>
      <c r="T300" s="104"/>
      <c r="U300" s="108"/>
      <c r="V300" s="107"/>
      <c r="W300" s="106"/>
    </row>
    <row r="301" spans="1:23" ht="21" customHeight="1">
      <c r="A301" s="104" t="s">
        <v>273</v>
      </c>
      <c r="B301" s="104" t="s">
        <v>74</v>
      </c>
      <c r="C301" s="454" t="s">
        <v>266</v>
      </c>
      <c r="D301" s="105" t="s">
        <v>282</v>
      </c>
      <c r="E301" s="104">
        <v>933</v>
      </c>
      <c r="F301" s="104">
        <v>71</v>
      </c>
      <c r="G301" s="106" t="s">
        <v>102</v>
      </c>
      <c r="H301" s="104" t="s">
        <v>103</v>
      </c>
      <c r="I301" s="104" t="s">
        <v>104</v>
      </c>
      <c r="J301" s="104" t="s">
        <v>105</v>
      </c>
      <c r="K301" s="104" t="s">
        <v>155</v>
      </c>
      <c r="L301" s="104" t="s">
        <v>658</v>
      </c>
      <c r="M301" s="104" t="s">
        <v>108</v>
      </c>
      <c r="N301" s="108" t="s">
        <v>17</v>
      </c>
      <c r="O301" s="104" t="s">
        <v>17</v>
      </c>
      <c r="P301" s="108">
        <v>2.476</v>
      </c>
      <c r="Q301" s="108">
        <v>1.9329999999999998</v>
      </c>
      <c r="R301" s="104" t="s">
        <v>17</v>
      </c>
      <c r="S301" s="253">
        <f>((10^(((LOG((P301*10)))*2.5447)+1.4669)))/1000</f>
        <v>103.17565971859399</v>
      </c>
      <c r="T301" s="104" t="s">
        <v>1152</v>
      </c>
      <c r="U301" s="108">
        <v>0.88</v>
      </c>
      <c r="V301" s="107" t="s">
        <v>287</v>
      </c>
      <c r="W301" s="114" t="s">
        <v>410</v>
      </c>
    </row>
    <row r="302" spans="1:23" ht="21" customHeight="1">
      <c r="A302" s="104" t="s">
        <v>273</v>
      </c>
      <c r="B302" s="104" t="s">
        <v>74</v>
      </c>
      <c r="C302" s="454" t="s">
        <v>266</v>
      </c>
      <c r="D302" s="105" t="s">
        <v>406</v>
      </c>
      <c r="E302" s="104">
        <v>933</v>
      </c>
      <c r="F302" s="104">
        <v>2</v>
      </c>
      <c r="G302" s="106" t="s">
        <v>102</v>
      </c>
      <c r="H302" s="104"/>
      <c r="I302" s="104" t="s">
        <v>104</v>
      </c>
      <c r="J302" s="104" t="s">
        <v>284</v>
      </c>
      <c r="K302" s="104" t="s">
        <v>112</v>
      </c>
      <c r="L302" s="104" t="s">
        <v>663</v>
      </c>
      <c r="M302" s="104" t="s">
        <v>108</v>
      </c>
      <c r="N302" s="108"/>
      <c r="O302" s="104"/>
      <c r="P302" s="108"/>
      <c r="Q302" s="108"/>
      <c r="R302" s="104"/>
      <c r="S302" s="253">
        <v>60.11759</v>
      </c>
      <c r="T302" s="104" t="s">
        <v>411</v>
      </c>
      <c r="U302" s="108"/>
      <c r="V302" s="107"/>
      <c r="W302" s="106"/>
    </row>
    <row r="303" spans="1:23" ht="21" customHeight="1">
      <c r="A303" s="104" t="s">
        <v>273</v>
      </c>
      <c r="B303" s="104" t="s">
        <v>74</v>
      </c>
      <c r="C303" s="454" t="s">
        <v>266</v>
      </c>
      <c r="D303" s="105" t="s">
        <v>406</v>
      </c>
      <c r="E303" s="104">
        <v>933</v>
      </c>
      <c r="F303" s="104">
        <v>3668</v>
      </c>
      <c r="G303" s="106" t="s">
        <v>102</v>
      </c>
      <c r="H303" s="104" t="s">
        <v>103</v>
      </c>
      <c r="I303" s="104" t="s">
        <v>104</v>
      </c>
      <c r="J303" s="104" t="s">
        <v>105</v>
      </c>
      <c r="K303" s="104" t="s">
        <v>143</v>
      </c>
      <c r="L303" s="104" t="s">
        <v>408</v>
      </c>
      <c r="M303" s="104" t="s">
        <v>108</v>
      </c>
      <c r="N303" s="108" t="s">
        <v>17</v>
      </c>
      <c r="O303" s="104" t="s">
        <v>17</v>
      </c>
      <c r="P303" s="108">
        <v>1.1659999999999999</v>
      </c>
      <c r="Q303" s="108">
        <v>0.72300000000000009</v>
      </c>
      <c r="R303" s="104" t="s">
        <v>17</v>
      </c>
      <c r="S303" s="253">
        <f>((10^(((LOG((P303*10)))*3.413)+1.2869)))/1000</f>
        <v>84.633471001185981</v>
      </c>
      <c r="T303" s="104" t="s">
        <v>409</v>
      </c>
      <c r="U303" s="108">
        <v>0.82</v>
      </c>
      <c r="V303" s="107" t="s">
        <v>287</v>
      </c>
      <c r="W303" s="114" t="s">
        <v>410</v>
      </c>
    </row>
    <row r="304" spans="1:23" ht="21" customHeight="1">
      <c r="A304" s="104" t="s">
        <v>273</v>
      </c>
      <c r="B304" s="104" t="s">
        <v>74</v>
      </c>
      <c r="C304" s="454" t="s">
        <v>266</v>
      </c>
      <c r="D304" s="105" t="s">
        <v>267</v>
      </c>
      <c r="E304" s="104">
        <v>933</v>
      </c>
      <c r="F304" s="104">
        <v>2118</v>
      </c>
      <c r="G304" s="106" t="s">
        <v>102</v>
      </c>
      <c r="H304" s="104"/>
      <c r="I304" s="104" t="s">
        <v>104</v>
      </c>
      <c r="J304" s="104" t="s">
        <v>284</v>
      </c>
      <c r="K304" s="104" t="s">
        <v>136</v>
      </c>
      <c r="L304" s="104" t="s">
        <v>1032</v>
      </c>
      <c r="M304" s="104" t="s">
        <v>108</v>
      </c>
      <c r="N304" s="108"/>
      <c r="O304" s="104"/>
      <c r="P304" s="108"/>
      <c r="Q304" s="108"/>
      <c r="R304" s="104"/>
      <c r="S304" s="253">
        <v>6.2994899999999996</v>
      </c>
      <c r="T304" s="104"/>
      <c r="U304" s="108"/>
      <c r="V304" s="107"/>
      <c r="W304" s="106"/>
    </row>
    <row r="305" spans="1:23" ht="21" customHeight="1">
      <c r="A305" s="104" t="s">
        <v>273</v>
      </c>
      <c r="B305" s="104" t="s">
        <v>74</v>
      </c>
      <c r="C305" s="454" t="s">
        <v>266</v>
      </c>
      <c r="D305" s="105" t="s">
        <v>267</v>
      </c>
      <c r="E305" s="104">
        <v>933</v>
      </c>
      <c r="F305" s="104">
        <v>3672</v>
      </c>
      <c r="G305" s="106" t="s">
        <v>102</v>
      </c>
      <c r="H305" s="104" t="s">
        <v>103</v>
      </c>
      <c r="I305" s="104" t="s">
        <v>104</v>
      </c>
      <c r="J305" s="104" t="s">
        <v>105</v>
      </c>
      <c r="K305" s="104" t="s">
        <v>401</v>
      </c>
      <c r="L305" s="104" t="s">
        <v>402</v>
      </c>
      <c r="M305" s="104" t="s">
        <v>108</v>
      </c>
      <c r="N305" s="108" t="s">
        <v>17</v>
      </c>
      <c r="O305" s="104" t="s">
        <v>17</v>
      </c>
      <c r="P305" s="108">
        <v>2.1079999999999997</v>
      </c>
      <c r="Q305" s="108" t="s">
        <v>17</v>
      </c>
      <c r="R305" s="104" t="s">
        <v>17</v>
      </c>
      <c r="S305" s="253">
        <v>6.6593388932486883</v>
      </c>
      <c r="T305" s="104" t="s">
        <v>1151</v>
      </c>
      <c r="U305" s="108">
        <v>0.98994949366116658</v>
      </c>
      <c r="V305" s="107">
        <v>12</v>
      </c>
      <c r="W305" s="114" t="s">
        <v>284</v>
      </c>
    </row>
    <row r="306" spans="1:23" ht="21" customHeight="1">
      <c r="A306" s="104" t="s">
        <v>273</v>
      </c>
      <c r="B306" s="104" t="s">
        <v>74</v>
      </c>
      <c r="C306" s="454" t="s">
        <v>266</v>
      </c>
      <c r="D306" s="105" t="s">
        <v>267</v>
      </c>
      <c r="E306" s="104">
        <v>933</v>
      </c>
      <c r="F306" s="104">
        <v>2013</v>
      </c>
      <c r="G306" s="106" t="s">
        <v>102</v>
      </c>
      <c r="H306" s="104"/>
      <c r="I306" s="104" t="s">
        <v>104</v>
      </c>
      <c r="J306" s="104" t="s">
        <v>284</v>
      </c>
      <c r="K306" s="104" t="s">
        <v>1205</v>
      </c>
      <c r="L306" s="104" t="s">
        <v>1206</v>
      </c>
      <c r="M306" s="104" t="s">
        <v>114</v>
      </c>
      <c r="N306" s="108"/>
      <c r="O306" s="104"/>
      <c r="P306" s="108"/>
      <c r="Q306" s="108"/>
      <c r="R306" s="104"/>
      <c r="S306" s="253">
        <v>6.9859499999999999</v>
      </c>
      <c r="T306" s="104"/>
      <c r="U306" s="108"/>
      <c r="V306" s="107"/>
      <c r="W306" s="106"/>
    </row>
    <row r="307" spans="1:23" ht="21" customHeight="1">
      <c r="A307" s="104" t="s">
        <v>273</v>
      </c>
      <c r="B307" s="104" t="s">
        <v>74</v>
      </c>
      <c r="C307" s="454" t="s">
        <v>266</v>
      </c>
      <c r="D307" s="105" t="s">
        <v>267</v>
      </c>
      <c r="E307" s="104">
        <v>933</v>
      </c>
      <c r="F307" s="104">
        <v>3673</v>
      </c>
      <c r="G307" s="106" t="s">
        <v>102</v>
      </c>
      <c r="H307" s="104" t="s">
        <v>103</v>
      </c>
      <c r="I307" s="104" t="s">
        <v>104</v>
      </c>
      <c r="J307" s="104" t="s">
        <v>105</v>
      </c>
      <c r="K307" s="104" t="s">
        <v>121</v>
      </c>
      <c r="L307" s="104" t="s">
        <v>1041</v>
      </c>
      <c r="M307" s="104" t="s">
        <v>108</v>
      </c>
      <c r="N307" s="108" t="s">
        <v>17</v>
      </c>
      <c r="O307" s="104" t="s">
        <v>17</v>
      </c>
      <c r="P307" s="108" t="s">
        <v>17</v>
      </c>
      <c r="Q307" s="108">
        <v>2.4790000000000001</v>
      </c>
      <c r="R307" s="104" t="s">
        <v>17</v>
      </c>
      <c r="S307" s="253">
        <v>7.1728428656729752</v>
      </c>
      <c r="T307" s="104" t="s">
        <v>1208</v>
      </c>
      <c r="U307" s="108">
        <v>0.98994949366116658</v>
      </c>
      <c r="V307" s="107">
        <v>10.6</v>
      </c>
      <c r="W307" s="114" t="s">
        <v>284</v>
      </c>
    </row>
    <row r="308" spans="1:23" ht="21" customHeight="1">
      <c r="A308" s="104" t="s">
        <v>273</v>
      </c>
      <c r="B308" s="104" t="s">
        <v>74</v>
      </c>
      <c r="C308" s="454" t="s">
        <v>266</v>
      </c>
      <c r="D308" s="105" t="s">
        <v>267</v>
      </c>
      <c r="E308" s="104">
        <v>933</v>
      </c>
      <c r="F308" s="104">
        <v>164</v>
      </c>
      <c r="G308" s="106" t="s">
        <v>102</v>
      </c>
      <c r="H308" s="104" t="s">
        <v>103</v>
      </c>
      <c r="I308" s="104" t="s">
        <v>104</v>
      </c>
      <c r="J308" s="104" t="s">
        <v>105</v>
      </c>
      <c r="K308" s="104" t="s">
        <v>1189</v>
      </c>
      <c r="L308" s="104" t="s">
        <v>1190</v>
      </c>
      <c r="M308" s="104" t="s">
        <v>114</v>
      </c>
      <c r="N308" s="108" t="s">
        <v>17</v>
      </c>
      <c r="O308" s="104" t="s">
        <v>17</v>
      </c>
      <c r="P308" s="108">
        <v>2.8440000000000003</v>
      </c>
      <c r="Q308" s="108">
        <v>2.9039999999999999</v>
      </c>
      <c r="R308" s="104" t="s">
        <v>17</v>
      </c>
      <c r="S308" s="463">
        <f>EXP(2.645*LN(P308*10)-6.882)</f>
        <v>7.191659991018132</v>
      </c>
      <c r="T308" s="103" t="s">
        <v>1191</v>
      </c>
      <c r="U308" s="108">
        <v>0.84299999999999997</v>
      </c>
      <c r="V308" s="107">
        <v>17.899999999999999</v>
      </c>
      <c r="W308" s="114" t="s">
        <v>1192</v>
      </c>
    </row>
    <row r="309" spans="1:23" ht="21" customHeight="1">
      <c r="A309" s="104" t="s">
        <v>273</v>
      </c>
      <c r="B309" s="104" t="s">
        <v>74</v>
      </c>
      <c r="C309" s="454" t="s">
        <v>266</v>
      </c>
      <c r="D309" s="105" t="s">
        <v>267</v>
      </c>
      <c r="E309" s="104">
        <v>933</v>
      </c>
      <c r="F309" s="104">
        <v>1630</v>
      </c>
      <c r="G309" s="106" t="s">
        <v>102</v>
      </c>
      <c r="H309" s="104"/>
      <c r="I309" s="104" t="s">
        <v>104</v>
      </c>
      <c r="J309" s="104" t="s">
        <v>284</v>
      </c>
      <c r="K309" s="104" t="s">
        <v>1159</v>
      </c>
      <c r="L309" s="104" t="s">
        <v>1160</v>
      </c>
      <c r="M309" s="104" t="s">
        <v>114</v>
      </c>
      <c r="N309" s="108"/>
      <c r="O309" s="104"/>
      <c r="P309" s="108"/>
      <c r="Q309" s="108"/>
      <c r="R309" s="104"/>
      <c r="S309" s="253">
        <v>7.4810699999999999</v>
      </c>
      <c r="T309" s="104"/>
      <c r="U309" s="108"/>
      <c r="V309" s="107"/>
      <c r="W309" s="106"/>
    </row>
    <row r="310" spans="1:23" ht="21" customHeight="1">
      <c r="A310" s="104" t="s">
        <v>273</v>
      </c>
      <c r="B310" s="104" t="s">
        <v>74</v>
      </c>
      <c r="C310" s="454" t="s">
        <v>266</v>
      </c>
      <c r="D310" s="105" t="s">
        <v>267</v>
      </c>
      <c r="E310" s="104">
        <v>933</v>
      </c>
      <c r="F310" s="104">
        <v>1633</v>
      </c>
      <c r="G310" s="106" t="s">
        <v>102</v>
      </c>
      <c r="H310" s="104"/>
      <c r="I310" s="104" t="s">
        <v>104</v>
      </c>
      <c r="J310" s="104" t="s">
        <v>284</v>
      </c>
      <c r="K310" s="104" t="s">
        <v>1164</v>
      </c>
      <c r="L310" s="104" t="s">
        <v>1165</v>
      </c>
      <c r="M310" s="104" t="s">
        <v>108</v>
      </c>
      <c r="N310" s="108"/>
      <c r="O310" s="104"/>
      <c r="P310" s="108"/>
      <c r="Q310" s="108"/>
      <c r="R310" s="104"/>
      <c r="S310" s="253">
        <v>8.0420200000000008</v>
      </c>
      <c r="T310" s="104"/>
      <c r="U310" s="108"/>
      <c r="V310" s="107"/>
      <c r="W310" s="106"/>
    </row>
    <row r="311" spans="1:23" ht="21" customHeight="1">
      <c r="A311" s="104" t="s">
        <v>273</v>
      </c>
      <c r="B311" s="104" t="s">
        <v>74</v>
      </c>
      <c r="C311" s="454" t="s">
        <v>266</v>
      </c>
      <c r="D311" s="105" t="s">
        <v>267</v>
      </c>
      <c r="E311" s="104">
        <v>933</v>
      </c>
      <c r="F311" s="104">
        <v>3666</v>
      </c>
      <c r="G311" s="106" t="s">
        <v>102</v>
      </c>
      <c r="H311" s="111" t="s">
        <v>103</v>
      </c>
      <c r="I311" s="104" t="s">
        <v>104</v>
      </c>
      <c r="J311" s="104" t="s">
        <v>105</v>
      </c>
      <c r="K311" s="104" t="s">
        <v>233</v>
      </c>
      <c r="L311" s="104" t="s">
        <v>653</v>
      </c>
      <c r="M311" s="104" t="s">
        <v>108</v>
      </c>
      <c r="N311" s="108" t="s">
        <v>17</v>
      </c>
      <c r="O311" s="104" t="s">
        <v>17</v>
      </c>
      <c r="P311" s="108">
        <v>1.03</v>
      </c>
      <c r="Q311" s="113">
        <v>0.38400000000000001</v>
      </c>
      <c r="R311" s="104" t="s">
        <v>17</v>
      </c>
      <c r="S311" s="253">
        <f>(10^(((LOG(P311*10))*3.3177)+0.5544))/1000</f>
        <v>8.2165605571236746</v>
      </c>
      <c r="T311" s="104" t="s">
        <v>1162</v>
      </c>
      <c r="U311" s="108">
        <v>0.84909999999999997</v>
      </c>
      <c r="V311" s="107"/>
      <c r="W311" s="114" t="s">
        <v>1163</v>
      </c>
    </row>
    <row r="312" spans="1:23" ht="21" customHeight="1">
      <c r="A312" s="104" t="s">
        <v>273</v>
      </c>
      <c r="B312" s="104" t="s">
        <v>74</v>
      </c>
      <c r="C312" s="454" t="s">
        <v>266</v>
      </c>
      <c r="D312" s="105" t="s">
        <v>267</v>
      </c>
      <c r="E312" s="104">
        <v>933</v>
      </c>
      <c r="F312" s="104">
        <v>1626</v>
      </c>
      <c r="G312" s="106" t="s">
        <v>102</v>
      </c>
      <c r="H312" s="104"/>
      <c r="I312" s="104" t="s">
        <v>104</v>
      </c>
      <c r="J312" s="104" t="s">
        <v>284</v>
      </c>
      <c r="K312" s="104" t="s">
        <v>1157</v>
      </c>
      <c r="L312" s="104" t="s">
        <v>1210</v>
      </c>
      <c r="M312" s="104" t="s">
        <v>114</v>
      </c>
      <c r="N312" s="108"/>
      <c r="O312" s="104"/>
      <c r="P312" s="108"/>
      <c r="Q312" s="108"/>
      <c r="R312" s="104"/>
      <c r="S312" s="253">
        <v>9.2324300000000008</v>
      </c>
      <c r="T312" s="104"/>
      <c r="U312" s="108"/>
      <c r="V312" s="107"/>
      <c r="W312" s="106"/>
    </row>
    <row r="313" spans="1:23" ht="21" customHeight="1">
      <c r="A313" s="104" t="s">
        <v>273</v>
      </c>
      <c r="B313" s="104" t="s">
        <v>74</v>
      </c>
      <c r="C313" s="454" t="s">
        <v>266</v>
      </c>
      <c r="D313" s="105" t="s">
        <v>267</v>
      </c>
      <c r="E313" s="104">
        <v>933</v>
      </c>
      <c r="F313" s="104">
        <v>3912</v>
      </c>
      <c r="G313" s="106" t="s">
        <v>102</v>
      </c>
      <c r="H313" s="111" t="s">
        <v>103</v>
      </c>
      <c r="I313" s="104" t="s">
        <v>104</v>
      </c>
      <c r="J313" s="104" t="s">
        <v>105</v>
      </c>
      <c r="K313" s="104" t="s">
        <v>233</v>
      </c>
      <c r="L313" s="104" t="s">
        <v>653</v>
      </c>
      <c r="M313" s="104" t="s">
        <v>108</v>
      </c>
      <c r="N313" s="108" t="s">
        <v>17</v>
      </c>
      <c r="O313" s="104" t="s">
        <v>17</v>
      </c>
      <c r="P313" s="108">
        <v>1.097</v>
      </c>
      <c r="Q313" s="108">
        <v>0.44000000000000006</v>
      </c>
      <c r="R313" s="104" t="s">
        <v>17</v>
      </c>
      <c r="S313" s="253">
        <f>(10^(((LOG(P313*10))*3.3177)+0.5544))/1000</f>
        <v>10.127296573801436</v>
      </c>
      <c r="T313" s="104" t="s">
        <v>1162</v>
      </c>
      <c r="U313" s="108">
        <v>0.84909999999999997</v>
      </c>
      <c r="V313" s="107"/>
      <c r="W313" s="114" t="s">
        <v>1163</v>
      </c>
    </row>
    <row r="314" spans="1:23" ht="21" customHeight="1">
      <c r="A314" s="104" t="s">
        <v>273</v>
      </c>
      <c r="B314" s="104" t="s">
        <v>74</v>
      </c>
      <c r="C314" s="454" t="s">
        <v>266</v>
      </c>
      <c r="D314" s="105" t="s">
        <v>267</v>
      </c>
      <c r="E314" s="104">
        <v>933</v>
      </c>
      <c r="F314" s="104">
        <v>3398</v>
      </c>
      <c r="G314" s="106" t="s">
        <v>102</v>
      </c>
      <c r="H314" s="104"/>
      <c r="I314" s="104" t="s">
        <v>104</v>
      </c>
      <c r="J314" s="104" t="s">
        <v>284</v>
      </c>
      <c r="K314" s="104" t="s">
        <v>112</v>
      </c>
      <c r="L314" s="104" t="s">
        <v>663</v>
      </c>
      <c r="M314" s="104" t="s">
        <v>108</v>
      </c>
      <c r="N314" s="108"/>
      <c r="O314" s="104"/>
      <c r="P314" s="108"/>
      <c r="Q314" s="108"/>
      <c r="R314" s="104"/>
      <c r="S314" s="253">
        <v>10.23706</v>
      </c>
      <c r="T314" s="104"/>
      <c r="U314" s="108"/>
      <c r="V314" s="107"/>
      <c r="W314" s="106"/>
    </row>
    <row r="315" spans="1:23" ht="21" customHeight="1">
      <c r="A315" s="104" t="s">
        <v>273</v>
      </c>
      <c r="B315" s="104" t="s">
        <v>74</v>
      </c>
      <c r="C315" s="454" t="s">
        <v>266</v>
      </c>
      <c r="D315" s="105" t="s">
        <v>267</v>
      </c>
      <c r="E315" s="104">
        <v>933</v>
      </c>
      <c r="F315" s="104">
        <v>1622</v>
      </c>
      <c r="G315" s="106" t="s">
        <v>102</v>
      </c>
      <c r="H315" s="104"/>
      <c r="I315" s="104" t="s">
        <v>104</v>
      </c>
      <c r="J315" s="104" t="s">
        <v>284</v>
      </c>
      <c r="K315" s="104" t="s">
        <v>112</v>
      </c>
      <c r="L315" s="104" t="s">
        <v>663</v>
      </c>
      <c r="M315" s="104" t="s">
        <v>108</v>
      </c>
      <c r="N315" s="108"/>
      <c r="O315" s="104"/>
      <c r="P315" s="108"/>
      <c r="Q315" s="108"/>
      <c r="R315" s="104"/>
      <c r="S315" s="253">
        <v>10.347490000000001</v>
      </c>
      <c r="T315" s="104"/>
      <c r="U315" s="108"/>
      <c r="V315" s="107"/>
      <c r="W315" s="106"/>
    </row>
    <row r="316" spans="1:23" ht="21" customHeight="1">
      <c r="A316" s="104" t="s">
        <v>273</v>
      </c>
      <c r="B316" s="104" t="s">
        <v>74</v>
      </c>
      <c r="C316" s="454" t="s">
        <v>266</v>
      </c>
      <c r="D316" s="105" t="s">
        <v>267</v>
      </c>
      <c r="E316" s="104">
        <v>933</v>
      </c>
      <c r="F316" s="104">
        <v>831</v>
      </c>
      <c r="G316" s="106" t="s">
        <v>102</v>
      </c>
      <c r="H316" s="104"/>
      <c r="I316" s="104" t="s">
        <v>104</v>
      </c>
      <c r="J316" s="104" t="s">
        <v>284</v>
      </c>
      <c r="K316" s="104" t="s">
        <v>121</v>
      </c>
      <c r="L316" s="104" t="s">
        <v>1041</v>
      </c>
      <c r="M316" s="104" t="s">
        <v>114</v>
      </c>
      <c r="N316" s="108"/>
      <c r="O316" s="104"/>
      <c r="P316" s="108"/>
      <c r="Q316" s="108"/>
      <c r="R316" s="104"/>
      <c r="S316" s="253">
        <v>10.58694</v>
      </c>
      <c r="T316" s="104"/>
      <c r="U316" s="108"/>
      <c r="V316" s="107"/>
      <c r="W316" s="106"/>
    </row>
    <row r="317" spans="1:23" ht="21" customHeight="1">
      <c r="A317" s="104" t="s">
        <v>273</v>
      </c>
      <c r="B317" s="104" t="s">
        <v>74</v>
      </c>
      <c r="C317" s="454" t="s">
        <v>266</v>
      </c>
      <c r="D317" s="105" t="s">
        <v>267</v>
      </c>
      <c r="E317" s="104">
        <v>933</v>
      </c>
      <c r="F317" s="104">
        <v>450</v>
      </c>
      <c r="G317" s="106" t="s">
        <v>102</v>
      </c>
      <c r="H317" s="104"/>
      <c r="I317" s="104" t="s">
        <v>104</v>
      </c>
      <c r="J317" s="104" t="s">
        <v>284</v>
      </c>
      <c r="K317" s="104" t="s">
        <v>252</v>
      </c>
      <c r="L317" s="104" t="s">
        <v>415</v>
      </c>
      <c r="M317" s="104" t="s">
        <v>108</v>
      </c>
      <c r="N317" s="108"/>
      <c r="O317" s="104"/>
      <c r="P317" s="108"/>
      <c r="Q317" s="108"/>
      <c r="R317" s="104"/>
      <c r="S317" s="253">
        <v>10.603429999999999</v>
      </c>
      <c r="T317" s="104"/>
      <c r="U317" s="108"/>
      <c r="V317" s="107"/>
      <c r="W317" s="106"/>
    </row>
    <row r="318" spans="1:23" ht="21" customHeight="1">
      <c r="A318" s="104" t="s">
        <v>273</v>
      </c>
      <c r="B318" s="104" t="s">
        <v>74</v>
      </c>
      <c r="C318" s="454" t="s">
        <v>266</v>
      </c>
      <c r="D318" s="105" t="s">
        <v>267</v>
      </c>
      <c r="E318" s="104">
        <v>933</v>
      </c>
      <c r="F318" s="104">
        <v>5697</v>
      </c>
      <c r="G318" s="106" t="s">
        <v>102</v>
      </c>
      <c r="H318" s="104"/>
      <c r="I318" s="104" t="s">
        <v>104</v>
      </c>
      <c r="J318" s="104" t="s">
        <v>284</v>
      </c>
      <c r="K318" s="104" t="s">
        <v>691</v>
      </c>
      <c r="L318" s="104" t="s">
        <v>692</v>
      </c>
      <c r="M318" s="104" t="s">
        <v>114</v>
      </c>
      <c r="N318" s="108"/>
      <c r="O318" s="104"/>
      <c r="P318" s="108"/>
      <c r="Q318" s="108"/>
      <c r="R318" s="104"/>
      <c r="S318" s="253">
        <v>10.67916</v>
      </c>
      <c r="T318" s="104"/>
      <c r="U318" s="108"/>
      <c r="V318" s="107"/>
      <c r="W318" s="106"/>
    </row>
    <row r="319" spans="1:23" ht="21" customHeight="1">
      <c r="A319" s="104" t="s">
        <v>273</v>
      </c>
      <c r="B319" s="104" t="s">
        <v>74</v>
      </c>
      <c r="C319" s="454" t="s">
        <v>266</v>
      </c>
      <c r="D319" s="105" t="s">
        <v>267</v>
      </c>
      <c r="E319" s="104">
        <v>933</v>
      </c>
      <c r="F319" s="104">
        <v>2453</v>
      </c>
      <c r="G319" s="106" t="s">
        <v>102</v>
      </c>
      <c r="H319" s="104"/>
      <c r="I319" s="104" t="s">
        <v>104</v>
      </c>
      <c r="J319" s="104" t="s">
        <v>284</v>
      </c>
      <c r="K319" s="104" t="s">
        <v>112</v>
      </c>
      <c r="L319" s="104" t="s">
        <v>663</v>
      </c>
      <c r="M319" s="104" t="s">
        <v>114</v>
      </c>
      <c r="N319" s="108"/>
      <c r="O319" s="104"/>
      <c r="P319" s="108"/>
      <c r="Q319" s="108"/>
      <c r="R319" s="104"/>
      <c r="S319" s="253">
        <v>10.911440000000001</v>
      </c>
      <c r="T319" s="104"/>
      <c r="U319" s="108"/>
      <c r="V319" s="107"/>
      <c r="W319" s="106"/>
    </row>
    <row r="320" spans="1:23" ht="21" customHeight="1">
      <c r="A320" s="104" t="s">
        <v>273</v>
      </c>
      <c r="B320" s="104" t="s">
        <v>74</v>
      </c>
      <c r="C320" s="454" t="s">
        <v>266</v>
      </c>
      <c r="D320" s="105" t="s">
        <v>267</v>
      </c>
      <c r="E320" s="104">
        <v>933</v>
      </c>
      <c r="F320" s="104">
        <v>1569</v>
      </c>
      <c r="G320" s="106" t="s">
        <v>102</v>
      </c>
      <c r="H320" s="104"/>
      <c r="I320" s="104" t="s">
        <v>104</v>
      </c>
      <c r="J320" s="104" t="s">
        <v>284</v>
      </c>
      <c r="K320" s="104" t="s">
        <v>1159</v>
      </c>
      <c r="L320" s="104" t="s">
        <v>1160</v>
      </c>
      <c r="M320" s="104" t="s">
        <v>114</v>
      </c>
      <c r="N320" s="108"/>
      <c r="O320" s="104"/>
      <c r="P320" s="108"/>
      <c r="Q320" s="108"/>
      <c r="R320" s="104"/>
      <c r="S320" s="253">
        <v>10.933999999999999</v>
      </c>
      <c r="T320" s="104"/>
      <c r="U320" s="108"/>
      <c r="V320" s="107"/>
      <c r="W320" s="106"/>
    </row>
    <row r="321" spans="1:23" ht="21" customHeight="1">
      <c r="A321" s="104" t="s">
        <v>273</v>
      </c>
      <c r="B321" s="104" t="s">
        <v>74</v>
      </c>
      <c r="C321" s="454" t="s">
        <v>266</v>
      </c>
      <c r="D321" s="105" t="s">
        <v>267</v>
      </c>
      <c r="E321" s="104">
        <v>933</v>
      </c>
      <c r="F321" s="104">
        <v>1625</v>
      </c>
      <c r="G321" s="106" t="s">
        <v>102</v>
      </c>
      <c r="H321" s="104"/>
      <c r="I321" s="104" t="s">
        <v>104</v>
      </c>
      <c r="J321" s="104" t="s">
        <v>284</v>
      </c>
      <c r="K321" s="104" t="s">
        <v>112</v>
      </c>
      <c r="L321" s="104" t="s">
        <v>663</v>
      </c>
      <c r="M321" s="104" t="s">
        <v>114</v>
      </c>
      <c r="N321" s="108"/>
      <c r="O321" s="104"/>
      <c r="P321" s="108"/>
      <c r="Q321" s="108"/>
      <c r="R321" s="104"/>
      <c r="S321" s="253">
        <v>11.292819999999999</v>
      </c>
      <c r="T321" s="104"/>
      <c r="U321" s="108"/>
      <c r="V321" s="107"/>
      <c r="W321" s="106"/>
    </row>
    <row r="322" spans="1:23" ht="21" customHeight="1">
      <c r="A322" s="104" t="s">
        <v>273</v>
      </c>
      <c r="B322" s="104" t="s">
        <v>74</v>
      </c>
      <c r="C322" s="454" t="s">
        <v>266</v>
      </c>
      <c r="D322" s="105" t="s">
        <v>267</v>
      </c>
      <c r="E322" s="104">
        <v>933</v>
      </c>
      <c r="F322" s="104">
        <v>1632</v>
      </c>
      <c r="G322" s="106" t="s">
        <v>102</v>
      </c>
      <c r="H322" s="104"/>
      <c r="I322" s="104" t="s">
        <v>104</v>
      </c>
      <c r="J322" s="104" t="s">
        <v>284</v>
      </c>
      <c r="K322" s="104" t="s">
        <v>660</v>
      </c>
      <c r="L322" s="104" t="s">
        <v>661</v>
      </c>
      <c r="M322" s="104" t="s">
        <v>108</v>
      </c>
      <c r="N322" s="108"/>
      <c r="O322" s="104"/>
      <c r="P322" s="108"/>
      <c r="Q322" s="108"/>
      <c r="R322" s="104"/>
      <c r="S322" s="253">
        <v>11.934280000000001</v>
      </c>
      <c r="T322" s="104"/>
      <c r="U322" s="108"/>
      <c r="V322" s="107"/>
      <c r="W322" s="106"/>
    </row>
    <row r="323" spans="1:23" ht="21" customHeight="1">
      <c r="A323" s="104" t="s">
        <v>273</v>
      </c>
      <c r="B323" s="104" t="s">
        <v>74</v>
      </c>
      <c r="C323" s="454" t="s">
        <v>266</v>
      </c>
      <c r="D323" s="105" t="s">
        <v>267</v>
      </c>
      <c r="E323" s="104">
        <v>933</v>
      </c>
      <c r="F323" s="104">
        <v>1631</v>
      </c>
      <c r="G323" s="106" t="s">
        <v>102</v>
      </c>
      <c r="H323" s="104"/>
      <c r="I323" s="104" t="s">
        <v>104</v>
      </c>
      <c r="J323" s="104" t="s">
        <v>284</v>
      </c>
      <c r="K323" s="104" t="s">
        <v>660</v>
      </c>
      <c r="L323" s="104" t="s">
        <v>661</v>
      </c>
      <c r="M323" s="104" t="s">
        <v>114</v>
      </c>
      <c r="N323" s="108"/>
      <c r="O323" s="104"/>
      <c r="P323" s="108"/>
      <c r="Q323" s="108"/>
      <c r="R323" s="104"/>
      <c r="S323" s="253">
        <v>12.007059999999999</v>
      </c>
      <c r="T323" s="104"/>
      <c r="U323" s="108"/>
      <c r="V323" s="107"/>
      <c r="W323" s="106"/>
    </row>
    <row r="324" spans="1:23" ht="21" customHeight="1">
      <c r="A324" s="104" t="s">
        <v>273</v>
      </c>
      <c r="B324" s="104" t="s">
        <v>74</v>
      </c>
      <c r="C324" s="454" t="s">
        <v>266</v>
      </c>
      <c r="D324" s="105" t="s">
        <v>267</v>
      </c>
      <c r="E324" s="104">
        <v>933</v>
      </c>
      <c r="F324" s="104">
        <v>1627</v>
      </c>
      <c r="G324" s="106" t="s">
        <v>102</v>
      </c>
      <c r="H324" s="104"/>
      <c r="I324" s="104" t="s">
        <v>104</v>
      </c>
      <c r="J324" s="104" t="s">
        <v>284</v>
      </c>
      <c r="K324" s="104" t="s">
        <v>1219</v>
      </c>
      <c r="L324" s="104" t="s">
        <v>1220</v>
      </c>
      <c r="M324" s="104" t="s">
        <v>108</v>
      </c>
      <c r="N324" s="108"/>
      <c r="O324" s="104"/>
      <c r="P324" s="108"/>
      <c r="Q324" s="108"/>
      <c r="R324" s="104"/>
      <c r="S324" s="253">
        <v>12.413209999999999</v>
      </c>
      <c r="T324" s="104"/>
      <c r="U324" s="108"/>
      <c r="V324" s="107"/>
      <c r="W324" s="106"/>
    </row>
    <row r="325" spans="1:23" s="329" customFormat="1" ht="21" customHeight="1">
      <c r="A325" s="104" t="s">
        <v>273</v>
      </c>
      <c r="B325" s="104" t="s">
        <v>74</v>
      </c>
      <c r="C325" s="454" t="s">
        <v>266</v>
      </c>
      <c r="D325" s="105" t="s">
        <v>267</v>
      </c>
      <c r="E325" s="104">
        <v>933</v>
      </c>
      <c r="F325" s="104">
        <v>3909</v>
      </c>
      <c r="G325" s="106" t="s">
        <v>102</v>
      </c>
      <c r="H325" s="111" t="s">
        <v>103</v>
      </c>
      <c r="I325" s="104" t="s">
        <v>104</v>
      </c>
      <c r="J325" s="104" t="s">
        <v>105</v>
      </c>
      <c r="K325" s="104" t="s">
        <v>209</v>
      </c>
      <c r="L325" s="104" t="s">
        <v>684</v>
      </c>
      <c r="M325" s="104" t="s">
        <v>114</v>
      </c>
      <c r="N325" s="108" t="s">
        <v>17</v>
      </c>
      <c r="O325" s="104" t="s">
        <v>17</v>
      </c>
      <c r="P325" s="108">
        <v>0.96699999999999997</v>
      </c>
      <c r="Q325" s="108">
        <v>0.74</v>
      </c>
      <c r="R325" s="104" t="s">
        <v>17</v>
      </c>
      <c r="S325" s="253">
        <f>(10^(((LOG(P325*10))*3.7472)+0.4301))/1000</f>
        <v>13.264475554090861</v>
      </c>
      <c r="T325" s="104" t="s">
        <v>1153</v>
      </c>
      <c r="U325" s="108">
        <v>0.89439999999999997</v>
      </c>
      <c r="V325" s="107"/>
      <c r="W325" s="114" t="s">
        <v>269</v>
      </c>
    </row>
    <row r="326" spans="1:23" ht="21" customHeight="1">
      <c r="A326" s="104" t="s">
        <v>273</v>
      </c>
      <c r="B326" s="104" t="s">
        <v>74</v>
      </c>
      <c r="C326" s="454" t="s">
        <v>266</v>
      </c>
      <c r="D326" s="105" t="s">
        <v>267</v>
      </c>
      <c r="E326" s="104">
        <v>933</v>
      </c>
      <c r="F326" s="104">
        <v>2454</v>
      </c>
      <c r="G326" s="106" t="s">
        <v>102</v>
      </c>
      <c r="H326" s="104"/>
      <c r="I326" s="104" t="s">
        <v>104</v>
      </c>
      <c r="J326" s="104" t="s">
        <v>284</v>
      </c>
      <c r="K326" s="104" t="s">
        <v>112</v>
      </c>
      <c r="L326" s="104" t="s">
        <v>663</v>
      </c>
      <c r="M326" s="104" t="s">
        <v>108</v>
      </c>
      <c r="N326" s="108"/>
      <c r="O326" s="104"/>
      <c r="P326" s="108"/>
      <c r="Q326" s="108"/>
      <c r="R326" s="104"/>
      <c r="S326" s="253">
        <v>13.785620000000002</v>
      </c>
      <c r="T326" s="104"/>
      <c r="U326" s="108"/>
      <c r="V326" s="107"/>
      <c r="W326" s="106"/>
    </row>
    <row r="327" spans="1:23" ht="21" customHeight="1">
      <c r="A327" s="104" t="s">
        <v>273</v>
      </c>
      <c r="B327" s="104" t="s">
        <v>74</v>
      </c>
      <c r="C327" s="454" t="s">
        <v>266</v>
      </c>
      <c r="D327" s="105" t="s">
        <v>267</v>
      </c>
      <c r="E327" s="104">
        <v>933</v>
      </c>
      <c r="F327" s="104">
        <v>377</v>
      </c>
      <c r="G327" s="106" t="s">
        <v>102</v>
      </c>
      <c r="H327" s="104"/>
      <c r="I327" s="104" t="s">
        <v>104</v>
      </c>
      <c r="J327" s="104" t="s">
        <v>284</v>
      </c>
      <c r="K327" s="104" t="s">
        <v>691</v>
      </c>
      <c r="L327" s="104" t="s">
        <v>692</v>
      </c>
      <c r="M327" s="104" t="s">
        <v>114</v>
      </c>
      <c r="N327" s="108"/>
      <c r="O327" s="104"/>
      <c r="P327" s="108"/>
      <c r="Q327" s="108"/>
      <c r="R327" s="104"/>
      <c r="S327" s="253">
        <v>13.859459999999999</v>
      </c>
      <c r="T327" s="104"/>
      <c r="U327" s="108"/>
      <c r="V327" s="107"/>
      <c r="W327" s="106"/>
    </row>
    <row r="328" spans="1:23" ht="21" customHeight="1">
      <c r="A328" s="104" t="s">
        <v>273</v>
      </c>
      <c r="B328" s="104" t="s">
        <v>74</v>
      </c>
      <c r="C328" s="454" t="s">
        <v>266</v>
      </c>
      <c r="D328" s="105" t="s">
        <v>267</v>
      </c>
      <c r="E328" s="104">
        <v>933</v>
      </c>
      <c r="F328" s="104">
        <v>670</v>
      </c>
      <c r="G328" s="106" t="s">
        <v>102</v>
      </c>
      <c r="H328" s="104"/>
      <c r="I328" s="104" t="s">
        <v>104</v>
      </c>
      <c r="J328" s="104" t="s">
        <v>284</v>
      </c>
      <c r="K328" s="104" t="s">
        <v>112</v>
      </c>
      <c r="L328" s="104" t="s">
        <v>663</v>
      </c>
      <c r="M328" s="104" t="s">
        <v>108</v>
      </c>
      <c r="N328" s="108"/>
      <c r="O328" s="104"/>
      <c r="P328" s="108"/>
      <c r="Q328" s="108"/>
      <c r="R328" s="104"/>
      <c r="S328" s="253">
        <v>14.60425</v>
      </c>
      <c r="T328" s="104"/>
      <c r="U328" s="108"/>
      <c r="V328" s="107"/>
      <c r="W328" s="106"/>
    </row>
    <row r="329" spans="1:23" ht="21" customHeight="1">
      <c r="A329" s="104" t="s">
        <v>273</v>
      </c>
      <c r="B329" s="104" t="s">
        <v>74</v>
      </c>
      <c r="C329" s="454" t="s">
        <v>266</v>
      </c>
      <c r="D329" s="105" t="s">
        <v>267</v>
      </c>
      <c r="E329" s="104">
        <v>933</v>
      </c>
      <c r="F329" s="104">
        <v>3671</v>
      </c>
      <c r="G329" s="106" t="s">
        <v>102</v>
      </c>
      <c r="H329" s="104" t="s">
        <v>103</v>
      </c>
      <c r="I329" s="104" t="s">
        <v>104</v>
      </c>
      <c r="J329" s="104" t="s">
        <v>105</v>
      </c>
      <c r="K329" s="104" t="s">
        <v>162</v>
      </c>
      <c r="L329" s="104" t="s">
        <v>163</v>
      </c>
      <c r="M329" s="104" t="s">
        <v>108</v>
      </c>
      <c r="N329" s="108" t="s">
        <v>17</v>
      </c>
      <c r="O329" s="104" t="s">
        <v>17</v>
      </c>
      <c r="P329" s="108">
        <v>1.1930000000000001</v>
      </c>
      <c r="Q329" s="108">
        <v>0.42000000000000004</v>
      </c>
      <c r="R329" s="104" t="s">
        <v>17</v>
      </c>
      <c r="S329" s="253"/>
      <c r="T329" s="104"/>
      <c r="U329" s="108"/>
      <c r="V329" s="107"/>
      <c r="W329" s="114"/>
    </row>
    <row r="330" spans="1:23" ht="21" customHeight="1">
      <c r="A330" s="104" t="s">
        <v>273</v>
      </c>
      <c r="B330" s="104" t="s">
        <v>74</v>
      </c>
      <c r="C330" s="454" t="s">
        <v>266</v>
      </c>
      <c r="D330" s="105" t="s">
        <v>267</v>
      </c>
      <c r="E330" s="104">
        <v>933</v>
      </c>
      <c r="F330" s="104">
        <v>4321</v>
      </c>
      <c r="G330" s="106" t="s">
        <v>102</v>
      </c>
      <c r="H330" s="111" t="s">
        <v>103</v>
      </c>
      <c r="I330" s="104" t="s">
        <v>104</v>
      </c>
      <c r="J330" s="104" t="s">
        <v>105</v>
      </c>
      <c r="K330" s="104" t="s">
        <v>162</v>
      </c>
      <c r="L330" s="104" t="s">
        <v>163</v>
      </c>
      <c r="M330" s="104" t="s">
        <v>108</v>
      </c>
      <c r="N330" s="108"/>
      <c r="O330" s="104" t="s">
        <v>17</v>
      </c>
      <c r="P330" s="108">
        <v>1.282</v>
      </c>
      <c r="Q330" s="108">
        <v>0.48</v>
      </c>
      <c r="R330" s="104" t="s">
        <v>17</v>
      </c>
      <c r="S330" s="253"/>
      <c r="T330" s="104"/>
      <c r="U330" s="108"/>
      <c r="V330" s="107"/>
      <c r="W330" s="114"/>
    </row>
    <row r="331" spans="1:23" ht="21" customHeight="1">
      <c r="A331" s="416" t="s">
        <v>273</v>
      </c>
      <c r="B331" s="416" t="s">
        <v>74</v>
      </c>
      <c r="C331" s="455" t="s">
        <v>266</v>
      </c>
      <c r="D331" s="105" t="s">
        <v>1240</v>
      </c>
      <c r="E331" s="416">
        <v>933</v>
      </c>
      <c r="F331" s="416">
        <v>3915</v>
      </c>
      <c r="G331" s="456" t="s">
        <v>102</v>
      </c>
      <c r="H331" s="465" t="s">
        <v>103</v>
      </c>
      <c r="I331" s="104" t="s">
        <v>104</v>
      </c>
      <c r="J331" s="416" t="s">
        <v>105</v>
      </c>
      <c r="K331" s="416" t="s">
        <v>155</v>
      </c>
      <c r="L331" s="416" t="s">
        <v>658</v>
      </c>
      <c r="M331" s="416" t="s">
        <v>114</v>
      </c>
      <c r="N331" s="458" t="s">
        <v>17</v>
      </c>
      <c r="O331" s="416" t="s">
        <v>17</v>
      </c>
      <c r="P331" s="458">
        <v>1.5210000000000001</v>
      </c>
      <c r="Q331" s="458">
        <v>1.0740000000000001</v>
      </c>
      <c r="R331" s="416" t="s">
        <v>17</v>
      </c>
      <c r="S331" s="459">
        <f>((10^(((LOG((P331*10)))*2.5447)+1.4669)))/1000</f>
        <v>29.858240442299351</v>
      </c>
      <c r="T331" s="416" t="s">
        <v>1152</v>
      </c>
      <c r="U331" s="458">
        <v>0.88</v>
      </c>
      <c r="V331" s="460" t="s">
        <v>287</v>
      </c>
      <c r="W331" s="466" t="s">
        <v>410</v>
      </c>
    </row>
    <row r="332" spans="1:23" ht="21" customHeight="1">
      <c r="A332" s="416" t="s">
        <v>273</v>
      </c>
      <c r="B332" s="416" t="s">
        <v>74</v>
      </c>
      <c r="C332" s="455" t="s">
        <v>266</v>
      </c>
      <c r="D332" s="105" t="s">
        <v>1240</v>
      </c>
      <c r="E332" s="416">
        <v>933</v>
      </c>
      <c r="F332" s="416">
        <v>2450</v>
      </c>
      <c r="G332" s="456" t="s">
        <v>102</v>
      </c>
      <c r="H332" s="416" t="s">
        <v>103</v>
      </c>
      <c r="I332" s="104" t="s">
        <v>104</v>
      </c>
      <c r="J332" s="416" t="s">
        <v>105</v>
      </c>
      <c r="K332" s="416" t="s">
        <v>155</v>
      </c>
      <c r="L332" s="416" t="s">
        <v>658</v>
      </c>
      <c r="M332" s="416" t="s">
        <v>108</v>
      </c>
      <c r="N332" s="458" t="s">
        <v>17</v>
      </c>
      <c r="O332" s="416" t="s">
        <v>17</v>
      </c>
      <c r="P332" s="458">
        <v>1.6859999999999999</v>
      </c>
      <c r="Q332" s="458">
        <v>1.31</v>
      </c>
      <c r="R332" s="416" t="s">
        <v>17</v>
      </c>
      <c r="S332" s="459">
        <f>((10^(((LOG((P332*10)))*2.5447)+1.4669)))/1000</f>
        <v>38.80471151457607</v>
      </c>
      <c r="T332" s="416" t="s">
        <v>1152</v>
      </c>
      <c r="U332" s="458">
        <v>0.88</v>
      </c>
      <c r="V332" s="460" t="s">
        <v>287</v>
      </c>
      <c r="W332" s="466" t="s">
        <v>410</v>
      </c>
    </row>
    <row r="333" spans="1:23" ht="21" customHeight="1">
      <c r="A333" s="104" t="s">
        <v>273</v>
      </c>
      <c r="B333" s="104" t="s">
        <v>74</v>
      </c>
      <c r="C333" s="454" t="s">
        <v>274</v>
      </c>
      <c r="D333" s="105" t="s">
        <v>1249</v>
      </c>
      <c r="E333" s="104">
        <v>933</v>
      </c>
      <c r="F333" s="104">
        <v>3667</v>
      </c>
      <c r="G333" s="106" t="s">
        <v>102</v>
      </c>
      <c r="H333" s="104" t="s">
        <v>103</v>
      </c>
      <c r="I333" s="104" t="s">
        <v>104</v>
      </c>
      <c r="J333" s="104" t="s">
        <v>105</v>
      </c>
      <c r="K333" s="104" t="s">
        <v>1251</v>
      </c>
      <c r="L333" s="104" t="s">
        <v>1252</v>
      </c>
      <c r="M333" s="104" t="s">
        <v>114</v>
      </c>
      <c r="N333" s="108" t="s">
        <v>17</v>
      </c>
      <c r="O333" s="104" t="s">
        <v>17</v>
      </c>
      <c r="P333" s="108">
        <v>0.73499999999999999</v>
      </c>
      <c r="Q333" s="108">
        <v>0.36299999999999999</v>
      </c>
      <c r="R333" s="104" t="s">
        <v>17</v>
      </c>
      <c r="S333" s="253">
        <f>(10^(((LOG(P333*10))*3.3177)+0.5544))/1000</f>
        <v>2.6821403819676601</v>
      </c>
      <c r="T333" s="104" t="s">
        <v>1162</v>
      </c>
      <c r="U333" s="108">
        <v>0.84909999999999997</v>
      </c>
      <c r="V333" s="107"/>
      <c r="W333" s="114" t="s">
        <v>1163</v>
      </c>
    </row>
    <row r="334" spans="1:23" ht="21" customHeight="1">
      <c r="A334" s="104" t="s">
        <v>273</v>
      </c>
      <c r="B334" s="104" t="s">
        <v>74</v>
      </c>
      <c r="C334" s="454" t="s">
        <v>274</v>
      </c>
      <c r="D334" s="105" t="s">
        <v>1249</v>
      </c>
      <c r="E334" s="104">
        <v>933</v>
      </c>
      <c r="F334" s="104">
        <v>1804</v>
      </c>
      <c r="G334" s="106" t="s">
        <v>102</v>
      </c>
      <c r="H334" s="104"/>
      <c r="I334" s="104" t="s">
        <v>104</v>
      </c>
      <c r="J334" s="104" t="s">
        <v>284</v>
      </c>
      <c r="K334" s="104" t="s">
        <v>112</v>
      </c>
      <c r="L334" s="104" t="s">
        <v>663</v>
      </c>
      <c r="M334" s="104" t="s">
        <v>108</v>
      </c>
      <c r="N334" s="108"/>
      <c r="O334" s="104"/>
      <c r="P334" s="108"/>
      <c r="Q334" s="108"/>
      <c r="R334" s="104"/>
      <c r="S334" s="253">
        <v>3.0548099999999998</v>
      </c>
      <c r="T334" s="104"/>
      <c r="U334" s="108"/>
      <c r="V334" s="107"/>
      <c r="W334" s="106"/>
    </row>
    <row r="335" spans="1:23" ht="21" customHeight="1">
      <c r="A335" s="104" t="s">
        <v>273</v>
      </c>
      <c r="B335" s="104" t="s">
        <v>74</v>
      </c>
      <c r="C335" s="454" t="s">
        <v>274</v>
      </c>
      <c r="D335" s="105" t="s">
        <v>1249</v>
      </c>
      <c r="E335" s="104">
        <v>933</v>
      </c>
      <c r="F335" s="104">
        <v>2166</v>
      </c>
      <c r="G335" s="106" t="s">
        <v>102</v>
      </c>
      <c r="H335" s="104"/>
      <c r="I335" s="104" t="s">
        <v>104</v>
      </c>
      <c r="J335" s="104" t="s">
        <v>284</v>
      </c>
      <c r="K335" s="104" t="s">
        <v>121</v>
      </c>
      <c r="L335" s="104" t="s">
        <v>1041</v>
      </c>
      <c r="M335" s="104" t="s">
        <v>114</v>
      </c>
      <c r="N335" s="108"/>
      <c r="O335" s="104"/>
      <c r="P335" s="108"/>
      <c r="Q335" s="108"/>
      <c r="R335" s="104"/>
      <c r="S335" s="253">
        <v>4.3913100000000007</v>
      </c>
      <c r="T335" s="104"/>
      <c r="U335" s="108"/>
      <c r="V335" s="107"/>
      <c r="W335" s="106"/>
    </row>
    <row r="336" spans="1:23" ht="21" customHeight="1">
      <c r="A336" s="104" t="s">
        <v>273</v>
      </c>
      <c r="B336" s="104" t="s">
        <v>76</v>
      </c>
      <c r="C336" s="454" t="s">
        <v>100</v>
      </c>
      <c r="D336" s="105" t="s">
        <v>101</v>
      </c>
      <c r="E336" s="104">
        <v>933</v>
      </c>
      <c r="F336" s="104">
        <v>3582</v>
      </c>
      <c r="G336" s="106" t="s">
        <v>102</v>
      </c>
      <c r="H336" s="104" t="s">
        <v>103</v>
      </c>
      <c r="I336" s="104" t="s">
        <v>104</v>
      </c>
      <c r="J336" s="104" t="s">
        <v>105</v>
      </c>
      <c r="K336" s="104" t="s">
        <v>290</v>
      </c>
      <c r="L336" s="104" t="s">
        <v>973</v>
      </c>
      <c r="M336" s="104" t="s">
        <v>114</v>
      </c>
      <c r="N336" s="108" t="s">
        <v>17</v>
      </c>
      <c r="O336" s="104" t="s">
        <v>17</v>
      </c>
      <c r="P336" s="108">
        <v>13.7</v>
      </c>
      <c r="Q336" s="108"/>
      <c r="R336" s="462"/>
      <c r="S336" s="253">
        <f>((10^(((LOG((P336*10)))*3.142)+-2.44)))/1000</f>
        <v>18.774830376417103</v>
      </c>
      <c r="T336" s="104" t="s">
        <v>1268</v>
      </c>
      <c r="U336" s="108">
        <v>0.86</v>
      </c>
      <c r="V336" s="107" t="s">
        <v>287</v>
      </c>
      <c r="W336" s="114" t="s">
        <v>1269</v>
      </c>
    </row>
    <row r="337" spans="1:23" ht="21" customHeight="1">
      <c r="A337" s="104" t="s">
        <v>273</v>
      </c>
      <c r="B337" s="104" t="s">
        <v>76</v>
      </c>
      <c r="C337" s="454" t="s">
        <v>100</v>
      </c>
      <c r="D337" s="105" t="s">
        <v>101</v>
      </c>
      <c r="E337" s="104">
        <v>933</v>
      </c>
      <c r="F337" s="104">
        <v>3444</v>
      </c>
      <c r="G337" s="106" t="s">
        <v>102</v>
      </c>
      <c r="H337" s="104" t="s">
        <v>103</v>
      </c>
      <c r="I337" s="104" t="s">
        <v>104</v>
      </c>
      <c r="J337" s="104" t="s">
        <v>105</v>
      </c>
      <c r="K337" s="104" t="s">
        <v>290</v>
      </c>
      <c r="L337" s="104" t="s">
        <v>973</v>
      </c>
      <c r="M337" s="104"/>
      <c r="N337" s="108" t="s">
        <v>17</v>
      </c>
      <c r="O337" s="104" t="s">
        <v>17</v>
      </c>
      <c r="P337" s="108">
        <v>14.2</v>
      </c>
      <c r="Q337" s="108" t="s">
        <v>17</v>
      </c>
      <c r="R337" s="104" t="s">
        <v>17</v>
      </c>
      <c r="S337" s="253">
        <f>((10^(((LOG((P337*10)))*3.142)+-2.44)))/1000</f>
        <v>21.013092778567891</v>
      </c>
      <c r="T337" s="104" t="s">
        <v>1268</v>
      </c>
      <c r="U337" s="108">
        <v>0.86</v>
      </c>
      <c r="V337" s="107" t="s">
        <v>287</v>
      </c>
      <c r="W337" s="114" t="s">
        <v>105</v>
      </c>
    </row>
    <row r="338" spans="1:23" ht="21" customHeight="1">
      <c r="A338" s="104" t="s">
        <v>273</v>
      </c>
      <c r="B338" s="104" t="s">
        <v>76</v>
      </c>
      <c r="C338" s="454" t="s">
        <v>100</v>
      </c>
      <c r="D338" s="105" t="s">
        <v>101</v>
      </c>
      <c r="E338" s="104">
        <v>933</v>
      </c>
      <c r="F338" s="104">
        <v>3423</v>
      </c>
      <c r="G338" s="106" t="s">
        <v>102</v>
      </c>
      <c r="H338" s="104" t="s">
        <v>103</v>
      </c>
      <c r="I338" s="104" t="s">
        <v>104</v>
      </c>
      <c r="J338" s="104" t="s">
        <v>105</v>
      </c>
      <c r="K338" s="104" t="s">
        <v>243</v>
      </c>
      <c r="L338" s="104" t="s">
        <v>421</v>
      </c>
      <c r="M338" s="104" t="s">
        <v>114</v>
      </c>
      <c r="N338" s="108" t="s">
        <v>17</v>
      </c>
      <c r="O338" s="104" t="s">
        <v>17</v>
      </c>
      <c r="P338" s="108">
        <v>1.839</v>
      </c>
      <c r="Q338" s="108">
        <v>0.83100000000000007</v>
      </c>
      <c r="R338" s="104" t="s">
        <v>17</v>
      </c>
      <c r="S338" s="253">
        <f>(10^(((LOG(P338*10))*3.0129)+0.9356))/1000</f>
        <v>55.674752109089745</v>
      </c>
      <c r="T338" s="104" t="s">
        <v>423</v>
      </c>
      <c r="U338" s="108">
        <v>0.94</v>
      </c>
      <c r="V338" s="107" t="s">
        <v>287</v>
      </c>
      <c r="W338" s="114" t="s">
        <v>424</v>
      </c>
    </row>
    <row r="339" spans="1:23" ht="21" customHeight="1">
      <c r="A339" s="104" t="s">
        <v>273</v>
      </c>
      <c r="B339" s="104" t="s">
        <v>76</v>
      </c>
      <c r="C339" s="454" t="s">
        <v>100</v>
      </c>
      <c r="D339" s="105" t="s">
        <v>101</v>
      </c>
      <c r="E339" s="104">
        <v>933</v>
      </c>
      <c r="F339" s="104">
        <v>1460</v>
      </c>
      <c r="G339" s="106" t="s">
        <v>102</v>
      </c>
      <c r="H339" s="104" t="s">
        <v>103</v>
      </c>
      <c r="I339" s="104" t="s">
        <v>104</v>
      </c>
      <c r="J339" s="104" t="s">
        <v>105</v>
      </c>
      <c r="K339" s="104" t="s">
        <v>243</v>
      </c>
      <c r="L339" s="104" t="s">
        <v>421</v>
      </c>
      <c r="M339" s="104" t="s">
        <v>114</v>
      </c>
      <c r="N339" s="108" t="s">
        <v>17</v>
      </c>
      <c r="O339" s="104" t="s">
        <v>17</v>
      </c>
      <c r="P339" s="108">
        <v>1.8489999999999998</v>
      </c>
      <c r="Q339" s="108">
        <v>0.85099999999999998</v>
      </c>
      <c r="R339" s="104" t="s">
        <v>17</v>
      </c>
      <c r="S339" s="253">
        <f>(10^(((LOG(P339*10))*3.0129)+0.9356))/1000</f>
        <v>56.59189277765654</v>
      </c>
      <c r="T339" s="104" t="s">
        <v>423</v>
      </c>
      <c r="U339" s="108">
        <v>0.94</v>
      </c>
      <c r="V339" s="107" t="s">
        <v>287</v>
      </c>
      <c r="W339" s="114" t="s">
        <v>424</v>
      </c>
    </row>
    <row r="340" spans="1:23" ht="21" customHeight="1">
      <c r="A340" s="104" t="s">
        <v>273</v>
      </c>
      <c r="B340" s="104" t="s">
        <v>76</v>
      </c>
      <c r="C340" s="454" t="s">
        <v>100</v>
      </c>
      <c r="D340" s="105" t="s">
        <v>101</v>
      </c>
      <c r="E340" s="104">
        <v>933</v>
      </c>
      <c r="F340" s="104">
        <v>3918</v>
      </c>
      <c r="G340" s="106" t="s">
        <v>102</v>
      </c>
      <c r="H340" s="104" t="s">
        <v>103</v>
      </c>
      <c r="I340" s="104" t="s">
        <v>104</v>
      </c>
      <c r="J340" s="104" t="s">
        <v>105</v>
      </c>
      <c r="K340" s="104" t="s">
        <v>243</v>
      </c>
      <c r="L340" s="104" t="s">
        <v>421</v>
      </c>
      <c r="M340" s="104" t="s">
        <v>114</v>
      </c>
      <c r="N340" s="108" t="s">
        <v>17</v>
      </c>
      <c r="O340" s="104" t="s">
        <v>17</v>
      </c>
      <c r="P340" s="108">
        <v>1.895</v>
      </c>
      <c r="Q340" s="108">
        <v>0.82300000000000006</v>
      </c>
      <c r="R340" s="104" t="s">
        <v>17</v>
      </c>
      <c r="S340" s="253">
        <f>(10^(((LOG(P340*10))*3.0129)+0.9356))/1000</f>
        <v>60.940891300792593</v>
      </c>
      <c r="T340" s="104" t="s">
        <v>423</v>
      </c>
      <c r="U340" s="108">
        <v>0.94</v>
      </c>
      <c r="V340" s="107" t="s">
        <v>287</v>
      </c>
      <c r="W340" s="114" t="s">
        <v>424</v>
      </c>
    </row>
    <row r="341" spans="1:23" ht="21" customHeight="1">
      <c r="A341" s="104" t="s">
        <v>273</v>
      </c>
      <c r="B341" s="104" t="s">
        <v>76</v>
      </c>
      <c r="C341" s="454" t="s">
        <v>100</v>
      </c>
      <c r="D341" s="105" t="s">
        <v>101</v>
      </c>
      <c r="E341" s="104">
        <v>933</v>
      </c>
      <c r="F341" s="104">
        <v>608</v>
      </c>
      <c r="G341" s="106" t="s">
        <v>102</v>
      </c>
      <c r="H341" s="104" t="s">
        <v>103</v>
      </c>
      <c r="I341" s="104" t="s">
        <v>104</v>
      </c>
      <c r="J341" s="104" t="s">
        <v>105</v>
      </c>
      <c r="K341" s="104" t="s">
        <v>243</v>
      </c>
      <c r="L341" s="104" t="s">
        <v>421</v>
      </c>
      <c r="M341" s="104" t="s">
        <v>108</v>
      </c>
      <c r="N341" s="108" t="s">
        <v>17</v>
      </c>
      <c r="O341" s="104" t="s">
        <v>17</v>
      </c>
      <c r="P341" s="108">
        <v>1.9179999999999999</v>
      </c>
      <c r="Q341" s="108">
        <v>0.90700000000000003</v>
      </c>
      <c r="R341" s="462"/>
      <c r="S341" s="253">
        <f>(10^(((LOG(P341*10))*3.0129)+0.9356))/1000</f>
        <v>63.196722490778342</v>
      </c>
      <c r="T341" s="104" t="s">
        <v>423</v>
      </c>
      <c r="U341" s="108">
        <v>0.94</v>
      </c>
      <c r="V341" s="107" t="s">
        <v>287</v>
      </c>
      <c r="W341" s="114" t="s">
        <v>424</v>
      </c>
    </row>
    <row r="342" spans="1:23" ht="21" customHeight="1">
      <c r="A342" s="416" t="s">
        <v>273</v>
      </c>
      <c r="B342" s="416" t="s">
        <v>76</v>
      </c>
      <c r="C342" s="455" t="s">
        <v>100</v>
      </c>
      <c r="D342" s="461" t="s">
        <v>101</v>
      </c>
      <c r="E342" s="416">
        <v>933</v>
      </c>
      <c r="F342" s="416">
        <v>150</v>
      </c>
      <c r="G342" s="456" t="s">
        <v>102</v>
      </c>
      <c r="H342" s="416" t="s">
        <v>103</v>
      </c>
      <c r="I342" s="104" t="s">
        <v>104</v>
      </c>
      <c r="J342" s="416" t="s">
        <v>105</v>
      </c>
      <c r="K342" s="416" t="s">
        <v>121</v>
      </c>
      <c r="L342" s="416" t="s">
        <v>1041</v>
      </c>
      <c r="M342" s="416" t="s">
        <v>114</v>
      </c>
      <c r="N342" s="458" t="s">
        <v>17</v>
      </c>
      <c r="O342" s="416" t="s">
        <v>17</v>
      </c>
      <c r="P342" s="458">
        <v>6.9150000000000009</v>
      </c>
      <c r="Q342" s="458">
        <v>4.6680000000000001</v>
      </c>
      <c r="R342" s="416" t="s">
        <v>17</v>
      </c>
      <c r="S342" s="459">
        <f>(10^(((LOG(P342*10))*2.5861)+0.2138))/1000</f>
        <v>93.688560934258689</v>
      </c>
      <c r="T342" s="416" t="s">
        <v>1201</v>
      </c>
      <c r="U342" s="458">
        <v>0.94</v>
      </c>
      <c r="V342" s="460" t="s">
        <v>287</v>
      </c>
      <c r="W342" s="466" t="s">
        <v>269</v>
      </c>
    </row>
    <row r="343" spans="1:23" ht="21" customHeight="1">
      <c r="A343" s="104" t="s">
        <v>273</v>
      </c>
      <c r="B343" s="104" t="s">
        <v>76</v>
      </c>
      <c r="C343" s="454" t="s">
        <v>100</v>
      </c>
      <c r="D343" s="105" t="s">
        <v>101</v>
      </c>
      <c r="E343" s="104">
        <v>933</v>
      </c>
      <c r="F343" s="104">
        <v>3392</v>
      </c>
      <c r="G343" s="106" t="s">
        <v>102</v>
      </c>
      <c r="H343" s="104" t="s">
        <v>103</v>
      </c>
      <c r="I343" s="104" t="s">
        <v>104</v>
      </c>
      <c r="J343" s="104" t="s">
        <v>105</v>
      </c>
      <c r="K343" s="104" t="s">
        <v>121</v>
      </c>
      <c r="L343" s="104" t="s">
        <v>1041</v>
      </c>
      <c r="M343" s="104" t="s">
        <v>108</v>
      </c>
      <c r="N343" s="108" t="s">
        <v>17</v>
      </c>
      <c r="O343" s="104" t="s">
        <v>17</v>
      </c>
      <c r="P343" s="108">
        <v>7.3049999999999997</v>
      </c>
      <c r="Q343" s="108">
        <v>4.6539999999999999</v>
      </c>
      <c r="R343" s="104" t="s">
        <v>17</v>
      </c>
      <c r="S343" s="253">
        <f>(10^(((LOG(P343*10))*2.5861)+0.2138))/1000</f>
        <v>107.97128041642085</v>
      </c>
      <c r="T343" s="104" t="s">
        <v>1201</v>
      </c>
      <c r="U343" s="108">
        <v>0.94</v>
      </c>
      <c r="V343" s="107" t="s">
        <v>287</v>
      </c>
      <c r="W343" s="114" t="s">
        <v>269</v>
      </c>
    </row>
    <row r="344" spans="1:23" ht="21" customHeight="1">
      <c r="A344" s="104" t="s">
        <v>273</v>
      </c>
      <c r="B344" s="104" t="s">
        <v>76</v>
      </c>
      <c r="C344" s="454" t="s">
        <v>100</v>
      </c>
      <c r="D344" s="105" t="s">
        <v>101</v>
      </c>
      <c r="E344" s="104">
        <v>933</v>
      </c>
      <c r="F344" s="104">
        <v>73</v>
      </c>
      <c r="G344" s="106" t="s">
        <v>102</v>
      </c>
      <c r="H344" s="104" t="s">
        <v>103</v>
      </c>
      <c r="I344" s="104" t="s">
        <v>104</v>
      </c>
      <c r="J344" s="104" t="s">
        <v>105</v>
      </c>
      <c r="K344" s="104" t="s">
        <v>121</v>
      </c>
      <c r="L344" s="104" t="s">
        <v>1041</v>
      </c>
      <c r="M344" s="104" t="s">
        <v>108</v>
      </c>
      <c r="N344" s="108" t="s">
        <v>17</v>
      </c>
      <c r="O344" s="104" t="s">
        <v>17</v>
      </c>
      <c r="P344" s="108">
        <v>7.44</v>
      </c>
      <c r="Q344" s="108">
        <v>5.2080000000000002</v>
      </c>
      <c r="R344" s="104" t="s">
        <v>17</v>
      </c>
      <c r="S344" s="253">
        <f>(10^(((LOG(P344*10))*2.5861)+0.2138))/1000</f>
        <v>113.20738759617407</v>
      </c>
      <c r="T344" s="104" t="s">
        <v>1201</v>
      </c>
      <c r="U344" s="108">
        <v>0.94</v>
      </c>
      <c r="V344" s="107" t="s">
        <v>287</v>
      </c>
      <c r="W344" s="114" t="s">
        <v>269</v>
      </c>
    </row>
    <row r="345" spans="1:23" ht="21" customHeight="1">
      <c r="A345" s="104" t="s">
        <v>273</v>
      </c>
      <c r="B345" s="104" t="s">
        <v>76</v>
      </c>
      <c r="C345" s="454" t="s">
        <v>100</v>
      </c>
      <c r="D345" s="105" t="s">
        <v>101</v>
      </c>
      <c r="E345" s="104">
        <v>933</v>
      </c>
      <c r="F345" s="104">
        <v>545</v>
      </c>
      <c r="G345" s="106" t="s">
        <v>102</v>
      </c>
      <c r="H345" s="104" t="s">
        <v>103</v>
      </c>
      <c r="I345" s="104" t="s">
        <v>104</v>
      </c>
      <c r="J345" s="104" t="s">
        <v>105</v>
      </c>
      <c r="K345" s="104" t="s">
        <v>121</v>
      </c>
      <c r="L345" s="104" t="s">
        <v>1041</v>
      </c>
      <c r="M345" s="104" t="s">
        <v>114</v>
      </c>
      <c r="N345" s="108" t="s">
        <v>17</v>
      </c>
      <c r="O345" s="104" t="s">
        <v>17</v>
      </c>
      <c r="P345" s="108">
        <v>7.5529999999999999</v>
      </c>
      <c r="Q345" s="108">
        <v>4.891</v>
      </c>
      <c r="R345" s="104" t="s">
        <v>17</v>
      </c>
      <c r="S345" s="253">
        <f>(10^(((LOG(P345*10))*2.5861)+0.2138))/1000</f>
        <v>117.7076798549232</v>
      </c>
      <c r="T345" s="104" t="s">
        <v>1201</v>
      </c>
      <c r="U345" s="108">
        <v>0.94</v>
      </c>
      <c r="V345" s="107" t="s">
        <v>287</v>
      </c>
      <c r="W345" s="114" t="s">
        <v>269</v>
      </c>
    </row>
    <row r="346" spans="1:23" ht="21" customHeight="1">
      <c r="A346" s="104" t="s">
        <v>273</v>
      </c>
      <c r="B346" s="104" t="s">
        <v>76</v>
      </c>
      <c r="C346" s="454" t="s">
        <v>100</v>
      </c>
      <c r="D346" s="105" t="s">
        <v>101</v>
      </c>
      <c r="E346" s="104">
        <v>933</v>
      </c>
      <c r="F346" s="104">
        <v>2658</v>
      </c>
      <c r="G346" s="106" t="s">
        <v>102</v>
      </c>
      <c r="H346" s="104" t="s">
        <v>103</v>
      </c>
      <c r="I346" s="104" t="s">
        <v>104</v>
      </c>
      <c r="J346" s="104" t="s">
        <v>105</v>
      </c>
      <c r="K346" s="104" t="s">
        <v>136</v>
      </c>
      <c r="L346" s="104" t="s">
        <v>1032</v>
      </c>
      <c r="M346" s="104" t="s">
        <v>114</v>
      </c>
      <c r="N346" s="108" t="s">
        <v>17</v>
      </c>
      <c r="O346" s="104" t="s">
        <v>17</v>
      </c>
      <c r="P346" s="108">
        <v>6.6890000000000001</v>
      </c>
      <c r="Q346" s="108">
        <v>6.7769999999999992</v>
      </c>
      <c r="R346" s="104" t="s">
        <v>17</v>
      </c>
      <c r="S346" s="253">
        <f>(10^(((LOG(P346*10))*2.786696)+-0.005865))/1000</f>
        <v>120.46523809129151</v>
      </c>
      <c r="T346" s="104" t="s">
        <v>1270</v>
      </c>
      <c r="U346" s="108">
        <v>0.94</v>
      </c>
      <c r="V346" s="107" t="s">
        <v>287</v>
      </c>
      <c r="W346" s="114" t="s">
        <v>269</v>
      </c>
    </row>
    <row r="347" spans="1:23" ht="21" customHeight="1">
      <c r="A347" s="104" t="s">
        <v>273</v>
      </c>
      <c r="B347" s="104" t="s">
        <v>76</v>
      </c>
      <c r="C347" s="454" t="s">
        <v>100</v>
      </c>
      <c r="D347" s="105" t="s">
        <v>101</v>
      </c>
      <c r="E347" s="104">
        <v>933</v>
      </c>
      <c r="F347" s="104">
        <v>2746</v>
      </c>
      <c r="G347" s="106" t="s">
        <v>102</v>
      </c>
      <c r="H347" s="104" t="s">
        <v>103</v>
      </c>
      <c r="I347" s="104" t="s">
        <v>104</v>
      </c>
      <c r="J347" s="104" t="s">
        <v>105</v>
      </c>
      <c r="K347" s="104" t="s">
        <v>136</v>
      </c>
      <c r="L347" s="104" t="s">
        <v>1032</v>
      </c>
      <c r="M347" s="104" t="s">
        <v>108</v>
      </c>
      <c r="N347" s="108" t="s">
        <v>17</v>
      </c>
      <c r="O347" s="104" t="s">
        <v>17</v>
      </c>
      <c r="P347" s="108">
        <v>6.6980000000000004</v>
      </c>
      <c r="Q347" s="108">
        <v>6.479000000000001</v>
      </c>
      <c r="R347" s="104" t="s">
        <v>17</v>
      </c>
      <c r="S347" s="253">
        <f>(10^(((LOG(P347*10))*2.786696)+-0.005865))/1000</f>
        <v>120.9174630632137</v>
      </c>
      <c r="T347" s="104" t="s">
        <v>1270</v>
      </c>
      <c r="U347" s="108">
        <v>0.94</v>
      </c>
      <c r="V347" s="107" t="s">
        <v>287</v>
      </c>
      <c r="W347" s="114" t="s">
        <v>269</v>
      </c>
    </row>
    <row r="348" spans="1:23" ht="21" customHeight="1">
      <c r="A348" s="104" t="s">
        <v>273</v>
      </c>
      <c r="B348" s="104" t="s">
        <v>76</v>
      </c>
      <c r="C348" s="454" t="s">
        <v>100</v>
      </c>
      <c r="D348" s="105" t="s">
        <v>101</v>
      </c>
      <c r="E348" s="104">
        <v>933</v>
      </c>
      <c r="F348" s="104">
        <v>2689</v>
      </c>
      <c r="G348" s="106" t="s">
        <v>102</v>
      </c>
      <c r="H348" s="104" t="s">
        <v>103</v>
      </c>
      <c r="I348" s="104" t="s">
        <v>104</v>
      </c>
      <c r="J348" s="104" t="s">
        <v>105</v>
      </c>
      <c r="K348" s="104" t="s">
        <v>136</v>
      </c>
      <c r="L348" s="104" t="s">
        <v>1032</v>
      </c>
      <c r="M348" s="104" t="s">
        <v>108</v>
      </c>
      <c r="N348" s="108" t="s">
        <v>17</v>
      </c>
      <c r="O348" s="104" t="s">
        <v>17</v>
      </c>
      <c r="P348" s="108">
        <v>6.7370000000000001</v>
      </c>
      <c r="Q348" s="108">
        <v>5.649</v>
      </c>
      <c r="R348" s="104" t="s">
        <v>17</v>
      </c>
      <c r="S348" s="253">
        <f>(10^(((LOG(P348*10))*2.786696)+-0.005865))/1000</f>
        <v>122.88968008527218</v>
      </c>
      <c r="T348" s="104" t="s">
        <v>1270</v>
      </c>
      <c r="U348" s="108">
        <v>0.94</v>
      </c>
      <c r="V348" s="107" t="s">
        <v>287</v>
      </c>
      <c r="W348" s="114" t="s">
        <v>269</v>
      </c>
    </row>
    <row r="349" spans="1:23" ht="21" customHeight="1">
      <c r="A349" s="104" t="s">
        <v>273</v>
      </c>
      <c r="B349" s="104" t="s">
        <v>76</v>
      </c>
      <c r="C349" s="454" t="s">
        <v>100</v>
      </c>
      <c r="D349" s="105" t="s">
        <v>101</v>
      </c>
      <c r="E349" s="104">
        <v>933</v>
      </c>
      <c r="F349" s="104">
        <v>2140</v>
      </c>
      <c r="G349" s="106" t="s">
        <v>102</v>
      </c>
      <c r="H349" s="104" t="s">
        <v>103</v>
      </c>
      <c r="I349" s="104" t="s">
        <v>104</v>
      </c>
      <c r="J349" s="104" t="s">
        <v>105</v>
      </c>
      <c r="K349" s="104" t="s">
        <v>136</v>
      </c>
      <c r="L349" s="104" t="s">
        <v>1032</v>
      </c>
      <c r="M349" s="104" t="s">
        <v>108</v>
      </c>
      <c r="N349" s="108" t="s">
        <v>17</v>
      </c>
      <c r="O349" s="104" t="s">
        <v>17</v>
      </c>
      <c r="P349" s="108">
        <v>6.7489999999999997</v>
      </c>
      <c r="Q349" s="108">
        <v>6.5019999999999998</v>
      </c>
      <c r="R349" s="104" t="s">
        <v>17</v>
      </c>
      <c r="S349" s="253">
        <f>(10^(((LOG(P349*10))*2.786696)+-0.005865))/1000</f>
        <v>123.50063694561888</v>
      </c>
      <c r="T349" s="104" t="s">
        <v>1270</v>
      </c>
      <c r="U349" s="108">
        <v>0.94</v>
      </c>
      <c r="V349" s="107" t="s">
        <v>287</v>
      </c>
      <c r="W349" s="114" t="s">
        <v>269</v>
      </c>
    </row>
    <row r="350" spans="1:23" ht="21" customHeight="1">
      <c r="A350" s="104" t="s">
        <v>273</v>
      </c>
      <c r="B350" s="104" t="s">
        <v>76</v>
      </c>
      <c r="C350" s="454" t="s">
        <v>100</v>
      </c>
      <c r="D350" s="105" t="s">
        <v>101</v>
      </c>
      <c r="E350" s="104">
        <v>933</v>
      </c>
      <c r="F350" s="104">
        <v>2292</v>
      </c>
      <c r="G350" s="106" t="s">
        <v>102</v>
      </c>
      <c r="H350" s="104" t="s">
        <v>103</v>
      </c>
      <c r="I350" s="104" t="s">
        <v>104</v>
      </c>
      <c r="J350" s="104" t="s">
        <v>105</v>
      </c>
      <c r="K350" s="104" t="s">
        <v>121</v>
      </c>
      <c r="L350" s="104" t="s">
        <v>1041</v>
      </c>
      <c r="M350" s="104" t="s">
        <v>108</v>
      </c>
      <c r="N350" s="108" t="s">
        <v>17</v>
      </c>
      <c r="O350" s="104" t="s">
        <v>17</v>
      </c>
      <c r="P350" s="108">
        <v>7.7180000000000009</v>
      </c>
      <c r="Q350" s="108">
        <v>4.8520000000000003</v>
      </c>
      <c r="R350" s="104" t="s">
        <v>17</v>
      </c>
      <c r="S350" s="253">
        <f>(10^(((LOG(P350*10))*2.5861)+0.2138))/1000</f>
        <v>124.47326934977696</v>
      </c>
      <c r="T350" s="104" t="s">
        <v>1201</v>
      </c>
      <c r="U350" s="108">
        <v>0.94</v>
      </c>
      <c r="V350" s="107" t="s">
        <v>287</v>
      </c>
      <c r="W350" s="114" t="s">
        <v>269</v>
      </c>
    </row>
    <row r="351" spans="1:23" ht="21" customHeight="1">
      <c r="A351" s="104" t="s">
        <v>273</v>
      </c>
      <c r="B351" s="104" t="s">
        <v>76</v>
      </c>
      <c r="C351" s="454" t="s">
        <v>100</v>
      </c>
      <c r="D351" s="105" t="s">
        <v>101</v>
      </c>
      <c r="E351" s="104">
        <v>933</v>
      </c>
      <c r="F351" s="104">
        <v>3931</v>
      </c>
      <c r="G351" s="106" t="s">
        <v>102</v>
      </c>
      <c r="H351" s="104" t="s">
        <v>103</v>
      </c>
      <c r="I351" s="104" t="s">
        <v>104</v>
      </c>
      <c r="J351" s="104" t="s">
        <v>105</v>
      </c>
      <c r="K351" s="104" t="s">
        <v>136</v>
      </c>
      <c r="L351" s="104" t="s">
        <v>1032</v>
      </c>
      <c r="M351" s="104" t="s">
        <v>108</v>
      </c>
      <c r="N351" s="108" t="s">
        <v>17</v>
      </c>
      <c r="O351" s="104" t="s">
        <v>17</v>
      </c>
      <c r="P351" s="108">
        <v>6.7900000000000009</v>
      </c>
      <c r="Q351" s="108">
        <v>6.133</v>
      </c>
      <c r="R351" s="104" t="s">
        <v>17</v>
      </c>
      <c r="S351" s="253">
        <f>(10^(((LOG(P351*10))*2.786696)+-0.005865))/1000</f>
        <v>125.60275704955011</v>
      </c>
      <c r="T351" s="104" t="s">
        <v>1270</v>
      </c>
      <c r="U351" s="108">
        <v>0.94</v>
      </c>
      <c r="V351" s="107" t="s">
        <v>287</v>
      </c>
      <c r="W351" s="114" t="s">
        <v>269</v>
      </c>
    </row>
    <row r="352" spans="1:23" ht="21" customHeight="1">
      <c r="A352" s="104" t="s">
        <v>273</v>
      </c>
      <c r="B352" s="104" t="s">
        <v>76</v>
      </c>
      <c r="C352" s="454" t="s">
        <v>100</v>
      </c>
      <c r="D352" s="105" t="s">
        <v>101</v>
      </c>
      <c r="E352" s="104">
        <v>933</v>
      </c>
      <c r="F352" s="104">
        <v>2661</v>
      </c>
      <c r="G352" s="106" t="s">
        <v>102</v>
      </c>
      <c r="H352" s="104" t="s">
        <v>103</v>
      </c>
      <c r="I352" s="104" t="s">
        <v>104</v>
      </c>
      <c r="J352" s="104" t="s">
        <v>105</v>
      </c>
      <c r="K352" s="104" t="s">
        <v>121</v>
      </c>
      <c r="L352" s="104" t="s">
        <v>1041</v>
      </c>
      <c r="M352" s="104" t="s">
        <v>108</v>
      </c>
      <c r="N352" s="108" t="s">
        <v>17</v>
      </c>
      <c r="O352" s="104" t="s">
        <v>17</v>
      </c>
      <c r="P352" s="108">
        <v>7.7459999999999996</v>
      </c>
      <c r="Q352" s="108">
        <v>5.0119999999999996</v>
      </c>
      <c r="R352" s="104" t="s">
        <v>17</v>
      </c>
      <c r="S352" s="253">
        <f>(10^(((LOG(P352*10))*2.5861)+0.2138))/1000</f>
        <v>125.64444831079382</v>
      </c>
      <c r="T352" s="104" t="s">
        <v>1201</v>
      </c>
      <c r="U352" s="108">
        <v>0.94</v>
      </c>
      <c r="V352" s="107" t="s">
        <v>287</v>
      </c>
      <c r="W352" s="114" t="s">
        <v>269</v>
      </c>
    </row>
    <row r="353" spans="1:23" ht="21" customHeight="1">
      <c r="A353" s="104" t="s">
        <v>273</v>
      </c>
      <c r="B353" s="104" t="s">
        <v>76</v>
      </c>
      <c r="C353" s="454" t="s">
        <v>100</v>
      </c>
      <c r="D353" s="105" t="s">
        <v>101</v>
      </c>
      <c r="E353" s="104">
        <v>933</v>
      </c>
      <c r="F353" s="104">
        <v>582</v>
      </c>
      <c r="G353" s="106" t="s">
        <v>102</v>
      </c>
      <c r="H353" s="104" t="s">
        <v>103</v>
      </c>
      <c r="I353" s="104" t="s">
        <v>104</v>
      </c>
      <c r="J353" s="104" t="s">
        <v>105</v>
      </c>
      <c r="K353" s="104" t="s">
        <v>136</v>
      </c>
      <c r="L353" s="104" t="s">
        <v>1032</v>
      </c>
      <c r="M353" s="104" t="s">
        <v>108</v>
      </c>
      <c r="N353" s="108" t="s">
        <v>17</v>
      </c>
      <c r="O353" s="104" t="s">
        <v>17</v>
      </c>
      <c r="P353" s="108">
        <v>6.8379999999999992</v>
      </c>
      <c r="Q353" s="108">
        <v>6.6430000000000007</v>
      </c>
      <c r="R353" s="104" t="s">
        <v>17</v>
      </c>
      <c r="S353" s="253">
        <f>(10^(((LOG(P353*10))*2.786696)+-0.005865))/1000</f>
        <v>128.09275703423245</v>
      </c>
      <c r="T353" s="104" t="s">
        <v>1270</v>
      </c>
      <c r="U353" s="108">
        <v>0.94</v>
      </c>
      <c r="V353" s="107" t="s">
        <v>287</v>
      </c>
      <c r="W353" s="114" t="s">
        <v>269</v>
      </c>
    </row>
    <row r="354" spans="1:23" ht="21" customHeight="1">
      <c r="A354" s="104" t="s">
        <v>273</v>
      </c>
      <c r="B354" s="104" t="s">
        <v>76</v>
      </c>
      <c r="C354" s="454" t="s">
        <v>100</v>
      </c>
      <c r="D354" s="105" t="s">
        <v>101</v>
      </c>
      <c r="E354" s="104">
        <v>933</v>
      </c>
      <c r="F354" s="104">
        <v>491</v>
      </c>
      <c r="G354" s="106" t="s">
        <v>102</v>
      </c>
      <c r="H354" s="104" t="s">
        <v>103</v>
      </c>
      <c r="I354" s="104" t="s">
        <v>104</v>
      </c>
      <c r="J354" s="104" t="s">
        <v>105</v>
      </c>
      <c r="K354" s="104" t="s">
        <v>136</v>
      </c>
      <c r="L354" s="104" t="s">
        <v>1032</v>
      </c>
      <c r="M354" s="104" t="s">
        <v>108</v>
      </c>
      <c r="N354" s="108" t="s">
        <v>17</v>
      </c>
      <c r="O354" s="104" t="s">
        <v>17</v>
      </c>
      <c r="P354" s="108">
        <v>7.0329999999999995</v>
      </c>
      <c r="Q354" s="108">
        <v>4.5030000000000001</v>
      </c>
      <c r="R354" s="104" t="s">
        <v>17</v>
      </c>
      <c r="S354" s="253">
        <f>(10^(((LOG(P354*10))*2.786696)+-0.005865))/1000</f>
        <v>138.53336070797042</v>
      </c>
      <c r="T354" s="104" t="s">
        <v>1270</v>
      </c>
      <c r="U354" s="108">
        <v>0.94</v>
      </c>
      <c r="V354" s="107" t="s">
        <v>287</v>
      </c>
      <c r="W354" s="114" t="s">
        <v>269</v>
      </c>
    </row>
    <row r="355" spans="1:23" ht="21" customHeight="1">
      <c r="A355" s="104" t="s">
        <v>273</v>
      </c>
      <c r="B355" s="104" t="s">
        <v>76</v>
      </c>
      <c r="C355" s="454" t="s">
        <v>100</v>
      </c>
      <c r="D355" s="105" t="s">
        <v>101</v>
      </c>
      <c r="E355" s="104">
        <v>933</v>
      </c>
      <c r="F355" s="104">
        <v>3498</v>
      </c>
      <c r="G355" s="106" t="s">
        <v>102</v>
      </c>
      <c r="H355" s="104" t="s">
        <v>103</v>
      </c>
      <c r="I355" s="104" t="s">
        <v>104</v>
      </c>
      <c r="J355" s="104" t="s">
        <v>105</v>
      </c>
      <c r="K355" s="104" t="s">
        <v>136</v>
      </c>
      <c r="L355" s="104" t="s">
        <v>1032</v>
      </c>
      <c r="M355" s="104" t="s">
        <v>108</v>
      </c>
      <c r="N355" s="108" t="s">
        <v>17</v>
      </c>
      <c r="O355" s="104" t="s">
        <v>17</v>
      </c>
      <c r="P355" s="108">
        <v>7.0900000000000007</v>
      </c>
      <c r="Q355" s="108">
        <v>6.8150000000000004</v>
      </c>
      <c r="R355" s="104" t="s">
        <v>17</v>
      </c>
      <c r="S355" s="253">
        <f>(10^(((LOG(P355*10))*2.786696)+-0.005865))/1000</f>
        <v>141.68486509586165</v>
      </c>
      <c r="T355" s="104" t="s">
        <v>1270</v>
      </c>
      <c r="U355" s="108">
        <v>0.94</v>
      </c>
      <c r="V355" s="107" t="s">
        <v>287</v>
      </c>
      <c r="W355" s="114" t="s">
        <v>269</v>
      </c>
    </row>
    <row r="356" spans="1:23" ht="21" customHeight="1">
      <c r="A356" s="104" t="s">
        <v>273</v>
      </c>
      <c r="B356" s="104" t="s">
        <v>76</v>
      </c>
      <c r="C356" s="454" t="s">
        <v>100</v>
      </c>
      <c r="D356" s="105" t="s">
        <v>101</v>
      </c>
      <c r="E356" s="104">
        <v>933</v>
      </c>
      <c r="F356" s="104">
        <v>375</v>
      </c>
      <c r="G356" s="106" t="s">
        <v>102</v>
      </c>
      <c r="H356" s="104" t="s">
        <v>103</v>
      </c>
      <c r="I356" s="104" t="s">
        <v>104</v>
      </c>
      <c r="J356" s="104" t="s">
        <v>105</v>
      </c>
      <c r="K356" s="104" t="s">
        <v>112</v>
      </c>
      <c r="L356" s="104" t="s">
        <v>663</v>
      </c>
      <c r="M356" s="104" t="s">
        <v>114</v>
      </c>
      <c r="N356" s="108" t="s">
        <v>17</v>
      </c>
      <c r="O356" s="104" t="s">
        <v>17</v>
      </c>
      <c r="P356" s="108">
        <v>2.6059999999999999</v>
      </c>
      <c r="Q356" s="108">
        <v>1.0630000000000002</v>
      </c>
      <c r="R356" s="104" t="s">
        <v>17</v>
      </c>
      <c r="S356" s="253">
        <f>10^(((LOG(P356*10))*3.05)+-2.15)</f>
        <v>147.47620544324812</v>
      </c>
      <c r="T356" s="104" t="s">
        <v>1271</v>
      </c>
      <c r="U356" s="108">
        <v>0.9</v>
      </c>
      <c r="V356" s="107">
        <v>28</v>
      </c>
      <c r="W356" s="114" t="s">
        <v>1272</v>
      </c>
    </row>
    <row r="357" spans="1:23" ht="21" customHeight="1">
      <c r="A357" s="104" t="s">
        <v>273</v>
      </c>
      <c r="B357" s="104" t="s">
        <v>76</v>
      </c>
      <c r="C357" s="454" t="s">
        <v>100</v>
      </c>
      <c r="D357" s="105" t="s">
        <v>101</v>
      </c>
      <c r="E357" s="104">
        <v>933</v>
      </c>
      <c r="F357" s="104">
        <v>4495</v>
      </c>
      <c r="G357" s="106" t="s">
        <v>102</v>
      </c>
      <c r="H357" s="104" t="s">
        <v>103</v>
      </c>
      <c r="I357" s="104" t="s">
        <v>104</v>
      </c>
      <c r="J357" s="104" t="s">
        <v>105</v>
      </c>
      <c r="K357" s="104" t="s">
        <v>112</v>
      </c>
      <c r="L357" s="104" t="s">
        <v>663</v>
      </c>
      <c r="M357" s="104" t="s">
        <v>114</v>
      </c>
      <c r="N357" s="108" t="s">
        <v>17</v>
      </c>
      <c r="O357" s="104" t="s">
        <v>17</v>
      </c>
      <c r="P357" s="108">
        <v>2.613</v>
      </c>
      <c r="Q357" s="108">
        <v>1.05</v>
      </c>
      <c r="R357" s="104" t="s">
        <v>17</v>
      </c>
      <c r="S357" s="253">
        <f>10^(((LOG(P357*10))*3.05)+-2.15)</f>
        <v>148.687753449035</v>
      </c>
      <c r="T357" s="104" t="s">
        <v>1271</v>
      </c>
      <c r="U357" s="108">
        <v>0.9</v>
      </c>
      <c r="V357" s="107">
        <v>28</v>
      </c>
      <c r="W357" s="114" t="s">
        <v>1272</v>
      </c>
    </row>
    <row r="358" spans="1:23" ht="21" customHeight="1">
      <c r="A358" s="104" t="s">
        <v>273</v>
      </c>
      <c r="B358" s="104" t="s">
        <v>76</v>
      </c>
      <c r="C358" s="454" t="s">
        <v>100</v>
      </c>
      <c r="D358" s="105" t="s">
        <v>101</v>
      </c>
      <c r="E358" s="104">
        <v>933</v>
      </c>
      <c r="F358" s="104">
        <v>2042</v>
      </c>
      <c r="G358" s="106" t="s">
        <v>102</v>
      </c>
      <c r="H358" s="104" t="s">
        <v>103</v>
      </c>
      <c r="I358" s="104" t="s">
        <v>104</v>
      </c>
      <c r="J358" s="104" t="s">
        <v>105</v>
      </c>
      <c r="K358" s="104" t="s">
        <v>112</v>
      </c>
      <c r="L358" s="104" t="s">
        <v>663</v>
      </c>
      <c r="M358" s="104" t="s">
        <v>114</v>
      </c>
      <c r="N358" s="108" t="s">
        <v>17</v>
      </c>
      <c r="O358" s="104" t="s">
        <v>17</v>
      </c>
      <c r="P358" s="108">
        <v>2.621</v>
      </c>
      <c r="Q358" s="108">
        <v>1.048</v>
      </c>
      <c r="R358" s="104" t="s">
        <v>17</v>
      </c>
      <c r="S358" s="253">
        <f>10^(((LOG(P358*10))*3.05)+-2.15)</f>
        <v>150.08055044606331</v>
      </c>
      <c r="T358" s="104" t="s">
        <v>1271</v>
      </c>
      <c r="U358" s="108">
        <v>0.9</v>
      </c>
      <c r="V358" s="107">
        <v>28</v>
      </c>
      <c r="W358" s="114" t="s">
        <v>1272</v>
      </c>
    </row>
    <row r="359" spans="1:23" ht="21" customHeight="1">
      <c r="A359" s="104" t="s">
        <v>273</v>
      </c>
      <c r="B359" s="104" t="s">
        <v>76</v>
      </c>
      <c r="C359" s="454" t="s">
        <v>100</v>
      </c>
      <c r="D359" s="105" t="s">
        <v>101</v>
      </c>
      <c r="E359" s="104">
        <v>933</v>
      </c>
      <c r="F359" s="104">
        <v>1570</v>
      </c>
      <c r="G359" s="106" t="s">
        <v>102</v>
      </c>
      <c r="H359" s="104" t="s">
        <v>103</v>
      </c>
      <c r="I359" s="104" t="s">
        <v>104</v>
      </c>
      <c r="J359" s="104" t="s">
        <v>105</v>
      </c>
      <c r="K359" s="104" t="s">
        <v>136</v>
      </c>
      <c r="L359" s="104" t="s">
        <v>1032</v>
      </c>
      <c r="M359" s="104" t="s">
        <v>114</v>
      </c>
      <c r="N359" s="108" t="s">
        <v>17</v>
      </c>
      <c r="O359" s="104" t="s">
        <v>17</v>
      </c>
      <c r="P359" s="108">
        <v>7.3290000000000006</v>
      </c>
      <c r="Q359" s="108">
        <v>6.8860000000000001</v>
      </c>
      <c r="R359" s="104" t="s">
        <v>17</v>
      </c>
      <c r="S359" s="253">
        <f>(10^(((LOG(P359*10))*2.786696)+-0.005865))/1000</f>
        <v>155.39880176643399</v>
      </c>
      <c r="T359" s="104" t="s">
        <v>1270</v>
      </c>
      <c r="U359" s="108">
        <v>0.94</v>
      </c>
      <c r="V359" s="107" t="s">
        <v>287</v>
      </c>
      <c r="W359" s="114" t="s">
        <v>269</v>
      </c>
    </row>
    <row r="360" spans="1:23" ht="21" customHeight="1">
      <c r="A360" s="104" t="s">
        <v>273</v>
      </c>
      <c r="B360" s="104" t="s">
        <v>76</v>
      </c>
      <c r="C360" s="454" t="s">
        <v>100</v>
      </c>
      <c r="D360" s="105" t="s">
        <v>101</v>
      </c>
      <c r="E360" s="104">
        <v>933</v>
      </c>
      <c r="F360" s="104">
        <v>2291</v>
      </c>
      <c r="G360" s="106" t="s">
        <v>102</v>
      </c>
      <c r="H360" s="104" t="s">
        <v>103</v>
      </c>
      <c r="I360" s="104" t="s">
        <v>104</v>
      </c>
      <c r="J360" s="104" t="s">
        <v>105</v>
      </c>
      <c r="K360" s="104" t="s">
        <v>112</v>
      </c>
      <c r="L360" s="104" t="s">
        <v>663</v>
      </c>
      <c r="M360" s="104" t="s">
        <v>108</v>
      </c>
      <c r="N360" s="108" t="s">
        <v>17</v>
      </c>
      <c r="O360" s="104" t="s">
        <v>17</v>
      </c>
      <c r="P360" s="108">
        <v>2.6680000000000001</v>
      </c>
      <c r="Q360" s="108">
        <v>1.05</v>
      </c>
      <c r="R360" s="104" t="s">
        <v>17</v>
      </c>
      <c r="S360" s="253">
        <f t="shared" ref="S360:S368" si="3">10^(((LOG(P360*10))*3.05)+-2.15)</f>
        <v>158.4407052978203</v>
      </c>
      <c r="T360" s="104" t="s">
        <v>1271</v>
      </c>
      <c r="U360" s="108">
        <v>0.9</v>
      </c>
      <c r="V360" s="107">
        <v>28</v>
      </c>
      <c r="W360" s="114" t="s">
        <v>1272</v>
      </c>
    </row>
    <row r="361" spans="1:23" ht="21" customHeight="1">
      <c r="A361" s="104" t="s">
        <v>273</v>
      </c>
      <c r="B361" s="104" t="s">
        <v>76</v>
      </c>
      <c r="C361" s="454" t="s">
        <v>100</v>
      </c>
      <c r="D361" s="105" t="s">
        <v>101</v>
      </c>
      <c r="E361" s="104">
        <v>933</v>
      </c>
      <c r="F361" s="104">
        <v>3512</v>
      </c>
      <c r="G361" s="106" t="s">
        <v>102</v>
      </c>
      <c r="H361" s="104" t="s">
        <v>103</v>
      </c>
      <c r="I361" s="104" t="s">
        <v>104</v>
      </c>
      <c r="J361" s="104" t="s">
        <v>105</v>
      </c>
      <c r="K361" s="104" t="s">
        <v>112</v>
      </c>
      <c r="L361" s="104" t="s">
        <v>663</v>
      </c>
      <c r="M361" s="104" t="s">
        <v>114</v>
      </c>
      <c r="N361" s="108" t="s">
        <v>17</v>
      </c>
      <c r="O361" s="104" t="s">
        <v>17</v>
      </c>
      <c r="P361" s="108">
        <v>2.6739999999999999</v>
      </c>
      <c r="Q361" s="108">
        <v>1.08</v>
      </c>
      <c r="R361" s="104" t="s">
        <v>17</v>
      </c>
      <c r="S361" s="253">
        <f t="shared" si="3"/>
        <v>159.52996831016259</v>
      </c>
      <c r="T361" s="104" t="s">
        <v>1271</v>
      </c>
      <c r="U361" s="108">
        <v>0.9</v>
      </c>
      <c r="V361" s="107">
        <v>28</v>
      </c>
      <c r="W361" s="114" t="s">
        <v>1272</v>
      </c>
    </row>
    <row r="362" spans="1:23" ht="21" customHeight="1">
      <c r="A362" s="104" t="s">
        <v>273</v>
      </c>
      <c r="B362" s="104" t="s">
        <v>76</v>
      </c>
      <c r="C362" s="454" t="s">
        <v>100</v>
      </c>
      <c r="D362" s="105" t="s">
        <v>101</v>
      </c>
      <c r="E362" s="104">
        <v>933</v>
      </c>
      <c r="F362" s="104">
        <v>3919</v>
      </c>
      <c r="G362" s="106" t="s">
        <v>102</v>
      </c>
      <c r="H362" s="104" t="s">
        <v>103</v>
      </c>
      <c r="I362" s="104" t="s">
        <v>104</v>
      </c>
      <c r="J362" s="104" t="s">
        <v>105</v>
      </c>
      <c r="K362" s="104" t="s">
        <v>112</v>
      </c>
      <c r="L362" s="104" t="s">
        <v>663</v>
      </c>
      <c r="M362" s="104" t="s">
        <v>108</v>
      </c>
      <c r="N362" s="108" t="s">
        <v>17</v>
      </c>
      <c r="O362" s="104" t="s">
        <v>17</v>
      </c>
      <c r="P362" s="108">
        <v>2.6829999999999998</v>
      </c>
      <c r="Q362" s="108">
        <v>1.01</v>
      </c>
      <c r="R362" s="104" t="s">
        <v>17</v>
      </c>
      <c r="S362" s="253">
        <f t="shared" si="3"/>
        <v>161.17328275408894</v>
      </c>
      <c r="T362" s="104" t="s">
        <v>1271</v>
      </c>
      <c r="U362" s="108">
        <v>0.9</v>
      </c>
      <c r="V362" s="107">
        <v>28</v>
      </c>
      <c r="W362" s="114" t="s">
        <v>1272</v>
      </c>
    </row>
    <row r="363" spans="1:23" ht="21" customHeight="1">
      <c r="A363" s="104" t="s">
        <v>273</v>
      </c>
      <c r="B363" s="104" t="s">
        <v>76</v>
      </c>
      <c r="C363" s="454" t="s">
        <v>100</v>
      </c>
      <c r="D363" s="105" t="s">
        <v>101</v>
      </c>
      <c r="E363" s="104">
        <v>933</v>
      </c>
      <c r="F363" s="104">
        <v>322</v>
      </c>
      <c r="G363" s="106" t="s">
        <v>102</v>
      </c>
      <c r="H363" s="104" t="s">
        <v>103</v>
      </c>
      <c r="I363" s="104" t="s">
        <v>104</v>
      </c>
      <c r="J363" s="104" t="s">
        <v>105</v>
      </c>
      <c r="K363" s="104" t="s">
        <v>112</v>
      </c>
      <c r="L363" s="104" t="s">
        <v>663</v>
      </c>
      <c r="M363" s="104" t="s">
        <v>114</v>
      </c>
      <c r="N363" s="108" t="s">
        <v>17</v>
      </c>
      <c r="O363" s="104" t="s">
        <v>17</v>
      </c>
      <c r="P363" s="108">
        <v>2.7190000000000003</v>
      </c>
      <c r="Q363" s="108">
        <v>1.006</v>
      </c>
      <c r="R363" s="104" t="s">
        <v>17</v>
      </c>
      <c r="S363" s="253">
        <f t="shared" si="3"/>
        <v>167.86033408763851</v>
      </c>
      <c r="T363" s="104" t="s">
        <v>1271</v>
      </c>
      <c r="U363" s="108">
        <v>0.9</v>
      </c>
      <c r="V363" s="107">
        <v>28</v>
      </c>
      <c r="W363" s="114" t="s">
        <v>1272</v>
      </c>
    </row>
    <row r="364" spans="1:23" ht="21" customHeight="1">
      <c r="A364" s="104" t="s">
        <v>273</v>
      </c>
      <c r="B364" s="104" t="s">
        <v>76</v>
      </c>
      <c r="C364" s="454" t="s">
        <v>100</v>
      </c>
      <c r="D364" s="105" t="s">
        <v>101</v>
      </c>
      <c r="E364" s="104">
        <v>933</v>
      </c>
      <c r="F364" s="104">
        <v>1</v>
      </c>
      <c r="G364" s="106" t="s">
        <v>102</v>
      </c>
      <c r="H364" s="104" t="s">
        <v>103</v>
      </c>
      <c r="I364" s="104" t="s">
        <v>104</v>
      </c>
      <c r="J364" s="104" t="s">
        <v>105</v>
      </c>
      <c r="K364" s="104" t="s">
        <v>112</v>
      </c>
      <c r="L364" s="104" t="s">
        <v>663</v>
      </c>
      <c r="M364" s="104" t="s">
        <v>114</v>
      </c>
      <c r="N364" s="108" t="s">
        <v>17</v>
      </c>
      <c r="O364" s="104" t="s">
        <v>17</v>
      </c>
      <c r="P364" s="108">
        <v>2.8029999999999999</v>
      </c>
      <c r="Q364" s="108">
        <v>1.0820000000000001</v>
      </c>
      <c r="R364" s="104" t="s">
        <v>17</v>
      </c>
      <c r="S364" s="253">
        <f t="shared" si="3"/>
        <v>184.18338407309463</v>
      </c>
      <c r="T364" s="104" t="s">
        <v>1271</v>
      </c>
      <c r="U364" s="108">
        <v>0.9</v>
      </c>
      <c r="V364" s="107">
        <v>28</v>
      </c>
      <c r="W364" s="114" t="s">
        <v>1272</v>
      </c>
    </row>
    <row r="365" spans="1:23" ht="21" customHeight="1">
      <c r="A365" s="104" t="s">
        <v>273</v>
      </c>
      <c r="B365" s="104" t="s">
        <v>76</v>
      </c>
      <c r="C365" s="454" t="s">
        <v>100</v>
      </c>
      <c r="D365" s="105" t="s">
        <v>101</v>
      </c>
      <c r="E365" s="104">
        <v>933</v>
      </c>
      <c r="F365" s="104">
        <v>3353</v>
      </c>
      <c r="G365" s="106" t="s">
        <v>102</v>
      </c>
      <c r="H365" s="104" t="s">
        <v>103</v>
      </c>
      <c r="I365" s="104" t="s">
        <v>104</v>
      </c>
      <c r="J365" s="104" t="s">
        <v>105</v>
      </c>
      <c r="K365" s="104" t="s">
        <v>112</v>
      </c>
      <c r="L365" s="104" t="s">
        <v>663</v>
      </c>
      <c r="M365" s="104" t="s">
        <v>114</v>
      </c>
      <c r="N365" s="108" t="s">
        <v>17</v>
      </c>
      <c r="O365" s="104" t="s">
        <v>17</v>
      </c>
      <c r="P365" s="108">
        <v>2.8449999999999998</v>
      </c>
      <c r="Q365" s="108">
        <v>0.96699999999999997</v>
      </c>
      <c r="R365" s="104" t="s">
        <v>17</v>
      </c>
      <c r="S365" s="253">
        <f t="shared" si="3"/>
        <v>192.73071196472202</v>
      </c>
      <c r="T365" s="104" t="s">
        <v>1271</v>
      </c>
      <c r="U365" s="108">
        <v>0.9</v>
      </c>
      <c r="V365" s="107">
        <v>28</v>
      </c>
      <c r="W365" s="114" t="s">
        <v>1272</v>
      </c>
    </row>
    <row r="366" spans="1:23" ht="21" customHeight="1">
      <c r="A366" s="104" t="s">
        <v>273</v>
      </c>
      <c r="B366" s="104" t="s">
        <v>76</v>
      </c>
      <c r="C366" s="454" t="s">
        <v>100</v>
      </c>
      <c r="D366" s="105" t="s">
        <v>101</v>
      </c>
      <c r="E366" s="104">
        <v>933</v>
      </c>
      <c r="F366" s="104">
        <v>1283</v>
      </c>
      <c r="G366" s="106" t="s">
        <v>102</v>
      </c>
      <c r="H366" s="104" t="s">
        <v>103</v>
      </c>
      <c r="I366" s="104" t="s">
        <v>104</v>
      </c>
      <c r="J366" s="104" t="s">
        <v>105</v>
      </c>
      <c r="K366" s="104" t="s">
        <v>112</v>
      </c>
      <c r="L366" s="104" t="s">
        <v>663</v>
      </c>
      <c r="M366" s="104" t="s">
        <v>108</v>
      </c>
      <c r="N366" s="108" t="s">
        <v>17</v>
      </c>
      <c r="O366" s="104" t="s">
        <v>17</v>
      </c>
      <c r="P366" s="108">
        <v>2.883</v>
      </c>
      <c r="Q366" s="108">
        <v>1.02</v>
      </c>
      <c r="R366" s="104" t="s">
        <v>17</v>
      </c>
      <c r="S366" s="253">
        <f t="shared" si="3"/>
        <v>200.69019700656392</v>
      </c>
      <c r="T366" s="104" t="s">
        <v>1271</v>
      </c>
      <c r="U366" s="108">
        <v>0.9</v>
      </c>
      <c r="V366" s="107">
        <v>28</v>
      </c>
      <c r="W366" s="114" t="s">
        <v>1272</v>
      </c>
    </row>
    <row r="367" spans="1:23" ht="21" customHeight="1">
      <c r="A367" s="104" t="s">
        <v>273</v>
      </c>
      <c r="B367" s="104" t="s">
        <v>76</v>
      </c>
      <c r="C367" s="454" t="s">
        <v>100</v>
      </c>
      <c r="D367" s="105" t="s">
        <v>101</v>
      </c>
      <c r="E367" s="104">
        <v>933</v>
      </c>
      <c r="F367" s="104">
        <v>2456</v>
      </c>
      <c r="G367" s="106" t="s">
        <v>102</v>
      </c>
      <c r="H367" s="104" t="s">
        <v>103</v>
      </c>
      <c r="I367" s="104" t="s">
        <v>104</v>
      </c>
      <c r="J367" s="104" t="s">
        <v>105</v>
      </c>
      <c r="K367" s="104" t="s">
        <v>112</v>
      </c>
      <c r="L367" s="104" t="s">
        <v>663</v>
      </c>
      <c r="M367" s="104" t="s">
        <v>108</v>
      </c>
      <c r="N367" s="108" t="s">
        <v>17</v>
      </c>
      <c r="O367" s="104" t="s">
        <v>17</v>
      </c>
      <c r="P367" s="108">
        <v>2.9370000000000003</v>
      </c>
      <c r="Q367" s="108">
        <v>1.0589999999999999</v>
      </c>
      <c r="R367" s="104" t="s">
        <v>17</v>
      </c>
      <c r="S367" s="253">
        <f t="shared" si="3"/>
        <v>212.37678246295877</v>
      </c>
      <c r="T367" s="104" t="s">
        <v>1271</v>
      </c>
      <c r="U367" s="108">
        <v>0.9</v>
      </c>
      <c r="V367" s="107">
        <v>28</v>
      </c>
      <c r="W367" s="114" t="s">
        <v>1272</v>
      </c>
    </row>
    <row r="368" spans="1:23" ht="21" customHeight="1">
      <c r="A368" s="104" t="s">
        <v>273</v>
      </c>
      <c r="B368" s="104" t="s">
        <v>76</v>
      </c>
      <c r="C368" s="454" t="s">
        <v>100</v>
      </c>
      <c r="D368" s="105" t="s">
        <v>101</v>
      </c>
      <c r="E368" s="104">
        <v>933</v>
      </c>
      <c r="F368" s="104">
        <v>3533</v>
      </c>
      <c r="G368" s="106" t="s">
        <v>102</v>
      </c>
      <c r="H368" s="104" t="s">
        <v>103</v>
      </c>
      <c r="I368" s="104" t="s">
        <v>104</v>
      </c>
      <c r="J368" s="104" t="s">
        <v>105</v>
      </c>
      <c r="K368" s="104" t="s">
        <v>112</v>
      </c>
      <c r="L368" s="104" t="s">
        <v>663</v>
      </c>
      <c r="M368" s="104" t="s">
        <v>108</v>
      </c>
      <c r="N368" s="108" t="s">
        <v>17</v>
      </c>
      <c r="O368" s="104" t="s">
        <v>17</v>
      </c>
      <c r="P368" s="108">
        <v>2.9690000000000003</v>
      </c>
      <c r="Q368" s="108">
        <v>1.1259999999999999</v>
      </c>
      <c r="R368" s="104" t="s">
        <v>17</v>
      </c>
      <c r="S368" s="253">
        <f t="shared" si="3"/>
        <v>219.51343344083108</v>
      </c>
      <c r="T368" s="104" t="s">
        <v>1271</v>
      </c>
      <c r="U368" s="108">
        <v>0.9</v>
      </c>
      <c r="V368" s="107">
        <v>28</v>
      </c>
      <c r="W368" s="114" t="s">
        <v>1272</v>
      </c>
    </row>
    <row r="369" spans="1:23" ht="21" customHeight="1">
      <c r="A369" s="104" t="s">
        <v>273</v>
      </c>
      <c r="B369" s="104" t="s">
        <v>76</v>
      </c>
      <c r="C369" s="454" t="s">
        <v>100</v>
      </c>
      <c r="D369" s="105" t="s">
        <v>101</v>
      </c>
      <c r="E369" s="104">
        <v>933</v>
      </c>
      <c r="F369" s="104">
        <v>3269</v>
      </c>
      <c r="G369" s="106" t="s">
        <v>102</v>
      </c>
      <c r="H369" s="104" t="s">
        <v>103</v>
      </c>
      <c r="I369" s="104" t="s">
        <v>104</v>
      </c>
      <c r="J369" s="104" t="s">
        <v>105</v>
      </c>
      <c r="K369" s="104" t="s">
        <v>252</v>
      </c>
      <c r="L369" s="104" t="s">
        <v>415</v>
      </c>
      <c r="M369" s="104" t="s">
        <v>108</v>
      </c>
      <c r="N369" s="108" t="s">
        <v>17</v>
      </c>
      <c r="O369" s="104" t="s">
        <v>17</v>
      </c>
      <c r="P369" s="108">
        <v>3.0950000000000002</v>
      </c>
      <c r="Q369" s="108">
        <v>0.98</v>
      </c>
      <c r="R369" s="104"/>
      <c r="S369" s="253">
        <f t="shared" ref="S369:S375" si="4">10^(((LOG((P369/1.3786)*10))*3.05)+-2.15)</f>
        <v>93.589743400930217</v>
      </c>
      <c r="T369" s="104" t="s">
        <v>1271</v>
      </c>
      <c r="U369" s="108">
        <v>0.9</v>
      </c>
      <c r="V369" s="107">
        <v>28</v>
      </c>
      <c r="W369" s="114" t="s">
        <v>427</v>
      </c>
    </row>
    <row r="370" spans="1:23" ht="21" customHeight="1">
      <c r="A370" s="104" t="s">
        <v>273</v>
      </c>
      <c r="B370" s="104" t="s">
        <v>76</v>
      </c>
      <c r="C370" s="454" t="s">
        <v>100</v>
      </c>
      <c r="D370" s="105" t="s">
        <v>101</v>
      </c>
      <c r="E370" s="104">
        <v>933</v>
      </c>
      <c r="F370" s="104">
        <v>323</v>
      </c>
      <c r="G370" s="106" t="s">
        <v>102</v>
      </c>
      <c r="H370" s="104" t="s">
        <v>103</v>
      </c>
      <c r="I370" s="104" t="s">
        <v>104</v>
      </c>
      <c r="J370" s="104" t="s">
        <v>105</v>
      </c>
      <c r="K370" s="104" t="s">
        <v>252</v>
      </c>
      <c r="L370" s="104" t="s">
        <v>415</v>
      </c>
      <c r="M370" s="104" t="s">
        <v>114</v>
      </c>
      <c r="N370" s="108" t="s">
        <v>17</v>
      </c>
      <c r="O370" s="104" t="s">
        <v>17</v>
      </c>
      <c r="P370" s="108">
        <v>3.5139999999999998</v>
      </c>
      <c r="Q370" s="108">
        <v>1.0669999999999999</v>
      </c>
      <c r="R370" s="104"/>
      <c r="S370" s="253">
        <f t="shared" si="4"/>
        <v>137.85058807295007</v>
      </c>
      <c r="T370" s="104" t="s">
        <v>1271</v>
      </c>
      <c r="U370" s="108">
        <v>0.9</v>
      </c>
      <c r="V370" s="107">
        <v>28</v>
      </c>
      <c r="W370" s="114" t="s">
        <v>427</v>
      </c>
    </row>
    <row r="371" spans="1:23" ht="21" customHeight="1">
      <c r="A371" s="104" t="s">
        <v>273</v>
      </c>
      <c r="B371" s="104" t="s">
        <v>76</v>
      </c>
      <c r="C371" s="454" t="s">
        <v>100</v>
      </c>
      <c r="D371" s="105" t="s">
        <v>101</v>
      </c>
      <c r="E371" s="104">
        <v>933</v>
      </c>
      <c r="F371" s="104">
        <v>896</v>
      </c>
      <c r="G371" s="106" t="s">
        <v>102</v>
      </c>
      <c r="H371" s="104" t="s">
        <v>103</v>
      </c>
      <c r="I371" s="104" t="s">
        <v>104</v>
      </c>
      <c r="J371" s="104" t="s">
        <v>105</v>
      </c>
      <c r="K371" s="104" t="s">
        <v>252</v>
      </c>
      <c r="L371" s="104" t="s">
        <v>415</v>
      </c>
      <c r="M371" s="104" t="s">
        <v>108</v>
      </c>
      <c r="N371" s="108" t="s">
        <v>17</v>
      </c>
      <c r="O371" s="104" t="s">
        <v>17</v>
      </c>
      <c r="P371" s="108">
        <v>3.5329999999999999</v>
      </c>
      <c r="Q371" s="108">
        <v>1.0939999999999999</v>
      </c>
      <c r="R371" s="104"/>
      <c r="S371" s="253">
        <f t="shared" si="4"/>
        <v>140.13652952077584</v>
      </c>
      <c r="T371" s="104" t="s">
        <v>1271</v>
      </c>
      <c r="U371" s="108">
        <v>0.9</v>
      </c>
      <c r="V371" s="107">
        <v>28</v>
      </c>
      <c r="W371" s="114" t="s">
        <v>427</v>
      </c>
    </row>
    <row r="372" spans="1:23" ht="21" customHeight="1">
      <c r="A372" s="104" t="s">
        <v>273</v>
      </c>
      <c r="B372" s="104" t="s">
        <v>76</v>
      </c>
      <c r="C372" s="454" t="s">
        <v>100</v>
      </c>
      <c r="D372" s="105" t="s">
        <v>101</v>
      </c>
      <c r="E372" s="104">
        <v>933</v>
      </c>
      <c r="F372" s="104">
        <v>157</v>
      </c>
      <c r="G372" s="106" t="s">
        <v>102</v>
      </c>
      <c r="H372" s="104" t="s">
        <v>103</v>
      </c>
      <c r="I372" s="104" t="s">
        <v>104</v>
      </c>
      <c r="J372" s="104" t="s">
        <v>105</v>
      </c>
      <c r="K372" s="104" t="s">
        <v>252</v>
      </c>
      <c r="L372" s="104" t="s">
        <v>415</v>
      </c>
      <c r="M372" s="104" t="s">
        <v>108</v>
      </c>
      <c r="N372" s="108" t="s">
        <v>17</v>
      </c>
      <c r="O372" s="104" t="s">
        <v>17</v>
      </c>
      <c r="P372" s="108">
        <v>3.661</v>
      </c>
      <c r="Q372" s="108">
        <v>1.1039999999999999</v>
      </c>
      <c r="R372" s="104"/>
      <c r="S372" s="253">
        <f t="shared" si="4"/>
        <v>156.20410287002238</v>
      </c>
      <c r="T372" s="104" t="s">
        <v>1271</v>
      </c>
      <c r="U372" s="108">
        <v>0.9</v>
      </c>
      <c r="V372" s="107">
        <v>28</v>
      </c>
      <c r="W372" s="114" t="s">
        <v>427</v>
      </c>
    </row>
    <row r="373" spans="1:23" ht="21" customHeight="1">
      <c r="A373" s="104" t="s">
        <v>273</v>
      </c>
      <c r="B373" s="104" t="s">
        <v>76</v>
      </c>
      <c r="C373" s="454" t="s">
        <v>100</v>
      </c>
      <c r="D373" s="105" t="s">
        <v>101</v>
      </c>
      <c r="E373" s="104">
        <v>933</v>
      </c>
      <c r="F373" s="104">
        <v>3417</v>
      </c>
      <c r="G373" s="106" t="s">
        <v>102</v>
      </c>
      <c r="H373" s="104" t="s">
        <v>103</v>
      </c>
      <c r="I373" s="104" t="s">
        <v>104</v>
      </c>
      <c r="J373" s="104" t="s">
        <v>105</v>
      </c>
      <c r="K373" s="104" t="s">
        <v>252</v>
      </c>
      <c r="L373" s="104" t="s">
        <v>415</v>
      </c>
      <c r="M373" s="104" t="s">
        <v>114</v>
      </c>
      <c r="N373" s="108" t="s">
        <v>17</v>
      </c>
      <c r="O373" s="104" t="s">
        <v>17</v>
      </c>
      <c r="P373" s="108">
        <v>3.6680000000000001</v>
      </c>
      <c r="Q373" s="108">
        <v>0.95199999999999996</v>
      </c>
      <c r="R373" s="104"/>
      <c r="S373" s="253">
        <f t="shared" si="4"/>
        <v>157.11683108011289</v>
      </c>
      <c r="T373" s="104" t="s">
        <v>1271</v>
      </c>
      <c r="U373" s="108">
        <v>0.9</v>
      </c>
      <c r="V373" s="107">
        <v>28</v>
      </c>
      <c r="W373" s="114" t="s">
        <v>427</v>
      </c>
    </row>
    <row r="374" spans="1:23" ht="21" customHeight="1">
      <c r="A374" s="416" t="s">
        <v>273</v>
      </c>
      <c r="B374" s="416" t="s">
        <v>76</v>
      </c>
      <c r="C374" s="455" t="s">
        <v>100</v>
      </c>
      <c r="D374" s="461" t="s">
        <v>101</v>
      </c>
      <c r="E374" s="416">
        <v>933</v>
      </c>
      <c r="F374" s="416">
        <v>3309</v>
      </c>
      <c r="G374" s="456" t="s">
        <v>102</v>
      </c>
      <c r="H374" s="416" t="s">
        <v>103</v>
      </c>
      <c r="I374" s="104" t="s">
        <v>104</v>
      </c>
      <c r="J374" s="416" t="s">
        <v>105</v>
      </c>
      <c r="K374" s="416" t="s">
        <v>252</v>
      </c>
      <c r="L374" s="416" t="s">
        <v>163</v>
      </c>
      <c r="M374" s="416"/>
      <c r="N374" s="458" t="s">
        <v>17</v>
      </c>
      <c r="O374" s="416" t="s">
        <v>17</v>
      </c>
      <c r="P374" s="458">
        <v>3.6859999999999999</v>
      </c>
      <c r="Q374" s="458">
        <v>1.0840000000000001</v>
      </c>
      <c r="R374" s="104"/>
      <c r="S374" s="253">
        <f t="shared" si="4"/>
        <v>159.48029231196503</v>
      </c>
      <c r="T374" s="104" t="s">
        <v>1271</v>
      </c>
      <c r="U374" s="108">
        <v>0.9</v>
      </c>
      <c r="V374" s="107">
        <v>28</v>
      </c>
      <c r="W374" s="466" t="s">
        <v>427</v>
      </c>
    </row>
    <row r="375" spans="1:23" ht="21" customHeight="1">
      <c r="A375" s="104" t="s">
        <v>273</v>
      </c>
      <c r="B375" s="104" t="s">
        <v>76</v>
      </c>
      <c r="C375" s="454" t="s">
        <v>100</v>
      </c>
      <c r="D375" s="105" t="s">
        <v>101</v>
      </c>
      <c r="E375" s="104">
        <v>933</v>
      </c>
      <c r="F375" s="104">
        <v>65</v>
      </c>
      <c r="G375" s="106" t="s">
        <v>102</v>
      </c>
      <c r="H375" s="104" t="s">
        <v>103</v>
      </c>
      <c r="I375" s="104" t="s">
        <v>104</v>
      </c>
      <c r="J375" s="104" t="s">
        <v>105</v>
      </c>
      <c r="K375" s="104" t="s">
        <v>252</v>
      </c>
      <c r="L375" s="104" t="s">
        <v>415</v>
      </c>
      <c r="M375" s="104" t="s">
        <v>108</v>
      </c>
      <c r="N375" s="108" t="s">
        <v>17</v>
      </c>
      <c r="O375" s="104" t="s">
        <v>17</v>
      </c>
      <c r="P375" s="108">
        <v>3.6920000000000002</v>
      </c>
      <c r="Q375" s="108">
        <v>1.0900000000000001</v>
      </c>
      <c r="R375" s="104"/>
      <c r="S375" s="253">
        <f t="shared" si="4"/>
        <v>160.27339094219298</v>
      </c>
      <c r="T375" s="104" t="s">
        <v>1271</v>
      </c>
      <c r="U375" s="108">
        <v>0.9</v>
      </c>
      <c r="V375" s="107">
        <v>28</v>
      </c>
      <c r="W375" s="114" t="s">
        <v>427</v>
      </c>
    </row>
    <row r="376" spans="1:23" ht="21" customHeight="1">
      <c r="A376" s="104" t="s">
        <v>273</v>
      </c>
      <c r="B376" s="104" t="s">
        <v>76</v>
      </c>
      <c r="C376" s="454" t="s">
        <v>95</v>
      </c>
      <c r="D376" s="105" t="s">
        <v>96</v>
      </c>
      <c r="E376" s="104">
        <v>933</v>
      </c>
      <c r="F376" s="104">
        <v>898</v>
      </c>
      <c r="G376" s="106" t="s">
        <v>102</v>
      </c>
      <c r="H376" s="104" t="s">
        <v>103</v>
      </c>
      <c r="I376" s="104" t="s">
        <v>104</v>
      </c>
      <c r="J376" s="104" t="s">
        <v>105</v>
      </c>
      <c r="K376" s="104" t="s">
        <v>243</v>
      </c>
      <c r="L376" s="104" t="s">
        <v>421</v>
      </c>
      <c r="M376" s="104" t="s">
        <v>108</v>
      </c>
      <c r="N376" s="108" t="s">
        <v>17</v>
      </c>
      <c r="O376" s="104" t="s">
        <v>17</v>
      </c>
      <c r="P376" s="108">
        <v>2.2229999999999999</v>
      </c>
      <c r="Q376" s="108">
        <v>1.048</v>
      </c>
      <c r="R376" s="462"/>
      <c r="S376" s="253">
        <f>(10^(((LOG(P376*10))*3.0129)+0.9356))/1000</f>
        <v>98.58115613971799</v>
      </c>
      <c r="T376" s="104" t="s">
        <v>423</v>
      </c>
      <c r="U376" s="108">
        <v>0.94</v>
      </c>
      <c r="V376" s="107" t="s">
        <v>287</v>
      </c>
      <c r="W376" s="114" t="s">
        <v>424</v>
      </c>
    </row>
    <row r="377" spans="1:23" ht="21" customHeight="1">
      <c r="A377" s="104" t="s">
        <v>273</v>
      </c>
      <c r="B377" s="104" t="s">
        <v>76</v>
      </c>
      <c r="C377" s="454" t="s">
        <v>95</v>
      </c>
      <c r="D377" s="105" t="s">
        <v>96</v>
      </c>
      <c r="E377" s="104">
        <v>933</v>
      </c>
      <c r="F377" s="104">
        <v>897</v>
      </c>
      <c r="G377" s="106" t="s">
        <v>102</v>
      </c>
      <c r="H377" s="104" t="s">
        <v>103</v>
      </c>
      <c r="I377" s="104" t="s">
        <v>104</v>
      </c>
      <c r="J377" s="104" t="s">
        <v>105</v>
      </c>
      <c r="K377" s="104" t="s">
        <v>112</v>
      </c>
      <c r="L377" s="104" t="s">
        <v>663</v>
      </c>
      <c r="M377" s="104" t="s">
        <v>114</v>
      </c>
      <c r="N377" s="108" t="s">
        <v>17</v>
      </c>
      <c r="O377" s="104" t="s">
        <v>17</v>
      </c>
      <c r="P377" s="108">
        <v>2.5</v>
      </c>
      <c r="Q377" s="108">
        <v>1.1759999999999999</v>
      </c>
      <c r="R377" s="104" t="s">
        <v>17</v>
      </c>
      <c r="S377" s="253">
        <f>10^(((LOG(P377*10))*3.05)+-2.15)</f>
        <v>129.93227015889315</v>
      </c>
      <c r="T377" s="104" t="s">
        <v>1271</v>
      </c>
      <c r="U377" s="108">
        <v>0.9</v>
      </c>
      <c r="V377" s="107">
        <v>28</v>
      </c>
      <c r="W377" s="114" t="s">
        <v>1272</v>
      </c>
    </row>
    <row r="378" spans="1:23" ht="21" customHeight="1">
      <c r="A378" s="104" t="s">
        <v>273</v>
      </c>
      <c r="B378" s="104" t="s">
        <v>76</v>
      </c>
      <c r="C378" s="454" t="s">
        <v>95</v>
      </c>
      <c r="D378" s="105" t="s">
        <v>96</v>
      </c>
      <c r="E378" s="104">
        <v>933</v>
      </c>
      <c r="F378" s="104">
        <v>1314</v>
      </c>
      <c r="G378" s="106" t="s">
        <v>102</v>
      </c>
      <c r="H378" s="104" t="s">
        <v>103</v>
      </c>
      <c r="I378" s="104" t="s">
        <v>104</v>
      </c>
      <c r="J378" s="104" t="s">
        <v>105</v>
      </c>
      <c r="K378" s="104" t="s">
        <v>112</v>
      </c>
      <c r="L378" s="104" t="s">
        <v>663</v>
      </c>
      <c r="M378" s="104" t="s">
        <v>108</v>
      </c>
      <c r="N378" s="108" t="s">
        <v>17</v>
      </c>
      <c r="O378" s="104" t="s">
        <v>17</v>
      </c>
      <c r="P378" s="108">
        <v>2.504</v>
      </c>
      <c r="Q378" s="108">
        <v>1.3009999999999999</v>
      </c>
      <c r="R378" s="104" t="s">
        <v>17</v>
      </c>
      <c r="S378" s="253">
        <f>10^(((LOG(P378*10))*3.05)+-2.15)</f>
        <v>130.56738009355388</v>
      </c>
      <c r="T378" s="104" t="s">
        <v>1271</v>
      </c>
      <c r="U378" s="108">
        <v>0.9</v>
      </c>
      <c r="V378" s="107">
        <v>28</v>
      </c>
      <c r="W378" s="114" t="s">
        <v>1272</v>
      </c>
    </row>
    <row r="379" spans="1:23" ht="21" customHeight="1">
      <c r="A379" s="104" t="s">
        <v>273</v>
      </c>
      <c r="B379" s="104" t="s">
        <v>76</v>
      </c>
      <c r="C379" s="454" t="s">
        <v>95</v>
      </c>
      <c r="D379" s="105" t="s">
        <v>96</v>
      </c>
      <c r="E379" s="104">
        <v>933</v>
      </c>
      <c r="F379" s="104">
        <v>373</v>
      </c>
      <c r="G379" s="106" t="s">
        <v>102</v>
      </c>
      <c r="H379" s="104" t="s">
        <v>103</v>
      </c>
      <c r="I379" s="104" t="s">
        <v>104</v>
      </c>
      <c r="J379" s="104" t="s">
        <v>105</v>
      </c>
      <c r="K379" s="104" t="s">
        <v>136</v>
      </c>
      <c r="L379" s="104" t="s">
        <v>1032</v>
      </c>
      <c r="M379" s="104" t="s">
        <v>108</v>
      </c>
      <c r="N379" s="108" t="s">
        <v>17</v>
      </c>
      <c r="O379" s="104" t="s">
        <v>17</v>
      </c>
      <c r="P379" s="108">
        <v>7.0110000000000001</v>
      </c>
      <c r="Q379" s="108">
        <v>6.2990000000000004</v>
      </c>
      <c r="R379" s="104" t="s">
        <v>17</v>
      </c>
      <c r="S379" s="253">
        <f>(10^(((LOG(P379*10))*2.786696)+-0.005865))/1000</f>
        <v>137.32912446105536</v>
      </c>
      <c r="T379" s="104" t="s">
        <v>1270</v>
      </c>
      <c r="U379" s="108">
        <v>0.94</v>
      </c>
      <c r="V379" s="107" t="s">
        <v>287</v>
      </c>
      <c r="W379" s="114" t="s">
        <v>269</v>
      </c>
    </row>
    <row r="380" spans="1:23" ht="21" customHeight="1">
      <c r="A380" s="104" t="s">
        <v>273</v>
      </c>
      <c r="B380" s="104" t="s">
        <v>76</v>
      </c>
      <c r="C380" s="454" t="s">
        <v>95</v>
      </c>
      <c r="D380" s="105" t="s">
        <v>96</v>
      </c>
      <c r="E380" s="104">
        <v>933</v>
      </c>
      <c r="F380" s="104">
        <v>68</v>
      </c>
      <c r="G380" s="106" t="s">
        <v>102</v>
      </c>
      <c r="H380" s="104" t="s">
        <v>103</v>
      </c>
      <c r="I380" s="104" t="s">
        <v>104</v>
      </c>
      <c r="J380" s="104" t="s">
        <v>105</v>
      </c>
      <c r="K380" s="104" t="s">
        <v>243</v>
      </c>
      <c r="L380" s="104" t="s">
        <v>421</v>
      </c>
      <c r="M380" s="104" t="s">
        <v>114</v>
      </c>
      <c r="N380" s="108" t="s">
        <v>17</v>
      </c>
      <c r="O380" s="104" t="s">
        <v>17</v>
      </c>
      <c r="P380" s="108">
        <v>2.492</v>
      </c>
      <c r="Q380" s="108">
        <v>1.139</v>
      </c>
      <c r="R380" s="104" t="s">
        <v>17</v>
      </c>
      <c r="S380" s="253">
        <f>(10^(((LOG(P380*10))*3.0129)+0.9356))/1000</f>
        <v>139.0783672928228</v>
      </c>
      <c r="T380" s="104" t="s">
        <v>423</v>
      </c>
      <c r="U380" s="108">
        <v>0.94</v>
      </c>
      <c r="V380" s="107" t="s">
        <v>287</v>
      </c>
      <c r="W380" s="114" t="s">
        <v>424</v>
      </c>
    </row>
    <row r="381" spans="1:23" ht="21" customHeight="1">
      <c r="A381" s="104" t="s">
        <v>273</v>
      </c>
      <c r="B381" s="104" t="s">
        <v>76</v>
      </c>
      <c r="C381" s="454" t="s">
        <v>95</v>
      </c>
      <c r="D381" s="105" t="s">
        <v>96</v>
      </c>
      <c r="E381" s="104">
        <v>933</v>
      </c>
      <c r="F381" s="104">
        <v>5704</v>
      </c>
      <c r="G381" s="106" t="s">
        <v>102</v>
      </c>
      <c r="H381" s="104" t="s">
        <v>103</v>
      </c>
      <c r="I381" s="104" t="s">
        <v>104</v>
      </c>
      <c r="J381" s="104" t="s">
        <v>105</v>
      </c>
      <c r="K381" s="104" t="s">
        <v>121</v>
      </c>
      <c r="L381" s="104" t="s">
        <v>1041</v>
      </c>
      <c r="M381" s="104" t="s">
        <v>114</v>
      </c>
      <c r="N381" s="108" t="s">
        <v>17</v>
      </c>
      <c r="O381" s="104" t="s">
        <v>17</v>
      </c>
      <c r="P381" s="108">
        <v>7.6280000000000001</v>
      </c>
      <c r="Q381" s="108">
        <v>4.8650000000000002</v>
      </c>
      <c r="R381" s="104" t="s">
        <v>17</v>
      </c>
      <c r="S381" s="253">
        <f>(10^(((LOG(P381*10))*2.186)+-1.711))</f>
        <v>253.48353559221434</v>
      </c>
      <c r="T381" s="104" t="s">
        <v>1286</v>
      </c>
      <c r="U381" s="108">
        <f>0.977*0.977</f>
        <v>0.95452899999999996</v>
      </c>
      <c r="V381" s="107">
        <v>21</v>
      </c>
      <c r="W381" s="114" t="s">
        <v>1287</v>
      </c>
    </row>
    <row r="382" spans="1:23" ht="21" customHeight="1">
      <c r="A382" s="104" t="s">
        <v>273</v>
      </c>
      <c r="B382" s="104" t="s">
        <v>76</v>
      </c>
      <c r="C382" s="454" t="s">
        <v>95</v>
      </c>
      <c r="D382" s="105" t="s">
        <v>96</v>
      </c>
      <c r="E382" s="104">
        <v>933</v>
      </c>
      <c r="F382" s="104">
        <v>2206</v>
      </c>
      <c r="G382" s="106" t="s">
        <v>102</v>
      </c>
      <c r="H382" s="104" t="s">
        <v>103</v>
      </c>
      <c r="I382" s="104" t="s">
        <v>104</v>
      </c>
      <c r="J382" s="104" t="s">
        <v>105</v>
      </c>
      <c r="K382" s="104" t="s">
        <v>121</v>
      </c>
      <c r="L382" s="104" t="s">
        <v>1041</v>
      </c>
      <c r="M382" s="104" t="s">
        <v>108</v>
      </c>
      <c r="N382" s="108" t="s">
        <v>17</v>
      </c>
      <c r="O382" s="104" t="s">
        <v>17</v>
      </c>
      <c r="P382" s="108">
        <v>8.26</v>
      </c>
      <c r="Q382" s="108">
        <v>4.9450000000000003</v>
      </c>
      <c r="R382" s="104" t="s">
        <v>17</v>
      </c>
      <c r="S382" s="253">
        <f>(10^(((LOG(P382*10))*2.186)+-1.711))</f>
        <v>301.66045616424827</v>
      </c>
      <c r="T382" s="104" t="s">
        <v>1286</v>
      </c>
      <c r="U382" s="108">
        <f>0.977*0.977</f>
        <v>0.95452899999999996</v>
      </c>
      <c r="V382" s="107">
        <v>21</v>
      </c>
      <c r="W382" s="114" t="s">
        <v>1287</v>
      </c>
    </row>
    <row r="383" spans="1:23" ht="21" customHeight="1">
      <c r="A383" s="104" t="s">
        <v>273</v>
      </c>
      <c r="B383" s="104" t="s">
        <v>76</v>
      </c>
      <c r="C383" s="454" t="s">
        <v>95</v>
      </c>
      <c r="D383" s="105" t="s">
        <v>96</v>
      </c>
      <c r="E383" s="104">
        <v>933</v>
      </c>
      <c r="F383" s="104">
        <v>2953</v>
      </c>
      <c r="G383" s="106" t="s">
        <v>102</v>
      </c>
      <c r="H383" s="104" t="s">
        <v>103</v>
      </c>
      <c r="I383" s="104" t="s">
        <v>104</v>
      </c>
      <c r="J383" s="104" t="s">
        <v>105</v>
      </c>
      <c r="K383" s="104" t="s">
        <v>121</v>
      </c>
      <c r="L383" s="104" t="s">
        <v>1041</v>
      </c>
      <c r="M383" s="104" t="s">
        <v>108</v>
      </c>
      <c r="N383" s="108" t="s">
        <v>17</v>
      </c>
      <c r="O383" s="104" t="s">
        <v>17</v>
      </c>
      <c r="P383" s="108">
        <v>9.4770000000000003</v>
      </c>
      <c r="Q383" s="108">
        <v>4.1259999999999994</v>
      </c>
      <c r="R383" s="104" t="s">
        <v>17</v>
      </c>
      <c r="S383" s="253">
        <f>(10^(((LOG(P383*10))*2.186)+-1.711))</f>
        <v>407.38266513474093</v>
      </c>
      <c r="T383" s="104" t="s">
        <v>1286</v>
      </c>
      <c r="U383" s="108">
        <f>0.977*0.977</f>
        <v>0.95452899999999996</v>
      </c>
      <c r="V383" s="107">
        <v>21</v>
      </c>
      <c r="W383" s="114" t="s">
        <v>1287</v>
      </c>
    </row>
    <row r="384" spans="1:23" ht="21" customHeight="1">
      <c r="A384" s="416" t="s">
        <v>273</v>
      </c>
      <c r="B384" s="416" t="s">
        <v>76</v>
      </c>
      <c r="C384" s="455" t="s">
        <v>95</v>
      </c>
      <c r="D384" s="461" t="s">
        <v>96</v>
      </c>
      <c r="E384" s="416">
        <v>933</v>
      </c>
      <c r="F384" s="416">
        <v>2690</v>
      </c>
      <c r="G384" s="456" t="s">
        <v>102</v>
      </c>
      <c r="H384" s="416" t="s">
        <v>103</v>
      </c>
      <c r="I384" s="104" t="s">
        <v>104</v>
      </c>
      <c r="J384" s="416" t="s">
        <v>105</v>
      </c>
      <c r="K384" s="416" t="s">
        <v>1288</v>
      </c>
      <c r="L384" s="416" t="s">
        <v>421</v>
      </c>
      <c r="M384" s="416" t="s">
        <v>108</v>
      </c>
      <c r="N384" s="458" t="s">
        <v>17</v>
      </c>
      <c r="O384" s="416" t="s">
        <v>17</v>
      </c>
      <c r="P384" s="458">
        <v>3.7469999999999999</v>
      </c>
      <c r="Q384" s="458">
        <v>1.3779999999999999</v>
      </c>
      <c r="R384" s="104"/>
      <c r="S384" s="253">
        <f>10^(((LOG((P384/1.3786)*10))*3.05)+-2.15)</f>
        <v>167.66736059123011</v>
      </c>
      <c r="T384" s="104" t="s">
        <v>1271</v>
      </c>
      <c r="U384" s="108">
        <v>0.9</v>
      </c>
      <c r="V384" s="107">
        <v>28</v>
      </c>
      <c r="W384" s="114" t="s">
        <v>1272</v>
      </c>
    </row>
    <row r="385" spans="1:23" ht="21" customHeight="1">
      <c r="A385" s="416" t="s">
        <v>273</v>
      </c>
      <c r="B385" s="416" t="s">
        <v>76</v>
      </c>
      <c r="C385" s="455" t="s">
        <v>95</v>
      </c>
      <c r="D385" s="461" t="s">
        <v>96</v>
      </c>
      <c r="E385" s="416">
        <v>933</v>
      </c>
      <c r="F385" s="416">
        <v>3956</v>
      </c>
      <c r="G385" s="456" t="s">
        <v>102</v>
      </c>
      <c r="H385" s="416" t="s">
        <v>103</v>
      </c>
      <c r="I385" s="104" t="s">
        <v>104</v>
      </c>
      <c r="J385" s="416" t="s">
        <v>105</v>
      </c>
      <c r="K385" s="416" t="s">
        <v>252</v>
      </c>
      <c r="L385" s="416" t="s">
        <v>415</v>
      </c>
      <c r="M385" s="416" t="s">
        <v>114</v>
      </c>
      <c r="N385" s="458" t="s">
        <v>17</v>
      </c>
      <c r="O385" s="416" t="s">
        <v>17</v>
      </c>
      <c r="P385" s="458">
        <v>3.927</v>
      </c>
      <c r="Q385" s="458">
        <v>1.232</v>
      </c>
      <c r="R385" s="104"/>
      <c r="S385" s="253">
        <f>10^(((LOG((P385/1.3786)*10))*3.05)+-2.15)</f>
        <v>193.4634876366045</v>
      </c>
      <c r="T385" s="104" t="s">
        <v>1271</v>
      </c>
      <c r="U385" s="108">
        <v>0.9</v>
      </c>
      <c r="V385" s="107">
        <v>28</v>
      </c>
      <c r="W385" s="114" t="s">
        <v>1272</v>
      </c>
    </row>
    <row r="386" spans="1:23" ht="21" customHeight="1">
      <c r="A386" s="104" t="s">
        <v>273</v>
      </c>
      <c r="B386" s="104" t="s">
        <v>534</v>
      </c>
      <c r="C386" s="454" t="s">
        <v>539</v>
      </c>
      <c r="D386" s="105" t="s">
        <v>540</v>
      </c>
      <c r="E386" s="104">
        <v>933</v>
      </c>
      <c r="F386" s="104">
        <v>3917</v>
      </c>
      <c r="G386" s="106" t="s">
        <v>102</v>
      </c>
      <c r="H386" s="104" t="s">
        <v>103</v>
      </c>
      <c r="I386" s="104" t="s">
        <v>104</v>
      </c>
      <c r="J386" s="104" t="s">
        <v>105</v>
      </c>
      <c r="K386" s="104" t="s">
        <v>112</v>
      </c>
      <c r="L386" s="104" t="s">
        <v>663</v>
      </c>
      <c r="M386" s="104" t="s">
        <v>114</v>
      </c>
      <c r="N386" s="108" t="s">
        <v>17</v>
      </c>
      <c r="O386" s="104" t="s">
        <v>17</v>
      </c>
      <c r="P386" s="108">
        <v>0.93300000000000005</v>
      </c>
      <c r="Q386" s="108">
        <v>0.30499999999999999</v>
      </c>
      <c r="R386" s="104" t="s">
        <v>17</v>
      </c>
      <c r="S386" s="253">
        <f t="shared" ref="S386:S391" si="5">(10^((3.9287*LOG(P386*10))+-0.5516))/1000</f>
        <v>1.8145712004334047</v>
      </c>
      <c r="T386" s="104" t="s">
        <v>1292</v>
      </c>
      <c r="U386" s="108">
        <v>0.81</v>
      </c>
      <c r="V386" s="107"/>
      <c r="W386" s="114" t="s">
        <v>1293</v>
      </c>
    </row>
    <row r="387" spans="1:23" ht="21" customHeight="1">
      <c r="A387" s="104" t="s">
        <v>273</v>
      </c>
      <c r="B387" s="104" t="s">
        <v>534</v>
      </c>
      <c r="C387" s="454" t="s">
        <v>539</v>
      </c>
      <c r="D387" s="105" t="s">
        <v>540</v>
      </c>
      <c r="E387" s="104">
        <v>933</v>
      </c>
      <c r="F387" s="104">
        <v>611</v>
      </c>
      <c r="G387" s="106" t="s">
        <v>102</v>
      </c>
      <c r="H387" s="104" t="s">
        <v>103</v>
      </c>
      <c r="I387" s="104" t="s">
        <v>104</v>
      </c>
      <c r="J387" s="104" t="s">
        <v>105</v>
      </c>
      <c r="K387" s="104" t="s">
        <v>209</v>
      </c>
      <c r="L387" s="104" t="s">
        <v>684</v>
      </c>
      <c r="M387" s="104" t="s">
        <v>114</v>
      </c>
      <c r="N387" s="108" t="s">
        <v>17</v>
      </c>
      <c r="O387" s="104" t="s">
        <v>17</v>
      </c>
      <c r="P387" s="108">
        <v>1.004</v>
      </c>
      <c r="Q387" s="108">
        <v>0.496</v>
      </c>
      <c r="R387" s="104" t="s">
        <v>17</v>
      </c>
      <c r="S387" s="253">
        <f t="shared" si="5"/>
        <v>2.4205342796834213</v>
      </c>
      <c r="T387" s="104" t="s">
        <v>1292</v>
      </c>
      <c r="U387" s="108">
        <v>0.81</v>
      </c>
      <c r="V387" s="107"/>
      <c r="W387" s="114" t="s">
        <v>1293</v>
      </c>
    </row>
    <row r="388" spans="1:23" ht="21" customHeight="1">
      <c r="A388" s="104" t="s">
        <v>273</v>
      </c>
      <c r="B388" s="104" t="s">
        <v>534</v>
      </c>
      <c r="C388" s="454" t="s">
        <v>539</v>
      </c>
      <c r="D388" s="105" t="s">
        <v>540</v>
      </c>
      <c r="E388" s="104">
        <v>933</v>
      </c>
      <c r="F388" s="104">
        <v>452</v>
      </c>
      <c r="G388" s="106" t="s">
        <v>102</v>
      </c>
      <c r="H388" s="104" t="s">
        <v>103</v>
      </c>
      <c r="I388" s="104" t="s">
        <v>104</v>
      </c>
      <c r="J388" s="104" t="s">
        <v>105</v>
      </c>
      <c r="K388" s="104" t="s">
        <v>209</v>
      </c>
      <c r="L388" s="104" t="s">
        <v>684</v>
      </c>
      <c r="M388" s="104" t="s">
        <v>108</v>
      </c>
      <c r="N388" s="108" t="s">
        <v>17</v>
      </c>
      <c r="O388" s="104" t="s">
        <v>17</v>
      </c>
      <c r="P388" s="108">
        <v>1.01</v>
      </c>
      <c r="Q388" s="108">
        <v>0.45499999999999996</v>
      </c>
      <c r="R388" s="104" t="s">
        <v>17</v>
      </c>
      <c r="S388" s="253">
        <f t="shared" si="5"/>
        <v>2.4778635159746103</v>
      </c>
      <c r="T388" s="104" t="s">
        <v>1292</v>
      </c>
      <c r="U388" s="108">
        <v>0.81</v>
      </c>
      <c r="V388" s="107"/>
      <c r="W388" s="114" t="s">
        <v>1293</v>
      </c>
    </row>
    <row r="389" spans="1:23" ht="21" customHeight="1">
      <c r="A389" s="104" t="s">
        <v>273</v>
      </c>
      <c r="B389" s="104" t="s">
        <v>534</v>
      </c>
      <c r="C389" s="454" t="s">
        <v>539</v>
      </c>
      <c r="D389" s="105" t="s">
        <v>540</v>
      </c>
      <c r="E389" s="104">
        <v>933</v>
      </c>
      <c r="F389" s="104">
        <v>766</v>
      </c>
      <c r="G389" s="106" t="s">
        <v>102</v>
      </c>
      <c r="H389" s="104" t="s">
        <v>103</v>
      </c>
      <c r="I389" s="104" t="s">
        <v>104</v>
      </c>
      <c r="J389" s="104" t="s">
        <v>105</v>
      </c>
      <c r="K389" s="104" t="s">
        <v>209</v>
      </c>
      <c r="L389" s="104" t="s">
        <v>684</v>
      </c>
      <c r="M389" s="104" t="s">
        <v>114</v>
      </c>
      <c r="N389" s="108" t="s">
        <v>17</v>
      </c>
      <c r="O389" s="104" t="s">
        <v>17</v>
      </c>
      <c r="P389" s="108">
        <v>1.012</v>
      </c>
      <c r="Q389" s="108">
        <v>0.46600000000000003</v>
      </c>
      <c r="R389" s="104" t="s">
        <v>17</v>
      </c>
      <c r="S389" s="253">
        <f t="shared" si="5"/>
        <v>2.4971962809752601</v>
      </c>
      <c r="T389" s="104" t="s">
        <v>1292</v>
      </c>
      <c r="U389" s="108">
        <v>0.81</v>
      </c>
      <c r="V389" s="107"/>
      <c r="W389" s="114" t="s">
        <v>1293</v>
      </c>
    </row>
    <row r="390" spans="1:23" ht="21" customHeight="1">
      <c r="A390" s="104" t="s">
        <v>273</v>
      </c>
      <c r="B390" s="104" t="s">
        <v>534</v>
      </c>
      <c r="C390" s="454" t="s">
        <v>539</v>
      </c>
      <c r="D390" s="105" t="s">
        <v>540</v>
      </c>
      <c r="E390" s="104">
        <v>933</v>
      </c>
      <c r="F390" s="104">
        <v>4494</v>
      </c>
      <c r="G390" s="106" t="s">
        <v>102</v>
      </c>
      <c r="H390" s="104" t="s">
        <v>103</v>
      </c>
      <c r="I390" s="104" t="s">
        <v>104</v>
      </c>
      <c r="J390" s="104" t="s">
        <v>105</v>
      </c>
      <c r="K390" s="104" t="s">
        <v>112</v>
      </c>
      <c r="L390" s="104" t="s">
        <v>663</v>
      </c>
      <c r="M390" s="104" t="s">
        <v>108</v>
      </c>
      <c r="N390" s="108" t="s">
        <v>17</v>
      </c>
      <c r="O390" s="104" t="s">
        <v>17</v>
      </c>
      <c r="P390" s="108">
        <v>1.014</v>
      </c>
      <c r="Q390" s="108">
        <v>0.45</v>
      </c>
      <c r="R390" s="104" t="s">
        <v>17</v>
      </c>
      <c r="S390" s="253">
        <f t="shared" si="5"/>
        <v>2.5166412673683407</v>
      </c>
      <c r="T390" s="104" t="s">
        <v>1292</v>
      </c>
      <c r="U390" s="108">
        <v>0.81</v>
      </c>
      <c r="V390" s="107"/>
      <c r="W390" s="114" t="s">
        <v>1293</v>
      </c>
    </row>
    <row r="391" spans="1:23" ht="21" customHeight="1">
      <c r="A391" s="104" t="s">
        <v>273</v>
      </c>
      <c r="B391" s="104" t="s">
        <v>534</v>
      </c>
      <c r="C391" s="454" t="s">
        <v>539</v>
      </c>
      <c r="D391" s="105" t="s">
        <v>540</v>
      </c>
      <c r="E391" s="104">
        <v>933</v>
      </c>
      <c r="F391" s="104">
        <v>3670</v>
      </c>
      <c r="G391" s="106" t="s">
        <v>102</v>
      </c>
      <c r="H391" s="104" t="s">
        <v>103</v>
      </c>
      <c r="I391" s="104" t="s">
        <v>104</v>
      </c>
      <c r="J391" s="104" t="s">
        <v>105</v>
      </c>
      <c r="K391" s="104" t="s">
        <v>209</v>
      </c>
      <c r="L391" s="104" t="s">
        <v>684</v>
      </c>
      <c r="M391" s="104" t="s">
        <v>108</v>
      </c>
      <c r="N391" s="108" t="s">
        <v>17</v>
      </c>
      <c r="O391" s="104" t="s">
        <v>17</v>
      </c>
      <c r="P391" s="108">
        <v>1.073</v>
      </c>
      <c r="Q391" s="108">
        <v>0.505</v>
      </c>
      <c r="R391" s="104" t="s">
        <v>17</v>
      </c>
      <c r="S391" s="253">
        <f t="shared" si="5"/>
        <v>3.1428027731596377</v>
      </c>
      <c r="T391" s="104" t="s">
        <v>1292</v>
      </c>
      <c r="U391" s="108">
        <v>0.81</v>
      </c>
      <c r="V391" s="107"/>
      <c r="W391" s="114" t="s">
        <v>1293</v>
      </c>
    </row>
    <row r="392" spans="1:23" ht="21" customHeight="1">
      <c r="A392" s="416" t="s">
        <v>273</v>
      </c>
      <c r="B392" s="416" t="s">
        <v>551</v>
      </c>
      <c r="C392" s="455" t="s">
        <v>117</v>
      </c>
      <c r="D392" s="461" t="s">
        <v>118</v>
      </c>
      <c r="E392" s="416">
        <v>933</v>
      </c>
      <c r="F392" s="416">
        <v>1873</v>
      </c>
      <c r="G392" s="456" t="s">
        <v>102</v>
      </c>
      <c r="H392" s="416" t="s">
        <v>103</v>
      </c>
      <c r="I392" s="104" t="s">
        <v>104</v>
      </c>
      <c r="J392" s="416" t="s">
        <v>105</v>
      </c>
      <c r="K392" s="416" t="s">
        <v>126</v>
      </c>
      <c r="L392" s="416" t="s">
        <v>636</v>
      </c>
      <c r="M392" s="416" t="s">
        <v>114</v>
      </c>
      <c r="N392" s="458" t="s">
        <v>17</v>
      </c>
      <c r="O392" s="416" t="s">
        <v>17</v>
      </c>
      <c r="P392" s="458">
        <v>0.98699999999999988</v>
      </c>
      <c r="Q392" s="458">
        <v>0.44800000000000006</v>
      </c>
      <c r="R392" s="416" t="s">
        <v>17</v>
      </c>
      <c r="S392" s="459">
        <f>(10^(((LOG(P392*10))*1.92282)+2.19684))/1000</f>
        <v>12.844964475286718</v>
      </c>
      <c r="T392" s="416" t="s">
        <v>1312</v>
      </c>
      <c r="U392" s="458">
        <v>0.83</v>
      </c>
      <c r="V392" s="460"/>
      <c r="W392" s="466" t="s">
        <v>1293</v>
      </c>
    </row>
    <row r="393" spans="1:23" ht="21" customHeight="1">
      <c r="A393" s="416" t="s">
        <v>273</v>
      </c>
      <c r="B393" s="416" t="s">
        <v>80</v>
      </c>
      <c r="C393" s="455" t="s">
        <v>557</v>
      </c>
      <c r="D393" s="461" t="s">
        <v>558</v>
      </c>
      <c r="E393" s="416">
        <v>933</v>
      </c>
      <c r="F393" s="416">
        <v>2156</v>
      </c>
      <c r="G393" s="456" t="s">
        <v>102</v>
      </c>
      <c r="H393" s="416" t="s">
        <v>103</v>
      </c>
      <c r="I393" s="104" t="s">
        <v>104</v>
      </c>
      <c r="J393" s="416" t="s">
        <v>105</v>
      </c>
      <c r="K393" s="416" t="s">
        <v>209</v>
      </c>
      <c r="L393" s="416" t="s">
        <v>684</v>
      </c>
      <c r="M393" s="416" t="s">
        <v>108</v>
      </c>
      <c r="N393" s="458" t="s">
        <v>17</v>
      </c>
      <c r="O393" s="416" t="s">
        <v>17</v>
      </c>
      <c r="P393" s="458">
        <v>2.9089999999999998</v>
      </c>
      <c r="Q393" s="458">
        <v>1.7969999999999999</v>
      </c>
      <c r="R393" s="416" t="s">
        <v>17</v>
      </c>
      <c r="S393" s="459">
        <f>(10^((LOG(P393*10)*1.5878)+3.1043))/1000</f>
        <v>268.1836397085674</v>
      </c>
      <c r="T393" s="416" t="s">
        <v>1318</v>
      </c>
      <c r="U393" s="458">
        <v>0.33</v>
      </c>
      <c r="V393" s="460" t="s">
        <v>287</v>
      </c>
      <c r="W393" s="466" t="s">
        <v>1319</v>
      </c>
    </row>
    <row r="394" spans="1:23" ht="21" customHeight="1">
      <c r="A394" s="416" t="s">
        <v>273</v>
      </c>
      <c r="B394" s="416" t="s">
        <v>80</v>
      </c>
      <c r="C394" s="455" t="s">
        <v>557</v>
      </c>
      <c r="D394" s="461" t="s">
        <v>558</v>
      </c>
      <c r="E394" s="416">
        <v>933</v>
      </c>
      <c r="F394" s="416">
        <v>2205</v>
      </c>
      <c r="G394" s="456" t="s">
        <v>102</v>
      </c>
      <c r="H394" s="416" t="s">
        <v>103</v>
      </c>
      <c r="I394" s="104" t="s">
        <v>104</v>
      </c>
      <c r="J394" s="416" t="s">
        <v>105</v>
      </c>
      <c r="K394" s="416" t="s">
        <v>126</v>
      </c>
      <c r="L394" s="416" t="s">
        <v>636</v>
      </c>
      <c r="M394" s="416" t="s">
        <v>108</v>
      </c>
      <c r="N394" s="458" t="s">
        <v>17</v>
      </c>
      <c r="O394" s="416" t="s">
        <v>17</v>
      </c>
      <c r="P394" s="458">
        <v>2.0289999999999999</v>
      </c>
      <c r="Q394" s="458">
        <v>1.6010000000000002</v>
      </c>
      <c r="R394" s="416" t="s">
        <v>17</v>
      </c>
      <c r="S394" s="459">
        <f>(10^((2.20156*LOG((P394*10))+2.58945)))/1000</f>
        <v>293.43361462908496</v>
      </c>
      <c r="T394" s="416" t="s">
        <v>1320</v>
      </c>
      <c r="U394" s="458">
        <v>0.88</v>
      </c>
      <c r="V394" s="460"/>
      <c r="W394" s="466" t="s">
        <v>1293</v>
      </c>
    </row>
    <row r="395" spans="1:23" ht="21" customHeight="1">
      <c r="A395" s="416" t="s">
        <v>273</v>
      </c>
      <c r="B395" s="416" t="s">
        <v>80</v>
      </c>
      <c r="C395" s="455" t="s">
        <v>132</v>
      </c>
      <c r="D395" s="461" t="s">
        <v>133</v>
      </c>
      <c r="E395" s="416">
        <v>933</v>
      </c>
      <c r="F395" s="416">
        <v>2543</v>
      </c>
      <c r="G395" s="456" t="s">
        <v>102</v>
      </c>
      <c r="H395" s="416" t="s">
        <v>103</v>
      </c>
      <c r="I395" s="104" t="s">
        <v>104</v>
      </c>
      <c r="J395" s="416" t="s">
        <v>105</v>
      </c>
      <c r="K395" s="416" t="s">
        <v>158</v>
      </c>
      <c r="L395" s="416" t="s">
        <v>686</v>
      </c>
      <c r="M395" s="416" t="s">
        <v>114</v>
      </c>
      <c r="N395" s="458" t="s">
        <v>17</v>
      </c>
      <c r="O395" s="416" t="s">
        <v>17</v>
      </c>
      <c r="P395" s="458">
        <v>1.8039999999999998</v>
      </c>
      <c r="Q395" s="458">
        <v>1.3859999999999999</v>
      </c>
      <c r="R395" s="416" t="s">
        <v>17</v>
      </c>
      <c r="S395" s="459">
        <f>(10^((LOG(P395*10)*1.6579)+3.0836))/1000</f>
        <v>146.66096843161125</v>
      </c>
      <c r="T395" s="416" t="s">
        <v>1326</v>
      </c>
      <c r="U395" s="458">
        <v>0.4</v>
      </c>
      <c r="V395" s="460" t="s">
        <v>287</v>
      </c>
      <c r="W395" s="456" t="s">
        <v>105</v>
      </c>
    </row>
    <row r="396" spans="1:23" ht="21" customHeight="1">
      <c r="A396" s="104" t="s">
        <v>273</v>
      </c>
      <c r="B396" s="104" t="s">
        <v>80</v>
      </c>
      <c r="C396" s="454" t="s">
        <v>132</v>
      </c>
      <c r="D396" s="105" t="s">
        <v>133</v>
      </c>
      <c r="E396" s="104">
        <v>933</v>
      </c>
      <c r="F396" s="104">
        <v>2624</v>
      </c>
      <c r="G396" s="106" t="s">
        <v>102</v>
      </c>
      <c r="H396" s="104" t="s">
        <v>103</v>
      </c>
      <c r="I396" s="104" t="s">
        <v>104</v>
      </c>
      <c r="J396" s="104" t="s">
        <v>105</v>
      </c>
      <c r="K396" s="104" t="s">
        <v>665</v>
      </c>
      <c r="L396" s="104" t="s">
        <v>1332</v>
      </c>
      <c r="M396" s="104" t="s">
        <v>108</v>
      </c>
      <c r="N396" s="108" t="s">
        <v>17</v>
      </c>
      <c r="O396" s="104" t="s">
        <v>17</v>
      </c>
      <c r="P396" s="108">
        <v>1.4910000000000001</v>
      </c>
      <c r="Q396" s="108">
        <v>2.1960000000000002</v>
      </c>
      <c r="R396" s="104" t="s">
        <v>17</v>
      </c>
      <c r="S396" s="470"/>
      <c r="T396" s="471"/>
      <c r="U396" s="108"/>
      <c r="V396" s="107"/>
      <c r="W396" s="114"/>
    </row>
    <row r="397" spans="1:23" ht="21" customHeight="1">
      <c r="A397" s="663" t="s">
        <v>273</v>
      </c>
      <c r="B397" s="663" t="s">
        <v>132</v>
      </c>
      <c r="C397" s="664" t="s">
        <v>557</v>
      </c>
      <c r="D397" s="665"/>
      <c r="E397" s="663">
        <v>933</v>
      </c>
      <c r="F397" s="663">
        <v>2963</v>
      </c>
      <c r="G397" s="666" t="s">
        <v>249</v>
      </c>
      <c r="H397" s="663" t="s">
        <v>103</v>
      </c>
      <c r="I397" s="663" t="s">
        <v>104</v>
      </c>
      <c r="J397" s="663" t="s">
        <v>3678</v>
      </c>
      <c r="K397" s="663" t="s">
        <v>126</v>
      </c>
      <c r="L397" s="663" t="s">
        <v>3689</v>
      </c>
      <c r="M397" s="663" t="s">
        <v>114</v>
      </c>
      <c r="N397" s="667"/>
      <c r="O397" s="663"/>
      <c r="P397" s="670">
        <v>20.25</v>
      </c>
      <c r="Q397" s="670">
        <v>16.059999999999999</v>
      </c>
      <c r="R397" s="663"/>
      <c r="S397" s="668"/>
      <c r="T397" s="663"/>
      <c r="U397" s="667"/>
      <c r="V397" s="669"/>
      <c r="W397" s="671"/>
    </row>
    <row r="398" spans="1:23" ht="21" customHeight="1">
      <c r="A398" s="663" t="s">
        <v>579</v>
      </c>
      <c r="B398" s="663" t="s">
        <v>580</v>
      </c>
      <c r="C398" s="663" t="s">
        <v>581</v>
      </c>
      <c r="D398" s="664" t="s">
        <v>1603</v>
      </c>
      <c r="E398" s="663">
        <v>933</v>
      </c>
      <c r="F398" s="663">
        <v>5621</v>
      </c>
      <c r="G398" s="666" t="s">
        <v>249</v>
      </c>
      <c r="H398" s="663" t="s">
        <v>103</v>
      </c>
      <c r="I398" s="663" t="s">
        <v>104</v>
      </c>
      <c r="J398" s="663" t="s">
        <v>3678</v>
      </c>
      <c r="K398" s="663" t="s">
        <v>112</v>
      </c>
      <c r="L398" s="663"/>
      <c r="M398" s="663" t="s">
        <v>108</v>
      </c>
      <c r="N398" s="667"/>
      <c r="O398" s="663"/>
      <c r="P398" s="670">
        <v>3</v>
      </c>
      <c r="Q398" s="670">
        <v>2.77</v>
      </c>
      <c r="R398" s="663"/>
      <c r="S398" s="668"/>
      <c r="T398" s="663"/>
      <c r="U398" s="667"/>
      <c r="V398" s="669"/>
      <c r="W398" s="671"/>
    </row>
    <row r="399" spans="1:23" ht="21" customHeight="1">
      <c r="A399" s="663" t="s">
        <v>579</v>
      </c>
      <c r="B399" s="663" t="s">
        <v>580</v>
      </c>
      <c r="C399" s="663" t="s">
        <v>581</v>
      </c>
      <c r="D399" s="664" t="s">
        <v>1603</v>
      </c>
      <c r="E399" s="663">
        <v>933</v>
      </c>
      <c r="F399" s="663">
        <v>293</v>
      </c>
      <c r="G399" s="666" t="s">
        <v>249</v>
      </c>
      <c r="H399" s="663" t="s">
        <v>103</v>
      </c>
      <c r="I399" s="663" t="s">
        <v>104</v>
      </c>
      <c r="J399" s="663" t="s">
        <v>3678</v>
      </c>
      <c r="K399" s="663"/>
      <c r="L399" s="663"/>
      <c r="M399" s="663"/>
      <c r="N399" s="667"/>
      <c r="O399" s="663"/>
      <c r="P399" s="670"/>
      <c r="Q399" s="670"/>
      <c r="R399" s="663"/>
      <c r="S399" s="668"/>
      <c r="T399" s="663"/>
      <c r="U399" s="667"/>
      <c r="V399" s="669"/>
      <c r="W399" s="671"/>
    </row>
    <row r="400" spans="1:23" ht="21" customHeight="1">
      <c r="A400" s="104" t="s">
        <v>169</v>
      </c>
      <c r="B400" s="104" t="s">
        <v>149</v>
      </c>
      <c r="C400" s="454" t="s">
        <v>150</v>
      </c>
      <c r="D400" s="105" t="s">
        <v>151</v>
      </c>
      <c r="E400" s="104">
        <v>933</v>
      </c>
      <c r="F400" s="104">
        <v>1284</v>
      </c>
      <c r="G400" s="106" t="s">
        <v>249</v>
      </c>
      <c r="H400" s="104" t="s">
        <v>103</v>
      </c>
      <c r="I400" s="104" t="s">
        <v>104</v>
      </c>
      <c r="J400" s="104" t="s">
        <v>105</v>
      </c>
      <c r="K400" s="104" t="s">
        <v>1175</v>
      </c>
      <c r="L400" s="104" t="s">
        <v>1176</v>
      </c>
      <c r="M400" s="104" t="s">
        <v>114</v>
      </c>
      <c r="N400" s="108" t="s">
        <v>17</v>
      </c>
      <c r="O400" s="104" t="s">
        <v>17</v>
      </c>
      <c r="P400" s="113">
        <v>3.101</v>
      </c>
      <c r="Q400" s="113">
        <v>3.4560000000000004</v>
      </c>
      <c r="R400" s="104" t="s">
        <v>17</v>
      </c>
      <c r="S400" s="253">
        <f>( (10^((2.965*LOG((P400))+1.383))) +  (10^((3.09*LOG((P400))+1.29))))/2</f>
        <v>668.04890600333999</v>
      </c>
      <c r="T400" s="103" t="s">
        <v>1412</v>
      </c>
      <c r="U400" s="108"/>
      <c r="V400" s="107"/>
      <c r="W400" s="414" t="s">
        <v>1385</v>
      </c>
    </row>
    <row r="401" spans="1:23" ht="21" customHeight="1">
      <c r="A401" s="104" t="s">
        <v>169</v>
      </c>
      <c r="B401" s="104" t="s">
        <v>246</v>
      </c>
      <c r="C401" s="454" t="s">
        <v>1439</v>
      </c>
      <c r="D401" s="105" t="s">
        <v>248</v>
      </c>
      <c r="E401" s="104">
        <v>933</v>
      </c>
      <c r="F401" s="104">
        <v>973</v>
      </c>
      <c r="G401" s="106" t="s">
        <v>102</v>
      </c>
      <c r="H401" s="104" t="s">
        <v>103</v>
      </c>
      <c r="I401" s="104" t="s">
        <v>104</v>
      </c>
      <c r="J401" s="104" t="s">
        <v>105</v>
      </c>
      <c r="K401" s="104" t="s">
        <v>160</v>
      </c>
      <c r="L401" s="104" t="s">
        <v>1059</v>
      </c>
      <c r="M401" s="104" t="s">
        <v>108</v>
      </c>
      <c r="N401" s="108" t="s">
        <v>17</v>
      </c>
      <c r="O401" s="104" t="s">
        <v>17</v>
      </c>
      <c r="P401" s="113">
        <v>2.3079999999999998</v>
      </c>
      <c r="Q401" s="113">
        <v>2.1970000000000001</v>
      </c>
      <c r="R401" s="104" t="s">
        <v>17</v>
      </c>
      <c r="S401" s="253">
        <f>( (10^((2.965*LOG((P401))+1.383))) +  (10^((3.09*LOG((P401))+1.29))))/2</f>
        <v>273.43121203808897</v>
      </c>
      <c r="T401" s="103" t="s">
        <v>1434</v>
      </c>
      <c r="U401" s="108"/>
      <c r="V401" s="107"/>
      <c r="W401" s="414" t="s">
        <v>1385</v>
      </c>
    </row>
    <row r="402" spans="1:23" ht="21" customHeight="1">
      <c r="A402" s="104" t="s">
        <v>169</v>
      </c>
      <c r="B402" s="104" t="s">
        <v>246</v>
      </c>
      <c r="C402" s="454" t="s">
        <v>1439</v>
      </c>
      <c r="D402" s="105" t="s">
        <v>248</v>
      </c>
      <c r="E402" s="104">
        <v>933</v>
      </c>
      <c r="F402" s="104">
        <v>972</v>
      </c>
      <c r="G402" s="106" t="s">
        <v>102</v>
      </c>
      <c r="H402" s="104" t="s">
        <v>103</v>
      </c>
      <c r="I402" s="104" t="s">
        <v>104</v>
      </c>
      <c r="J402" s="104" t="s">
        <v>105</v>
      </c>
      <c r="K402" s="104" t="s">
        <v>143</v>
      </c>
      <c r="L402" s="104" t="s">
        <v>408</v>
      </c>
      <c r="M402" s="104" t="s">
        <v>108</v>
      </c>
      <c r="N402" s="108" t="s">
        <v>17</v>
      </c>
      <c r="O402" s="104" t="s">
        <v>17</v>
      </c>
      <c r="P402" s="113">
        <v>2.7960000000000003</v>
      </c>
      <c r="Q402" s="113">
        <v>2.4010000000000002</v>
      </c>
      <c r="R402" s="104" t="s">
        <v>17</v>
      </c>
      <c r="S402" s="253">
        <f>(10^((2.9*LOG((P402))+1.209)))</f>
        <v>319.12276375397829</v>
      </c>
      <c r="T402" s="103" t="s">
        <v>1386</v>
      </c>
      <c r="U402" s="108">
        <v>0.96399999999999997</v>
      </c>
      <c r="V402" s="107">
        <v>30.5</v>
      </c>
      <c r="W402" s="414" t="s">
        <v>1385</v>
      </c>
    </row>
    <row r="403" spans="1:23" ht="21" customHeight="1">
      <c r="A403" s="104" t="s">
        <v>169</v>
      </c>
      <c r="B403" s="104" t="s">
        <v>246</v>
      </c>
      <c r="C403" s="454" t="s">
        <v>1439</v>
      </c>
      <c r="D403" s="105" t="s">
        <v>248</v>
      </c>
      <c r="E403" s="104">
        <v>933</v>
      </c>
      <c r="F403" s="104">
        <v>370</v>
      </c>
      <c r="G403" s="106" t="s">
        <v>102</v>
      </c>
      <c r="H403" s="104" t="s">
        <v>103</v>
      </c>
      <c r="I403" s="104" t="s">
        <v>104</v>
      </c>
      <c r="J403" s="104" t="s">
        <v>105</v>
      </c>
      <c r="K403" s="104" t="s">
        <v>112</v>
      </c>
      <c r="L403" s="104" t="s">
        <v>663</v>
      </c>
      <c r="M403" s="104" t="s">
        <v>108</v>
      </c>
      <c r="N403" s="108" t="s">
        <v>17</v>
      </c>
      <c r="O403" s="104" t="s">
        <v>17</v>
      </c>
      <c r="P403" s="108">
        <v>2.4660000000000002</v>
      </c>
      <c r="Q403" s="113">
        <v>1.7410000000000001</v>
      </c>
      <c r="R403" s="104" t="s">
        <v>17</v>
      </c>
      <c r="S403" s="253">
        <f>(10^((3.187*LOG((P403))+1.264)))</f>
        <v>326.04828583526887</v>
      </c>
      <c r="T403" s="103" t="s">
        <v>1387</v>
      </c>
      <c r="U403" s="108">
        <v>0.98499999999999999</v>
      </c>
      <c r="V403" s="107">
        <v>16.5</v>
      </c>
      <c r="W403" s="414" t="s">
        <v>1385</v>
      </c>
    </row>
    <row r="404" spans="1:23" ht="21" customHeight="1">
      <c r="A404" s="104" t="s">
        <v>169</v>
      </c>
      <c r="B404" s="104" t="s">
        <v>149</v>
      </c>
      <c r="C404" s="454" t="s">
        <v>150</v>
      </c>
      <c r="D404" s="105" t="s">
        <v>151</v>
      </c>
      <c r="E404" s="104">
        <v>40531</v>
      </c>
      <c r="F404" s="104">
        <v>-999</v>
      </c>
      <c r="G404" s="106" t="s">
        <v>1419</v>
      </c>
      <c r="H404" s="104" t="s">
        <v>642</v>
      </c>
      <c r="I404" s="104" t="s">
        <v>104</v>
      </c>
      <c r="J404" s="104" t="s">
        <v>105</v>
      </c>
      <c r="K404" s="104" t="s">
        <v>209</v>
      </c>
      <c r="L404" s="104" t="s">
        <v>684</v>
      </c>
      <c r="M404" s="104"/>
      <c r="N404" s="108" t="s">
        <v>17</v>
      </c>
      <c r="O404" s="104" t="s">
        <v>17</v>
      </c>
      <c r="P404" s="113">
        <v>3.2020000000000004</v>
      </c>
      <c r="Q404" s="113">
        <v>1.5210000000000001</v>
      </c>
      <c r="R404" s="104" t="s">
        <v>17</v>
      </c>
      <c r="S404" s="253">
        <f xml:space="preserve"> (10^((3.01*LOG((P404))+1.216)))</f>
        <v>546.15786989279559</v>
      </c>
      <c r="T404" s="103" t="s">
        <v>1405</v>
      </c>
      <c r="U404" s="108">
        <v>0.98599999999999999</v>
      </c>
      <c r="V404" s="107">
        <v>16.899999999999999</v>
      </c>
      <c r="W404" s="414" t="s">
        <v>1388</v>
      </c>
    </row>
    <row r="405" spans="1:23" ht="21" customHeight="1">
      <c r="A405" s="104" t="s">
        <v>169</v>
      </c>
      <c r="B405" s="104" t="s">
        <v>149</v>
      </c>
      <c r="C405" s="454" t="s">
        <v>150</v>
      </c>
      <c r="D405" s="105" t="s">
        <v>151</v>
      </c>
      <c r="E405" s="104">
        <v>40531</v>
      </c>
      <c r="F405" s="104">
        <v>-999</v>
      </c>
      <c r="G405" s="106" t="s">
        <v>1419</v>
      </c>
      <c r="H405" s="104" t="s">
        <v>642</v>
      </c>
      <c r="I405" s="104" t="s">
        <v>104</v>
      </c>
      <c r="J405" s="104" t="s">
        <v>105</v>
      </c>
      <c r="K405" s="104" t="s">
        <v>1428</v>
      </c>
      <c r="L405" s="104" t="s">
        <v>720</v>
      </c>
      <c r="M405" s="104"/>
      <c r="N405" s="108" t="s">
        <v>17</v>
      </c>
      <c r="O405" s="104" t="s">
        <v>17</v>
      </c>
      <c r="P405" s="113">
        <v>3.7759999999999998</v>
      </c>
      <c r="Q405" s="113">
        <v>1.8579999999999999</v>
      </c>
      <c r="R405" s="104" t="s">
        <v>17</v>
      </c>
      <c r="S405" s="253">
        <f>(10^(((LOG(P405)*2.637)+1.527)))</f>
        <v>1118.4931948370349</v>
      </c>
      <c r="T405" s="104" t="s">
        <v>1429</v>
      </c>
      <c r="U405" s="108">
        <v>0.83899999999999997</v>
      </c>
      <c r="V405" s="107">
        <v>88.6</v>
      </c>
      <c r="W405" s="414" t="s">
        <v>1385</v>
      </c>
    </row>
    <row r="406" spans="1:23" ht="21" customHeight="1">
      <c r="A406" s="104" t="s">
        <v>169</v>
      </c>
      <c r="B406" s="104" t="s">
        <v>149</v>
      </c>
      <c r="C406" s="454" t="s">
        <v>150</v>
      </c>
      <c r="D406" s="105" t="s">
        <v>151</v>
      </c>
      <c r="E406" s="104">
        <v>41633</v>
      </c>
      <c r="F406" s="104">
        <v>1</v>
      </c>
      <c r="G406" s="106" t="s">
        <v>1420</v>
      </c>
      <c r="H406" s="104"/>
      <c r="I406" s="104" t="s">
        <v>104</v>
      </c>
      <c r="J406" s="104" t="s">
        <v>105</v>
      </c>
      <c r="K406" s="104" t="s">
        <v>112</v>
      </c>
      <c r="L406" s="104" t="s">
        <v>663</v>
      </c>
      <c r="M406" s="104" t="s">
        <v>1409</v>
      </c>
      <c r="N406" s="108" t="s">
        <v>17</v>
      </c>
      <c r="O406" s="104" t="s">
        <v>17</v>
      </c>
      <c r="P406" s="108">
        <v>2.92</v>
      </c>
      <c r="Q406" s="108">
        <v>1.9100000000000001</v>
      </c>
      <c r="R406" s="104" t="s">
        <v>17</v>
      </c>
      <c r="S406" s="253">
        <f>(10^((3.187*LOG((P406))+1.264)))</f>
        <v>558.69546681840643</v>
      </c>
      <c r="T406" s="103" t="s">
        <v>1387</v>
      </c>
      <c r="U406" s="108">
        <v>0.98499999999999999</v>
      </c>
      <c r="V406" s="107">
        <v>16.5</v>
      </c>
      <c r="W406" s="414" t="s">
        <v>1385</v>
      </c>
    </row>
    <row r="407" spans="1:23" ht="21" customHeight="1">
      <c r="A407" s="104" t="s">
        <v>273</v>
      </c>
      <c r="B407" s="104" t="s">
        <v>74</v>
      </c>
      <c r="C407" s="454" t="s">
        <v>299</v>
      </c>
      <c r="D407" s="105" t="s">
        <v>1262</v>
      </c>
      <c r="E407" s="104">
        <v>40605</v>
      </c>
      <c r="F407" s="104" t="s">
        <v>1263</v>
      </c>
      <c r="G407" s="106" t="s">
        <v>1264</v>
      </c>
      <c r="H407" s="104" t="s">
        <v>111</v>
      </c>
      <c r="I407" s="104" t="s">
        <v>104</v>
      </c>
      <c r="J407" s="104" t="s">
        <v>105</v>
      </c>
      <c r="K407" s="104" t="s">
        <v>112</v>
      </c>
      <c r="L407" s="104" t="s">
        <v>663</v>
      </c>
      <c r="M407" s="104" t="s">
        <v>114</v>
      </c>
      <c r="N407" s="108" t="s">
        <v>17</v>
      </c>
      <c r="O407" s="104" t="s">
        <v>17</v>
      </c>
      <c r="P407" s="108">
        <v>1.1000000000000001</v>
      </c>
      <c r="Q407" s="108">
        <v>0.36799999999999999</v>
      </c>
      <c r="R407" s="104" t="s">
        <v>17</v>
      </c>
      <c r="S407" s="253">
        <v>2.0954657536123906</v>
      </c>
      <c r="T407" s="104" t="s">
        <v>1167</v>
      </c>
      <c r="U407" s="108">
        <v>0.96</v>
      </c>
      <c r="V407" s="107">
        <v>12.4</v>
      </c>
      <c r="W407" s="114" t="s">
        <v>284</v>
      </c>
    </row>
    <row r="408" spans="1:23" ht="21" customHeight="1">
      <c r="A408" s="104" t="s">
        <v>273</v>
      </c>
      <c r="B408" s="104" t="s">
        <v>74</v>
      </c>
      <c r="C408" s="454" t="s">
        <v>299</v>
      </c>
      <c r="D408" s="105" t="s">
        <v>1262</v>
      </c>
      <c r="E408" s="104">
        <v>40605</v>
      </c>
      <c r="F408" s="104" t="s">
        <v>1265</v>
      </c>
      <c r="G408" s="106" t="s">
        <v>1264</v>
      </c>
      <c r="H408" s="104" t="s">
        <v>111</v>
      </c>
      <c r="I408" s="104" t="s">
        <v>104</v>
      </c>
      <c r="J408" s="104" t="s">
        <v>105</v>
      </c>
      <c r="K408" s="104" t="s">
        <v>172</v>
      </c>
      <c r="L408" s="104" t="s">
        <v>1238</v>
      </c>
      <c r="M408" s="104"/>
      <c r="N408" s="108" t="s">
        <v>17</v>
      </c>
      <c r="O408" s="104" t="s">
        <v>17</v>
      </c>
      <c r="P408" s="108">
        <v>1.379</v>
      </c>
      <c r="Q408" s="108">
        <v>0.54600000000000004</v>
      </c>
      <c r="R408" s="104" t="s">
        <v>17</v>
      </c>
      <c r="S408" s="253">
        <f>(10^((2.93*LOG((P408*10))+0.27)))/1000</f>
        <v>4.0637155414948474</v>
      </c>
      <c r="T408" s="104" t="s">
        <v>1239</v>
      </c>
      <c r="U408" s="108">
        <v>0.96</v>
      </c>
      <c r="V408" s="107">
        <v>12.4</v>
      </c>
      <c r="W408" s="114" t="s">
        <v>284</v>
      </c>
    </row>
    <row r="409" spans="1:23" ht="21" customHeight="1">
      <c r="A409" s="104" t="s">
        <v>273</v>
      </c>
      <c r="B409" s="104" t="s">
        <v>74</v>
      </c>
      <c r="C409" s="454" t="s">
        <v>299</v>
      </c>
      <c r="D409" s="105" t="s">
        <v>1262</v>
      </c>
      <c r="E409" s="104">
        <v>40605</v>
      </c>
      <c r="F409" s="104" t="s">
        <v>1266</v>
      </c>
      <c r="G409" s="106" t="s">
        <v>1264</v>
      </c>
      <c r="H409" s="104" t="s">
        <v>111</v>
      </c>
      <c r="I409" s="104" t="s">
        <v>104</v>
      </c>
      <c r="J409" s="104" t="s">
        <v>105</v>
      </c>
      <c r="K409" s="104" t="s">
        <v>172</v>
      </c>
      <c r="L409" s="104" t="s">
        <v>1238</v>
      </c>
      <c r="M409" s="104"/>
      <c r="N409" s="108" t="s">
        <v>17</v>
      </c>
      <c r="O409" s="104" t="s">
        <v>17</v>
      </c>
      <c r="P409" s="108">
        <v>1.4</v>
      </c>
      <c r="Q409" s="108">
        <v>0.52</v>
      </c>
      <c r="R409" s="104" t="s">
        <v>17</v>
      </c>
      <c r="S409" s="253">
        <f>(10^((2.93*LOG((P409*10))+0.27)))/1000</f>
        <v>4.2477127937606287</v>
      </c>
      <c r="T409" s="104" t="s">
        <v>1239</v>
      </c>
      <c r="U409" s="108">
        <v>0.96</v>
      </c>
      <c r="V409" s="107">
        <v>12.4</v>
      </c>
      <c r="W409" s="114" t="s">
        <v>284</v>
      </c>
    </row>
    <row r="410" spans="1:23" ht="21" customHeight="1">
      <c r="A410" s="104" t="s">
        <v>218</v>
      </c>
      <c r="B410" s="104" t="s">
        <v>187</v>
      </c>
      <c r="C410" s="454" t="s">
        <v>188</v>
      </c>
      <c r="D410" s="105" t="s">
        <v>189</v>
      </c>
      <c r="E410" s="104">
        <v>41229</v>
      </c>
      <c r="F410" s="104">
        <v>1364</v>
      </c>
      <c r="G410" s="106" t="s">
        <v>1137</v>
      </c>
      <c r="H410" s="104" t="s">
        <v>1138</v>
      </c>
      <c r="I410" s="104" t="s">
        <v>104</v>
      </c>
      <c r="J410" s="104" t="s">
        <v>105</v>
      </c>
      <c r="K410" s="104" t="s">
        <v>209</v>
      </c>
      <c r="L410" s="104" t="s">
        <v>684</v>
      </c>
      <c r="M410" s="104" t="s">
        <v>108</v>
      </c>
      <c r="N410" s="108" t="s">
        <v>17</v>
      </c>
      <c r="O410" s="104" t="s">
        <v>17</v>
      </c>
      <c r="P410" s="113">
        <v>1.4789999999999999</v>
      </c>
      <c r="Q410" s="113">
        <v>1.0349999999999999</v>
      </c>
      <c r="R410" s="104" t="s">
        <v>17</v>
      </c>
      <c r="S410" s="253">
        <f>(10^((3.201*LOG((P410))+1.13)))</f>
        <v>47.213709654519697</v>
      </c>
      <c r="T410" s="104" t="s">
        <v>1139</v>
      </c>
      <c r="U410" s="108">
        <v>0.94399999999999995</v>
      </c>
      <c r="V410" s="107">
        <v>31.1</v>
      </c>
      <c r="W410" s="106" t="s">
        <v>975</v>
      </c>
    </row>
    <row r="411" spans="1:23" ht="21" customHeight="1">
      <c r="A411" s="104" t="s">
        <v>273</v>
      </c>
      <c r="B411" s="104" t="s">
        <v>74</v>
      </c>
      <c r="C411" s="454" t="s">
        <v>266</v>
      </c>
      <c r="D411" s="105" t="s">
        <v>499</v>
      </c>
      <c r="E411" s="104">
        <v>41229</v>
      </c>
      <c r="F411" s="104">
        <v>9951</v>
      </c>
      <c r="G411" s="106" t="s">
        <v>1137</v>
      </c>
      <c r="H411" s="104"/>
      <c r="I411" s="104" t="s">
        <v>225</v>
      </c>
      <c r="J411" s="104" t="s">
        <v>284</v>
      </c>
      <c r="K411" s="104" t="s">
        <v>112</v>
      </c>
      <c r="L411" s="104" t="s">
        <v>663</v>
      </c>
      <c r="M411" s="104" t="s">
        <v>114</v>
      </c>
      <c r="N411" s="108"/>
      <c r="O411" s="104"/>
      <c r="P411" s="108"/>
      <c r="Q411" s="108"/>
      <c r="R411" s="104"/>
      <c r="S411" s="253">
        <v>11.41061</v>
      </c>
      <c r="T411" s="104"/>
      <c r="U411" s="108"/>
      <c r="V411" s="107"/>
      <c r="W411" s="106"/>
    </row>
    <row r="412" spans="1:23" ht="21" customHeight="1">
      <c r="A412" s="104" t="s">
        <v>273</v>
      </c>
      <c r="B412" s="104" t="s">
        <v>74</v>
      </c>
      <c r="C412" s="454" t="s">
        <v>266</v>
      </c>
      <c r="D412" s="105" t="s">
        <v>1185</v>
      </c>
      <c r="E412" s="104">
        <v>41229</v>
      </c>
      <c r="F412" s="104">
        <v>6561</v>
      </c>
      <c r="G412" s="106" t="s">
        <v>1137</v>
      </c>
      <c r="H412" s="104"/>
      <c r="I412" s="104" t="s">
        <v>225</v>
      </c>
      <c r="J412" s="104" t="s">
        <v>284</v>
      </c>
      <c r="K412" s="104" t="s">
        <v>394</v>
      </c>
      <c r="L412" s="104" t="s">
        <v>671</v>
      </c>
      <c r="M412" s="104" t="s">
        <v>108</v>
      </c>
      <c r="N412" s="108"/>
      <c r="O412" s="104"/>
      <c r="P412" s="108"/>
      <c r="Q412" s="108"/>
      <c r="R412" s="104"/>
      <c r="S412" s="253">
        <v>7.5318800000000001</v>
      </c>
      <c r="T412" s="104"/>
      <c r="U412" s="108"/>
      <c r="V412" s="107"/>
      <c r="W412" s="106"/>
    </row>
    <row r="413" spans="1:23" ht="21" customHeight="1">
      <c r="A413" s="104" t="s">
        <v>273</v>
      </c>
      <c r="B413" s="104" t="s">
        <v>74</v>
      </c>
      <c r="C413" s="454" t="s">
        <v>266</v>
      </c>
      <c r="D413" s="105" t="s">
        <v>1185</v>
      </c>
      <c r="E413" s="104">
        <v>41229</v>
      </c>
      <c r="F413" s="104">
        <v>721</v>
      </c>
      <c r="G413" s="106" t="s">
        <v>1137</v>
      </c>
      <c r="H413" s="104"/>
      <c r="I413" s="104" t="s">
        <v>225</v>
      </c>
      <c r="J413" s="104" t="s">
        <v>284</v>
      </c>
      <c r="K413" s="104" t="s">
        <v>660</v>
      </c>
      <c r="L413" s="104" t="s">
        <v>661</v>
      </c>
      <c r="M413" s="104" t="s">
        <v>114</v>
      </c>
      <c r="N413" s="108"/>
      <c r="O413" s="104"/>
      <c r="P413" s="108"/>
      <c r="Q413" s="108"/>
      <c r="R413" s="104"/>
      <c r="S413" s="253">
        <v>8.6540400000000002</v>
      </c>
      <c r="T413" s="104"/>
      <c r="U413" s="108"/>
      <c r="V413" s="107"/>
      <c r="W413" s="106"/>
    </row>
    <row r="414" spans="1:23" ht="21" customHeight="1">
      <c r="A414" s="663" t="s">
        <v>273</v>
      </c>
      <c r="B414" s="663" t="s">
        <v>74</v>
      </c>
      <c r="C414" s="664" t="s">
        <v>266</v>
      </c>
      <c r="D414" s="665" t="s">
        <v>505</v>
      </c>
      <c r="E414" s="663">
        <v>41229</v>
      </c>
      <c r="F414" s="663">
        <v>12042</v>
      </c>
      <c r="G414" s="666" t="s">
        <v>1137</v>
      </c>
      <c r="H414" s="663"/>
      <c r="I414" s="663" t="s">
        <v>225</v>
      </c>
      <c r="J414" s="663" t="s">
        <v>3678</v>
      </c>
      <c r="K414" s="663" t="s">
        <v>112</v>
      </c>
      <c r="L414" s="663" t="s">
        <v>663</v>
      </c>
      <c r="M414" s="663" t="s">
        <v>114</v>
      </c>
      <c r="N414" s="667"/>
      <c r="O414" s="663"/>
      <c r="P414" s="667">
        <v>27.08</v>
      </c>
      <c r="Q414" s="667"/>
      <c r="R414" s="663"/>
      <c r="S414" s="668"/>
      <c r="T414" s="663"/>
      <c r="U414" s="667"/>
      <c r="V414" s="669"/>
      <c r="W414" s="666"/>
    </row>
    <row r="415" spans="1:23" ht="21" customHeight="1">
      <c r="A415" s="104" t="s">
        <v>273</v>
      </c>
      <c r="B415" s="104" t="s">
        <v>74</v>
      </c>
      <c r="C415" s="454" t="s">
        <v>266</v>
      </c>
      <c r="D415" s="105" t="s">
        <v>1240</v>
      </c>
      <c r="E415" s="104">
        <v>41229</v>
      </c>
      <c r="F415" s="104" t="s">
        <v>1243</v>
      </c>
      <c r="G415" s="106" t="s">
        <v>1137</v>
      </c>
      <c r="H415" s="104" t="s">
        <v>1138</v>
      </c>
      <c r="I415" s="104" t="s">
        <v>104</v>
      </c>
      <c r="J415" s="104" t="s">
        <v>105</v>
      </c>
      <c r="K415" s="104" t="s">
        <v>112</v>
      </c>
      <c r="L415" s="104" t="s">
        <v>663</v>
      </c>
      <c r="M415" s="104" t="s">
        <v>114</v>
      </c>
      <c r="N415" s="108" t="s">
        <v>17</v>
      </c>
      <c r="O415" s="104" t="s">
        <v>17</v>
      </c>
      <c r="P415" s="108">
        <v>2.4699999999999998</v>
      </c>
      <c r="Q415" s="108" t="s">
        <v>17</v>
      </c>
      <c r="R415" s="104" t="s">
        <v>17</v>
      </c>
      <c r="S415" s="253">
        <v>22.418268846669708</v>
      </c>
      <c r="T415" s="104" t="s">
        <v>1167</v>
      </c>
      <c r="U415" s="108">
        <v>0.96</v>
      </c>
      <c r="V415" s="107">
        <v>12.4</v>
      </c>
      <c r="W415" s="114" t="s">
        <v>284</v>
      </c>
    </row>
    <row r="416" spans="1:23" ht="21" customHeight="1">
      <c r="A416" s="416" t="s">
        <v>273</v>
      </c>
      <c r="B416" s="416" t="s">
        <v>74</v>
      </c>
      <c r="C416" s="455" t="s">
        <v>266</v>
      </c>
      <c r="D416" s="105" t="s">
        <v>1240</v>
      </c>
      <c r="E416" s="416">
        <v>41229</v>
      </c>
      <c r="F416" s="416" t="s">
        <v>1243</v>
      </c>
      <c r="G416" s="456" t="s">
        <v>1137</v>
      </c>
      <c r="H416" s="416" t="s">
        <v>1138</v>
      </c>
      <c r="I416" s="104" t="s">
        <v>104</v>
      </c>
      <c r="J416" s="416" t="s">
        <v>105</v>
      </c>
      <c r="K416" s="416" t="s">
        <v>1159</v>
      </c>
      <c r="L416" s="416" t="s">
        <v>1160</v>
      </c>
      <c r="M416" s="416" t="s">
        <v>114</v>
      </c>
      <c r="N416" s="458">
        <v>2.3029999999999999</v>
      </c>
      <c r="O416" s="416" t="s">
        <v>17</v>
      </c>
      <c r="P416" s="458" t="s">
        <v>17</v>
      </c>
      <c r="Q416" s="457" t="s">
        <v>17</v>
      </c>
      <c r="R416" s="416" t="s">
        <v>17</v>
      </c>
      <c r="S416" s="459">
        <v>42.865895958287268</v>
      </c>
      <c r="T416" s="416" t="s">
        <v>1244</v>
      </c>
      <c r="U416" s="458">
        <v>0.98488578017961048</v>
      </c>
      <c r="V416" s="460">
        <v>9</v>
      </c>
      <c r="W416" s="466" t="s">
        <v>284</v>
      </c>
    </row>
    <row r="417" spans="1:23" ht="21" customHeight="1">
      <c r="A417" s="104" t="s">
        <v>273</v>
      </c>
      <c r="B417" s="104" t="s">
        <v>74</v>
      </c>
      <c r="C417" s="454" t="s">
        <v>1247</v>
      </c>
      <c r="D417" s="105"/>
      <c r="E417" s="104">
        <v>41229</v>
      </c>
      <c r="F417" s="104" t="s">
        <v>1243</v>
      </c>
      <c r="G417" s="106" t="s">
        <v>1137</v>
      </c>
      <c r="H417" s="104"/>
      <c r="I417" s="104" t="s">
        <v>104</v>
      </c>
      <c r="J417" s="104" t="s">
        <v>284</v>
      </c>
      <c r="K417" s="104" t="s">
        <v>112</v>
      </c>
      <c r="L417" s="104" t="s">
        <v>663</v>
      </c>
      <c r="M417" s="104" t="s">
        <v>114</v>
      </c>
      <c r="N417" s="108"/>
      <c r="O417" s="104"/>
      <c r="P417" s="108"/>
      <c r="Q417" s="108"/>
      <c r="R417" s="104"/>
      <c r="S417" s="253">
        <v>0.76239999999999997</v>
      </c>
      <c r="T417" s="104"/>
      <c r="U417" s="108"/>
      <c r="V417" s="107"/>
      <c r="W417" s="106"/>
    </row>
    <row r="418" spans="1:23" ht="21" customHeight="1">
      <c r="A418" s="104" t="s">
        <v>273</v>
      </c>
      <c r="B418" s="104" t="s">
        <v>74</v>
      </c>
      <c r="C418" s="454" t="s">
        <v>1248</v>
      </c>
      <c r="D418" s="105"/>
      <c r="E418" s="104">
        <v>41229</v>
      </c>
      <c r="F418" s="104" t="s">
        <v>1243</v>
      </c>
      <c r="G418" s="106" t="s">
        <v>1137</v>
      </c>
      <c r="H418" s="104"/>
      <c r="I418" s="104" t="s">
        <v>225</v>
      </c>
      <c r="J418" s="104" t="s">
        <v>284</v>
      </c>
      <c r="K418" s="104" t="s">
        <v>112</v>
      </c>
      <c r="L418" s="104" t="s">
        <v>663</v>
      </c>
      <c r="M418" s="104"/>
      <c r="N418" s="108"/>
      <c r="O418" s="104"/>
      <c r="P418" s="108"/>
      <c r="Q418" s="108"/>
      <c r="R418" s="104"/>
      <c r="S418" s="253">
        <v>0.61133999999999999</v>
      </c>
      <c r="T418" s="104"/>
      <c r="U418" s="108"/>
      <c r="V418" s="107"/>
      <c r="W418" s="106"/>
    </row>
    <row r="419" spans="1:23" ht="21" customHeight="1">
      <c r="A419" s="104" t="s">
        <v>273</v>
      </c>
      <c r="B419" s="104" t="s">
        <v>74</v>
      </c>
      <c r="C419" s="454" t="s">
        <v>513</v>
      </c>
      <c r="D419" s="105" t="s">
        <v>151</v>
      </c>
      <c r="E419" s="104">
        <v>41229</v>
      </c>
      <c r="F419" s="104">
        <v>12071</v>
      </c>
      <c r="G419" s="106" t="s">
        <v>1137</v>
      </c>
      <c r="H419" s="104"/>
      <c r="I419" s="104" t="s">
        <v>104</v>
      </c>
      <c r="J419" s="104" t="s">
        <v>284</v>
      </c>
      <c r="K419" s="104" t="s">
        <v>112</v>
      </c>
      <c r="L419" s="104" t="s">
        <v>663</v>
      </c>
      <c r="M419" s="104" t="s">
        <v>114</v>
      </c>
      <c r="N419" s="108"/>
      <c r="O419" s="104"/>
      <c r="P419" s="108"/>
      <c r="Q419" s="108"/>
      <c r="R419" s="104"/>
      <c r="S419" s="253">
        <v>2.89453</v>
      </c>
      <c r="T419" s="104"/>
      <c r="U419" s="108"/>
      <c r="V419" s="107"/>
      <c r="W419" s="106"/>
    </row>
    <row r="420" spans="1:23" ht="21" customHeight="1">
      <c r="A420" s="104" t="s">
        <v>273</v>
      </c>
      <c r="B420" s="104" t="s">
        <v>74</v>
      </c>
      <c r="C420" s="454" t="s">
        <v>1253</v>
      </c>
      <c r="D420" s="105"/>
      <c r="E420" s="104">
        <v>41229</v>
      </c>
      <c r="F420" s="104" t="s">
        <v>1243</v>
      </c>
      <c r="G420" s="106" t="s">
        <v>1137</v>
      </c>
      <c r="H420" s="104"/>
      <c r="I420" s="104" t="s">
        <v>104</v>
      </c>
      <c r="J420" s="104" t="s">
        <v>284</v>
      </c>
      <c r="K420" s="104" t="s">
        <v>112</v>
      </c>
      <c r="L420" s="104" t="s">
        <v>663</v>
      </c>
      <c r="M420" s="104" t="s">
        <v>114</v>
      </c>
      <c r="N420" s="108"/>
      <c r="O420" s="462">
        <f>STDEV(S410:S420)</f>
        <v>17.268937055980693</v>
      </c>
      <c r="P420" s="108"/>
      <c r="Q420" s="108"/>
      <c r="R420" s="104"/>
      <c r="S420" s="253">
        <v>2.7398899999999999</v>
      </c>
      <c r="T420" s="104"/>
      <c r="U420" s="108"/>
      <c r="V420" s="107"/>
      <c r="W420" s="106"/>
    </row>
    <row r="421" spans="1:23" ht="21" customHeight="1">
      <c r="A421" s="104" t="s">
        <v>273</v>
      </c>
      <c r="B421" s="104" t="s">
        <v>74</v>
      </c>
      <c r="C421" s="454" t="s">
        <v>1267</v>
      </c>
      <c r="D421" s="105" t="s">
        <v>151</v>
      </c>
      <c r="E421" s="104">
        <v>41229</v>
      </c>
      <c r="F421" s="104">
        <v>3549</v>
      </c>
      <c r="G421" s="106" t="s">
        <v>1137</v>
      </c>
      <c r="H421" s="104"/>
      <c r="I421" s="104" t="s">
        <v>104</v>
      </c>
      <c r="J421" s="104" t="s">
        <v>284</v>
      </c>
      <c r="K421" s="104" t="s">
        <v>112</v>
      </c>
      <c r="L421" s="104" t="s">
        <v>663</v>
      </c>
      <c r="M421" s="104" t="s">
        <v>108</v>
      </c>
      <c r="N421" s="108"/>
      <c r="O421" s="104"/>
      <c r="P421" s="108"/>
      <c r="Q421" s="108"/>
      <c r="R421" s="104"/>
      <c r="S421" s="253">
        <v>0.58228000000000002</v>
      </c>
      <c r="T421" s="104"/>
      <c r="U421" s="108"/>
      <c r="V421" s="107"/>
      <c r="W421" s="106"/>
    </row>
    <row r="422" spans="1:23" ht="21" customHeight="1">
      <c r="A422" s="104" t="s">
        <v>273</v>
      </c>
      <c r="B422" s="104" t="s">
        <v>74</v>
      </c>
      <c r="C422" s="454" t="s">
        <v>1267</v>
      </c>
      <c r="D422" s="105"/>
      <c r="E422" s="104">
        <v>41229</v>
      </c>
      <c r="F422" s="104" t="s">
        <v>1243</v>
      </c>
      <c r="G422" s="106" t="s">
        <v>1137</v>
      </c>
      <c r="H422" s="104"/>
      <c r="I422" s="104" t="s">
        <v>104</v>
      </c>
      <c r="J422" s="104" t="s">
        <v>284</v>
      </c>
      <c r="K422" s="104" t="s">
        <v>112</v>
      </c>
      <c r="L422" s="104" t="s">
        <v>663</v>
      </c>
      <c r="M422" s="104" t="s">
        <v>114</v>
      </c>
      <c r="N422" s="108"/>
      <c r="O422" s="104"/>
      <c r="P422" s="108"/>
      <c r="Q422" s="108"/>
      <c r="R422" s="104"/>
      <c r="S422" s="253">
        <v>1.61815</v>
      </c>
      <c r="T422" s="104"/>
      <c r="U422" s="108"/>
      <c r="V422" s="107"/>
      <c r="W422" s="106"/>
    </row>
    <row r="423" spans="1:23" ht="21" customHeight="1">
      <c r="A423" s="104" t="s">
        <v>273</v>
      </c>
      <c r="B423" s="104" t="s">
        <v>1120</v>
      </c>
      <c r="C423" s="454" t="s">
        <v>1120</v>
      </c>
      <c r="D423" s="105" t="s">
        <v>1120</v>
      </c>
      <c r="E423" s="104">
        <v>41229</v>
      </c>
      <c r="F423" s="104" t="s">
        <v>1243</v>
      </c>
      <c r="G423" s="106" t="s">
        <v>1137</v>
      </c>
      <c r="H423" s="104" t="s">
        <v>1138</v>
      </c>
      <c r="I423" s="104" t="s">
        <v>225</v>
      </c>
      <c r="J423" s="104" t="s">
        <v>105</v>
      </c>
      <c r="K423" s="104" t="s">
        <v>1164</v>
      </c>
      <c r="L423" s="104" t="s">
        <v>1165</v>
      </c>
      <c r="M423" s="104"/>
      <c r="N423" s="108">
        <v>1.5050000000000001</v>
      </c>
      <c r="O423" s="104" t="s">
        <v>17</v>
      </c>
      <c r="P423" s="108" t="s">
        <v>17</v>
      </c>
      <c r="Q423" s="113" t="s">
        <v>17</v>
      </c>
      <c r="R423" s="104" t="s">
        <v>17</v>
      </c>
      <c r="S423" s="253">
        <f>(10^(2.7*LOG(N423*10)+0.75))/1000</f>
        <v>8.4986227162882102</v>
      </c>
      <c r="T423" s="104" t="s">
        <v>1290</v>
      </c>
      <c r="U423" s="108">
        <v>0.98994949366116658</v>
      </c>
      <c r="V423" s="107">
        <v>11.3</v>
      </c>
      <c r="W423" s="114" t="s">
        <v>284</v>
      </c>
    </row>
    <row r="424" spans="1:23" ht="21" customHeight="1">
      <c r="A424" s="104" t="s">
        <v>273</v>
      </c>
      <c r="B424" s="104" t="s">
        <v>1120</v>
      </c>
      <c r="C424" s="454" t="s">
        <v>1120</v>
      </c>
      <c r="D424" s="105" t="s">
        <v>1120</v>
      </c>
      <c r="E424" s="104">
        <v>41229</v>
      </c>
      <c r="F424" s="104" t="s">
        <v>1243</v>
      </c>
      <c r="G424" s="106" t="s">
        <v>1137</v>
      </c>
      <c r="H424" s="104" t="s">
        <v>1138</v>
      </c>
      <c r="I424" s="104" t="s">
        <v>104</v>
      </c>
      <c r="J424" s="104" t="s">
        <v>105</v>
      </c>
      <c r="K424" s="104" t="s">
        <v>1164</v>
      </c>
      <c r="L424" s="104" t="s">
        <v>1165</v>
      </c>
      <c r="M424" s="104" t="s">
        <v>114</v>
      </c>
      <c r="N424" s="108">
        <v>1.5050000000000001</v>
      </c>
      <c r="O424" s="104" t="s">
        <v>17</v>
      </c>
      <c r="P424" s="108" t="s">
        <v>17</v>
      </c>
      <c r="Q424" s="113" t="s">
        <v>17</v>
      </c>
      <c r="R424" s="104" t="s">
        <v>17</v>
      </c>
      <c r="S424" s="253">
        <f>(10^(2.7*LOG(N424*10)+0.75))/1000</f>
        <v>8.4986227162882102</v>
      </c>
      <c r="T424" s="104" t="s">
        <v>1290</v>
      </c>
      <c r="U424" s="108">
        <v>0.98994949366116658</v>
      </c>
      <c r="V424" s="107">
        <v>11.3</v>
      </c>
      <c r="W424" s="114" t="s">
        <v>284</v>
      </c>
    </row>
    <row r="425" spans="1:23" ht="21" customHeight="1">
      <c r="A425" s="663" t="s">
        <v>273</v>
      </c>
      <c r="B425" s="663" t="s">
        <v>76</v>
      </c>
      <c r="C425" s="664" t="s">
        <v>529</v>
      </c>
      <c r="D425" s="665" t="s">
        <v>530</v>
      </c>
      <c r="E425" s="663">
        <v>41229</v>
      </c>
      <c r="F425" s="663">
        <v>15780</v>
      </c>
      <c r="G425" s="666" t="s">
        <v>3680</v>
      </c>
      <c r="H425" s="663"/>
      <c r="I425" s="663"/>
      <c r="J425" s="663" t="s">
        <v>3678</v>
      </c>
      <c r="K425" s="663" t="s">
        <v>172</v>
      </c>
      <c r="L425" s="663" t="s">
        <v>3679</v>
      </c>
      <c r="M425" s="663" t="s">
        <v>114</v>
      </c>
      <c r="N425" s="667"/>
      <c r="O425" s="663"/>
      <c r="P425" s="670">
        <v>16.170000000000002</v>
      </c>
      <c r="Q425" s="670"/>
      <c r="R425" s="663"/>
      <c r="S425" s="668"/>
      <c r="T425" s="663"/>
      <c r="U425" s="667"/>
      <c r="V425" s="669"/>
      <c r="W425" s="671"/>
    </row>
    <row r="426" spans="1:23" ht="21" customHeight="1">
      <c r="A426" s="104" t="s">
        <v>579</v>
      </c>
      <c r="B426" s="104" t="s">
        <v>580</v>
      </c>
      <c r="C426" s="454" t="s">
        <v>585</v>
      </c>
      <c r="D426" s="105" t="s">
        <v>151</v>
      </c>
      <c r="E426" s="104">
        <v>41229</v>
      </c>
      <c r="F426" s="104">
        <v>10285</v>
      </c>
      <c r="G426" s="106" t="s">
        <v>1357</v>
      </c>
      <c r="H426" s="104" t="s">
        <v>1138</v>
      </c>
      <c r="I426" s="104" t="s">
        <v>104</v>
      </c>
      <c r="J426" s="104" t="s">
        <v>105</v>
      </c>
      <c r="K426" s="104" t="s">
        <v>670</v>
      </c>
      <c r="L426" s="104" t="s">
        <v>671</v>
      </c>
      <c r="M426" s="104" t="s">
        <v>108</v>
      </c>
      <c r="N426" s="108"/>
      <c r="O426" s="108"/>
      <c r="P426" s="108">
        <v>0.82799999999999996</v>
      </c>
      <c r="Q426" s="108">
        <v>0.36799999999999999</v>
      </c>
      <c r="R426" s="108"/>
      <c r="S426" s="463">
        <f t="shared" ref="S426:S453" si="6">EXP(2.969*LN(P426*10)-1.611)/1000</f>
        <v>0.10616556114056482</v>
      </c>
      <c r="T426" s="104" t="s">
        <v>672</v>
      </c>
      <c r="U426" s="108">
        <v>0.94099999999999995</v>
      </c>
      <c r="V426" s="107">
        <v>44.075000000000003</v>
      </c>
      <c r="W426" s="106" t="s">
        <v>397</v>
      </c>
    </row>
    <row r="427" spans="1:23" ht="21" customHeight="1">
      <c r="A427" s="104" t="s">
        <v>579</v>
      </c>
      <c r="B427" s="104" t="s">
        <v>580</v>
      </c>
      <c r="C427" s="454" t="s">
        <v>585</v>
      </c>
      <c r="D427" s="105" t="s">
        <v>151</v>
      </c>
      <c r="E427" s="104">
        <v>41229</v>
      </c>
      <c r="F427" s="104">
        <v>17203</v>
      </c>
      <c r="G427" s="106" t="s">
        <v>1357</v>
      </c>
      <c r="H427" s="104" t="s">
        <v>1138</v>
      </c>
      <c r="I427" s="104" t="s">
        <v>225</v>
      </c>
      <c r="J427" s="104" t="s">
        <v>105</v>
      </c>
      <c r="K427" s="104" t="s">
        <v>670</v>
      </c>
      <c r="L427" s="104" t="s">
        <v>671</v>
      </c>
      <c r="M427" s="104" t="s">
        <v>108</v>
      </c>
      <c r="N427" s="108"/>
      <c r="O427" s="108"/>
      <c r="P427" s="108">
        <v>0.96933333333333338</v>
      </c>
      <c r="Q427" s="108">
        <v>0.44866666666666671</v>
      </c>
      <c r="R427" s="108"/>
      <c r="S427" s="463">
        <f t="shared" si="6"/>
        <v>0.16950806430471363</v>
      </c>
      <c r="T427" s="104" t="s">
        <v>672</v>
      </c>
      <c r="U427" s="108">
        <v>0.94099999999999995</v>
      </c>
      <c r="V427" s="107">
        <v>44.075000000000003</v>
      </c>
      <c r="W427" s="106" t="s">
        <v>397</v>
      </c>
    </row>
    <row r="428" spans="1:23" ht="21" customHeight="1">
      <c r="A428" s="416" t="s">
        <v>579</v>
      </c>
      <c r="B428" s="416" t="s">
        <v>580</v>
      </c>
      <c r="C428" s="455" t="s">
        <v>585</v>
      </c>
      <c r="D428" s="105" t="s">
        <v>151</v>
      </c>
      <c r="E428" s="416">
        <v>41229</v>
      </c>
      <c r="F428" s="416">
        <v>4840</v>
      </c>
      <c r="G428" s="456" t="s">
        <v>1357</v>
      </c>
      <c r="H428" s="416" t="s">
        <v>1138</v>
      </c>
      <c r="I428" s="104" t="s">
        <v>225</v>
      </c>
      <c r="J428" s="416" t="s">
        <v>105</v>
      </c>
      <c r="K428" s="416" t="s">
        <v>670</v>
      </c>
      <c r="L428" s="416" t="s">
        <v>671</v>
      </c>
      <c r="M428" s="416" t="s">
        <v>108</v>
      </c>
      <c r="N428" s="458"/>
      <c r="O428" s="458"/>
      <c r="P428" s="458">
        <v>0.97433333333333327</v>
      </c>
      <c r="Q428" s="458">
        <v>0.41833333333333333</v>
      </c>
      <c r="R428" s="458"/>
      <c r="S428" s="468">
        <f t="shared" si="6"/>
        <v>0.17211722568731422</v>
      </c>
      <c r="T428" s="416" t="s">
        <v>672</v>
      </c>
      <c r="U428" s="458">
        <v>0.94099999999999995</v>
      </c>
      <c r="V428" s="460">
        <v>44.075000000000003</v>
      </c>
      <c r="W428" s="456" t="s">
        <v>397</v>
      </c>
    </row>
    <row r="429" spans="1:23" ht="21" customHeight="1">
      <c r="A429" s="104" t="s">
        <v>579</v>
      </c>
      <c r="B429" s="104" t="s">
        <v>580</v>
      </c>
      <c r="C429" s="454" t="s">
        <v>585</v>
      </c>
      <c r="D429" s="105" t="s">
        <v>151</v>
      </c>
      <c r="E429" s="104">
        <v>41229</v>
      </c>
      <c r="F429" s="104">
        <v>17227</v>
      </c>
      <c r="G429" s="106" t="s">
        <v>1357</v>
      </c>
      <c r="H429" s="104" t="s">
        <v>1138</v>
      </c>
      <c r="I429" s="104" t="s">
        <v>225</v>
      </c>
      <c r="J429" s="104" t="s">
        <v>105</v>
      </c>
      <c r="K429" s="104" t="s">
        <v>670</v>
      </c>
      <c r="L429" s="104" t="s">
        <v>671</v>
      </c>
      <c r="M429" s="104" t="s">
        <v>114</v>
      </c>
      <c r="N429" s="108"/>
      <c r="O429" s="108"/>
      <c r="P429" s="108">
        <v>0.97999999999999987</v>
      </c>
      <c r="Q429" s="108">
        <v>0.45433333333333331</v>
      </c>
      <c r="R429" s="108"/>
      <c r="S429" s="463">
        <f t="shared" si="6"/>
        <v>0.17510631488206158</v>
      </c>
      <c r="T429" s="104" t="s">
        <v>1358</v>
      </c>
      <c r="U429" s="108">
        <v>0.94099999999999995</v>
      </c>
      <c r="V429" s="107">
        <v>44.075000000000003</v>
      </c>
      <c r="W429" s="106" t="s">
        <v>397</v>
      </c>
    </row>
    <row r="430" spans="1:23" ht="21" customHeight="1">
      <c r="A430" s="416" t="s">
        <v>579</v>
      </c>
      <c r="B430" s="416" t="s">
        <v>580</v>
      </c>
      <c r="C430" s="455" t="s">
        <v>585</v>
      </c>
      <c r="D430" s="105" t="s">
        <v>151</v>
      </c>
      <c r="E430" s="416">
        <v>41229</v>
      </c>
      <c r="F430" s="416">
        <v>16969</v>
      </c>
      <c r="G430" s="456" t="s">
        <v>1357</v>
      </c>
      <c r="H430" s="416" t="s">
        <v>1138</v>
      </c>
      <c r="I430" s="104" t="s">
        <v>225</v>
      </c>
      <c r="J430" s="416" t="s">
        <v>105</v>
      </c>
      <c r="K430" s="416" t="s">
        <v>670</v>
      </c>
      <c r="L430" s="416" t="s">
        <v>671</v>
      </c>
      <c r="M430" s="416" t="s">
        <v>1359</v>
      </c>
      <c r="N430" s="458"/>
      <c r="O430" s="458"/>
      <c r="P430" s="458">
        <v>0.98566666666666669</v>
      </c>
      <c r="Q430" s="458">
        <v>0.44166666666666671</v>
      </c>
      <c r="R430" s="458"/>
      <c r="S430" s="468">
        <f t="shared" si="6"/>
        <v>0.17812963044891952</v>
      </c>
      <c r="T430" s="416" t="s">
        <v>672</v>
      </c>
      <c r="U430" s="458">
        <v>0.94099999999999995</v>
      </c>
      <c r="V430" s="460">
        <v>44.075000000000003</v>
      </c>
      <c r="W430" s="456" t="s">
        <v>397</v>
      </c>
    </row>
    <row r="431" spans="1:23" ht="21" customHeight="1">
      <c r="A431" s="104" t="s">
        <v>579</v>
      </c>
      <c r="B431" s="104" t="s">
        <v>580</v>
      </c>
      <c r="C431" s="454" t="s">
        <v>585</v>
      </c>
      <c r="D431" s="105" t="s">
        <v>151</v>
      </c>
      <c r="E431" s="104">
        <v>41229</v>
      </c>
      <c r="F431" s="104">
        <v>17216</v>
      </c>
      <c r="G431" s="106" t="s">
        <v>1357</v>
      </c>
      <c r="H431" s="104" t="s">
        <v>1138</v>
      </c>
      <c r="I431" s="104" t="s">
        <v>225</v>
      </c>
      <c r="J431" s="104" t="s">
        <v>105</v>
      </c>
      <c r="K431" s="104" t="s">
        <v>670</v>
      </c>
      <c r="L431" s="104" t="s">
        <v>671</v>
      </c>
      <c r="M431" s="104" t="s">
        <v>114</v>
      </c>
      <c r="N431" s="108"/>
      <c r="O431" s="108"/>
      <c r="P431" s="108">
        <v>1.0033333333333334</v>
      </c>
      <c r="Q431" s="108">
        <v>0.42333333333333334</v>
      </c>
      <c r="R431" s="108"/>
      <c r="S431" s="463">
        <f t="shared" si="6"/>
        <v>0.18777704907064047</v>
      </c>
      <c r="T431" s="104" t="s">
        <v>1358</v>
      </c>
      <c r="U431" s="108">
        <v>0.94099999999999995</v>
      </c>
      <c r="V431" s="107">
        <v>44.075000000000003</v>
      </c>
      <c r="W431" s="106" t="s">
        <v>397</v>
      </c>
    </row>
    <row r="432" spans="1:23" ht="21" customHeight="1">
      <c r="A432" s="104" t="s">
        <v>579</v>
      </c>
      <c r="B432" s="104" t="s">
        <v>580</v>
      </c>
      <c r="C432" s="454" t="s">
        <v>585</v>
      </c>
      <c r="D432" s="105" t="s">
        <v>151</v>
      </c>
      <c r="E432" s="104">
        <v>41229</v>
      </c>
      <c r="F432" s="104">
        <v>17215</v>
      </c>
      <c r="G432" s="106" t="s">
        <v>1357</v>
      </c>
      <c r="H432" s="104" t="s">
        <v>1138</v>
      </c>
      <c r="I432" s="104" t="s">
        <v>225</v>
      </c>
      <c r="J432" s="104" t="s">
        <v>105</v>
      </c>
      <c r="K432" s="104" t="s">
        <v>670</v>
      </c>
      <c r="L432" s="104" t="s">
        <v>671</v>
      </c>
      <c r="M432" s="104" t="s">
        <v>114</v>
      </c>
      <c r="N432" s="108"/>
      <c r="O432" s="108"/>
      <c r="P432" s="108">
        <v>1.0049999999999999</v>
      </c>
      <c r="Q432" s="108">
        <v>0.42566666666666669</v>
      </c>
      <c r="R432" s="108"/>
      <c r="S432" s="463">
        <f t="shared" si="6"/>
        <v>0.18870466084775489</v>
      </c>
      <c r="T432" s="104" t="s">
        <v>1358</v>
      </c>
      <c r="U432" s="108">
        <v>0.94099999999999995</v>
      </c>
      <c r="V432" s="107">
        <v>44.075000000000003</v>
      </c>
      <c r="W432" s="106" t="s">
        <v>397</v>
      </c>
    </row>
    <row r="433" spans="1:23" ht="21" customHeight="1">
      <c r="A433" s="104" t="s">
        <v>579</v>
      </c>
      <c r="B433" s="104" t="s">
        <v>580</v>
      </c>
      <c r="C433" s="454" t="s">
        <v>585</v>
      </c>
      <c r="D433" s="105" t="s">
        <v>151</v>
      </c>
      <c r="E433" s="104">
        <v>41229</v>
      </c>
      <c r="F433" s="104">
        <v>5226</v>
      </c>
      <c r="G433" s="106" t="s">
        <v>1357</v>
      </c>
      <c r="H433" s="104" t="s">
        <v>1138</v>
      </c>
      <c r="I433" s="104" t="s">
        <v>104</v>
      </c>
      <c r="J433" s="104" t="s">
        <v>105</v>
      </c>
      <c r="K433" s="104" t="s">
        <v>670</v>
      </c>
      <c r="L433" s="104" t="s">
        <v>671</v>
      </c>
      <c r="M433" s="104" t="s">
        <v>108</v>
      </c>
      <c r="N433" s="108"/>
      <c r="O433" s="108"/>
      <c r="P433" s="108">
        <v>1.0093333333333334</v>
      </c>
      <c r="Q433" s="108">
        <v>0.46633333333333332</v>
      </c>
      <c r="R433" s="108"/>
      <c r="S433" s="463">
        <f t="shared" si="6"/>
        <v>0.19113066237553669</v>
      </c>
      <c r="T433" s="104" t="s">
        <v>672</v>
      </c>
      <c r="U433" s="108">
        <v>0.94099999999999995</v>
      </c>
      <c r="V433" s="107">
        <v>44.075000000000003</v>
      </c>
      <c r="W433" s="106" t="s">
        <v>397</v>
      </c>
    </row>
    <row r="434" spans="1:23" ht="21" customHeight="1">
      <c r="A434" s="416" t="s">
        <v>579</v>
      </c>
      <c r="B434" s="416" t="s">
        <v>580</v>
      </c>
      <c r="C434" s="455" t="s">
        <v>585</v>
      </c>
      <c r="D434" s="105" t="s">
        <v>151</v>
      </c>
      <c r="E434" s="416">
        <v>41229</v>
      </c>
      <c r="F434" s="416">
        <v>10349</v>
      </c>
      <c r="G434" s="456" t="s">
        <v>1357</v>
      </c>
      <c r="H434" s="416" t="s">
        <v>1138</v>
      </c>
      <c r="I434" s="104" t="s">
        <v>225</v>
      </c>
      <c r="J434" s="416" t="s">
        <v>105</v>
      </c>
      <c r="K434" s="416" t="s">
        <v>670</v>
      </c>
      <c r="L434" s="416" t="s">
        <v>671</v>
      </c>
      <c r="M434" s="416" t="s">
        <v>108</v>
      </c>
      <c r="N434" s="458"/>
      <c r="O434" s="458"/>
      <c r="P434" s="458">
        <v>1.0306666666666666</v>
      </c>
      <c r="Q434" s="458">
        <v>0.51533333333333331</v>
      </c>
      <c r="R434" s="458"/>
      <c r="S434" s="468">
        <f t="shared" si="6"/>
        <v>0.20337596005989347</v>
      </c>
      <c r="T434" s="416" t="s">
        <v>672</v>
      </c>
      <c r="U434" s="458">
        <v>0.94099999999999995</v>
      </c>
      <c r="V434" s="460">
        <v>44.075000000000003</v>
      </c>
      <c r="W434" s="456" t="s">
        <v>397</v>
      </c>
    </row>
    <row r="435" spans="1:23" ht="21" customHeight="1">
      <c r="A435" s="104" t="s">
        <v>579</v>
      </c>
      <c r="B435" s="104" t="s">
        <v>580</v>
      </c>
      <c r="C435" s="454" t="s">
        <v>585</v>
      </c>
      <c r="D435" s="105" t="s">
        <v>151</v>
      </c>
      <c r="E435" s="104">
        <v>41229</v>
      </c>
      <c r="F435" s="104">
        <v>17610</v>
      </c>
      <c r="G435" s="106" t="s">
        <v>1357</v>
      </c>
      <c r="H435" s="104" t="s">
        <v>1138</v>
      </c>
      <c r="I435" s="104" t="s">
        <v>104</v>
      </c>
      <c r="J435" s="104" t="s">
        <v>105</v>
      </c>
      <c r="K435" s="104" t="s">
        <v>670</v>
      </c>
      <c r="L435" s="104" t="s">
        <v>671</v>
      </c>
      <c r="M435" s="104" t="s">
        <v>114</v>
      </c>
      <c r="N435" s="108"/>
      <c r="O435" s="108"/>
      <c r="P435" s="108">
        <v>1.0533333333333332</v>
      </c>
      <c r="Q435" s="108">
        <v>0.42866666666666664</v>
      </c>
      <c r="R435" s="108"/>
      <c r="S435" s="463">
        <f t="shared" si="6"/>
        <v>0.2169449437658667</v>
      </c>
      <c r="T435" s="104" t="s">
        <v>672</v>
      </c>
      <c r="U435" s="108">
        <v>0.94099999999999995</v>
      </c>
      <c r="V435" s="107">
        <v>44.075000000000003</v>
      </c>
      <c r="W435" s="106" t="s">
        <v>397</v>
      </c>
    </row>
    <row r="436" spans="1:23" ht="21" customHeight="1">
      <c r="A436" s="416" t="s">
        <v>579</v>
      </c>
      <c r="B436" s="416" t="s">
        <v>580</v>
      </c>
      <c r="C436" s="455" t="s">
        <v>585</v>
      </c>
      <c r="D436" s="105" t="s">
        <v>151</v>
      </c>
      <c r="E436" s="416">
        <v>41229</v>
      </c>
      <c r="F436" s="416">
        <v>17410</v>
      </c>
      <c r="G436" s="456" t="s">
        <v>1357</v>
      </c>
      <c r="H436" s="416" t="s">
        <v>1138</v>
      </c>
      <c r="I436" s="104" t="s">
        <v>225</v>
      </c>
      <c r="J436" s="416" t="s">
        <v>105</v>
      </c>
      <c r="K436" s="416" t="s">
        <v>670</v>
      </c>
      <c r="L436" s="416" t="s">
        <v>671</v>
      </c>
      <c r="M436" s="416" t="s">
        <v>108</v>
      </c>
      <c r="N436" s="458"/>
      <c r="O436" s="458"/>
      <c r="P436" s="458">
        <v>1.0693333333333332</v>
      </c>
      <c r="Q436" s="458">
        <v>0.51</v>
      </c>
      <c r="R436" s="458"/>
      <c r="S436" s="468">
        <f t="shared" si="6"/>
        <v>0.22687591717745084</v>
      </c>
      <c r="T436" s="416" t="s">
        <v>672</v>
      </c>
      <c r="U436" s="458">
        <v>0.94099999999999995</v>
      </c>
      <c r="V436" s="460">
        <v>44.075000000000003</v>
      </c>
      <c r="W436" s="456" t="s">
        <v>397</v>
      </c>
    </row>
    <row r="437" spans="1:23" ht="21" customHeight="1">
      <c r="A437" s="104" t="s">
        <v>579</v>
      </c>
      <c r="B437" s="104" t="s">
        <v>580</v>
      </c>
      <c r="C437" s="454" t="s">
        <v>585</v>
      </c>
      <c r="D437" s="105" t="s">
        <v>151</v>
      </c>
      <c r="E437" s="104">
        <v>41229</v>
      </c>
      <c r="F437" s="104">
        <v>17531</v>
      </c>
      <c r="G437" s="106" t="s">
        <v>1357</v>
      </c>
      <c r="H437" s="104" t="s">
        <v>1138</v>
      </c>
      <c r="I437" s="104" t="s">
        <v>104</v>
      </c>
      <c r="J437" s="104" t="s">
        <v>105</v>
      </c>
      <c r="K437" s="104" t="s">
        <v>670</v>
      </c>
      <c r="L437" s="104" t="s">
        <v>671</v>
      </c>
      <c r="M437" s="104" t="s">
        <v>108</v>
      </c>
      <c r="N437" s="108"/>
      <c r="O437" s="108"/>
      <c r="P437" s="108">
        <v>1.0923333333333332</v>
      </c>
      <c r="Q437" s="108">
        <v>0.51366666666666672</v>
      </c>
      <c r="R437" s="108"/>
      <c r="S437" s="463">
        <f t="shared" si="6"/>
        <v>0.24167300314000834</v>
      </c>
      <c r="T437" s="104" t="s">
        <v>672</v>
      </c>
      <c r="U437" s="108">
        <v>0.94099999999999995</v>
      </c>
      <c r="V437" s="107">
        <v>44.075000000000003</v>
      </c>
      <c r="W437" s="106" t="s">
        <v>397</v>
      </c>
    </row>
    <row r="438" spans="1:23" ht="21" customHeight="1">
      <c r="A438" s="104" t="s">
        <v>579</v>
      </c>
      <c r="B438" s="104" t="s">
        <v>580</v>
      </c>
      <c r="C438" s="454" t="s">
        <v>585</v>
      </c>
      <c r="D438" s="105" t="s">
        <v>151</v>
      </c>
      <c r="E438" s="104">
        <v>41229</v>
      </c>
      <c r="F438" s="104">
        <v>4071</v>
      </c>
      <c r="G438" s="106" t="s">
        <v>1357</v>
      </c>
      <c r="H438" s="104" t="s">
        <v>1138</v>
      </c>
      <c r="I438" s="104" t="s">
        <v>104</v>
      </c>
      <c r="J438" s="104" t="s">
        <v>105</v>
      </c>
      <c r="K438" s="104" t="s">
        <v>670</v>
      </c>
      <c r="L438" s="104" t="s">
        <v>671</v>
      </c>
      <c r="M438" s="104" t="s">
        <v>114</v>
      </c>
      <c r="N438" s="108"/>
      <c r="O438" s="108"/>
      <c r="P438" s="108">
        <v>1.1266666666666665</v>
      </c>
      <c r="Q438" s="108">
        <v>0.4883333333333334</v>
      </c>
      <c r="R438" s="108"/>
      <c r="S438" s="463">
        <f t="shared" si="6"/>
        <v>0.26493068812618736</v>
      </c>
      <c r="T438" s="104" t="s">
        <v>672</v>
      </c>
      <c r="U438" s="108">
        <v>0.94099999999999995</v>
      </c>
      <c r="V438" s="107">
        <v>44.075000000000003</v>
      </c>
      <c r="W438" s="106" t="s">
        <v>397</v>
      </c>
    </row>
    <row r="439" spans="1:23" ht="21" customHeight="1">
      <c r="A439" s="416" t="s">
        <v>579</v>
      </c>
      <c r="B439" s="416" t="s">
        <v>580</v>
      </c>
      <c r="C439" s="455" t="s">
        <v>585</v>
      </c>
      <c r="D439" s="105" t="s">
        <v>151</v>
      </c>
      <c r="E439" s="416">
        <v>41229</v>
      </c>
      <c r="F439" s="416">
        <v>17400</v>
      </c>
      <c r="G439" s="456" t="s">
        <v>1357</v>
      </c>
      <c r="H439" s="416" t="s">
        <v>1138</v>
      </c>
      <c r="I439" s="104" t="s">
        <v>225</v>
      </c>
      <c r="J439" s="416" t="s">
        <v>105</v>
      </c>
      <c r="K439" s="416" t="s">
        <v>670</v>
      </c>
      <c r="L439" s="416" t="s">
        <v>671</v>
      </c>
      <c r="M439" s="416" t="s">
        <v>108</v>
      </c>
      <c r="N439" s="458"/>
      <c r="O439" s="458"/>
      <c r="P439" s="458">
        <v>1.1683333333333332</v>
      </c>
      <c r="Q439" s="458">
        <v>0.496</v>
      </c>
      <c r="R439" s="458"/>
      <c r="S439" s="468">
        <f t="shared" si="6"/>
        <v>0.295091923052197</v>
      </c>
      <c r="T439" s="416" t="s">
        <v>672</v>
      </c>
      <c r="U439" s="458">
        <v>0.94099999999999995</v>
      </c>
      <c r="V439" s="460">
        <v>44.075000000000003</v>
      </c>
      <c r="W439" s="456" t="s">
        <v>397</v>
      </c>
    </row>
    <row r="440" spans="1:23" ht="21" customHeight="1">
      <c r="A440" s="416" t="s">
        <v>579</v>
      </c>
      <c r="B440" s="416" t="s">
        <v>580</v>
      </c>
      <c r="C440" s="455" t="s">
        <v>585</v>
      </c>
      <c r="D440" s="105" t="s">
        <v>151</v>
      </c>
      <c r="E440" s="416">
        <v>41229</v>
      </c>
      <c r="F440" s="416">
        <v>17401</v>
      </c>
      <c r="G440" s="456" t="s">
        <v>1357</v>
      </c>
      <c r="H440" s="416" t="s">
        <v>1138</v>
      </c>
      <c r="I440" s="104" t="s">
        <v>225</v>
      </c>
      <c r="J440" s="416" t="s">
        <v>105</v>
      </c>
      <c r="K440" s="416" t="s">
        <v>670</v>
      </c>
      <c r="L440" s="416" t="s">
        <v>671</v>
      </c>
      <c r="M440" s="416" t="s">
        <v>108</v>
      </c>
      <c r="N440" s="458"/>
      <c r="O440" s="458"/>
      <c r="P440" s="458">
        <v>1.1743333333333335</v>
      </c>
      <c r="Q440" s="458">
        <v>0.49000000000000005</v>
      </c>
      <c r="R440" s="458"/>
      <c r="S440" s="468">
        <f t="shared" si="6"/>
        <v>0.29961408230925385</v>
      </c>
      <c r="T440" s="416" t="s">
        <v>672</v>
      </c>
      <c r="U440" s="458">
        <v>0.94099999999999995</v>
      </c>
      <c r="V440" s="460">
        <v>44.075000000000003</v>
      </c>
      <c r="W440" s="456" t="s">
        <v>397</v>
      </c>
    </row>
    <row r="441" spans="1:23" ht="21" customHeight="1">
      <c r="A441" s="104" t="s">
        <v>579</v>
      </c>
      <c r="B441" s="104" t="s">
        <v>580</v>
      </c>
      <c r="C441" s="454" t="s">
        <v>585</v>
      </c>
      <c r="D441" s="105" t="s">
        <v>151</v>
      </c>
      <c r="E441" s="104">
        <v>41229</v>
      </c>
      <c r="F441" s="104">
        <v>4754</v>
      </c>
      <c r="G441" s="106" t="s">
        <v>1357</v>
      </c>
      <c r="H441" s="104" t="s">
        <v>1138</v>
      </c>
      <c r="I441" s="104" t="s">
        <v>225</v>
      </c>
      <c r="J441" s="104" t="s">
        <v>105</v>
      </c>
      <c r="K441" s="104" t="s">
        <v>670</v>
      </c>
      <c r="L441" s="104" t="s">
        <v>671</v>
      </c>
      <c r="M441" s="104" t="s">
        <v>114</v>
      </c>
      <c r="N441" s="108"/>
      <c r="O441" s="108"/>
      <c r="P441" s="108">
        <v>1.1816666666666669</v>
      </c>
      <c r="Q441" s="108">
        <v>0.54899999999999993</v>
      </c>
      <c r="R441" s="108"/>
      <c r="S441" s="463">
        <f t="shared" si="6"/>
        <v>0.30520328202435332</v>
      </c>
      <c r="T441" s="104" t="s">
        <v>1358</v>
      </c>
      <c r="U441" s="108">
        <v>0.94099999999999995</v>
      </c>
      <c r="V441" s="107">
        <v>44.075000000000003</v>
      </c>
      <c r="W441" s="106" t="s">
        <v>397</v>
      </c>
    </row>
    <row r="442" spans="1:23" ht="21" customHeight="1">
      <c r="A442" s="104" t="s">
        <v>579</v>
      </c>
      <c r="B442" s="104" t="s">
        <v>580</v>
      </c>
      <c r="C442" s="454" t="s">
        <v>585</v>
      </c>
      <c r="D442" s="105" t="s">
        <v>151</v>
      </c>
      <c r="E442" s="104">
        <v>41229</v>
      </c>
      <c r="F442" s="104">
        <v>17224</v>
      </c>
      <c r="G442" s="106" t="s">
        <v>1357</v>
      </c>
      <c r="H442" s="104" t="s">
        <v>1138</v>
      </c>
      <c r="I442" s="104" t="s">
        <v>225</v>
      </c>
      <c r="J442" s="104" t="s">
        <v>105</v>
      </c>
      <c r="K442" s="104" t="s">
        <v>670</v>
      </c>
      <c r="L442" s="104" t="s">
        <v>671</v>
      </c>
      <c r="M442" s="104" t="s">
        <v>108</v>
      </c>
      <c r="N442" s="108"/>
      <c r="O442" s="108"/>
      <c r="P442" s="108">
        <v>1.1816666666666669</v>
      </c>
      <c r="Q442" s="108">
        <v>0.52166666666666661</v>
      </c>
      <c r="R442" s="108"/>
      <c r="S442" s="463">
        <f t="shared" si="6"/>
        <v>0.30520328202435332</v>
      </c>
      <c r="T442" s="104" t="s">
        <v>1358</v>
      </c>
      <c r="U442" s="108">
        <v>0.94099999999999995</v>
      </c>
      <c r="V442" s="107">
        <v>44.075000000000003</v>
      </c>
      <c r="W442" s="106" t="s">
        <v>397</v>
      </c>
    </row>
    <row r="443" spans="1:23" ht="21" customHeight="1">
      <c r="A443" s="104" t="s">
        <v>579</v>
      </c>
      <c r="B443" s="104" t="s">
        <v>580</v>
      </c>
      <c r="C443" s="454" t="s">
        <v>585</v>
      </c>
      <c r="D443" s="105" t="s">
        <v>151</v>
      </c>
      <c r="E443" s="104">
        <v>41229</v>
      </c>
      <c r="F443" s="104">
        <v>2983</v>
      </c>
      <c r="G443" s="106" t="s">
        <v>1357</v>
      </c>
      <c r="H443" s="104" t="s">
        <v>1138</v>
      </c>
      <c r="I443" s="104" t="s">
        <v>104</v>
      </c>
      <c r="J443" s="104" t="s">
        <v>105</v>
      </c>
      <c r="K443" s="104" t="s">
        <v>670</v>
      </c>
      <c r="L443" s="104" t="s">
        <v>671</v>
      </c>
      <c r="M443" s="104" t="s">
        <v>108</v>
      </c>
      <c r="N443" s="108"/>
      <c r="O443" s="108"/>
      <c r="P443" s="108">
        <v>1.1919999999999999</v>
      </c>
      <c r="Q443" s="108">
        <v>0.53433333333333333</v>
      </c>
      <c r="R443" s="108"/>
      <c r="S443" s="463">
        <f t="shared" si="6"/>
        <v>0.31319570082212111</v>
      </c>
      <c r="T443" s="104" t="s">
        <v>672</v>
      </c>
      <c r="U443" s="108">
        <v>0.94099999999999995</v>
      </c>
      <c r="V443" s="107">
        <v>44.075000000000003</v>
      </c>
      <c r="W443" s="106" t="s">
        <v>397</v>
      </c>
    </row>
    <row r="444" spans="1:23" ht="21" customHeight="1">
      <c r="A444" s="104" t="s">
        <v>579</v>
      </c>
      <c r="B444" s="104" t="s">
        <v>580</v>
      </c>
      <c r="C444" s="454" t="s">
        <v>585</v>
      </c>
      <c r="D444" s="105" t="s">
        <v>151</v>
      </c>
      <c r="E444" s="104">
        <v>41229</v>
      </c>
      <c r="F444" s="104">
        <v>9026</v>
      </c>
      <c r="G444" s="106" t="s">
        <v>1357</v>
      </c>
      <c r="H444" s="104" t="s">
        <v>1138</v>
      </c>
      <c r="I444" s="104" t="s">
        <v>104</v>
      </c>
      <c r="J444" s="104" t="s">
        <v>105</v>
      </c>
      <c r="K444" s="104" t="s">
        <v>670</v>
      </c>
      <c r="L444" s="104" t="s">
        <v>671</v>
      </c>
      <c r="M444" s="104" t="s">
        <v>108</v>
      </c>
      <c r="N444" s="108"/>
      <c r="O444" s="108"/>
      <c r="P444" s="108">
        <v>1.1996666666666669</v>
      </c>
      <c r="Q444" s="108">
        <v>0.55100000000000005</v>
      </c>
      <c r="R444" s="108"/>
      <c r="S444" s="463">
        <f t="shared" si="6"/>
        <v>0.31921440928668876</v>
      </c>
      <c r="T444" s="104" t="s">
        <v>672</v>
      </c>
      <c r="U444" s="108">
        <v>0.94099999999999995</v>
      </c>
      <c r="V444" s="107">
        <v>44.075000000000003</v>
      </c>
      <c r="W444" s="106" t="s">
        <v>397</v>
      </c>
    </row>
    <row r="445" spans="1:23" ht="21" customHeight="1">
      <c r="A445" s="416" t="s">
        <v>579</v>
      </c>
      <c r="B445" s="416" t="s">
        <v>580</v>
      </c>
      <c r="C445" s="455" t="s">
        <v>585</v>
      </c>
      <c r="D445" s="105" t="s">
        <v>151</v>
      </c>
      <c r="E445" s="416">
        <v>41229</v>
      </c>
      <c r="F445" s="416">
        <v>17393</v>
      </c>
      <c r="G445" s="456" t="s">
        <v>1357</v>
      </c>
      <c r="H445" s="416" t="s">
        <v>1138</v>
      </c>
      <c r="I445" s="104" t="s">
        <v>225</v>
      </c>
      <c r="J445" s="416" t="s">
        <v>105</v>
      </c>
      <c r="K445" s="416" t="s">
        <v>670</v>
      </c>
      <c r="L445" s="416" t="s">
        <v>671</v>
      </c>
      <c r="M445" s="416" t="s">
        <v>108</v>
      </c>
      <c r="N445" s="458"/>
      <c r="O445" s="458"/>
      <c r="P445" s="458">
        <v>1.2133333333333334</v>
      </c>
      <c r="Q445" s="458">
        <v>0.53800000000000003</v>
      </c>
      <c r="R445" s="458"/>
      <c r="S445" s="468">
        <f t="shared" si="6"/>
        <v>0.330132736979804</v>
      </c>
      <c r="T445" s="416" t="s">
        <v>672</v>
      </c>
      <c r="U445" s="458">
        <v>0.94099999999999995</v>
      </c>
      <c r="V445" s="460">
        <v>44.075000000000003</v>
      </c>
      <c r="W445" s="456" t="s">
        <v>397</v>
      </c>
    </row>
    <row r="446" spans="1:23" ht="21" customHeight="1">
      <c r="A446" s="416" t="s">
        <v>579</v>
      </c>
      <c r="B446" s="416" t="s">
        <v>580</v>
      </c>
      <c r="C446" s="455" t="s">
        <v>585</v>
      </c>
      <c r="D446" s="105" t="s">
        <v>151</v>
      </c>
      <c r="E446" s="416">
        <v>41229</v>
      </c>
      <c r="F446" s="416">
        <v>17406</v>
      </c>
      <c r="G446" s="456" t="s">
        <v>1357</v>
      </c>
      <c r="H446" s="416" t="s">
        <v>1138</v>
      </c>
      <c r="I446" s="104" t="s">
        <v>225</v>
      </c>
      <c r="J446" s="416" t="s">
        <v>105</v>
      </c>
      <c r="K446" s="416" t="s">
        <v>670</v>
      </c>
      <c r="L446" s="416" t="s">
        <v>671</v>
      </c>
      <c r="M446" s="416" t="s">
        <v>108</v>
      </c>
      <c r="N446" s="458"/>
      <c r="O446" s="458"/>
      <c r="P446" s="458">
        <v>1.2213333333333334</v>
      </c>
      <c r="Q446" s="458">
        <v>0.56233333333333335</v>
      </c>
      <c r="R446" s="458"/>
      <c r="S446" s="468">
        <f t="shared" si="6"/>
        <v>0.33663739694762523</v>
      </c>
      <c r="T446" s="416" t="s">
        <v>672</v>
      </c>
      <c r="U446" s="458">
        <v>0.94099999999999995</v>
      </c>
      <c r="V446" s="460">
        <v>44.075000000000003</v>
      </c>
      <c r="W446" s="456" t="s">
        <v>397</v>
      </c>
    </row>
    <row r="447" spans="1:23" ht="21" customHeight="1">
      <c r="A447" s="104" t="s">
        <v>579</v>
      </c>
      <c r="B447" s="104" t="s">
        <v>580</v>
      </c>
      <c r="C447" s="454" t="s">
        <v>585</v>
      </c>
      <c r="D447" s="105" t="s">
        <v>151</v>
      </c>
      <c r="E447" s="104">
        <v>41229</v>
      </c>
      <c r="F447" s="104">
        <v>17512</v>
      </c>
      <c r="G447" s="106" t="s">
        <v>1357</v>
      </c>
      <c r="H447" s="104" t="s">
        <v>1138</v>
      </c>
      <c r="I447" s="104" t="s">
        <v>104</v>
      </c>
      <c r="J447" s="104" t="s">
        <v>105</v>
      </c>
      <c r="K447" s="104" t="s">
        <v>670</v>
      </c>
      <c r="L447" s="104" t="s">
        <v>671</v>
      </c>
      <c r="M447" s="104" t="s">
        <v>114</v>
      </c>
      <c r="N447" s="108"/>
      <c r="O447" s="108"/>
      <c r="P447" s="108">
        <v>1.2213333333333334</v>
      </c>
      <c r="Q447" s="108">
        <v>0.54733333333333334</v>
      </c>
      <c r="R447" s="108"/>
      <c r="S447" s="463">
        <f t="shared" si="6"/>
        <v>0.33663739694762523</v>
      </c>
      <c r="T447" s="104" t="s">
        <v>672</v>
      </c>
      <c r="U447" s="108">
        <v>0.94099999999999995</v>
      </c>
      <c r="V447" s="107">
        <v>44.075000000000003</v>
      </c>
      <c r="W447" s="106" t="s">
        <v>397</v>
      </c>
    </row>
    <row r="448" spans="1:23" ht="21" customHeight="1">
      <c r="A448" s="416" t="s">
        <v>579</v>
      </c>
      <c r="B448" s="416" t="s">
        <v>580</v>
      </c>
      <c r="C448" s="455" t="s">
        <v>585</v>
      </c>
      <c r="D448" s="105" t="s">
        <v>151</v>
      </c>
      <c r="E448" s="416">
        <v>41229</v>
      </c>
      <c r="F448" s="416">
        <v>17397</v>
      </c>
      <c r="G448" s="456" t="s">
        <v>1357</v>
      </c>
      <c r="H448" s="416" t="s">
        <v>1138</v>
      </c>
      <c r="I448" s="104" t="s">
        <v>225</v>
      </c>
      <c r="J448" s="416" t="s">
        <v>105</v>
      </c>
      <c r="K448" s="416" t="s">
        <v>670</v>
      </c>
      <c r="L448" s="416" t="s">
        <v>671</v>
      </c>
      <c r="M448" s="416" t="s">
        <v>108</v>
      </c>
      <c r="N448" s="458"/>
      <c r="O448" s="458"/>
      <c r="P448" s="458">
        <v>1.2276666666666665</v>
      </c>
      <c r="Q448" s="458">
        <v>0.55366666666666664</v>
      </c>
      <c r="R448" s="458"/>
      <c r="S448" s="468">
        <f t="shared" si="6"/>
        <v>0.34184677545058778</v>
      </c>
      <c r="T448" s="416" t="s">
        <v>672</v>
      </c>
      <c r="U448" s="458">
        <v>0.94099999999999995</v>
      </c>
      <c r="V448" s="460">
        <v>44.075000000000003</v>
      </c>
      <c r="W448" s="456" t="s">
        <v>397</v>
      </c>
    </row>
    <row r="449" spans="1:23" ht="21" customHeight="1">
      <c r="A449" s="104" t="s">
        <v>579</v>
      </c>
      <c r="B449" s="104" t="s">
        <v>580</v>
      </c>
      <c r="C449" s="454" t="s">
        <v>585</v>
      </c>
      <c r="D449" s="105" t="s">
        <v>151</v>
      </c>
      <c r="E449" s="104">
        <v>41229</v>
      </c>
      <c r="F449" s="104">
        <v>17303</v>
      </c>
      <c r="G449" s="106" t="s">
        <v>1357</v>
      </c>
      <c r="H449" s="104" t="s">
        <v>1138</v>
      </c>
      <c r="I449" s="104" t="s">
        <v>225</v>
      </c>
      <c r="J449" s="104" t="s">
        <v>105</v>
      </c>
      <c r="K449" s="104" t="s">
        <v>670</v>
      </c>
      <c r="L449" s="104" t="s">
        <v>671</v>
      </c>
      <c r="M449" s="104" t="s">
        <v>114</v>
      </c>
      <c r="N449" s="108"/>
      <c r="O449" s="108"/>
      <c r="P449" s="108">
        <v>1.2303333333333333</v>
      </c>
      <c r="Q449" s="108">
        <v>0.55766666666666675</v>
      </c>
      <c r="R449" s="108"/>
      <c r="S449" s="463">
        <f t="shared" si="6"/>
        <v>0.34405609400288967</v>
      </c>
      <c r="T449" s="104" t="s">
        <v>1358</v>
      </c>
      <c r="U449" s="108">
        <v>0.94099999999999995</v>
      </c>
      <c r="V449" s="107">
        <v>44.075000000000003</v>
      </c>
      <c r="W449" s="106" t="s">
        <v>397</v>
      </c>
    </row>
    <row r="450" spans="1:23" ht="21" customHeight="1">
      <c r="A450" s="416" t="s">
        <v>579</v>
      </c>
      <c r="B450" s="416" t="s">
        <v>580</v>
      </c>
      <c r="C450" s="455" t="s">
        <v>585</v>
      </c>
      <c r="D450" s="105" t="s">
        <v>151</v>
      </c>
      <c r="E450" s="416">
        <v>41229</v>
      </c>
      <c r="F450" s="416">
        <v>17430</v>
      </c>
      <c r="G450" s="456" t="s">
        <v>1357</v>
      </c>
      <c r="H450" s="416" t="s">
        <v>1138</v>
      </c>
      <c r="I450" s="104" t="s">
        <v>225</v>
      </c>
      <c r="J450" s="416" t="s">
        <v>105</v>
      </c>
      <c r="K450" s="416" t="s">
        <v>670</v>
      </c>
      <c r="L450" s="416" t="s">
        <v>671</v>
      </c>
      <c r="M450" s="416" t="s">
        <v>114</v>
      </c>
      <c r="N450" s="458"/>
      <c r="O450" s="458"/>
      <c r="P450" s="458">
        <v>1.2369999999999999</v>
      </c>
      <c r="Q450" s="458">
        <v>0.55433333333333334</v>
      </c>
      <c r="R450" s="458"/>
      <c r="S450" s="468">
        <f t="shared" si="6"/>
        <v>0.3496207723294788</v>
      </c>
      <c r="T450" s="416" t="s">
        <v>672</v>
      </c>
      <c r="U450" s="458">
        <v>0.94099999999999995</v>
      </c>
      <c r="V450" s="460">
        <v>44.075000000000003</v>
      </c>
      <c r="W450" s="456" t="s">
        <v>397</v>
      </c>
    </row>
    <row r="451" spans="1:23" ht="22" customHeight="1">
      <c r="A451" s="104" t="s">
        <v>579</v>
      </c>
      <c r="B451" s="104" t="s">
        <v>580</v>
      </c>
      <c r="C451" s="454" t="s">
        <v>585</v>
      </c>
      <c r="D451" s="105" t="s">
        <v>151</v>
      </c>
      <c r="E451" s="104">
        <v>41229</v>
      </c>
      <c r="F451" s="104">
        <v>17252</v>
      </c>
      <c r="G451" s="106" t="s">
        <v>1357</v>
      </c>
      <c r="H451" s="104" t="s">
        <v>1138</v>
      </c>
      <c r="I451" s="104" t="s">
        <v>225</v>
      </c>
      <c r="J451" s="104" t="s">
        <v>105</v>
      </c>
      <c r="K451" s="104" t="s">
        <v>670</v>
      </c>
      <c r="L451" s="104" t="s">
        <v>671</v>
      </c>
      <c r="M451" s="104" t="s">
        <v>114</v>
      </c>
      <c r="N451" s="108"/>
      <c r="O451" s="108"/>
      <c r="P451" s="108">
        <v>1.2609999999999999</v>
      </c>
      <c r="Q451" s="108">
        <v>0.52300000000000002</v>
      </c>
      <c r="R451" s="108"/>
      <c r="S451" s="463">
        <f t="shared" si="6"/>
        <v>0.37014738171329442</v>
      </c>
      <c r="T451" s="104" t="s">
        <v>1358</v>
      </c>
      <c r="U451" s="108">
        <v>0.94099999999999995</v>
      </c>
      <c r="V451" s="107">
        <v>44.075000000000003</v>
      </c>
      <c r="W451" s="106" t="s">
        <v>397</v>
      </c>
    </row>
    <row r="452" spans="1:23" ht="21" customHeight="1">
      <c r="A452" s="416" t="s">
        <v>579</v>
      </c>
      <c r="B452" s="416" t="s">
        <v>580</v>
      </c>
      <c r="C452" s="455" t="s">
        <v>585</v>
      </c>
      <c r="D452" s="105" t="s">
        <v>151</v>
      </c>
      <c r="E452" s="416">
        <v>41229</v>
      </c>
      <c r="F452" s="416">
        <v>17394</v>
      </c>
      <c r="G452" s="456" t="s">
        <v>1357</v>
      </c>
      <c r="H452" s="416" t="s">
        <v>1138</v>
      </c>
      <c r="I452" s="104" t="s">
        <v>225</v>
      </c>
      <c r="J452" s="416" t="s">
        <v>105</v>
      </c>
      <c r="K452" s="416" t="s">
        <v>670</v>
      </c>
      <c r="L452" s="416" t="s">
        <v>671</v>
      </c>
      <c r="M452" s="416" t="s">
        <v>108</v>
      </c>
      <c r="N452" s="458"/>
      <c r="O452" s="458"/>
      <c r="P452" s="458">
        <v>1.3053333333333335</v>
      </c>
      <c r="Q452" s="458">
        <v>0.60566666666666658</v>
      </c>
      <c r="R452" s="458"/>
      <c r="S452" s="468">
        <f t="shared" si="6"/>
        <v>0.41013658467843023</v>
      </c>
      <c r="T452" s="416" t="s">
        <v>672</v>
      </c>
      <c r="U452" s="458">
        <v>0.94099999999999995</v>
      </c>
      <c r="V452" s="460">
        <v>44.075000000000003</v>
      </c>
      <c r="W452" s="456" t="s">
        <v>397</v>
      </c>
    </row>
    <row r="453" spans="1:23" ht="21" customHeight="1">
      <c r="A453" s="416" t="s">
        <v>579</v>
      </c>
      <c r="B453" s="416" t="s">
        <v>580</v>
      </c>
      <c r="C453" s="455" t="s">
        <v>585</v>
      </c>
      <c r="D453" s="105" t="s">
        <v>151</v>
      </c>
      <c r="E453" s="416">
        <v>41229</v>
      </c>
      <c r="F453" s="416">
        <v>17409</v>
      </c>
      <c r="G453" s="456" t="s">
        <v>1357</v>
      </c>
      <c r="H453" s="416" t="s">
        <v>1138</v>
      </c>
      <c r="I453" s="104" t="s">
        <v>225</v>
      </c>
      <c r="J453" s="416" t="s">
        <v>105</v>
      </c>
      <c r="K453" s="416" t="s">
        <v>670</v>
      </c>
      <c r="L453" s="416" t="s">
        <v>671</v>
      </c>
      <c r="M453" s="416" t="s">
        <v>114</v>
      </c>
      <c r="N453" s="458"/>
      <c r="O453" s="458"/>
      <c r="P453" s="458">
        <v>1.3143333333333334</v>
      </c>
      <c r="Q453" s="458">
        <v>0.56666666666666665</v>
      </c>
      <c r="R453" s="458"/>
      <c r="S453" s="468">
        <f t="shared" si="6"/>
        <v>0.41858945694520688</v>
      </c>
      <c r="T453" s="416" t="s">
        <v>672</v>
      </c>
      <c r="U453" s="458">
        <v>0.94099999999999995</v>
      </c>
      <c r="V453" s="460">
        <v>44.075000000000003</v>
      </c>
      <c r="W453" s="456" t="s">
        <v>397</v>
      </c>
    </row>
    <row r="454" spans="1:23" ht="21" customHeight="1">
      <c r="A454" s="104" t="s">
        <v>579</v>
      </c>
      <c r="B454" s="104" t="s">
        <v>580</v>
      </c>
      <c r="C454" s="454" t="s">
        <v>585</v>
      </c>
      <c r="D454" s="105" t="s">
        <v>151</v>
      </c>
      <c r="E454" s="104">
        <v>41229</v>
      </c>
      <c r="F454" s="104">
        <v>17492</v>
      </c>
      <c r="G454" s="106" t="s">
        <v>1357</v>
      </c>
      <c r="H454" s="104" t="s">
        <v>1138</v>
      </c>
      <c r="I454" s="104" t="s">
        <v>104</v>
      </c>
      <c r="J454" s="104" t="s">
        <v>105</v>
      </c>
      <c r="K454" s="104" t="s">
        <v>1360</v>
      </c>
      <c r="L454" s="104" t="s">
        <v>1361</v>
      </c>
      <c r="M454" s="104" t="s">
        <v>108</v>
      </c>
      <c r="N454" s="108"/>
      <c r="O454" s="108"/>
      <c r="P454" s="108"/>
      <c r="Q454" s="108">
        <v>0.58699999999999997</v>
      </c>
      <c r="R454" s="108"/>
      <c r="S454" s="463">
        <f>EXP(2.928*LN(Q454*10)+0.981)/1000</f>
        <v>0.47491430056009548</v>
      </c>
      <c r="T454" s="108" t="s">
        <v>1362</v>
      </c>
      <c r="U454" s="108">
        <v>0.97899999999999998</v>
      </c>
      <c r="V454" s="107">
        <v>32.36</v>
      </c>
      <c r="W454" s="106" t="s">
        <v>397</v>
      </c>
    </row>
    <row r="455" spans="1:23" ht="21" customHeight="1">
      <c r="A455" s="104" t="s">
        <v>579</v>
      </c>
      <c r="B455" s="104" t="s">
        <v>580</v>
      </c>
      <c r="C455" s="454" t="s">
        <v>585</v>
      </c>
      <c r="D455" s="105" t="s">
        <v>151</v>
      </c>
      <c r="E455" s="104">
        <v>41229</v>
      </c>
      <c r="F455" s="104">
        <v>17257</v>
      </c>
      <c r="G455" s="106" t="s">
        <v>1357</v>
      </c>
      <c r="H455" s="104" t="s">
        <v>1138</v>
      </c>
      <c r="I455" s="104" t="s">
        <v>225</v>
      </c>
      <c r="J455" s="104" t="s">
        <v>105</v>
      </c>
      <c r="K455" s="104" t="s">
        <v>670</v>
      </c>
      <c r="L455" s="104" t="s">
        <v>671</v>
      </c>
      <c r="M455" s="104" t="s">
        <v>108</v>
      </c>
      <c r="N455" s="108"/>
      <c r="O455" s="108"/>
      <c r="P455" s="108">
        <v>1.3733333333333335</v>
      </c>
      <c r="Q455" s="108">
        <v>0.60833333333333328</v>
      </c>
      <c r="R455" s="108"/>
      <c r="S455" s="463">
        <f>EXP(2.969*LN(P455*10)-1.611)/1000</f>
        <v>0.47687924231083151</v>
      </c>
      <c r="T455" s="104" t="s">
        <v>1358</v>
      </c>
      <c r="U455" s="108">
        <v>0.94099999999999995</v>
      </c>
      <c r="V455" s="107">
        <v>44.075000000000003</v>
      </c>
      <c r="W455" s="106" t="s">
        <v>397</v>
      </c>
    </row>
    <row r="456" spans="1:23" ht="21" customHeight="1">
      <c r="A456" s="416" t="s">
        <v>579</v>
      </c>
      <c r="B456" s="416" t="s">
        <v>580</v>
      </c>
      <c r="C456" s="455" t="s">
        <v>585</v>
      </c>
      <c r="D456" s="105" t="s">
        <v>151</v>
      </c>
      <c r="E456" s="416">
        <v>41229</v>
      </c>
      <c r="F456" s="416">
        <v>17107</v>
      </c>
      <c r="G456" s="456" t="s">
        <v>1357</v>
      </c>
      <c r="H456" s="416" t="s">
        <v>1138</v>
      </c>
      <c r="I456" s="104" t="s">
        <v>225</v>
      </c>
      <c r="J456" s="416" t="s">
        <v>105</v>
      </c>
      <c r="K456" s="416" t="s">
        <v>1363</v>
      </c>
      <c r="L456" s="416" t="s">
        <v>1364</v>
      </c>
      <c r="M456" s="416" t="s">
        <v>114</v>
      </c>
      <c r="N456" s="458">
        <v>0.35866666666666663</v>
      </c>
      <c r="O456" s="458"/>
      <c r="P456" s="458"/>
      <c r="Q456" s="458"/>
      <c r="R456" s="458"/>
      <c r="S456" s="459">
        <f>(10^(2.076*LOG(N456*10)+1.536))/1000</f>
        <v>0.48701075313145803</v>
      </c>
      <c r="T456" s="458" t="s">
        <v>1365</v>
      </c>
      <c r="U456" s="458">
        <v>0.89400000000000002</v>
      </c>
      <c r="V456" s="460">
        <v>14.871</v>
      </c>
      <c r="W456" s="456" t="s">
        <v>1347</v>
      </c>
    </row>
    <row r="457" spans="1:23" ht="21" customHeight="1">
      <c r="A457" s="104" t="s">
        <v>579</v>
      </c>
      <c r="B457" s="104" t="s">
        <v>580</v>
      </c>
      <c r="C457" s="454" t="s">
        <v>585</v>
      </c>
      <c r="D457" s="105" t="s">
        <v>151</v>
      </c>
      <c r="E457" s="104">
        <v>41229</v>
      </c>
      <c r="F457" s="104">
        <v>2849</v>
      </c>
      <c r="G457" s="106" t="s">
        <v>1357</v>
      </c>
      <c r="H457" s="104" t="s">
        <v>1138</v>
      </c>
      <c r="I457" s="104" t="s">
        <v>104</v>
      </c>
      <c r="J457" s="104" t="s">
        <v>105</v>
      </c>
      <c r="K457" s="104" t="s">
        <v>670</v>
      </c>
      <c r="L457" s="104" t="s">
        <v>671</v>
      </c>
      <c r="M457" s="104" t="s">
        <v>114</v>
      </c>
      <c r="N457" s="108"/>
      <c r="O457" s="108"/>
      <c r="P457" s="108">
        <v>1.3853333333333333</v>
      </c>
      <c r="Q457" s="108">
        <v>0.85866666666666658</v>
      </c>
      <c r="R457" s="108"/>
      <c r="S457" s="463">
        <f>EXP(2.969*LN(P457*10)-1.611)/1000</f>
        <v>0.48935751187986859</v>
      </c>
      <c r="T457" s="104" t="s">
        <v>672</v>
      </c>
      <c r="U457" s="108">
        <v>0.94099999999999995</v>
      </c>
      <c r="V457" s="107">
        <v>44.075000000000003</v>
      </c>
      <c r="W457" s="106" t="s">
        <v>397</v>
      </c>
    </row>
    <row r="458" spans="1:23" ht="21" customHeight="1">
      <c r="A458" s="416" t="s">
        <v>579</v>
      </c>
      <c r="B458" s="416" t="s">
        <v>580</v>
      </c>
      <c r="C458" s="455" t="s">
        <v>585</v>
      </c>
      <c r="D458" s="105" t="s">
        <v>151</v>
      </c>
      <c r="E458" s="416">
        <v>41229</v>
      </c>
      <c r="F458" s="416">
        <v>16987</v>
      </c>
      <c r="G458" s="456" t="s">
        <v>1357</v>
      </c>
      <c r="H458" s="416" t="s">
        <v>1138</v>
      </c>
      <c r="I458" s="104" t="s">
        <v>225</v>
      </c>
      <c r="J458" s="416" t="s">
        <v>105</v>
      </c>
      <c r="K458" s="416" t="s">
        <v>1363</v>
      </c>
      <c r="L458" s="416" t="s">
        <v>1364</v>
      </c>
      <c r="M458" s="416" t="s">
        <v>114</v>
      </c>
      <c r="N458" s="458">
        <v>0.36099999999999999</v>
      </c>
      <c r="O458" s="458"/>
      <c r="P458" s="458"/>
      <c r="Q458" s="458"/>
      <c r="R458" s="458"/>
      <c r="S458" s="459">
        <f>(10^(2.076*LOG(N458*10)+1.536))/1000</f>
        <v>0.49361113852333655</v>
      </c>
      <c r="T458" s="458" t="s">
        <v>1365</v>
      </c>
      <c r="U458" s="458">
        <v>0.89400000000000002</v>
      </c>
      <c r="V458" s="460">
        <v>14.871</v>
      </c>
      <c r="W458" s="456" t="s">
        <v>1347</v>
      </c>
    </row>
    <row r="459" spans="1:23" ht="21" customHeight="1">
      <c r="A459" s="416" t="s">
        <v>579</v>
      </c>
      <c r="B459" s="416" t="s">
        <v>580</v>
      </c>
      <c r="C459" s="455" t="s">
        <v>585</v>
      </c>
      <c r="D459" s="105" t="s">
        <v>151</v>
      </c>
      <c r="E459" s="416">
        <v>41229</v>
      </c>
      <c r="F459" s="416">
        <v>17380</v>
      </c>
      <c r="G459" s="456" t="s">
        <v>1357</v>
      </c>
      <c r="H459" s="416" t="s">
        <v>1138</v>
      </c>
      <c r="I459" s="104" t="s">
        <v>225</v>
      </c>
      <c r="J459" s="416" t="s">
        <v>105</v>
      </c>
      <c r="K459" s="416" t="s">
        <v>670</v>
      </c>
      <c r="L459" s="416" t="s">
        <v>671</v>
      </c>
      <c r="M459" s="416" t="s">
        <v>108</v>
      </c>
      <c r="N459" s="458"/>
      <c r="O459" s="458"/>
      <c r="P459" s="458">
        <v>1.3960000000000001</v>
      </c>
      <c r="Q459" s="458">
        <v>0.6273333333333333</v>
      </c>
      <c r="R459" s="458"/>
      <c r="S459" s="468">
        <f>EXP(2.969*LN(P459*10)-1.611)/1000</f>
        <v>0.50062945316062979</v>
      </c>
      <c r="T459" s="416" t="s">
        <v>672</v>
      </c>
      <c r="U459" s="458">
        <v>0.94099999999999995</v>
      </c>
      <c r="V459" s="460">
        <v>44.075000000000003</v>
      </c>
      <c r="W459" s="456" t="s">
        <v>397</v>
      </c>
    </row>
    <row r="460" spans="1:23" ht="21" customHeight="1">
      <c r="A460" s="104" t="s">
        <v>579</v>
      </c>
      <c r="B460" s="104" t="s">
        <v>580</v>
      </c>
      <c r="C460" s="454" t="s">
        <v>585</v>
      </c>
      <c r="D460" s="105" t="s">
        <v>151</v>
      </c>
      <c r="E460" s="104">
        <v>41229</v>
      </c>
      <c r="F460" s="104">
        <v>17539</v>
      </c>
      <c r="G460" s="106" t="s">
        <v>1357</v>
      </c>
      <c r="H460" s="104" t="s">
        <v>1138</v>
      </c>
      <c r="I460" s="104" t="s">
        <v>104</v>
      </c>
      <c r="J460" s="104" t="s">
        <v>105</v>
      </c>
      <c r="K460" s="104" t="s">
        <v>1366</v>
      </c>
      <c r="L460" s="104" t="s">
        <v>1367</v>
      </c>
      <c r="M460" s="104" t="s">
        <v>108</v>
      </c>
      <c r="N460" s="108">
        <v>0.65900000000000003</v>
      </c>
      <c r="O460" s="108"/>
      <c r="P460" s="108"/>
      <c r="Q460" s="108"/>
      <c r="R460" s="108"/>
      <c r="S460" s="253">
        <f>(10^(3.386*LOG(N460*10)-0.063))/1000</f>
        <v>0.51256153762101531</v>
      </c>
      <c r="T460" s="108" t="s">
        <v>1368</v>
      </c>
      <c r="U460" s="108">
        <v>0.95498691090506582</v>
      </c>
      <c r="V460" s="107">
        <v>28.652000000000001</v>
      </c>
      <c r="W460" s="106" t="s">
        <v>1347</v>
      </c>
    </row>
    <row r="461" spans="1:23" ht="21" customHeight="1">
      <c r="A461" s="104" t="s">
        <v>579</v>
      </c>
      <c r="B461" s="104" t="s">
        <v>580</v>
      </c>
      <c r="C461" s="454" t="s">
        <v>585</v>
      </c>
      <c r="D461" s="105" t="s">
        <v>151</v>
      </c>
      <c r="E461" s="104">
        <v>41229</v>
      </c>
      <c r="F461" s="104">
        <v>17299</v>
      </c>
      <c r="G461" s="106" t="s">
        <v>1357</v>
      </c>
      <c r="H461" s="104" t="s">
        <v>1138</v>
      </c>
      <c r="I461" s="104" t="s">
        <v>225</v>
      </c>
      <c r="J461" s="104" t="s">
        <v>105</v>
      </c>
      <c r="K461" s="104" t="s">
        <v>670</v>
      </c>
      <c r="L461" s="104" t="s">
        <v>671</v>
      </c>
      <c r="M461" s="104" t="s">
        <v>114</v>
      </c>
      <c r="N461" s="108"/>
      <c r="O461" s="108"/>
      <c r="P461" s="108">
        <v>1.4123333333333334</v>
      </c>
      <c r="Q461" s="108">
        <v>0.62833333333333341</v>
      </c>
      <c r="R461" s="108"/>
      <c r="S461" s="463">
        <f>EXP(2.969*LN(P461*10)-1.611)/1000</f>
        <v>0.51822118612181689</v>
      </c>
      <c r="T461" s="104" t="s">
        <v>1358</v>
      </c>
      <c r="U461" s="108">
        <v>0.94099999999999995</v>
      </c>
      <c r="V461" s="107">
        <v>44.075000000000003</v>
      </c>
      <c r="W461" s="106" t="s">
        <v>397</v>
      </c>
    </row>
    <row r="462" spans="1:23" ht="21" customHeight="1">
      <c r="A462" s="104" t="s">
        <v>579</v>
      </c>
      <c r="B462" s="104" t="s">
        <v>580</v>
      </c>
      <c r="C462" s="454" t="s">
        <v>585</v>
      </c>
      <c r="D462" s="105" t="s">
        <v>151</v>
      </c>
      <c r="E462" s="104">
        <v>41229</v>
      </c>
      <c r="F462" s="104">
        <v>17511</v>
      </c>
      <c r="G462" s="106" t="s">
        <v>1357</v>
      </c>
      <c r="H462" s="104" t="s">
        <v>1138</v>
      </c>
      <c r="I462" s="104" t="s">
        <v>104</v>
      </c>
      <c r="J462" s="104" t="s">
        <v>105</v>
      </c>
      <c r="K462" s="104" t="s">
        <v>670</v>
      </c>
      <c r="L462" s="104" t="s">
        <v>671</v>
      </c>
      <c r="M462" s="104" t="s">
        <v>114</v>
      </c>
      <c r="N462" s="108"/>
      <c r="O462" s="108"/>
      <c r="P462" s="108">
        <v>1.4253333333333331</v>
      </c>
      <c r="Q462" s="108">
        <v>0.45266666666666672</v>
      </c>
      <c r="R462" s="108"/>
      <c r="S462" s="463">
        <f>EXP(2.969*LN(P462*10)-1.611)/1000</f>
        <v>0.53251213057361957</v>
      </c>
      <c r="T462" s="104" t="s">
        <v>672</v>
      </c>
      <c r="U462" s="108">
        <v>0.94099999999999995</v>
      </c>
      <c r="V462" s="107">
        <v>44.075000000000003</v>
      </c>
      <c r="W462" s="106" t="s">
        <v>397</v>
      </c>
    </row>
    <row r="463" spans="1:23" ht="21" customHeight="1">
      <c r="A463" s="416" t="s">
        <v>579</v>
      </c>
      <c r="B463" s="416" t="s">
        <v>580</v>
      </c>
      <c r="C463" s="455" t="s">
        <v>585</v>
      </c>
      <c r="D463" s="105" t="s">
        <v>151</v>
      </c>
      <c r="E463" s="416">
        <v>41229</v>
      </c>
      <c r="F463" s="416">
        <v>17190</v>
      </c>
      <c r="G463" s="456" t="s">
        <v>1357</v>
      </c>
      <c r="H463" s="416" t="s">
        <v>1138</v>
      </c>
      <c r="I463" s="104" t="s">
        <v>225</v>
      </c>
      <c r="J463" s="416" t="s">
        <v>105</v>
      </c>
      <c r="K463" s="416" t="s">
        <v>1363</v>
      </c>
      <c r="L463" s="416" t="s">
        <v>1364</v>
      </c>
      <c r="M463" s="416" t="s">
        <v>114</v>
      </c>
      <c r="N463" s="458">
        <v>0.37900000000000006</v>
      </c>
      <c r="O463" s="458"/>
      <c r="P463" s="458"/>
      <c r="Q463" s="458"/>
      <c r="R463" s="458"/>
      <c r="S463" s="459">
        <f>(10^(2.076*LOG(N463*10)+1.536))/1000</f>
        <v>0.54607840180108658</v>
      </c>
      <c r="T463" s="458" t="s">
        <v>1365</v>
      </c>
      <c r="U463" s="458">
        <v>0.89400000000000002</v>
      </c>
      <c r="V463" s="460">
        <v>14.871</v>
      </c>
      <c r="W463" s="456" t="s">
        <v>1347</v>
      </c>
    </row>
    <row r="464" spans="1:23" ht="21" customHeight="1">
      <c r="A464" s="416" t="s">
        <v>579</v>
      </c>
      <c r="B464" s="416" t="s">
        <v>580</v>
      </c>
      <c r="C464" s="455" t="s">
        <v>585</v>
      </c>
      <c r="D464" s="105" t="s">
        <v>151</v>
      </c>
      <c r="E464" s="416">
        <v>41229</v>
      </c>
      <c r="F464" s="416">
        <v>10350</v>
      </c>
      <c r="G464" s="456" t="s">
        <v>1357</v>
      </c>
      <c r="H464" s="416" t="s">
        <v>1138</v>
      </c>
      <c r="I464" s="104" t="s">
        <v>225</v>
      </c>
      <c r="J464" s="416" t="s">
        <v>105</v>
      </c>
      <c r="K464" s="416" t="s">
        <v>670</v>
      </c>
      <c r="L464" s="416" t="s">
        <v>671</v>
      </c>
      <c r="M464" s="416" t="s">
        <v>114</v>
      </c>
      <c r="N464" s="458"/>
      <c r="O464" s="458"/>
      <c r="P464" s="458">
        <v>1.4473333333333334</v>
      </c>
      <c r="Q464" s="458">
        <v>0.6336666666666666</v>
      </c>
      <c r="R464" s="458"/>
      <c r="S464" s="468">
        <f>EXP(2.969*LN(P464*10)-1.611)/1000</f>
        <v>0.55728795610883541</v>
      </c>
      <c r="T464" s="416" t="s">
        <v>672</v>
      </c>
      <c r="U464" s="458">
        <v>0.94099999999999995</v>
      </c>
      <c r="V464" s="460">
        <v>44.075000000000003</v>
      </c>
      <c r="W464" s="456" t="s">
        <v>397</v>
      </c>
    </row>
    <row r="465" spans="1:23" ht="21" customHeight="1">
      <c r="A465" s="104" t="s">
        <v>579</v>
      </c>
      <c r="B465" s="104" t="s">
        <v>580</v>
      </c>
      <c r="C465" s="454" t="s">
        <v>585</v>
      </c>
      <c r="D465" s="105" t="s">
        <v>151</v>
      </c>
      <c r="E465" s="104">
        <v>41229</v>
      </c>
      <c r="F465" s="104">
        <v>17423</v>
      </c>
      <c r="G465" s="106" t="s">
        <v>1357</v>
      </c>
      <c r="H465" s="104" t="s">
        <v>1138</v>
      </c>
      <c r="I465" s="104" t="s">
        <v>225</v>
      </c>
      <c r="J465" s="104" t="s">
        <v>105</v>
      </c>
      <c r="K465" s="104" t="s">
        <v>1363</v>
      </c>
      <c r="L465" s="104" t="s">
        <v>1364</v>
      </c>
      <c r="M465" s="104" t="s">
        <v>108</v>
      </c>
      <c r="N465" s="108">
        <v>0.3843333333333333</v>
      </c>
      <c r="O465" s="108"/>
      <c r="P465" s="108"/>
      <c r="Q465" s="108"/>
      <c r="R465" s="108"/>
      <c r="S465" s="253">
        <f>(10^(2.076*LOG(N465*10)+1.536))/1000</f>
        <v>0.56215220325870108</v>
      </c>
      <c r="T465" s="108" t="s">
        <v>1365</v>
      </c>
      <c r="U465" s="108">
        <v>0.89400000000000002</v>
      </c>
      <c r="V465" s="107">
        <v>14.871</v>
      </c>
      <c r="W465" s="106" t="s">
        <v>1347</v>
      </c>
    </row>
    <row r="466" spans="1:23" ht="21" customHeight="1">
      <c r="A466" s="104" t="s">
        <v>579</v>
      </c>
      <c r="B466" s="104" t="s">
        <v>580</v>
      </c>
      <c r="C466" s="454" t="s">
        <v>585</v>
      </c>
      <c r="D466" s="105" t="s">
        <v>151</v>
      </c>
      <c r="E466" s="104">
        <v>41229</v>
      </c>
      <c r="F466" s="104">
        <v>17206</v>
      </c>
      <c r="G466" s="106" t="s">
        <v>1357</v>
      </c>
      <c r="H466" s="104" t="s">
        <v>1138</v>
      </c>
      <c r="I466" s="104" t="s">
        <v>225</v>
      </c>
      <c r="J466" s="104" t="s">
        <v>105</v>
      </c>
      <c r="K466" s="104" t="s">
        <v>670</v>
      </c>
      <c r="L466" s="104" t="s">
        <v>671</v>
      </c>
      <c r="M466" s="104" t="s">
        <v>114</v>
      </c>
      <c r="N466" s="108"/>
      <c r="O466" s="108"/>
      <c r="P466" s="108">
        <v>1.454</v>
      </c>
      <c r="Q466" s="108">
        <v>0.66633333333333344</v>
      </c>
      <c r="R466" s="108"/>
      <c r="S466" s="463">
        <f>EXP(2.969*LN(P466*10)-1.611)/1000</f>
        <v>0.56494388559369968</v>
      </c>
      <c r="T466" s="104" t="s">
        <v>1358</v>
      </c>
      <c r="U466" s="108">
        <v>0.94099999999999995</v>
      </c>
      <c r="V466" s="107">
        <v>44.075000000000003</v>
      </c>
      <c r="W466" s="106" t="s">
        <v>397</v>
      </c>
    </row>
    <row r="467" spans="1:23" ht="21" customHeight="1">
      <c r="A467" s="104" t="s">
        <v>579</v>
      </c>
      <c r="B467" s="104" t="s">
        <v>580</v>
      </c>
      <c r="C467" s="454" t="s">
        <v>585</v>
      </c>
      <c r="D467" s="105" t="s">
        <v>151</v>
      </c>
      <c r="E467" s="104">
        <v>41229</v>
      </c>
      <c r="F467" s="104">
        <v>16967</v>
      </c>
      <c r="G467" s="106" t="s">
        <v>1357</v>
      </c>
      <c r="H467" s="104" t="s">
        <v>1138</v>
      </c>
      <c r="I467" s="104" t="s">
        <v>225</v>
      </c>
      <c r="J467" s="104" t="s">
        <v>105</v>
      </c>
      <c r="K467" s="104" t="s">
        <v>670</v>
      </c>
      <c r="L467" s="104" t="s">
        <v>671</v>
      </c>
      <c r="M467" s="104" t="s">
        <v>114</v>
      </c>
      <c r="N467" s="108"/>
      <c r="O467" s="108"/>
      <c r="P467" s="108">
        <v>1.4593333333333334</v>
      </c>
      <c r="Q467" s="108">
        <v>0.6163333333333334</v>
      </c>
      <c r="R467" s="108"/>
      <c r="S467" s="463">
        <f>EXP(2.969*LN(P467*10)-1.611)/1000</f>
        <v>0.57111860428687999</v>
      </c>
      <c r="T467" s="104" t="s">
        <v>672</v>
      </c>
      <c r="U467" s="108">
        <v>0.94099999999999995</v>
      </c>
      <c r="V467" s="107">
        <v>44.075000000000003</v>
      </c>
      <c r="W467" s="106" t="s">
        <v>397</v>
      </c>
    </row>
    <row r="468" spans="1:23" ht="21" customHeight="1">
      <c r="A468" s="104" t="s">
        <v>579</v>
      </c>
      <c r="B468" s="104" t="s">
        <v>580</v>
      </c>
      <c r="C468" s="454" t="s">
        <v>585</v>
      </c>
      <c r="D468" s="105" t="s">
        <v>151</v>
      </c>
      <c r="E468" s="104">
        <v>41229</v>
      </c>
      <c r="F468" s="104">
        <v>17395</v>
      </c>
      <c r="G468" s="106" t="s">
        <v>1357</v>
      </c>
      <c r="H468" s="104" t="s">
        <v>1138</v>
      </c>
      <c r="I468" s="104" t="s">
        <v>225</v>
      </c>
      <c r="J468" s="104" t="s">
        <v>105</v>
      </c>
      <c r="K468" s="104" t="s">
        <v>670</v>
      </c>
      <c r="L468" s="104" t="s">
        <v>671</v>
      </c>
      <c r="M468" s="104" t="s">
        <v>108</v>
      </c>
      <c r="N468" s="108"/>
      <c r="O468" s="108"/>
      <c r="P468" s="108">
        <v>1.4596666666666667</v>
      </c>
      <c r="Q468" s="108">
        <v>0.35966666666666663</v>
      </c>
      <c r="R468" s="108"/>
      <c r="S468" s="463">
        <f>EXP(2.969*LN(P468*10)-1.611)/1000</f>
        <v>0.57150600320710465</v>
      </c>
      <c r="T468" s="104" t="s">
        <v>672</v>
      </c>
      <c r="U468" s="108">
        <v>0.94099999999999995</v>
      </c>
      <c r="V468" s="107">
        <v>44.075000000000003</v>
      </c>
      <c r="W468" s="106" t="s">
        <v>397</v>
      </c>
    </row>
    <row r="469" spans="1:23" ht="21" customHeight="1">
      <c r="A469" s="104" t="s">
        <v>579</v>
      </c>
      <c r="B469" s="104" t="s">
        <v>580</v>
      </c>
      <c r="C469" s="454" t="s">
        <v>585</v>
      </c>
      <c r="D469" s="105" t="s">
        <v>151</v>
      </c>
      <c r="E469" s="104">
        <v>41229</v>
      </c>
      <c r="F469" s="104">
        <v>17189</v>
      </c>
      <c r="G469" s="106" t="s">
        <v>1357</v>
      </c>
      <c r="H469" s="104" t="s">
        <v>1138</v>
      </c>
      <c r="I469" s="104" t="s">
        <v>225</v>
      </c>
      <c r="J469" s="104" t="s">
        <v>105</v>
      </c>
      <c r="K469" s="104" t="s">
        <v>1363</v>
      </c>
      <c r="L469" s="104" t="s">
        <v>1364</v>
      </c>
      <c r="M469" s="104" t="s">
        <v>108</v>
      </c>
      <c r="N469" s="108">
        <v>0.38900000000000001</v>
      </c>
      <c r="O469" s="108"/>
      <c r="P469" s="108"/>
      <c r="Q469" s="108"/>
      <c r="R469" s="108"/>
      <c r="S469" s="253">
        <f>(10^(2.076*LOG(N469*10)+1.536))/1000</f>
        <v>0.57641513067213468</v>
      </c>
      <c r="T469" s="108" t="s">
        <v>1365</v>
      </c>
      <c r="U469" s="108">
        <v>0.89400000000000002</v>
      </c>
      <c r="V469" s="107">
        <v>14.871</v>
      </c>
      <c r="W469" s="106" t="s">
        <v>1347</v>
      </c>
    </row>
    <row r="470" spans="1:23" ht="21" customHeight="1">
      <c r="A470" s="104" t="s">
        <v>579</v>
      </c>
      <c r="B470" s="104" t="s">
        <v>580</v>
      </c>
      <c r="C470" s="454" t="s">
        <v>585</v>
      </c>
      <c r="D470" s="105" t="s">
        <v>151</v>
      </c>
      <c r="E470" s="104">
        <v>41229</v>
      </c>
      <c r="F470" s="104">
        <v>9516</v>
      </c>
      <c r="G470" s="106" t="s">
        <v>1357</v>
      </c>
      <c r="H470" s="104" t="s">
        <v>1138</v>
      </c>
      <c r="I470" s="104" t="s">
        <v>225</v>
      </c>
      <c r="J470" s="104" t="s">
        <v>105</v>
      </c>
      <c r="K470" s="104" t="s">
        <v>1179</v>
      </c>
      <c r="L470" s="104" t="s">
        <v>1180</v>
      </c>
      <c r="M470" s="104" t="s">
        <v>114</v>
      </c>
      <c r="N470" s="108">
        <v>0.92733333333333334</v>
      </c>
      <c r="O470" s="108"/>
      <c r="P470" s="108"/>
      <c r="Q470" s="108"/>
      <c r="R470" s="108"/>
      <c r="S470" s="253">
        <f>(10^(2.63*LOG(N470*10)+0.225))/1000</f>
        <v>0.58725989152859492</v>
      </c>
      <c r="T470" s="108" t="s">
        <v>1369</v>
      </c>
      <c r="U470" s="108">
        <v>0.97672923576598236</v>
      </c>
      <c r="V470" s="107">
        <v>20.331</v>
      </c>
      <c r="W470" s="106" t="s">
        <v>1347</v>
      </c>
    </row>
    <row r="471" spans="1:23" ht="21" customHeight="1">
      <c r="A471" s="104" t="s">
        <v>579</v>
      </c>
      <c r="B471" s="104" t="s">
        <v>580</v>
      </c>
      <c r="C471" s="454" t="s">
        <v>585</v>
      </c>
      <c r="D471" s="105" t="s">
        <v>151</v>
      </c>
      <c r="E471" s="104">
        <v>41229</v>
      </c>
      <c r="F471" s="104">
        <v>17460</v>
      </c>
      <c r="G471" s="106" t="s">
        <v>1357</v>
      </c>
      <c r="H471" s="104" t="s">
        <v>1138</v>
      </c>
      <c r="I471" s="104" t="s">
        <v>104</v>
      </c>
      <c r="J471" s="104" t="s">
        <v>105</v>
      </c>
      <c r="K471" s="104" t="s">
        <v>670</v>
      </c>
      <c r="L471" s="104" t="s">
        <v>671</v>
      </c>
      <c r="M471" s="104" t="s">
        <v>114</v>
      </c>
      <c r="N471" s="108"/>
      <c r="O471" s="108"/>
      <c r="P471" s="108">
        <v>1.4826666666666666</v>
      </c>
      <c r="Q471" s="108">
        <v>0.84366666666666656</v>
      </c>
      <c r="R471" s="108"/>
      <c r="S471" s="463">
        <f>EXP(2.969*LN(P471*10)-1.611)/1000</f>
        <v>0.59865940813423413</v>
      </c>
      <c r="T471" s="104" t="s">
        <v>672</v>
      </c>
      <c r="U471" s="108">
        <v>0.94099999999999995</v>
      </c>
      <c r="V471" s="107">
        <v>44.075000000000003</v>
      </c>
      <c r="W471" s="106" t="s">
        <v>397</v>
      </c>
    </row>
    <row r="472" spans="1:23" ht="21" customHeight="1">
      <c r="A472" s="104" t="s">
        <v>579</v>
      </c>
      <c r="B472" s="104" t="s">
        <v>580</v>
      </c>
      <c r="C472" s="454" t="s">
        <v>585</v>
      </c>
      <c r="D472" s="105" t="s">
        <v>151</v>
      </c>
      <c r="E472" s="104">
        <v>41229</v>
      </c>
      <c r="F472" s="104">
        <v>17318</v>
      </c>
      <c r="G472" s="106" t="s">
        <v>1357</v>
      </c>
      <c r="H472" s="104" t="s">
        <v>1138</v>
      </c>
      <c r="I472" s="104" t="s">
        <v>225</v>
      </c>
      <c r="J472" s="104" t="s">
        <v>105</v>
      </c>
      <c r="K472" s="104" t="s">
        <v>670</v>
      </c>
      <c r="L472" s="104" t="s">
        <v>671</v>
      </c>
      <c r="M472" s="104" t="s">
        <v>108</v>
      </c>
      <c r="N472" s="108"/>
      <c r="O472" s="108"/>
      <c r="P472" s="108">
        <v>1.4826666666666668</v>
      </c>
      <c r="Q472" s="108">
        <v>0.54866666666666675</v>
      </c>
      <c r="R472" s="108"/>
      <c r="S472" s="463">
        <f>EXP(2.969*LN(P472*10)-1.611)/1000</f>
        <v>0.59865940813423413</v>
      </c>
      <c r="T472" s="104" t="s">
        <v>1358</v>
      </c>
      <c r="U472" s="108">
        <v>0.94099999999999995</v>
      </c>
      <c r="V472" s="107">
        <v>44.075000000000003</v>
      </c>
      <c r="W472" s="106" t="s">
        <v>397</v>
      </c>
    </row>
    <row r="473" spans="1:23" ht="21" customHeight="1">
      <c r="A473" s="416" t="s">
        <v>579</v>
      </c>
      <c r="B473" s="416" t="s">
        <v>580</v>
      </c>
      <c r="C473" s="455" t="s">
        <v>585</v>
      </c>
      <c r="D473" s="105" t="s">
        <v>151</v>
      </c>
      <c r="E473" s="416">
        <v>41229</v>
      </c>
      <c r="F473" s="416">
        <v>7428</v>
      </c>
      <c r="G473" s="456" t="s">
        <v>1357</v>
      </c>
      <c r="H473" s="416" t="s">
        <v>1138</v>
      </c>
      <c r="I473" s="104" t="s">
        <v>225</v>
      </c>
      <c r="J473" s="416" t="s">
        <v>105</v>
      </c>
      <c r="K473" s="416" t="s">
        <v>670</v>
      </c>
      <c r="L473" s="416" t="s">
        <v>671</v>
      </c>
      <c r="M473" s="416" t="s">
        <v>114</v>
      </c>
      <c r="N473" s="458"/>
      <c r="O473" s="458"/>
      <c r="P473" s="458">
        <v>1.4869999999999999</v>
      </c>
      <c r="Q473" s="458">
        <v>0.68533333333333346</v>
      </c>
      <c r="R473" s="458"/>
      <c r="S473" s="468">
        <f>EXP(2.969*LN(P473*10)-1.611)/1000</f>
        <v>0.60386916657573941</v>
      </c>
      <c r="T473" s="416" t="s">
        <v>672</v>
      </c>
      <c r="U473" s="458">
        <v>0.94099999999999995</v>
      </c>
      <c r="V473" s="460">
        <v>44.075000000000003</v>
      </c>
      <c r="W473" s="456" t="s">
        <v>397</v>
      </c>
    </row>
    <row r="474" spans="1:23" ht="21" customHeight="1">
      <c r="A474" s="104" t="s">
        <v>579</v>
      </c>
      <c r="B474" s="104" t="s">
        <v>580</v>
      </c>
      <c r="C474" s="454" t="s">
        <v>585</v>
      </c>
      <c r="D474" s="105" t="s">
        <v>151</v>
      </c>
      <c r="E474" s="104">
        <v>41229</v>
      </c>
      <c r="F474" s="104">
        <v>17396</v>
      </c>
      <c r="G474" s="106" t="s">
        <v>1357</v>
      </c>
      <c r="H474" s="104" t="s">
        <v>1138</v>
      </c>
      <c r="I474" s="104" t="s">
        <v>225</v>
      </c>
      <c r="J474" s="104" t="s">
        <v>105</v>
      </c>
      <c r="K474" s="104" t="s">
        <v>670</v>
      </c>
      <c r="L474" s="104" t="s">
        <v>671</v>
      </c>
      <c r="M474" s="104" t="s">
        <v>114</v>
      </c>
      <c r="N474" s="108"/>
      <c r="O474" s="108"/>
      <c r="P474" s="108">
        <v>1.4883333333333335</v>
      </c>
      <c r="Q474" s="108">
        <v>0.65500000000000003</v>
      </c>
      <c r="R474" s="108"/>
      <c r="S474" s="463">
        <f>EXP(2.969*LN(P474*10)-1.611)/1000</f>
        <v>0.60547819657478008</v>
      </c>
      <c r="T474" s="104" t="s">
        <v>672</v>
      </c>
      <c r="U474" s="108">
        <v>0.94099999999999995</v>
      </c>
      <c r="V474" s="107">
        <v>44.075000000000003</v>
      </c>
      <c r="W474" s="106" t="s">
        <v>397</v>
      </c>
    </row>
    <row r="475" spans="1:23" ht="21" customHeight="1">
      <c r="A475" s="104" t="s">
        <v>579</v>
      </c>
      <c r="B475" s="104" t="s">
        <v>580</v>
      </c>
      <c r="C475" s="454" t="s">
        <v>585</v>
      </c>
      <c r="D475" s="105" t="s">
        <v>151</v>
      </c>
      <c r="E475" s="104">
        <v>41229</v>
      </c>
      <c r="F475" s="104">
        <v>17426</v>
      </c>
      <c r="G475" s="106" t="s">
        <v>1357</v>
      </c>
      <c r="H475" s="104" t="s">
        <v>1138</v>
      </c>
      <c r="I475" s="104" t="s">
        <v>225</v>
      </c>
      <c r="J475" s="104" t="s">
        <v>105</v>
      </c>
      <c r="K475" s="104" t="s">
        <v>655</v>
      </c>
      <c r="L475" s="104" t="s">
        <v>656</v>
      </c>
      <c r="M475" s="104" t="s">
        <v>114</v>
      </c>
      <c r="N475" s="254"/>
      <c r="O475" s="103"/>
      <c r="P475" s="108">
        <v>0.81799999999999995</v>
      </c>
      <c r="Q475" s="108">
        <v>0.36066666666666669</v>
      </c>
      <c r="R475" s="108"/>
      <c r="S475" s="253">
        <f>(10^((1.463*LOG((P475*Q475*100))+0.633)))/1000</f>
        <v>0.60730124314469058</v>
      </c>
      <c r="T475" s="104" t="s">
        <v>657</v>
      </c>
      <c r="U475" s="108">
        <v>0.97660000000000002</v>
      </c>
      <c r="V475" s="107">
        <v>33.36</v>
      </c>
      <c r="W475" s="106" t="s">
        <v>404</v>
      </c>
    </row>
    <row r="476" spans="1:23" ht="21" customHeight="1">
      <c r="A476" s="104" t="s">
        <v>579</v>
      </c>
      <c r="B476" s="104" t="s">
        <v>580</v>
      </c>
      <c r="C476" s="454" t="s">
        <v>585</v>
      </c>
      <c r="D476" s="105" t="s">
        <v>151</v>
      </c>
      <c r="E476" s="104">
        <v>41229</v>
      </c>
      <c r="F476" s="104">
        <v>17261</v>
      </c>
      <c r="G476" s="106" t="s">
        <v>1357</v>
      </c>
      <c r="H476" s="104" t="s">
        <v>1138</v>
      </c>
      <c r="I476" s="104" t="s">
        <v>225</v>
      </c>
      <c r="J476" s="104" t="s">
        <v>105</v>
      </c>
      <c r="K476" s="104" t="s">
        <v>1360</v>
      </c>
      <c r="L476" s="104" t="s">
        <v>1361</v>
      </c>
      <c r="M476" s="104" t="s">
        <v>114</v>
      </c>
      <c r="N476" s="108"/>
      <c r="O476" s="108"/>
      <c r="P476" s="108"/>
      <c r="Q476" s="108">
        <v>0.64033333333333331</v>
      </c>
      <c r="R476" s="108"/>
      <c r="S476" s="463">
        <f>EXP(2.928*LN(Q476*10)+0.981)/1000</f>
        <v>0.61263242234190851</v>
      </c>
      <c r="T476" s="108" t="s">
        <v>1362</v>
      </c>
      <c r="U476" s="108">
        <v>0.97899999999999998</v>
      </c>
      <c r="V476" s="107">
        <v>32.36</v>
      </c>
      <c r="W476" s="106" t="s">
        <v>397</v>
      </c>
    </row>
    <row r="477" spans="1:23" ht="21" customHeight="1">
      <c r="A477" s="104" t="s">
        <v>579</v>
      </c>
      <c r="B477" s="104" t="s">
        <v>580</v>
      </c>
      <c r="C477" s="454" t="s">
        <v>585</v>
      </c>
      <c r="D477" s="105" t="s">
        <v>151</v>
      </c>
      <c r="E477" s="104">
        <v>41229</v>
      </c>
      <c r="F477" s="104">
        <v>17482</v>
      </c>
      <c r="G477" s="106" t="s">
        <v>1357</v>
      </c>
      <c r="H477" s="104" t="s">
        <v>1138</v>
      </c>
      <c r="I477" s="104" t="s">
        <v>104</v>
      </c>
      <c r="J477" s="104" t="s">
        <v>105</v>
      </c>
      <c r="K477" s="104" t="s">
        <v>670</v>
      </c>
      <c r="L477" s="104" t="s">
        <v>671</v>
      </c>
      <c r="M477" s="104" t="s">
        <v>114</v>
      </c>
      <c r="N477" s="108"/>
      <c r="O477" s="108"/>
      <c r="P477" s="108">
        <v>1.504</v>
      </c>
      <c r="Q477" s="108">
        <v>0.7606666666666666</v>
      </c>
      <c r="R477" s="108"/>
      <c r="S477" s="463">
        <f>EXP(2.969*LN(P477*10)-1.611)/1000</f>
        <v>0.62459775009612117</v>
      </c>
      <c r="T477" s="104" t="s">
        <v>672</v>
      </c>
      <c r="U477" s="108">
        <v>0.94099999999999995</v>
      </c>
      <c r="V477" s="107">
        <v>44.075000000000003</v>
      </c>
      <c r="W477" s="106" t="s">
        <v>397</v>
      </c>
    </row>
    <row r="478" spans="1:23" ht="21" customHeight="1">
      <c r="A478" s="104" t="s">
        <v>579</v>
      </c>
      <c r="B478" s="104" t="s">
        <v>580</v>
      </c>
      <c r="C478" s="454" t="s">
        <v>585</v>
      </c>
      <c r="D478" s="105" t="s">
        <v>151</v>
      </c>
      <c r="E478" s="104">
        <v>41229</v>
      </c>
      <c r="F478" s="104">
        <v>16999</v>
      </c>
      <c r="G478" s="106" t="s">
        <v>1357</v>
      </c>
      <c r="H478" s="104" t="s">
        <v>1138</v>
      </c>
      <c r="I478" s="104" t="s">
        <v>225</v>
      </c>
      <c r="J478" s="104" t="s">
        <v>105</v>
      </c>
      <c r="K478" s="104" t="s">
        <v>1363</v>
      </c>
      <c r="L478" s="104" t="s">
        <v>1364</v>
      </c>
      <c r="M478" s="104" t="s">
        <v>108</v>
      </c>
      <c r="N478" s="108">
        <v>0.40700000000000003</v>
      </c>
      <c r="O478" s="108"/>
      <c r="P478" s="108"/>
      <c r="Q478" s="108"/>
      <c r="R478" s="108"/>
      <c r="S478" s="253">
        <f>(10^(2.076*LOG(N478*10)+1.536))/1000</f>
        <v>0.63316659432537492</v>
      </c>
      <c r="T478" s="108" t="s">
        <v>1365</v>
      </c>
      <c r="U478" s="108">
        <v>0.89400000000000002</v>
      </c>
      <c r="V478" s="107">
        <v>14.871</v>
      </c>
      <c r="W478" s="106" t="s">
        <v>1347</v>
      </c>
    </row>
    <row r="479" spans="1:23" ht="21" customHeight="1">
      <c r="A479" s="104" t="s">
        <v>579</v>
      </c>
      <c r="B479" s="104" t="s">
        <v>580</v>
      </c>
      <c r="C479" s="454" t="s">
        <v>585</v>
      </c>
      <c r="D479" s="105" t="s">
        <v>151</v>
      </c>
      <c r="E479" s="104">
        <v>41229</v>
      </c>
      <c r="F479" s="104">
        <v>17228</v>
      </c>
      <c r="G479" s="106" t="s">
        <v>1357</v>
      </c>
      <c r="H479" s="104" t="s">
        <v>1138</v>
      </c>
      <c r="I479" s="104" t="s">
        <v>225</v>
      </c>
      <c r="J479" s="104" t="s">
        <v>105</v>
      </c>
      <c r="K479" s="104" t="s">
        <v>1363</v>
      </c>
      <c r="L479" s="104" t="s">
        <v>1364</v>
      </c>
      <c r="M479" s="104" t="s">
        <v>114</v>
      </c>
      <c r="N479" s="108">
        <v>0.41266666666666668</v>
      </c>
      <c r="O479" s="108"/>
      <c r="P479" s="108"/>
      <c r="Q479" s="108"/>
      <c r="R479" s="108"/>
      <c r="S479" s="253">
        <f>(10^(2.076*LOG(N479*10)+1.536))/1000</f>
        <v>0.65160488810022466</v>
      </c>
      <c r="T479" s="108" t="s">
        <v>1365</v>
      </c>
      <c r="U479" s="108">
        <v>0.89400000000000002</v>
      </c>
      <c r="V479" s="107">
        <v>14.871</v>
      </c>
      <c r="W479" s="106" t="s">
        <v>1347</v>
      </c>
    </row>
    <row r="480" spans="1:23" ht="21" customHeight="1">
      <c r="A480" s="104" t="s">
        <v>579</v>
      </c>
      <c r="B480" s="104" t="s">
        <v>580</v>
      </c>
      <c r="C480" s="454" t="s">
        <v>585</v>
      </c>
      <c r="D480" s="105" t="s">
        <v>151</v>
      </c>
      <c r="E480" s="104">
        <v>41229</v>
      </c>
      <c r="F480" s="104">
        <v>4099</v>
      </c>
      <c r="G480" s="106" t="s">
        <v>1357</v>
      </c>
      <c r="H480" s="104" t="s">
        <v>1138</v>
      </c>
      <c r="I480" s="104" t="s">
        <v>225</v>
      </c>
      <c r="J480" s="104" t="s">
        <v>105</v>
      </c>
      <c r="K480" s="104" t="s">
        <v>1360</v>
      </c>
      <c r="L480" s="104" t="s">
        <v>1361</v>
      </c>
      <c r="M480" s="104" t="s">
        <v>108</v>
      </c>
      <c r="N480" s="108"/>
      <c r="O480" s="108"/>
      <c r="P480" s="108"/>
      <c r="Q480" s="108">
        <v>0.65533333333333332</v>
      </c>
      <c r="R480" s="108"/>
      <c r="S480" s="463">
        <f>EXP(2.928*LN(Q480*10)+0.981)/1000</f>
        <v>0.65560820541467446</v>
      </c>
      <c r="T480" s="108" t="s">
        <v>1362</v>
      </c>
      <c r="U480" s="108">
        <v>0.97899999999999998</v>
      </c>
      <c r="V480" s="107">
        <v>32.36</v>
      </c>
      <c r="W480" s="106" t="s">
        <v>397</v>
      </c>
    </row>
    <row r="481" spans="1:23" ht="21" customHeight="1">
      <c r="A481" s="104" t="s">
        <v>579</v>
      </c>
      <c r="B481" s="104" t="s">
        <v>580</v>
      </c>
      <c r="C481" s="454" t="s">
        <v>585</v>
      </c>
      <c r="D481" s="105" t="s">
        <v>151</v>
      </c>
      <c r="E481" s="104">
        <v>41229</v>
      </c>
      <c r="F481" s="104">
        <v>17266</v>
      </c>
      <c r="G481" s="106" t="s">
        <v>1357</v>
      </c>
      <c r="H481" s="104" t="s">
        <v>1138</v>
      </c>
      <c r="I481" s="104" t="s">
        <v>225</v>
      </c>
      <c r="J481" s="104" t="s">
        <v>105</v>
      </c>
      <c r="K481" s="104" t="s">
        <v>1363</v>
      </c>
      <c r="L481" s="104" t="s">
        <v>1364</v>
      </c>
      <c r="M481" s="104" t="s">
        <v>114</v>
      </c>
      <c r="N481" s="108">
        <v>0.41466666666666674</v>
      </c>
      <c r="O481" s="108"/>
      <c r="P481" s="108"/>
      <c r="Q481" s="108"/>
      <c r="R481" s="108"/>
      <c r="S481" s="253">
        <f>(10^(2.076*LOG(N481*10)+1.536))/1000</f>
        <v>0.65817803512167716</v>
      </c>
      <c r="T481" s="108" t="s">
        <v>1365</v>
      </c>
      <c r="U481" s="108">
        <v>0.89400000000000002</v>
      </c>
      <c r="V481" s="107">
        <v>14.871</v>
      </c>
      <c r="W481" s="106" t="s">
        <v>1347</v>
      </c>
    </row>
    <row r="482" spans="1:23" ht="21" customHeight="1">
      <c r="A482" s="104" t="s">
        <v>579</v>
      </c>
      <c r="B482" s="104" t="s">
        <v>580</v>
      </c>
      <c r="C482" s="454" t="s">
        <v>585</v>
      </c>
      <c r="D482" s="105" t="s">
        <v>151</v>
      </c>
      <c r="E482" s="104">
        <v>41229</v>
      </c>
      <c r="F482" s="104">
        <v>8243</v>
      </c>
      <c r="G482" s="106" t="s">
        <v>1357</v>
      </c>
      <c r="H482" s="104" t="s">
        <v>1138</v>
      </c>
      <c r="I482" s="104" t="s">
        <v>225</v>
      </c>
      <c r="J482" s="104" t="s">
        <v>105</v>
      </c>
      <c r="K482" s="104" t="s">
        <v>1363</v>
      </c>
      <c r="L482" s="104" t="s">
        <v>1364</v>
      </c>
      <c r="M482" s="104" t="s">
        <v>108</v>
      </c>
      <c r="N482" s="108">
        <v>0.41900000000000004</v>
      </c>
      <c r="O482" s="108"/>
      <c r="P482" s="108"/>
      <c r="Q482" s="108"/>
      <c r="R482" s="108"/>
      <c r="S482" s="253">
        <f>(10^(2.076*LOG(N482*10)+1.536))/1000</f>
        <v>0.67253720037304565</v>
      </c>
      <c r="T482" s="108" t="s">
        <v>1365</v>
      </c>
      <c r="U482" s="108">
        <v>0.89400000000000002</v>
      </c>
      <c r="V482" s="107">
        <v>14.871</v>
      </c>
      <c r="W482" s="106" t="s">
        <v>1347</v>
      </c>
    </row>
    <row r="483" spans="1:23" ht="21" customHeight="1">
      <c r="A483" s="104" t="s">
        <v>579</v>
      </c>
      <c r="B483" s="104" t="s">
        <v>580</v>
      </c>
      <c r="C483" s="454" t="s">
        <v>585</v>
      </c>
      <c r="D483" s="105" t="s">
        <v>151</v>
      </c>
      <c r="E483" s="104">
        <v>41229</v>
      </c>
      <c r="F483" s="104">
        <v>17419</v>
      </c>
      <c r="G483" s="106" t="s">
        <v>1357</v>
      </c>
      <c r="H483" s="104" t="s">
        <v>1138</v>
      </c>
      <c r="I483" s="104" t="s">
        <v>225</v>
      </c>
      <c r="J483" s="104" t="s">
        <v>105</v>
      </c>
      <c r="K483" s="104" t="s">
        <v>1363</v>
      </c>
      <c r="L483" s="104" t="s">
        <v>1364</v>
      </c>
      <c r="M483" s="104" t="s">
        <v>114</v>
      </c>
      <c r="N483" s="108">
        <v>0.41900000000000004</v>
      </c>
      <c r="O483" s="108"/>
      <c r="P483" s="108"/>
      <c r="Q483" s="108"/>
      <c r="R483" s="108"/>
      <c r="S483" s="253">
        <f>(10^(2.076*LOG(N483*10)+1.536))/1000</f>
        <v>0.67253720037304565</v>
      </c>
      <c r="T483" s="108" t="s">
        <v>1365</v>
      </c>
      <c r="U483" s="108">
        <v>0.89400000000000002</v>
      </c>
      <c r="V483" s="107">
        <v>14.871</v>
      </c>
      <c r="W483" s="106" t="s">
        <v>1347</v>
      </c>
    </row>
    <row r="484" spans="1:23" ht="21" customHeight="1">
      <c r="A484" s="104" t="s">
        <v>579</v>
      </c>
      <c r="B484" s="104" t="s">
        <v>580</v>
      </c>
      <c r="C484" s="454" t="s">
        <v>585</v>
      </c>
      <c r="D484" s="105" t="s">
        <v>151</v>
      </c>
      <c r="E484" s="104">
        <v>41229</v>
      </c>
      <c r="F484" s="104">
        <v>17091</v>
      </c>
      <c r="G484" s="106" t="s">
        <v>1357</v>
      </c>
      <c r="H484" s="104" t="s">
        <v>1138</v>
      </c>
      <c r="I484" s="104" t="s">
        <v>225</v>
      </c>
      <c r="J484" s="104" t="s">
        <v>105</v>
      </c>
      <c r="K484" s="104" t="s">
        <v>1360</v>
      </c>
      <c r="L484" s="104" t="s">
        <v>1361</v>
      </c>
      <c r="M484" s="104" t="s">
        <v>114</v>
      </c>
      <c r="N484" s="108"/>
      <c r="O484" s="108"/>
      <c r="P484" s="108"/>
      <c r="Q484" s="108">
        <v>0.66166666666666674</v>
      </c>
      <c r="R484" s="108"/>
      <c r="S484" s="463">
        <f>EXP(2.928*LN(Q484*10)+0.981)/1000</f>
        <v>0.67433333546837204</v>
      </c>
      <c r="T484" s="108" t="s">
        <v>1362</v>
      </c>
      <c r="U484" s="108">
        <v>0.97899999999999998</v>
      </c>
      <c r="V484" s="107">
        <v>32.36</v>
      </c>
      <c r="W484" s="106" t="s">
        <v>397</v>
      </c>
    </row>
    <row r="485" spans="1:23" ht="21" customHeight="1">
      <c r="A485" s="104" t="s">
        <v>579</v>
      </c>
      <c r="B485" s="104" t="s">
        <v>580</v>
      </c>
      <c r="C485" s="454" t="s">
        <v>585</v>
      </c>
      <c r="D485" s="105" t="s">
        <v>151</v>
      </c>
      <c r="E485" s="104">
        <v>41229</v>
      </c>
      <c r="F485" s="104">
        <v>17068</v>
      </c>
      <c r="G485" s="106" t="s">
        <v>1357</v>
      </c>
      <c r="H485" s="104" t="s">
        <v>1138</v>
      </c>
      <c r="I485" s="104" t="s">
        <v>225</v>
      </c>
      <c r="J485" s="104" t="s">
        <v>105</v>
      </c>
      <c r="K485" s="104" t="s">
        <v>1363</v>
      </c>
      <c r="L485" s="104" t="s">
        <v>1364</v>
      </c>
      <c r="M485" s="104" t="s">
        <v>114</v>
      </c>
      <c r="N485" s="108">
        <v>0.42133333333333339</v>
      </c>
      <c r="O485" s="108"/>
      <c r="P485" s="108"/>
      <c r="Q485" s="108"/>
      <c r="R485" s="108"/>
      <c r="S485" s="253">
        <f>(10^(2.076*LOG(N485*10)+1.536))/1000</f>
        <v>0.68033560592407183</v>
      </c>
      <c r="T485" s="108" t="s">
        <v>1365</v>
      </c>
      <c r="U485" s="108">
        <v>0.89400000000000002</v>
      </c>
      <c r="V485" s="107">
        <v>14.871</v>
      </c>
      <c r="W485" s="106" t="s">
        <v>1347</v>
      </c>
    </row>
    <row r="486" spans="1:23" ht="21" customHeight="1">
      <c r="A486" s="104" t="s">
        <v>579</v>
      </c>
      <c r="B486" s="104" t="s">
        <v>580</v>
      </c>
      <c r="C486" s="454" t="s">
        <v>585</v>
      </c>
      <c r="D486" s="105" t="s">
        <v>151</v>
      </c>
      <c r="E486" s="104">
        <v>41229</v>
      </c>
      <c r="F486" s="104">
        <v>17020</v>
      </c>
      <c r="G486" s="106" t="s">
        <v>1357</v>
      </c>
      <c r="H486" s="104" t="s">
        <v>1138</v>
      </c>
      <c r="I486" s="104" t="s">
        <v>225</v>
      </c>
      <c r="J486" s="104" t="s">
        <v>105</v>
      </c>
      <c r="K486" s="104" t="s">
        <v>670</v>
      </c>
      <c r="L486" s="104" t="s">
        <v>671</v>
      </c>
      <c r="M486" s="104" t="s">
        <v>108</v>
      </c>
      <c r="N486" s="108"/>
      <c r="O486" s="108"/>
      <c r="P486" s="108">
        <v>1.5489999999999999</v>
      </c>
      <c r="Q486" s="108">
        <v>0.6336666666666666</v>
      </c>
      <c r="R486" s="108"/>
      <c r="S486" s="463">
        <f>EXP(2.969*LN(P486*10)-1.611)/1000</f>
        <v>0.68173289324822861</v>
      </c>
      <c r="T486" s="104" t="s">
        <v>672</v>
      </c>
      <c r="U486" s="108">
        <v>0.94099999999999995</v>
      </c>
      <c r="V486" s="107">
        <v>44.075000000000003</v>
      </c>
      <c r="W486" s="106" t="s">
        <v>397</v>
      </c>
    </row>
    <row r="487" spans="1:23" ht="21" customHeight="1">
      <c r="A487" s="104" t="s">
        <v>579</v>
      </c>
      <c r="B487" s="104" t="s">
        <v>580</v>
      </c>
      <c r="C487" s="454" t="s">
        <v>585</v>
      </c>
      <c r="D487" s="105" t="s">
        <v>151</v>
      </c>
      <c r="E487" s="104">
        <v>41229</v>
      </c>
      <c r="F487" s="104">
        <v>4016</v>
      </c>
      <c r="G487" s="106" t="s">
        <v>1357</v>
      </c>
      <c r="H487" s="104" t="s">
        <v>1138</v>
      </c>
      <c r="I487" s="104" t="s">
        <v>225</v>
      </c>
      <c r="J487" s="104" t="s">
        <v>105</v>
      </c>
      <c r="K487" s="104" t="s">
        <v>670</v>
      </c>
      <c r="L487" s="104" t="s">
        <v>671</v>
      </c>
      <c r="M487" s="104" t="s">
        <v>114</v>
      </c>
      <c r="N487" s="108"/>
      <c r="O487" s="108"/>
      <c r="P487" s="108">
        <v>1.5493333333333335</v>
      </c>
      <c r="Q487" s="108">
        <v>0.69566666666666666</v>
      </c>
      <c r="R487" s="108"/>
      <c r="S487" s="463">
        <f>EXP(2.969*LN(P487*10)-1.611)/1000</f>
        <v>0.68216854932794013</v>
      </c>
      <c r="T487" s="104" t="s">
        <v>1358</v>
      </c>
      <c r="U487" s="108">
        <v>0.94099999999999995</v>
      </c>
      <c r="V487" s="107">
        <v>44.075000000000003</v>
      </c>
      <c r="W487" s="106" t="s">
        <v>397</v>
      </c>
    </row>
    <row r="488" spans="1:23" ht="21" customHeight="1">
      <c r="A488" s="104" t="s">
        <v>579</v>
      </c>
      <c r="B488" s="104" t="s">
        <v>580</v>
      </c>
      <c r="C488" s="454" t="s">
        <v>585</v>
      </c>
      <c r="D488" s="105" t="s">
        <v>151</v>
      </c>
      <c r="E488" s="104">
        <v>41229</v>
      </c>
      <c r="F488" s="104">
        <v>16982</v>
      </c>
      <c r="G488" s="106" t="s">
        <v>1357</v>
      </c>
      <c r="H488" s="104" t="s">
        <v>1138</v>
      </c>
      <c r="I488" s="104" t="s">
        <v>225</v>
      </c>
      <c r="J488" s="104" t="s">
        <v>105</v>
      </c>
      <c r="K488" s="104" t="s">
        <v>1363</v>
      </c>
      <c r="L488" s="104" t="s">
        <v>1364</v>
      </c>
      <c r="M488" s="104" t="s">
        <v>114</v>
      </c>
      <c r="N488" s="108">
        <v>0.42300000000000004</v>
      </c>
      <c r="O488" s="108"/>
      <c r="P488" s="108"/>
      <c r="Q488" s="108"/>
      <c r="R488" s="108"/>
      <c r="S488" s="253">
        <f>(10^(2.076*LOG(N488*10)+1.536))/1000</f>
        <v>0.68593443024727829</v>
      </c>
      <c r="T488" s="108" t="s">
        <v>1365</v>
      </c>
      <c r="U488" s="108">
        <v>0.89400000000000002</v>
      </c>
      <c r="V488" s="107">
        <v>14.871</v>
      </c>
      <c r="W488" s="106" t="s">
        <v>1347</v>
      </c>
    </row>
    <row r="489" spans="1:23" ht="21" customHeight="1">
      <c r="A489" s="104" t="s">
        <v>579</v>
      </c>
      <c r="B489" s="104" t="s">
        <v>580</v>
      </c>
      <c r="C489" s="454" t="s">
        <v>585</v>
      </c>
      <c r="D489" s="105" t="s">
        <v>151</v>
      </c>
      <c r="E489" s="104">
        <v>41229</v>
      </c>
      <c r="F489" s="104">
        <v>17067</v>
      </c>
      <c r="G489" s="106" t="s">
        <v>1357</v>
      </c>
      <c r="H489" s="104" t="s">
        <v>1138</v>
      </c>
      <c r="I489" s="104" t="s">
        <v>225</v>
      </c>
      <c r="J489" s="104" t="s">
        <v>105</v>
      </c>
      <c r="K489" s="104" t="s">
        <v>1363</v>
      </c>
      <c r="L489" s="104" t="s">
        <v>1364</v>
      </c>
      <c r="M489" s="104" t="s">
        <v>108</v>
      </c>
      <c r="N489" s="108">
        <v>0.42299999999999993</v>
      </c>
      <c r="O489" s="108"/>
      <c r="P489" s="108"/>
      <c r="Q489" s="108"/>
      <c r="R489" s="108"/>
      <c r="S489" s="253">
        <f>(10^(2.076*LOG(N489*10)+1.536))/1000</f>
        <v>0.68593443024727829</v>
      </c>
      <c r="T489" s="108" t="s">
        <v>1365</v>
      </c>
      <c r="U489" s="108">
        <v>0.89400000000000002</v>
      </c>
      <c r="V489" s="107">
        <v>14.871</v>
      </c>
      <c r="W489" s="106" t="s">
        <v>1347</v>
      </c>
    </row>
    <row r="490" spans="1:23" ht="21" customHeight="1">
      <c r="A490" s="104" t="s">
        <v>579</v>
      </c>
      <c r="B490" s="104" t="s">
        <v>580</v>
      </c>
      <c r="C490" s="454" t="s">
        <v>585</v>
      </c>
      <c r="D490" s="105" t="s">
        <v>151</v>
      </c>
      <c r="E490" s="104">
        <v>41229</v>
      </c>
      <c r="F490" s="104">
        <v>17155</v>
      </c>
      <c r="G490" s="106" t="s">
        <v>1357</v>
      </c>
      <c r="H490" s="104" t="s">
        <v>1138</v>
      </c>
      <c r="I490" s="104" t="s">
        <v>225</v>
      </c>
      <c r="J490" s="104" t="s">
        <v>105</v>
      </c>
      <c r="K490" s="104" t="s">
        <v>1363</v>
      </c>
      <c r="L490" s="104" t="s">
        <v>1364</v>
      </c>
      <c r="M490" s="104" t="s">
        <v>108</v>
      </c>
      <c r="N490" s="108">
        <v>0.42366666666666675</v>
      </c>
      <c r="O490" s="108"/>
      <c r="P490" s="108"/>
      <c r="Q490" s="108"/>
      <c r="R490" s="108"/>
      <c r="S490" s="253">
        <f>(10^(2.076*LOG(N490*10)+1.536))/1000</f>
        <v>0.68818061992671153</v>
      </c>
      <c r="T490" s="108" t="s">
        <v>1365</v>
      </c>
      <c r="U490" s="108">
        <v>0.89400000000000002</v>
      </c>
      <c r="V490" s="107">
        <v>14.871</v>
      </c>
      <c r="W490" s="106" t="s">
        <v>1347</v>
      </c>
    </row>
    <row r="491" spans="1:23" ht="21" customHeight="1">
      <c r="A491" s="104" t="s">
        <v>579</v>
      </c>
      <c r="B491" s="104" t="s">
        <v>580</v>
      </c>
      <c r="C491" s="454" t="s">
        <v>585</v>
      </c>
      <c r="D491" s="105" t="s">
        <v>151</v>
      </c>
      <c r="E491" s="104">
        <v>41229</v>
      </c>
      <c r="F491" s="104">
        <v>17428</v>
      </c>
      <c r="G491" s="106" t="s">
        <v>1357</v>
      </c>
      <c r="H491" s="104" t="s">
        <v>1138</v>
      </c>
      <c r="I491" s="104" t="s">
        <v>225</v>
      </c>
      <c r="J491" s="104" t="s">
        <v>105</v>
      </c>
      <c r="K491" s="104" t="s">
        <v>655</v>
      </c>
      <c r="L491" s="104" t="s">
        <v>656</v>
      </c>
      <c r="M491" s="104" t="s">
        <v>108</v>
      </c>
      <c r="N491" s="254"/>
      <c r="O491" s="103"/>
      <c r="P491" s="108">
        <v>0.8</v>
      </c>
      <c r="Q491" s="108">
        <v>0.40300000000000002</v>
      </c>
      <c r="R491" s="108"/>
      <c r="S491" s="253">
        <f>(10^((1.463*LOG((P491*Q491*100))+0.633)))/1000</f>
        <v>0.69148367821017931</v>
      </c>
      <c r="T491" s="104" t="s">
        <v>657</v>
      </c>
      <c r="U491" s="108">
        <v>0.97660000000000002</v>
      </c>
      <c r="V491" s="107">
        <v>33.36</v>
      </c>
      <c r="W491" s="106" t="s">
        <v>404</v>
      </c>
    </row>
    <row r="492" spans="1:23" ht="21" customHeight="1">
      <c r="A492" s="104" t="s">
        <v>579</v>
      </c>
      <c r="B492" s="104" t="s">
        <v>580</v>
      </c>
      <c r="C492" s="454" t="s">
        <v>585</v>
      </c>
      <c r="D492" s="105" t="s">
        <v>151</v>
      </c>
      <c r="E492" s="104">
        <v>41229</v>
      </c>
      <c r="F492" s="104">
        <v>7440</v>
      </c>
      <c r="G492" s="106" t="s">
        <v>1357</v>
      </c>
      <c r="H492" s="104" t="s">
        <v>1138</v>
      </c>
      <c r="I492" s="104" t="s">
        <v>225</v>
      </c>
      <c r="J492" s="104" t="s">
        <v>105</v>
      </c>
      <c r="K492" s="104" t="s">
        <v>1363</v>
      </c>
      <c r="L492" s="104" t="s">
        <v>1364</v>
      </c>
      <c r="M492" s="104" t="s">
        <v>108</v>
      </c>
      <c r="N492" s="108">
        <v>0.42466666666666669</v>
      </c>
      <c r="O492" s="108"/>
      <c r="P492" s="108"/>
      <c r="Q492" s="108"/>
      <c r="R492" s="108"/>
      <c r="S492" s="253">
        <f>(10^(2.076*LOG(N492*10)+1.536))/1000</f>
        <v>0.69155704153081166</v>
      </c>
      <c r="T492" s="108" t="s">
        <v>1365</v>
      </c>
      <c r="U492" s="108">
        <v>0.89400000000000002</v>
      </c>
      <c r="V492" s="107">
        <v>14.871</v>
      </c>
      <c r="W492" s="106" t="s">
        <v>1347</v>
      </c>
    </row>
    <row r="493" spans="1:23" ht="21" customHeight="1">
      <c r="A493" s="104" t="s">
        <v>579</v>
      </c>
      <c r="B493" s="104" t="s">
        <v>580</v>
      </c>
      <c r="C493" s="454" t="s">
        <v>585</v>
      </c>
      <c r="D493" s="105" t="s">
        <v>151</v>
      </c>
      <c r="E493" s="104">
        <v>41229</v>
      </c>
      <c r="F493" s="104">
        <v>17554</v>
      </c>
      <c r="G493" s="106" t="s">
        <v>1357</v>
      </c>
      <c r="H493" s="104" t="s">
        <v>1138</v>
      </c>
      <c r="I493" s="104" t="s">
        <v>104</v>
      </c>
      <c r="J493" s="104" t="s">
        <v>105</v>
      </c>
      <c r="K493" s="104" t="s">
        <v>1371</v>
      </c>
      <c r="L493" s="104" t="s">
        <v>1372</v>
      </c>
      <c r="M493" s="104" t="s">
        <v>114</v>
      </c>
      <c r="N493" s="108">
        <v>1.1406666666666667</v>
      </c>
      <c r="O493" s="108"/>
      <c r="P493" s="108"/>
      <c r="Q493" s="108"/>
      <c r="R493" s="108"/>
      <c r="S493" s="253">
        <f>(10^(2.217*LOG(N493*10)+0.498))/1000</f>
        <v>0.69457788234927742</v>
      </c>
      <c r="T493" s="108" t="s">
        <v>1373</v>
      </c>
      <c r="U493" s="108">
        <v>0.98488578017961048</v>
      </c>
      <c r="V493" s="107">
        <v>16.747</v>
      </c>
      <c r="W493" s="106" t="s">
        <v>1347</v>
      </c>
    </row>
    <row r="494" spans="1:23" ht="21" customHeight="1">
      <c r="A494" s="104" t="s">
        <v>579</v>
      </c>
      <c r="B494" s="104" t="s">
        <v>580</v>
      </c>
      <c r="C494" s="454" t="s">
        <v>585</v>
      </c>
      <c r="D494" s="105" t="s">
        <v>151</v>
      </c>
      <c r="E494" s="104">
        <v>41229</v>
      </c>
      <c r="F494" s="104">
        <v>17064</v>
      </c>
      <c r="G494" s="106" t="s">
        <v>1357</v>
      </c>
      <c r="H494" s="104" t="s">
        <v>1138</v>
      </c>
      <c r="I494" s="104" t="s">
        <v>225</v>
      </c>
      <c r="J494" s="104" t="s">
        <v>105</v>
      </c>
      <c r="K494" s="104" t="s">
        <v>655</v>
      </c>
      <c r="L494" s="104" t="s">
        <v>656</v>
      </c>
      <c r="M494" s="104" t="s">
        <v>108</v>
      </c>
      <c r="N494" s="254"/>
      <c r="O494" s="103"/>
      <c r="P494" s="108">
        <v>0.86466666666666669</v>
      </c>
      <c r="Q494" s="108">
        <v>0.37666666666666659</v>
      </c>
      <c r="R494" s="108"/>
      <c r="S494" s="253">
        <f>(10^((1.463*LOG((P494*Q494*100))+0.633)))/1000</f>
        <v>0.7018350287737567</v>
      </c>
      <c r="T494" s="104" t="s">
        <v>657</v>
      </c>
      <c r="U494" s="108">
        <v>0.97660000000000002</v>
      </c>
      <c r="V494" s="107">
        <v>33.36</v>
      </c>
      <c r="W494" s="106" t="s">
        <v>404</v>
      </c>
    </row>
    <row r="495" spans="1:23" ht="21" customHeight="1">
      <c r="A495" s="104" t="s">
        <v>579</v>
      </c>
      <c r="B495" s="104" t="s">
        <v>580</v>
      </c>
      <c r="C495" s="454" t="s">
        <v>585</v>
      </c>
      <c r="D495" s="105" t="s">
        <v>151</v>
      </c>
      <c r="E495" s="104">
        <v>41229</v>
      </c>
      <c r="F495" s="104">
        <v>8244</v>
      </c>
      <c r="G495" s="106" t="s">
        <v>1357</v>
      </c>
      <c r="H495" s="104" t="s">
        <v>1138</v>
      </c>
      <c r="I495" s="104" t="s">
        <v>225</v>
      </c>
      <c r="J495" s="104" t="s">
        <v>105</v>
      </c>
      <c r="K495" s="104" t="s">
        <v>1371</v>
      </c>
      <c r="L495" s="104" t="s">
        <v>1372</v>
      </c>
      <c r="M495" s="104" t="s">
        <v>114</v>
      </c>
      <c r="N495" s="108">
        <v>1.1473333333333335</v>
      </c>
      <c r="O495" s="108"/>
      <c r="P495" s="108"/>
      <c r="Q495" s="108"/>
      <c r="R495" s="108"/>
      <c r="S495" s="253">
        <f>(10^(2.217*LOG(N495*10)+0.498))/1000</f>
        <v>0.70360978125993356</v>
      </c>
      <c r="T495" s="108" t="s">
        <v>1373</v>
      </c>
      <c r="U495" s="108">
        <v>0.98488578017961048</v>
      </c>
      <c r="V495" s="107">
        <v>16.747</v>
      </c>
      <c r="W495" s="106" t="s">
        <v>1347</v>
      </c>
    </row>
    <row r="496" spans="1:23" ht="21" customHeight="1">
      <c r="A496" s="104" t="s">
        <v>579</v>
      </c>
      <c r="B496" s="104" t="s">
        <v>580</v>
      </c>
      <c r="C496" s="454" t="s">
        <v>585</v>
      </c>
      <c r="D496" s="105" t="s">
        <v>151</v>
      </c>
      <c r="E496" s="104">
        <v>41229</v>
      </c>
      <c r="F496" s="104">
        <v>17111</v>
      </c>
      <c r="G496" s="106" t="s">
        <v>1357</v>
      </c>
      <c r="H496" s="104" t="s">
        <v>1138</v>
      </c>
      <c r="I496" s="104" t="s">
        <v>225</v>
      </c>
      <c r="J496" s="104" t="s">
        <v>105</v>
      </c>
      <c r="K496" s="104" t="s">
        <v>1363</v>
      </c>
      <c r="L496" s="104" t="s">
        <v>1364</v>
      </c>
      <c r="M496" s="104" t="s">
        <v>108</v>
      </c>
      <c r="N496" s="108">
        <v>0.42933333333333329</v>
      </c>
      <c r="O496" s="108"/>
      <c r="P496" s="108"/>
      <c r="Q496" s="108"/>
      <c r="R496" s="108"/>
      <c r="S496" s="253">
        <f>(10^(2.076*LOG(N496*10)+1.536))/1000</f>
        <v>0.70742696017591566</v>
      </c>
      <c r="T496" s="108" t="s">
        <v>1365</v>
      </c>
      <c r="U496" s="108">
        <v>0.89400000000000002</v>
      </c>
      <c r="V496" s="107">
        <v>14.871</v>
      </c>
      <c r="W496" s="106" t="s">
        <v>1347</v>
      </c>
    </row>
    <row r="497" spans="1:23" ht="21" customHeight="1">
      <c r="A497" s="104" t="s">
        <v>579</v>
      </c>
      <c r="B497" s="104" t="s">
        <v>580</v>
      </c>
      <c r="C497" s="454" t="s">
        <v>585</v>
      </c>
      <c r="D497" s="105" t="s">
        <v>151</v>
      </c>
      <c r="E497" s="104">
        <v>41229</v>
      </c>
      <c r="F497" s="104">
        <v>17204</v>
      </c>
      <c r="G497" s="106" t="s">
        <v>1357</v>
      </c>
      <c r="H497" s="104" t="s">
        <v>1138</v>
      </c>
      <c r="I497" s="104" t="s">
        <v>225</v>
      </c>
      <c r="J497" s="104" t="s">
        <v>105</v>
      </c>
      <c r="K497" s="104" t="s">
        <v>1363</v>
      </c>
      <c r="L497" s="104" t="s">
        <v>1364</v>
      </c>
      <c r="M497" s="104" t="s">
        <v>114</v>
      </c>
      <c r="N497" s="108">
        <v>0.4293333333333334</v>
      </c>
      <c r="O497" s="108"/>
      <c r="P497" s="108"/>
      <c r="Q497" s="108"/>
      <c r="R497" s="108"/>
      <c r="S497" s="253">
        <f>(10^(2.076*LOG(N497*10)+1.536))/1000</f>
        <v>0.70742696017591566</v>
      </c>
      <c r="T497" s="108" t="s">
        <v>1365</v>
      </c>
      <c r="U497" s="108">
        <v>0.89400000000000002</v>
      </c>
      <c r="V497" s="107">
        <v>14.871</v>
      </c>
      <c r="W497" s="106" t="s">
        <v>1347</v>
      </c>
    </row>
    <row r="498" spans="1:23" ht="21" customHeight="1">
      <c r="A498" s="104" t="s">
        <v>579</v>
      </c>
      <c r="B498" s="104" t="s">
        <v>580</v>
      </c>
      <c r="C498" s="454" t="s">
        <v>585</v>
      </c>
      <c r="D498" s="105" t="s">
        <v>151</v>
      </c>
      <c r="E498" s="104">
        <v>41229</v>
      </c>
      <c r="F498" s="104">
        <v>4753</v>
      </c>
      <c r="G498" s="106" t="s">
        <v>1357</v>
      </c>
      <c r="H498" s="104" t="s">
        <v>1138</v>
      </c>
      <c r="I498" s="104" t="s">
        <v>225</v>
      </c>
      <c r="J498" s="104" t="s">
        <v>105</v>
      </c>
      <c r="K498" s="104" t="s">
        <v>1363</v>
      </c>
      <c r="L498" s="104" t="s">
        <v>1364</v>
      </c>
      <c r="M498" s="104" t="s">
        <v>114</v>
      </c>
      <c r="N498" s="108">
        <v>0.43033333333333335</v>
      </c>
      <c r="O498" s="108"/>
      <c r="P498" s="108"/>
      <c r="Q498" s="108"/>
      <c r="R498" s="108"/>
      <c r="S498" s="253">
        <f>(10^(2.076*LOG(N498*10)+1.536))/1000</f>
        <v>0.71085194188029466</v>
      </c>
      <c r="T498" s="108" t="s">
        <v>1365</v>
      </c>
      <c r="U498" s="108">
        <v>0.89400000000000002</v>
      </c>
      <c r="V498" s="107">
        <v>14.871</v>
      </c>
      <c r="W498" s="106" t="s">
        <v>1347</v>
      </c>
    </row>
    <row r="499" spans="1:23" ht="21" customHeight="1">
      <c r="A499" s="104" t="s">
        <v>579</v>
      </c>
      <c r="B499" s="104" t="s">
        <v>580</v>
      </c>
      <c r="C499" s="454" t="s">
        <v>585</v>
      </c>
      <c r="D499" s="105" t="s">
        <v>151</v>
      </c>
      <c r="E499" s="104">
        <v>41229</v>
      </c>
      <c r="F499" s="104">
        <v>1160</v>
      </c>
      <c r="G499" s="106" t="s">
        <v>1357</v>
      </c>
      <c r="H499" s="104" t="s">
        <v>1138</v>
      </c>
      <c r="I499" s="104" t="s">
        <v>225</v>
      </c>
      <c r="J499" s="104" t="s">
        <v>105</v>
      </c>
      <c r="K499" s="104" t="s">
        <v>1363</v>
      </c>
      <c r="L499" s="104" t="s">
        <v>1364</v>
      </c>
      <c r="M499" s="104" t="s">
        <v>108</v>
      </c>
      <c r="N499" s="108">
        <v>0.43099999999999994</v>
      </c>
      <c r="O499" s="108"/>
      <c r="P499" s="108"/>
      <c r="Q499" s="108"/>
      <c r="R499" s="108"/>
      <c r="S499" s="253">
        <f>(10^(2.076*LOG(N499*10)+1.536))/1000</f>
        <v>0.71314002653400643</v>
      </c>
      <c r="T499" s="108" t="s">
        <v>1365</v>
      </c>
      <c r="U499" s="108">
        <v>0.89400000000000002</v>
      </c>
      <c r="V499" s="107">
        <v>14.871</v>
      </c>
      <c r="W499" s="106" t="s">
        <v>1347</v>
      </c>
    </row>
    <row r="500" spans="1:23" ht="21" customHeight="1">
      <c r="A500" s="104" t="s">
        <v>579</v>
      </c>
      <c r="B500" s="104" t="s">
        <v>580</v>
      </c>
      <c r="C500" s="454" t="s">
        <v>585</v>
      </c>
      <c r="D500" s="105" t="s">
        <v>151</v>
      </c>
      <c r="E500" s="104">
        <v>41229</v>
      </c>
      <c r="F500" s="104">
        <v>17431</v>
      </c>
      <c r="G500" s="106" t="s">
        <v>1357</v>
      </c>
      <c r="H500" s="104" t="s">
        <v>1138</v>
      </c>
      <c r="I500" s="104" t="s">
        <v>225</v>
      </c>
      <c r="J500" s="104" t="s">
        <v>105</v>
      </c>
      <c r="K500" s="104" t="s">
        <v>1363</v>
      </c>
      <c r="L500" s="104" t="s">
        <v>1364</v>
      </c>
      <c r="M500" s="104" t="s">
        <v>114</v>
      </c>
      <c r="N500" s="108">
        <v>0.43199999999999994</v>
      </c>
      <c r="O500" s="108"/>
      <c r="P500" s="108"/>
      <c r="Q500" s="108"/>
      <c r="R500" s="108"/>
      <c r="S500" s="253">
        <f>(10^(2.076*LOG(N500*10)+1.536))/1000</f>
        <v>0.71657929991168523</v>
      </c>
      <c r="T500" s="108" t="s">
        <v>1365</v>
      </c>
      <c r="U500" s="108">
        <v>0.89400000000000002</v>
      </c>
      <c r="V500" s="107">
        <v>14.871</v>
      </c>
      <c r="W500" s="106" t="s">
        <v>1347</v>
      </c>
    </row>
    <row r="501" spans="1:23" ht="21" customHeight="1">
      <c r="A501" s="104" t="s">
        <v>579</v>
      </c>
      <c r="B501" s="104" t="s">
        <v>580</v>
      </c>
      <c r="C501" s="454" t="s">
        <v>585</v>
      </c>
      <c r="D501" s="105" t="s">
        <v>151</v>
      </c>
      <c r="E501" s="104">
        <v>41229</v>
      </c>
      <c r="F501" s="104">
        <v>5923</v>
      </c>
      <c r="G501" s="106" t="s">
        <v>1357</v>
      </c>
      <c r="H501" s="104" t="s">
        <v>1138</v>
      </c>
      <c r="I501" s="104" t="s">
        <v>225</v>
      </c>
      <c r="J501" s="104" t="s">
        <v>105</v>
      </c>
      <c r="K501" s="104" t="s">
        <v>670</v>
      </c>
      <c r="L501" s="104" t="s">
        <v>671</v>
      </c>
      <c r="M501" s="104" t="s">
        <v>114</v>
      </c>
      <c r="N501" s="108"/>
      <c r="O501" s="108"/>
      <c r="P501" s="108">
        <v>1.579333333333333</v>
      </c>
      <c r="Q501" s="108">
        <v>0.7513333333333333</v>
      </c>
      <c r="R501" s="108"/>
      <c r="S501" s="463">
        <f>EXP(2.969*LN(P501*10)-1.611)/1000</f>
        <v>0.72213817953281534</v>
      </c>
      <c r="T501" s="104" t="s">
        <v>1358</v>
      </c>
      <c r="U501" s="108">
        <v>0.94099999999999995</v>
      </c>
      <c r="V501" s="107">
        <v>44.075000000000003</v>
      </c>
      <c r="W501" s="106" t="s">
        <v>397</v>
      </c>
    </row>
    <row r="502" spans="1:23" ht="21" customHeight="1">
      <c r="A502" s="104" t="s">
        <v>579</v>
      </c>
      <c r="B502" s="104" t="s">
        <v>580</v>
      </c>
      <c r="C502" s="454" t="s">
        <v>585</v>
      </c>
      <c r="D502" s="105" t="s">
        <v>151</v>
      </c>
      <c r="E502" s="104">
        <v>41229</v>
      </c>
      <c r="F502" s="104">
        <v>17238</v>
      </c>
      <c r="G502" s="106" t="s">
        <v>1357</v>
      </c>
      <c r="H502" s="104" t="s">
        <v>1138</v>
      </c>
      <c r="I502" s="104" t="s">
        <v>225</v>
      </c>
      <c r="J502" s="104" t="s">
        <v>105</v>
      </c>
      <c r="K502" s="104" t="s">
        <v>1363</v>
      </c>
      <c r="L502" s="104" t="s">
        <v>1364</v>
      </c>
      <c r="M502" s="104" t="s">
        <v>108</v>
      </c>
      <c r="N502" s="108">
        <v>0.43366666666666659</v>
      </c>
      <c r="O502" s="108"/>
      <c r="P502" s="108"/>
      <c r="Q502" s="108"/>
      <c r="R502" s="108"/>
      <c r="S502" s="253">
        <f>(10^(2.076*LOG(N502*10)+1.536))/1000</f>
        <v>0.72233048299449865</v>
      </c>
      <c r="T502" s="108" t="s">
        <v>1365</v>
      </c>
      <c r="U502" s="108">
        <v>0.89400000000000002</v>
      </c>
      <c r="V502" s="107">
        <v>14.871</v>
      </c>
      <c r="W502" s="106" t="s">
        <v>1347</v>
      </c>
    </row>
    <row r="503" spans="1:23" ht="21" customHeight="1">
      <c r="A503" s="104" t="s">
        <v>579</v>
      </c>
      <c r="B503" s="104" t="s">
        <v>580</v>
      </c>
      <c r="C503" s="454" t="s">
        <v>585</v>
      </c>
      <c r="D503" s="105" t="s">
        <v>151</v>
      </c>
      <c r="E503" s="104">
        <v>41229</v>
      </c>
      <c r="F503" s="104">
        <v>2899</v>
      </c>
      <c r="G503" s="106" t="s">
        <v>1357</v>
      </c>
      <c r="H503" s="104" t="s">
        <v>1138</v>
      </c>
      <c r="I503" s="104" t="s">
        <v>104</v>
      </c>
      <c r="J503" s="104" t="s">
        <v>105</v>
      </c>
      <c r="K503" s="104" t="s">
        <v>670</v>
      </c>
      <c r="L503" s="104" t="s">
        <v>671</v>
      </c>
      <c r="M503" s="104" t="s">
        <v>108</v>
      </c>
      <c r="N503" s="108"/>
      <c r="O503" s="108"/>
      <c r="P503" s="108">
        <v>1.5813333333333333</v>
      </c>
      <c r="Q503" s="108">
        <v>0.70966666666666667</v>
      </c>
      <c r="R503" s="108"/>
      <c r="S503" s="463">
        <f>EXP(2.969*LN(P503*10)-1.611)/1000</f>
        <v>0.72485667134751386</v>
      </c>
      <c r="T503" s="104" t="s">
        <v>1358</v>
      </c>
      <c r="U503" s="108">
        <v>0.94099999999999995</v>
      </c>
      <c r="V503" s="107">
        <v>44.075000000000003</v>
      </c>
      <c r="W503" s="106" t="s">
        <v>397</v>
      </c>
    </row>
    <row r="504" spans="1:23" ht="21" customHeight="1">
      <c r="A504" s="104" t="s">
        <v>579</v>
      </c>
      <c r="B504" s="104" t="s">
        <v>580</v>
      </c>
      <c r="C504" s="454" t="s">
        <v>585</v>
      </c>
      <c r="D504" s="105" t="s">
        <v>151</v>
      </c>
      <c r="E504" s="104">
        <v>41229</v>
      </c>
      <c r="F504" s="104">
        <v>17198</v>
      </c>
      <c r="G504" s="106" t="s">
        <v>1357</v>
      </c>
      <c r="H504" s="104" t="s">
        <v>1138</v>
      </c>
      <c r="I504" s="104" t="s">
        <v>225</v>
      </c>
      <c r="J504" s="104" t="s">
        <v>105</v>
      </c>
      <c r="K504" s="104" t="s">
        <v>670</v>
      </c>
      <c r="L504" s="104" t="s">
        <v>671</v>
      </c>
      <c r="M504" s="104" t="s">
        <v>108</v>
      </c>
      <c r="N504" s="108"/>
      <c r="O504" s="108"/>
      <c r="P504" s="108">
        <v>1.5833333333333335</v>
      </c>
      <c r="Q504" s="108">
        <v>0.68133333333333335</v>
      </c>
      <c r="R504" s="108"/>
      <c r="S504" s="463">
        <f>EXP(2.969*LN(P504*10)-1.611)/1000</f>
        <v>0.72758194146855026</v>
      </c>
      <c r="T504" s="104" t="s">
        <v>672</v>
      </c>
      <c r="U504" s="108">
        <v>0.94099999999999995</v>
      </c>
      <c r="V504" s="107">
        <v>44.075000000000003</v>
      </c>
      <c r="W504" s="106" t="s">
        <v>397</v>
      </c>
    </row>
    <row r="505" spans="1:23" ht="21" customHeight="1">
      <c r="A505" s="104" t="s">
        <v>579</v>
      </c>
      <c r="B505" s="104" t="s">
        <v>580</v>
      </c>
      <c r="C505" s="454" t="s">
        <v>585</v>
      </c>
      <c r="D505" s="105" t="s">
        <v>151</v>
      </c>
      <c r="E505" s="104">
        <v>41229</v>
      </c>
      <c r="F505" s="104">
        <v>17555</v>
      </c>
      <c r="G505" s="106" t="s">
        <v>1357</v>
      </c>
      <c r="H505" s="104" t="s">
        <v>1138</v>
      </c>
      <c r="I505" s="104" t="s">
        <v>104</v>
      </c>
      <c r="J505" s="104" t="s">
        <v>105</v>
      </c>
      <c r="K505" s="104" t="s">
        <v>1363</v>
      </c>
      <c r="L505" s="104" t="s">
        <v>1364</v>
      </c>
      <c r="M505" s="104" t="s">
        <v>108</v>
      </c>
      <c r="N505" s="108">
        <v>0.43566666666666665</v>
      </c>
      <c r="O505" s="108"/>
      <c r="P505" s="108"/>
      <c r="Q505" s="108"/>
      <c r="R505" s="108"/>
      <c r="S505" s="253">
        <f>(10^(2.076*LOG(N505*10)+1.536))/1000</f>
        <v>0.72926336157846894</v>
      </c>
      <c r="T505" s="108" t="s">
        <v>1365</v>
      </c>
      <c r="U505" s="108">
        <v>0.89400000000000002</v>
      </c>
      <c r="V505" s="107">
        <v>14.871</v>
      </c>
      <c r="W505" s="106" t="s">
        <v>1347</v>
      </c>
    </row>
    <row r="506" spans="1:23" s="333" customFormat="1" ht="21" customHeight="1">
      <c r="A506" s="104" t="s">
        <v>579</v>
      </c>
      <c r="B506" s="104" t="s">
        <v>580</v>
      </c>
      <c r="C506" s="454" t="s">
        <v>585</v>
      </c>
      <c r="D506" s="105" t="s">
        <v>151</v>
      </c>
      <c r="E506" s="104">
        <v>41229</v>
      </c>
      <c r="F506" s="104">
        <v>17175</v>
      </c>
      <c r="G506" s="106" t="s">
        <v>1357</v>
      </c>
      <c r="H506" s="104" t="s">
        <v>1138</v>
      </c>
      <c r="I506" s="104" t="s">
        <v>225</v>
      </c>
      <c r="J506" s="104" t="s">
        <v>105</v>
      </c>
      <c r="K506" s="104" t="s">
        <v>1363</v>
      </c>
      <c r="L506" s="104" t="s">
        <v>1364</v>
      </c>
      <c r="M506" s="104" t="s">
        <v>108</v>
      </c>
      <c r="N506" s="108">
        <v>0.43600000000000005</v>
      </c>
      <c r="O506" s="108"/>
      <c r="P506" s="108"/>
      <c r="Q506" s="108"/>
      <c r="R506" s="108"/>
      <c r="S506" s="253">
        <f>(10^(2.076*LOG(N506*10)+1.536))/1000</f>
        <v>0.73042217866934989</v>
      </c>
      <c r="T506" s="108" t="s">
        <v>1365</v>
      </c>
      <c r="U506" s="108">
        <v>0.89400000000000002</v>
      </c>
      <c r="V506" s="107">
        <v>14.871</v>
      </c>
      <c r="W506" s="106" t="s">
        <v>1347</v>
      </c>
    </row>
    <row r="507" spans="1:23" ht="21" customHeight="1">
      <c r="A507" s="104" t="s">
        <v>579</v>
      </c>
      <c r="B507" s="104" t="s">
        <v>580</v>
      </c>
      <c r="C507" s="454" t="s">
        <v>585</v>
      </c>
      <c r="D507" s="105" t="s">
        <v>151</v>
      </c>
      <c r="E507" s="104">
        <v>41229</v>
      </c>
      <c r="F507" s="104">
        <v>17115</v>
      </c>
      <c r="G507" s="106" t="s">
        <v>1357</v>
      </c>
      <c r="H507" s="104" t="s">
        <v>1138</v>
      </c>
      <c r="I507" s="104" t="s">
        <v>225</v>
      </c>
      <c r="J507" s="104" t="s">
        <v>105</v>
      </c>
      <c r="K507" s="104" t="s">
        <v>1360</v>
      </c>
      <c r="L507" s="104" t="s">
        <v>1361</v>
      </c>
      <c r="M507" s="104" t="s">
        <v>114</v>
      </c>
      <c r="N507" s="108"/>
      <c r="O507" s="108"/>
      <c r="P507" s="108"/>
      <c r="Q507" s="108">
        <v>0.68066666666666653</v>
      </c>
      <c r="R507" s="108"/>
      <c r="S507" s="463">
        <f>EXP(2.928*LN(Q507*10)+0.981)/1000</f>
        <v>0.73261372914611389</v>
      </c>
      <c r="T507" s="108" t="s">
        <v>1362</v>
      </c>
      <c r="U507" s="108">
        <v>0.97899999999999998</v>
      </c>
      <c r="V507" s="107">
        <v>32.36</v>
      </c>
      <c r="W507" s="106" t="s">
        <v>397</v>
      </c>
    </row>
    <row r="508" spans="1:23" ht="21" customHeight="1">
      <c r="A508" s="104" t="s">
        <v>579</v>
      </c>
      <c r="B508" s="104" t="s">
        <v>580</v>
      </c>
      <c r="C508" s="454" t="s">
        <v>585</v>
      </c>
      <c r="D508" s="105" t="s">
        <v>151</v>
      </c>
      <c r="E508" s="104">
        <v>41229</v>
      </c>
      <c r="F508" s="104">
        <v>17250</v>
      </c>
      <c r="G508" s="106" t="s">
        <v>1357</v>
      </c>
      <c r="H508" s="104" t="s">
        <v>1138</v>
      </c>
      <c r="I508" s="104" t="s">
        <v>225</v>
      </c>
      <c r="J508" s="104" t="s">
        <v>105</v>
      </c>
      <c r="K508" s="104" t="s">
        <v>1363</v>
      </c>
      <c r="L508" s="104" t="s">
        <v>1364</v>
      </c>
      <c r="M508" s="104" t="s">
        <v>114</v>
      </c>
      <c r="N508" s="108">
        <v>0.43666666666666665</v>
      </c>
      <c r="O508" s="108"/>
      <c r="P508" s="108"/>
      <c r="Q508" s="108"/>
      <c r="R508" s="108"/>
      <c r="S508" s="253">
        <f>(10^(2.076*LOG(N508*10)+1.536))/1000</f>
        <v>0.7327426739162517</v>
      </c>
      <c r="T508" s="108" t="s">
        <v>1365</v>
      </c>
      <c r="U508" s="108">
        <v>0.89400000000000002</v>
      </c>
      <c r="V508" s="107">
        <v>14.871</v>
      </c>
      <c r="W508" s="106" t="s">
        <v>1347</v>
      </c>
    </row>
    <row r="509" spans="1:23" ht="21" customHeight="1">
      <c r="A509" s="104" t="s">
        <v>579</v>
      </c>
      <c r="B509" s="104" t="s">
        <v>580</v>
      </c>
      <c r="C509" s="454" t="s">
        <v>585</v>
      </c>
      <c r="D509" s="105" t="s">
        <v>151</v>
      </c>
      <c r="E509" s="104">
        <v>41229</v>
      </c>
      <c r="F509" s="104">
        <v>17072</v>
      </c>
      <c r="G509" s="106" t="s">
        <v>1357</v>
      </c>
      <c r="H509" s="104" t="s">
        <v>1138</v>
      </c>
      <c r="I509" s="104" t="s">
        <v>225</v>
      </c>
      <c r="J509" s="104" t="s">
        <v>105</v>
      </c>
      <c r="K509" s="104" t="s">
        <v>655</v>
      </c>
      <c r="L509" s="104" t="s">
        <v>656</v>
      </c>
      <c r="M509" s="104" t="s">
        <v>114</v>
      </c>
      <c r="N509" s="254"/>
      <c r="O509" s="103"/>
      <c r="P509" s="108">
        <v>0.95433333333333326</v>
      </c>
      <c r="Q509" s="108">
        <v>0.35166666666666668</v>
      </c>
      <c r="R509" s="108"/>
      <c r="S509" s="253">
        <f>(10^((1.463*LOG((P509*Q509*100))+0.633)))/1000</f>
        <v>0.73331604804025585</v>
      </c>
      <c r="T509" s="104" t="s">
        <v>657</v>
      </c>
      <c r="U509" s="108">
        <v>0.97660000000000002</v>
      </c>
      <c r="V509" s="107">
        <v>33.36</v>
      </c>
      <c r="W509" s="106" t="s">
        <v>404</v>
      </c>
    </row>
    <row r="510" spans="1:23" ht="21" customHeight="1">
      <c r="A510" s="104" t="s">
        <v>579</v>
      </c>
      <c r="B510" s="104" t="s">
        <v>580</v>
      </c>
      <c r="C510" s="454" t="s">
        <v>585</v>
      </c>
      <c r="D510" s="105" t="s">
        <v>151</v>
      </c>
      <c r="E510" s="104">
        <v>41229</v>
      </c>
      <c r="F510" s="104">
        <v>9813</v>
      </c>
      <c r="G510" s="106" t="s">
        <v>1357</v>
      </c>
      <c r="H510" s="104" t="s">
        <v>1138</v>
      </c>
      <c r="I510" s="104" t="s">
        <v>225</v>
      </c>
      <c r="J510" s="104" t="s">
        <v>105</v>
      </c>
      <c r="K510" s="104" t="s">
        <v>1363</v>
      </c>
      <c r="L510" s="104" t="s">
        <v>1364</v>
      </c>
      <c r="M510" s="104" t="s">
        <v>114</v>
      </c>
      <c r="N510" s="108">
        <v>0.43733333333333341</v>
      </c>
      <c r="O510" s="108"/>
      <c r="P510" s="108"/>
      <c r="Q510" s="108"/>
      <c r="R510" s="108"/>
      <c r="S510" s="253">
        <f>(10^(2.076*LOG(N510*10)+1.536))/1000</f>
        <v>0.73506698428576278</v>
      </c>
      <c r="T510" s="108" t="s">
        <v>1365</v>
      </c>
      <c r="U510" s="108">
        <v>0.89400000000000002</v>
      </c>
      <c r="V510" s="107">
        <v>14.871</v>
      </c>
      <c r="W510" s="106" t="s">
        <v>1347</v>
      </c>
    </row>
    <row r="511" spans="1:23" ht="21" customHeight="1">
      <c r="A511" s="104" t="s">
        <v>579</v>
      </c>
      <c r="B511" s="104" t="s">
        <v>580</v>
      </c>
      <c r="C511" s="454" t="s">
        <v>585</v>
      </c>
      <c r="D511" s="105" t="s">
        <v>151</v>
      </c>
      <c r="E511" s="104">
        <v>41229</v>
      </c>
      <c r="F511" s="104">
        <v>9815</v>
      </c>
      <c r="G511" s="106" t="s">
        <v>1357</v>
      </c>
      <c r="H511" s="104" t="s">
        <v>1138</v>
      </c>
      <c r="I511" s="104" t="s">
        <v>225</v>
      </c>
      <c r="J511" s="104" t="s">
        <v>105</v>
      </c>
      <c r="K511" s="104" t="s">
        <v>655</v>
      </c>
      <c r="L511" s="104" t="s">
        <v>656</v>
      </c>
      <c r="M511" s="104" t="s">
        <v>114</v>
      </c>
      <c r="N511" s="254"/>
      <c r="O511" s="103"/>
      <c r="P511" s="108">
        <v>0.93966666666666665</v>
      </c>
      <c r="Q511" s="108">
        <v>0.35866666666666663</v>
      </c>
      <c r="R511" s="108"/>
      <c r="S511" s="253">
        <f>(10^((1.463*LOG((P511*Q511*100))+0.633)))/1000</f>
        <v>0.7378594735291476</v>
      </c>
      <c r="T511" s="104" t="s">
        <v>657</v>
      </c>
      <c r="U511" s="108">
        <v>0.97660000000000002</v>
      </c>
      <c r="V511" s="107">
        <v>33.36</v>
      </c>
      <c r="W511" s="106" t="s">
        <v>404</v>
      </c>
    </row>
    <row r="512" spans="1:23" ht="21" customHeight="1">
      <c r="A512" s="104" t="s">
        <v>579</v>
      </c>
      <c r="B512" s="104" t="s">
        <v>580</v>
      </c>
      <c r="C512" s="454" t="s">
        <v>585</v>
      </c>
      <c r="D512" s="105" t="s">
        <v>151</v>
      </c>
      <c r="E512" s="104">
        <v>41229</v>
      </c>
      <c r="F512" s="104">
        <v>17043</v>
      </c>
      <c r="G512" s="106" t="s">
        <v>1357</v>
      </c>
      <c r="H512" s="104" t="s">
        <v>1138</v>
      </c>
      <c r="I512" s="104" t="s">
        <v>225</v>
      </c>
      <c r="J512" s="104" t="s">
        <v>105</v>
      </c>
      <c r="K512" s="104" t="s">
        <v>1363</v>
      </c>
      <c r="L512" s="104" t="s">
        <v>1364</v>
      </c>
      <c r="M512" s="104" t="s">
        <v>108</v>
      </c>
      <c r="N512" s="108">
        <v>0.4383333333333333</v>
      </c>
      <c r="O512" s="108"/>
      <c r="P512" s="108"/>
      <c r="Q512" s="108"/>
      <c r="R512" s="108"/>
      <c r="S512" s="253">
        <f>(10^(2.076*LOG(N512*10)+1.536))/1000</f>
        <v>0.73856060416240621</v>
      </c>
      <c r="T512" s="108" t="s">
        <v>1365</v>
      </c>
      <c r="U512" s="108">
        <v>0.89400000000000002</v>
      </c>
      <c r="V512" s="107">
        <v>14.871</v>
      </c>
      <c r="W512" s="106" t="s">
        <v>1347</v>
      </c>
    </row>
    <row r="513" spans="1:23" ht="21" customHeight="1">
      <c r="A513" s="104" t="s">
        <v>579</v>
      </c>
      <c r="B513" s="104" t="s">
        <v>580</v>
      </c>
      <c r="C513" s="454" t="s">
        <v>585</v>
      </c>
      <c r="D513" s="105" t="s">
        <v>151</v>
      </c>
      <c r="E513" s="104">
        <v>41229</v>
      </c>
      <c r="F513" s="104">
        <v>17427</v>
      </c>
      <c r="G513" s="106" t="s">
        <v>1357</v>
      </c>
      <c r="H513" s="104" t="s">
        <v>1138</v>
      </c>
      <c r="I513" s="104" t="s">
        <v>225</v>
      </c>
      <c r="J513" s="104" t="s">
        <v>105</v>
      </c>
      <c r="K513" s="104" t="s">
        <v>655</v>
      </c>
      <c r="L513" s="104" t="s">
        <v>656</v>
      </c>
      <c r="M513" s="104" t="s">
        <v>114</v>
      </c>
      <c r="N513" s="254"/>
      <c r="O513" s="103"/>
      <c r="P513" s="108">
        <v>0.83366666666666656</v>
      </c>
      <c r="Q513" s="108">
        <v>0.40533333333333338</v>
      </c>
      <c r="R513" s="108"/>
      <c r="S513" s="253">
        <f>(10^((1.463*LOG((P513*Q513*100))+0.633)))/1000</f>
        <v>0.74069832035473637</v>
      </c>
      <c r="T513" s="104" t="s">
        <v>657</v>
      </c>
      <c r="U513" s="108">
        <v>0.97660000000000002</v>
      </c>
      <c r="V513" s="107">
        <v>33.36</v>
      </c>
      <c r="W513" s="106" t="s">
        <v>404</v>
      </c>
    </row>
    <row r="514" spans="1:23" ht="21" customHeight="1">
      <c r="A514" s="104" t="s">
        <v>579</v>
      </c>
      <c r="B514" s="104" t="s">
        <v>580</v>
      </c>
      <c r="C514" s="454" t="s">
        <v>585</v>
      </c>
      <c r="D514" s="105" t="s">
        <v>151</v>
      </c>
      <c r="E514" s="104">
        <v>41229</v>
      </c>
      <c r="F514" s="104">
        <v>17071</v>
      </c>
      <c r="G514" s="106" t="s">
        <v>1357</v>
      </c>
      <c r="H514" s="104" t="s">
        <v>1138</v>
      </c>
      <c r="I514" s="104" t="s">
        <v>225</v>
      </c>
      <c r="J514" s="104" t="s">
        <v>105</v>
      </c>
      <c r="K514" s="104" t="s">
        <v>1363</v>
      </c>
      <c r="L514" s="104" t="s">
        <v>1364</v>
      </c>
      <c r="M514" s="104" t="s">
        <v>108</v>
      </c>
      <c r="N514" s="108">
        <v>0.43899999999999995</v>
      </c>
      <c r="O514" s="108"/>
      <c r="P514" s="108"/>
      <c r="Q514" s="108"/>
      <c r="R514" s="108"/>
      <c r="S514" s="253">
        <f t="shared" ref="S514:S524" si="7">(10^(2.076*LOG(N514*10)+1.536))/1000</f>
        <v>0.74089445427239509</v>
      </c>
      <c r="T514" s="108" t="s">
        <v>1365</v>
      </c>
      <c r="U514" s="108">
        <v>0.89400000000000002</v>
      </c>
      <c r="V514" s="107">
        <v>14.871</v>
      </c>
      <c r="W514" s="106" t="s">
        <v>1347</v>
      </c>
    </row>
    <row r="515" spans="1:23" ht="21" customHeight="1">
      <c r="A515" s="104" t="s">
        <v>579</v>
      </c>
      <c r="B515" s="104" t="s">
        <v>580</v>
      </c>
      <c r="C515" s="454" t="s">
        <v>585</v>
      </c>
      <c r="D515" s="105" t="s">
        <v>151</v>
      </c>
      <c r="E515" s="104">
        <v>41229</v>
      </c>
      <c r="F515" s="104">
        <v>17124</v>
      </c>
      <c r="G515" s="106" t="s">
        <v>1357</v>
      </c>
      <c r="H515" s="104" t="s">
        <v>1138</v>
      </c>
      <c r="I515" s="104" t="s">
        <v>225</v>
      </c>
      <c r="J515" s="104" t="s">
        <v>105</v>
      </c>
      <c r="K515" s="104" t="s">
        <v>1363</v>
      </c>
      <c r="L515" s="104" t="s">
        <v>1364</v>
      </c>
      <c r="M515" s="104" t="s">
        <v>114</v>
      </c>
      <c r="N515" s="108">
        <v>0.44066666666666671</v>
      </c>
      <c r="O515" s="108"/>
      <c r="P515" s="108"/>
      <c r="Q515" s="108"/>
      <c r="R515" s="108"/>
      <c r="S515" s="253">
        <f t="shared" si="7"/>
        <v>0.74674577843323953</v>
      </c>
      <c r="T515" s="108" t="s">
        <v>1365</v>
      </c>
      <c r="U515" s="108">
        <v>0.89400000000000002</v>
      </c>
      <c r="V515" s="107">
        <v>14.871</v>
      </c>
      <c r="W515" s="106" t="s">
        <v>1347</v>
      </c>
    </row>
    <row r="516" spans="1:23" ht="21" customHeight="1">
      <c r="A516" s="104" t="s">
        <v>579</v>
      </c>
      <c r="B516" s="104" t="s">
        <v>580</v>
      </c>
      <c r="C516" s="454" t="s">
        <v>585</v>
      </c>
      <c r="D516" s="105" t="s">
        <v>151</v>
      </c>
      <c r="E516" s="104">
        <v>41229</v>
      </c>
      <c r="F516" s="104">
        <v>9814</v>
      </c>
      <c r="G516" s="106" t="s">
        <v>1357</v>
      </c>
      <c r="H516" s="104" t="s">
        <v>1138</v>
      </c>
      <c r="I516" s="104" t="s">
        <v>225</v>
      </c>
      <c r="J516" s="104" t="s">
        <v>105</v>
      </c>
      <c r="K516" s="104" t="s">
        <v>1363</v>
      </c>
      <c r="L516" s="104" t="s">
        <v>1364</v>
      </c>
      <c r="M516" s="104" t="s">
        <v>1374</v>
      </c>
      <c r="N516" s="108">
        <v>0.441</v>
      </c>
      <c r="O516" s="108"/>
      <c r="P516" s="108"/>
      <c r="Q516" s="108"/>
      <c r="R516" s="108"/>
      <c r="S516" s="253">
        <f t="shared" si="7"/>
        <v>0.74791890637135994</v>
      </c>
      <c r="T516" s="108" t="s">
        <v>1365</v>
      </c>
      <c r="U516" s="108">
        <v>0.89400000000000002</v>
      </c>
      <c r="V516" s="107">
        <v>14.871</v>
      </c>
      <c r="W516" s="106" t="s">
        <v>1347</v>
      </c>
    </row>
    <row r="517" spans="1:23" ht="21" customHeight="1">
      <c r="A517" s="104" t="s">
        <v>579</v>
      </c>
      <c r="B517" s="104" t="s">
        <v>580</v>
      </c>
      <c r="C517" s="454" t="s">
        <v>585</v>
      </c>
      <c r="D517" s="105" t="s">
        <v>151</v>
      </c>
      <c r="E517" s="104">
        <v>41229</v>
      </c>
      <c r="F517" s="104">
        <v>17223</v>
      </c>
      <c r="G517" s="106" t="s">
        <v>1357</v>
      </c>
      <c r="H517" s="104" t="s">
        <v>1138</v>
      </c>
      <c r="I517" s="104" t="s">
        <v>225</v>
      </c>
      <c r="J517" s="104" t="s">
        <v>105</v>
      </c>
      <c r="K517" s="104" t="s">
        <v>1363</v>
      </c>
      <c r="L517" s="104" t="s">
        <v>1364</v>
      </c>
      <c r="M517" s="104" t="s">
        <v>114</v>
      </c>
      <c r="N517" s="108">
        <v>0.442</v>
      </c>
      <c r="O517" s="108"/>
      <c r="P517" s="108"/>
      <c r="Q517" s="108"/>
      <c r="R517" s="108"/>
      <c r="S517" s="253">
        <f t="shared" si="7"/>
        <v>0.75144401738528033</v>
      </c>
      <c r="T517" s="108" t="s">
        <v>1365</v>
      </c>
      <c r="U517" s="108">
        <v>0.89400000000000002</v>
      </c>
      <c r="V517" s="107">
        <v>14.871</v>
      </c>
      <c r="W517" s="106" t="s">
        <v>1347</v>
      </c>
    </row>
    <row r="518" spans="1:23" ht="21" customHeight="1">
      <c r="A518" s="104" t="s">
        <v>579</v>
      </c>
      <c r="B518" s="104" t="s">
        <v>580</v>
      </c>
      <c r="C518" s="454" t="s">
        <v>585</v>
      </c>
      <c r="D518" s="105" t="s">
        <v>151</v>
      </c>
      <c r="E518" s="104">
        <v>41229</v>
      </c>
      <c r="F518" s="104">
        <v>17070</v>
      </c>
      <c r="G518" s="106" t="s">
        <v>1357</v>
      </c>
      <c r="H518" s="104" t="s">
        <v>1138</v>
      </c>
      <c r="I518" s="104" t="s">
        <v>225</v>
      </c>
      <c r="J518" s="104" t="s">
        <v>105</v>
      </c>
      <c r="K518" s="104" t="s">
        <v>1363</v>
      </c>
      <c r="L518" s="104" t="s">
        <v>1364</v>
      </c>
      <c r="M518" s="104" t="s">
        <v>108</v>
      </c>
      <c r="N518" s="108">
        <v>0.44266666666666665</v>
      </c>
      <c r="O518" s="108"/>
      <c r="P518" s="108"/>
      <c r="Q518" s="108"/>
      <c r="R518" s="108"/>
      <c r="S518" s="253">
        <f t="shared" si="7"/>
        <v>0.75379886460850265</v>
      </c>
      <c r="T518" s="108" t="s">
        <v>1365</v>
      </c>
      <c r="U518" s="108">
        <v>0.89400000000000002</v>
      </c>
      <c r="V518" s="107">
        <v>14.871</v>
      </c>
      <c r="W518" s="106" t="s">
        <v>1347</v>
      </c>
    </row>
    <row r="519" spans="1:23" ht="21" customHeight="1">
      <c r="A519" s="104" t="s">
        <v>579</v>
      </c>
      <c r="B519" s="104" t="s">
        <v>580</v>
      </c>
      <c r="C519" s="454" t="s">
        <v>585</v>
      </c>
      <c r="D519" s="105" t="s">
        <v>151</v>
      </c>
      <c r="E519" s="104">
        <v>41229</v>
      </c>
      <c r="F519" s="104">
        <v>836</v>
      </c>
      <c r="G519" s="106" t="s">
        <v>1357</v>
      </c>
      <c r="H519" s="104" t="s">
        <v>1138</v>
      </c>
      <c r="I519" s="104" t="s">
        <v>104</v>
      </c>
      <c r="J519" s="104" t="s">
        <v>105</v>
      </c>
      <c r="K519" s="104" t="s">
        <v>1363</v>
      </c>
      <c r="L519" s="104" t="s">
        <v>1364</v>
      </c>
      <c r="M519" s="104" t="s">
        <v>114</v>
      </c>
      <c r="N519" s="108">
        <v>0.44300000000000006</v>
      </c>
      <c r="O519" s="108"/>
      <c r="P519" s="108"/>
      <c r="Q519" s="108"/>
      <c r="R519" s="108"/>
      <c r="S519" s="253">
        <f t="shared" si="7"/>
        <v>0.75497772034838873</v>
      </c>
      <c r="T519" s="108" t="s">
        <v>1365</v>
      </c>
      <c r="U519" s="108">
        <v>0.89400000000000002</v>
      </c>
      <c r="V519" s="107">
        <v>14.871</v>
      </c>
      <c r="W519" s="106" t="s">
        <v>1347</v>
      </c>
    </row>
    <row r="520" spans="1:23" ht="21" customHeight="1">
      <c r="A520" s="104" t="s">
        <v>579</v>
      </c>
      <c r="B520" s="104" t="s">
        <v>580</v>
      </c>
      <c r="C520" s="454" t="s">
        <v>585</v>
      </c>
      <c r="D520" s="105" t="s">
        <v>151</v>
      </c>
      <c r="E520" s="104">
        <v>41229</v>
      </c>
      <c r="F520" s="104">
        <v>4756</v>
      </c>
      <c r="G520" s="106" t="s">
        <v>1357</v>
      </c>
      <c r="H520" s="104" t="s">
        <v>1138</v>
      </c>
      <c r="I520" s="104" t="s">
        <v>225</v>
      </c>
      <c r="J520" s="104" t="s">
        <v>105</v>
      </c>
      <c r="K520" s="104" t="s">
        <v>1363</v>
      </c>
      <c r="L520" s="104" t="s">
        <v>1364</v>
      </c>
      <c r="M520" s="104" t="s">
        <v>114</v>
      </c>
      <c r="N520" s="108">
        <v>0.44466666666666665</v>
      </c>
      <c r="O520" s="108"/>
      <c r="P520" s="108"/>
      <c r="Q520" s="108"/>
      <c r="R520" s="108"/>
      <c r="S520" s="253">
        <f t="shared" si="7"/>
        <v>0.76088632251429433</v>
      </c>
      <c r="T520" s="108" t="s">
        <v>1365</v>
      </c>
      <c r="U520" s="108">
        <v>0.89400000000000002</v>
      </c>
      <c r="V520" s="107">
        <v>14.871</v>
      </c>
      <c r="W520" s="106" t="s">
        <v>1347</v>
      </c>
    </row>
    <row r="521" spans="1:23" ht="21" customHeight="1">
      <c r="A521" s="104" t="s">
        <v>579</v>
      </c>
      <c r="B521" s="104" t="s">
        <v>580</v>
      </c>
      <c r="C521" s="454" t="s">
        <v>585</v>
      </c>
      <c r="D521" s="105" t="s">
        <v>151</v>
      </c>
      <c r="E521" s="104">
        <v>41229</v>
      </c>
      <c r="F521" s="104">
        <v>17686</v>
      </c>
      <c r="G521" s="106" t="s">
        <v>1357</v>
      </c>
      <c r="H521" s="104" t="s">
        <v>1138</v>
      </c>
      <c r="I521" s="104" t="s">
        <v>104</v>
      </c>
      <c r="J521" s="104" t="s">
        <v>105</v>
      </c>
      <c r="K521" s="104" t="s">
        <v>1363</v>
      </c>
      <c r="L521" s="104" t="s">
        <v>1364</v>
      </c>
      <c r="M521" s="104" t="s">
        <v>108</v>
      </c>
      <c r="N521" s="108">
        <v>0.44566666666666671</v>
      </c>
      <c r="O521" s="108"/>
      <c r="P521" s="108"/>
      <c r="Q521" s="108"/>
      <c r="R521" s="108"/>
      <c r="S521" s="253">
        <f t="shared" si="7"/>
        <v>0.76444294454861794</v>
      </c>
      <c r="T521" s="108" t="s">
        <v>1365</v>
      </c>
      <c r="U521" s="108">
        <v>0.89400000000000002</v>
      </c>
      <c r="V521" s="107">
        <v>14.871</v>
      </c>
      <c r="W521" s="106" t="s">
        <v>1347</v>
      </c>
    </row>
    <row r="522" spans="1:23" ht="21" customHeight="1">
      <c r="A522" s="104" t="s">
        <v>579</v>
      </c>
      <c r="B522" s="104" t="s">
        <v>580</v>
      </c>
      <c r="C522" s="454" t="s">
        <v>585</v>
      </c>
      <c r="D522" s="105" t="s">
        <v>151</v>
      </c>
      <c r="E522" s="104">
        <v>41229</v>
      </c>
      <c r="F522" s="104">
        <v>17491</v>
      </c>
      <c r="G522" s="106" t="s">
        <v>1357</v>
      </c>
      <c r="H522" s="104" t="s">
        <v>1138</v>
      </c>
      <c r="I522" s="104" t="s">
        <v>104</v>
      </c>
      <c r="J522" s="104" t="s">
        <v>105</v>
      </c>
      <c r="K522" s="104" t="s">
        <v>1363</v>
      </c>
      <c r="L522" s="104" t="s">
        <v>1364</v>
      </c>
      <c r="M522" s="104" t="s">
        <v>114</v>
      </c>
      <c r="N522" s="108">
        <v>0.45099999999999996</v>
      </c>
      <c r="O522" s="108"/>
      <c r="P522" s="108"/>
      <c r="Q522" s="108"/>
      <c r="R522" s="108"/>
      <c r="S522" s="253">
        <f t="shared" si="7"/>
        <v>0.78355683067854409</v>
      </c>
      <c r="T522" s="108" t="s">
        <v>1365</v>
      </c>
      <c r="U522" s="108">
        <v>0.89400000000000002</v>
      </c>
      <c r="V522" s="107">
        <v>14.871</v>
      </c>
      <c r="W522" s="106" t="s">
        <v>1347</v>
      </c>
    </row>
    <row r="523" spans="1:23" ht="21" customHeight="1">
      <c r="A523" s="104" t="s">
        <v>579</v>
      </c>
      <c r="B523" s="104" t="s">
        <v>580</v>
      </c>
      <c r="C523" s="454" t="s">
        <v>585</v>
      </c>
      <c r="D523" s="105" t="s">
        <v>151</v>
      </c>
      <c r="E523" s="104">
        <v>41229</v>
      </c>
      <c r="F523" s="104">
        <v>2927</v>
      </c>
      <c r="G523" s="106" t="s">
        <v>1357</v>
      </c>
      <c r="H523" s="104" t="s">
        <v>1138</v>
      </c>
      <c r="I523" s="104" t="s">
        <v>225</v>
      </c>
      <c r="J523" s="104" t="s">
        <v>105</v>
      </c>
      <c r="K523" s="104" t="s">
        <v>1363</v>
      </c>
      <c r="L523" s="104" t="s">
        <v>1364</v>
      </c>
      <c r="M523" s="104" t="s">
        <v>108</v>
      </c>
      <c r="N523" s="108">
        <v>0.45099999999999996</v>
      </c>
      <c r="O523" s="108"/>
      <c r="P523" s="108"/>
      <c r="Q523" s="108"/>
      <c r="R523" s="108"/>
      <c r="S523" s="253">
        <f t="shared" si="7"/>
        <v>0.78355683067854409</v>
      </c>
      <c r="T523" s="108" t="s">
        <v>1365</v>
      </c>
      <c r="U523" s="108">
        <v>0.89400000000000002</v>
      </c>
      <c r="V523" s="107">
        <v>14.871</v>
      </c>
      <c r="W523" s="106" t="s">
        <v>1347</v>
      </c>
    </row>
    <row r="524" spans="1:23" ht="21" customHeight="1">
      <c r="A524" s="104" t="s">
        <v>579</v>
      </c>
      <c r="B524" s="104" t="s">
        <v>580</v>
      </c>
      <c r="C524" s="454" t="s">
        <v>585</v>
      </c>
      <c r="D524" s="105" t="s">
        <v>151</v>
      </c>
      <c r="E524" s="104">
        <v>41229</v>
      </c>
      <c r="F524" s="104">
        <v>867</v>
      </c>
      <c r="G524" s="106" t="s">
        <v>1357</v>
      </c>
      <c r="H524" s="104" t="s">
        <v>1138</v>
      </c>
      <c r="I524" s="104" t="s">
        <v>104</v>
      </c>
      <c r="J524" s="104" t="s">
        <v>105</v>
      </c>
      <c r="K524" s="104" t="s">
        <v>1363</v>
      </c>
      <c r="L524" s="104" t="s">
        <v>1364</v>
      </c>
      <c r="M524" s="104" t="s">
        <v>108</v>
      </c>
      <c r="N524" s="108">
        <v>0.45166666666666666</v>
      </c>
      <c r="O524" s="108"/>
      <c r="P524" s="108"/>
      <c r="Q524" s="108"/>
      <c r="R524" s="108"/>
      <c r="S524" s="253">
        <f t="shared" si="7"/>
        <v>0.78596327216502848</v>
      </c>
      <c r="T524" s="108" t="s">
        <v>1365</v>
      </c>
      <c r="U524" s="108">
        <v>0.89400000000000002</v>
      </c>
      <c r="V524" s="107">
        <v>14.871</v>
      </c>
      <c r="W524" s="106" t="s">
        <v>1347</v>
      </c>
    </row>
    <row r="525" spans="1:23" ht="21" customHeight="1">
      <c r="A525" s="104" t="s">
        <v>579</v>
      </c>
      <c r="B525" s="104" t="s">
        <v>580</v>
      </c>
      <c r="C525" s="454" t="s">
        <v>585</v>
      </c>
      <c r="D525" s="105" t="s">
        <v>151</v>
      </c>
      <c r="E525" s="104">
        <v>41229</v>
      </c>
      <c r="F525" s="104">
        <v>17049</v>
      </c>
      <c r="G525" s="106" t="s">
        <v>1357</v>
      </c>
      <c r="H525" s="104" t="s">
        <v>1138</v>
      </c>
      <c r="I525" s="104" t="s">
        <v>225</v>
      </c>
      <c r="J525" s="104" t="s">
        <v>105</v>
      </c>
      <c r="K525" s="104" t="s">
        <v>655</v>
      </c>
      <c r="L525" s="104" t="s">
        <v>656</v>
      </c>
      <c r="M525" s="104" t="s">
        <v>114</v>
      </c>
      <c r="N525" s="254"/>
      <c r="O525" s="103"/>
      <c r="P525" s="108">
        <v>0.95966666666666656</v>
      </c>
      <c r="Q525" s="108">
        <v>0.36733333333333335</v>
      </c>
      <c r="R525" s="108"/>
      <c r="S525" s="253">
        <f>(10^((1.463*LOG((P525*Q525*100))+0.633)))/1000</f>
        <v>0.78799858418499424</v>
      </c>
      <c r="T525" s="104" t="s">
        <v>657</v>
      </c>
      <c r="U525" s="108">
        <v>0.97660000000000002</v>
      </c>
      <c r="V525" s="107">
        <v>33.36</v>
      </c>
      <c r="W525" s="106" t="s">
        <v>404</v>
      </c>
    </row>
    <row r="526" spans="1:23" ht="21" customHeight="1">
      <c r="A526" s="104" t="s">
        <v>579</v>
      </c>
      <c r="B526" s="104" t="s">
        <v>580</v>
      </c>
      <c r="C526" s="454" t="s">
        <v>585</v>
      </c>
      <c r="D526" s="105" t="s">
        <v>151</v>
      </c>
      <c r="E526" s="104">
        <v>41229</v>
      </c>
      <c r="F526" s="104">
        <v>17186</v>
      </c>
      <c r="G526" s="106" t="s">
        <v>1357</v>
      </c>
      <c r="H526" s="104" t="s">
        <v>1138</v>
      </c>
      <c r="I526" s="104" t="s">
        <v>225</v>
      </c>
      <c r="J526" s="104" t="s">
        <v>105</v>
      </c>
      <c r="K526" s="104" t="s">
        <v>1363</v>
      </c>
      <c r="L526" s="104" t="s">
        <v>1364</v>
      </c>
      <c r="M526" s="104" t="s">
        <v>114</v>
      </c>
      <c r="N526" s="108">
        <v>0.45233333333333337</v>
      </c>
      <c r="O526" s="108"/>
      <c r="P526" s="108"/>
      <c r="Q526" s="108"/>
      <c r="R526" s="108"/>
      <c r="S526" s="253">
        <f t="shared" ref="S526:S536" si="8">(10^(2.076*LOG(N526*10)+1.536))/1000</f>
        <v>0.7883735385795444</v>
      </c>
      <c r="T526" s="108" t="s">
        <v>1365</v>
      </c>
      <c r="U526" s="108">
        <v>0.89400000000000002</v>
      </c>
      <c r="V526" s="107">
        <v>14.871</v>
      </c>
      <c r="W526" s="106" t="s">
        <v>1347</v>
      </c>
    </row>
    <row r="527" spans="1:23" ht="21" customHeight="1">
      <c r="A527" s="104" t="s">
        <v>579</v>
      </c>
      <c r="B527" s="104" t="s">
        <v>580</v>
      </c>
      <c r="C527" s="454" t="s">
        <v>585</v>
      </c>
      <c r="D527" s="105" t="s">
        <v>151</v>
      </c>
      <c r="E527" s="104">
        <v>41229</v>
      </c>
      <c r="F527" s="104">
        <v>17092</v>
      </c>
      <c r="G527" s="106" t="s">
        <v>1357</v>
      </c>
      <c r="H527" s="104" t="s">
        <v>1138</v>
      </c>
      <c r="I527" s="104" t="s">
        <v>225</v>
      </c>
      <c r="J527" s="104" t="s">
        <v>105</v>
      </c>
      <c r="K527" s="104" t="s">
        <v>1363</v>
      </c>
      <c r="L527" s="104" t="s">
        <v>1364</v>
      </c>
      <c r="M527" s="104" t="s">
        <v>108</v>
      </c>
      <c r="N527" s="108">
        <v>0.45266666666666672</v>
      </c>
      <c r="O527" s="108"/>
      <c r="P527" s="108"/>
      <c r="Q527" s="108"/>
      <c r="R527" s="108"/>
      <c r="S527" s="253">
        <f t="shared" si="8"/>
        <v>0.78958010626882802</v>
      </c>
      <c r="T527" s="108" t="s">
        <v>1365</v>
      </c>
      <c r="U527" s="108">
        <v>0.89400000000000002</v>
      </c>
      <c r="V527" s="107">
        <v>14.871</v>
      </c>
      <c r="W527" s="106" t="s">
        <v>1347</v>
      </c>
    </row>
    <row r="528" spans="1:23" ht="21" customHeight="1">
      <c r="A528" s="104" t="s">
        <v>579</v>
      </c>
      <c r="B528" s="104" t="s">
        <v>580</v>
      </c>
      <c r="C528" s="454" t="s">
        <v>585</v>
      </c>
      <c r="D528" s="105" t="s">
        <v>151</v>
      </c>
      <c r="E528" s="104">
        <v>41229</v>
      </c>
      <c r="F528" s="104">
        <v>17156</v>
      </c>
      <c r="G528" s="106" t="s">
        <v>1357</v>
      </c>
      <c r="H528" s="104" t="s">
        <v>1138</v>
      </c>
      <c r="I528" s="104" t="s">
        <v>225</v>
      </c>
      <c r="J528" s="104" t="s">
        <v>105</v>
      </c>
      <c r="K528" s="104" t="s">
        <v>1363</v>
      </c>
      <c r="L528" s="104" t="s">
        <v>1364</v>
      </c>
      <c r="M528" s="104" t="s">
        <v>108</v>
      </c>
      <c r="N528" s="108">
        <v>0.45266666666666666</v>
      </c>
      <c r="O528" s="108"/>
      <c r="P528" s="108"/>
      <c r="Q528" s="108"/>
      <c r="R528" s="108"/>
      <c r="S528" s="253">
        <f t="shared" si="8"/>
        <v>0.78958010626882802</v>
      </c>
      <c r="T528" s="108" t="s">
        <v>1365</v>
      </c>
      <c r="U528" s="108">
        <v>0.89400000000000002</v>
      </c>
      <c r="V528" s="107">
        <v>14.871</v>
      </c>
      <c r="W528" s="106" t="s">
        <v>1347</v>
      </c>
    </row>
    <row r="529" spans="1:23" ht="21" customHeight="1">
      <c r="A529" s="104" t="s">
        <v>579</v>
      </c>
      <c r="B529" s="104" t="s">
        <v>580</v>
      </c>
      <c r="C529" s="454" t="s">
        <v>585</v>
      </c>
      <c r="D529" s="105" t="s">
        <v>151</v>
      </c>
      <c r="E529" s="104">
        <v>41229</v>
      </c>
      <c r="F529" s="104">
        <v>17022</v>
      </c>
      <c r="G529" s="106" t="s">
        <v>1357</v>
      </c>
      <c r="H529" s="104" t="s">
        <v>1138</v>
      </c>
      <c r="I529" s="104" t="s">
        <v>225</v>
      </c>
      <c r="J529" s="104" t="s">
        <v>105</v>
      </c>
      <c r="K529" s="104" t="s">
        <v>1363</v>
      </c>
      <c r="L529" s="104" t="s">
        <v>1364</v>
      </c>
      <c r="M529" s="104" t="s">
        <v>108</v>
      </c>
      <c r="N529" s="108">
        <v>0.45333333333333331</v>
      </c>
      <c r="O529" s="108"/>
      <c r="P529" s="108"/>
      <c r="Q529" s="108"/>
      <c r="R529" s="108"/>
      <c r="S529" s="253">
        <f t="shared" si="8"/>
        <v>0.79199611087916466</v>
      </c>
      <c r="T529" s="108" t="s">
        <v>1365</v>
      </c>
      <c r="U529" s="108">
        <v>0.89400000000000002</v>
      </c>
      <c r="V529" s="107">
        <v>14.871</v>
      </c>
      <c r="W529" s="106" t="s">
        <v>1347</v>
      </c>
    </row>
    <row r="530" spans="1:23" ht="21" customHeight="1">
      <c r="A530" s="104" t="s">
        <v>579</v>
      </c>
      <c r="B530" s="104" t="s">
        <v>580</v>
      </c>
      <c r="C530" s="454" t="s">
        <v>585</v>
      </c>
      <c r="D530" s="105" t="s">
        <v>151</v>
      </c>
      <c r="E530" s="104">
        <v>41229</v>
      </c>
      <c r="F530" s="104">
        <v>17424</v>
      </c>
      <c r="G530" s="106" t="s">
        <v>1357</v>
      </c>
      <c r="H530" s="104" t="s">
        <v>1138</v>
      </c>
      <c r="I530" s="104" t="s">
        <v>225</v>
      </c>
      <c r="J530" s="104" t="s">
        <v>105</v>
      </c>
      <c r="K530" s="104" t="s">
        <v>1363</v>
      </c>
      <c r="L530" s="104" t="s">
        <v>1364</v>
      </c>
      <c r="M530" s="104" t="s">
        <v>108</v>
      </c>
      <c r="N530" s="108">
        <v>0.45400000000000001</v>
      </c>
      <c r="O530" s="108"/>
      <c r="P530" s="108"/>
      <c r="Q530" s="108"/>
      <c r="R530" s="108"/>
      <c r="S530" s="253">
        <f t="shared" si="8"/>
        <v>0.79441594148838113</v>
      </c>
      <c r="T530" s="108" t="s">
        <v>1365</v>
      </c>
      <c r="U530" s="108">
        <v>0.89400000000000002</v>
      </c>
      <c r="V530" s="107">
        <v>14.871</v>
      </c>
      <c r="W530" s="106" t="s">
        <v>1347</v>
      </c>
    </row>
    <row r="531" spans="1:23" ht="21" customHeight="1">
      <c r="A531" s="104" t="s">
        <v>579</v>
      </c>
      <c r="B531" s="104" t="s">
        <v>580</v>
      </c>
      <c r="C531" s="454" t="s">
        <v>585</v>
      </c>
      <c r="D531" s="105" t="s">
        <v>151</v>
      </c>
      <c r="E531" s="104">
        <v>41229</v>
      </c>
      <c r="F531" s="104">
        <v>9820</v>
      </c>
      <c r="G531" s="106" t="s">
        <v>1357</v>
      </c>
      <c r="H531" s="104" t="s">
        <v>1138</v>
      </c>
      <c r="I531" s="104" t="s">
        <v>104</v>
      </c>
      <c r="J531" s="104" t="s">
        <v>105</v>
      </c>
      <c r="K531" s="104" t="s">
        <v>1363</v>
      </c>
      <c r="L531" s="104" t="s">
        <v>1364</v>
      </c>
      <c r="M531" s="104" t="s">
        <v>114</v>
      </c>
      <c r="N531" s="108">
        <v>0.45899999999999996</v>
      </c>
      <c r="O531" s="108"/>
      <c r="P531" s="108"/>
      <c r="Q531" s="108"/>
      <c r="R531" s="108"/>
      <c r="S531" s="253">
        <f t="shared" si="8"/>
        <v>0.81268666780983223</v>
      </c>
      <c r="T531" s="108" t="s">
        <v>1365</v>
      </c>
      <c r="U531" s="108">
        <v>0.89400000000000002</v>
      </c>
      <c r="V531" s="107">
        <v>14.871</v>
      </c>
      <c r="W531" s="106" t="s">
        <v>1347</v>
      </c>
    </row>
    <row r="532" spans="1:23" ht="21" customHeight="1">
      <c r="A532" s="104" t="s">
        <v>579</v>
      </c>
      <c r="B532" s="104" t="s">
        <v>580</v>
      </c>
      <c r="C532" s="454" t="s">
        <v>585</v>
      </c>
      <c r="D532" s="105" t="s">
        <v>151</v>
      </c>
      <c r="E532" s="104">
        <v>41229</v>
      </c>
      <c r="F532" s="104">
        <v>930</v>
      </c>
      <c r="G532" s="106" t="s">
        <v>1357</v>
      </c>
      <c r="H532" s="104" t="s">
        <v>1138</v>
      </c>
      <c r="I532" s="104" t="s">
        <v>225</v>
      </c>
      <c r="J532" s="104" t="s">
        <v>105</v>
      </c>
      <c r="K532" s="104" t="s">
        <v>1363</v>
      </c>
      <c r="L532" s="104" t="s">
        <v>1364</v>
      </c>
      <c r="M532" s="104" t="s">
        <v>108</v>
      </c>
      <c r="N532" s="108">
        <v>0.45966666666666667</v>
      </c>
      <c r="O532" s="108"/>
      <c r="P532" s="108"/>
      <c r="Q532" s="108"/>
      <c r="R532" s="108"/>
      <c r="S532" s="253">
        <f t="shared" si="8"/>
        <v>0.81513903660441966</v>
      </c>
      <c r="T532" s="108" t="s">
        <v>1365</v>
      </c>
      <c r="U532" s="108">
        <v>0.89400000000000002</v>
      </c>
      <c r="V532" s="107">
        <v>14.871</v>
      </c>
      <c r="W532" s="106" t="s">
        <v>1347</v>
      </c>
    </row>
    <row r="533" spans="1:23" ht="21" customHeight="1">
      <c r="A533" s="104" t="s">
        <v>579</v>
      </c>
      <c r="B533" s="104" t="s">
        <v>580</v>
      </c>
      <c r="C533" s="454" t="s">
        <v>585</v>
      </c>
      <c r="D533" s="105" t="s">
        <v>151</v>
      </c>
      <c r="E533" s="104">
        <v>41229</v>
      </c>
      <c r="F533" s="104">
        <v>17305</v>
      </c>
      <c r="G533" s="106" t="s">
        <v>1357</v>
      </c>
      <c r="H533" s="104" t="s">
        <v>1138</v>
      </c>
      <c r="I533" s="104" t="s">
        <v>225</v>
      </c>
      <c r="J533" s="104" t="s">
        <v>105</v>
      </c>
      <c r="K533" s="104" t="s">
        <v>1363</v>
      </c>
      <c r="L533" s="104" t="s">
        <v>1364</v>
      </c>
      <c r="M533" s="104" t="s">
        <v>108</v>
      </c>
      <c r="N533" s="108">
        <v>0.46099999999999997</v>
      </c>
      <c r="O533" s="108"/>
      <c r="P533" s="108"/>
      <c r="Q533" s="108"/>
      <c r="R533" s="108"/>
      <c r="S533" s="253">
        <f t="shared" si="8"/>
        <v>0.82005526472108969</v>
      </c>
      <c r="T533" s="108" t="s">
        <v>1365</v>
      </c>
      <c r="U533" s="108">
        <v>0.89400000000000002</v>
      </c>
      <c r="V533" s="107">
        <v>14.871</v>
      </c>
      <c r="W533" s="106" t="s">
        <v>1347</v>
      </c>
    </row>
    <row r="534" spans="1:23" ht="21" customHeight="1">
      <c r="A534" s="104" t="s">
        <v>579</v>
      </c>
      <c r="B534" s="104" t="s">
        <v>580</v>
      </c>
      <c r="C534" s="454" t="s">
        <v>585</v>
      </c>
      <c r="D534" s="105" t="s">
        <v>151</v>
      </c>
      <c r="E534" s="104">
        <v>41229</v>
      </c>
      <c r="F534" s="104">
        <v>1161</v>
      </c>
      <c r="G534" s="106" t="s">
        <v>1357</v>
      </c>
      <c r="H534" s="104" t="s">
        <v>1138</v>
      </c>
      <c r="I534" s="104" t="s">
        <v>225</v>
      </c>
      <c r="J534" s="104" t="s">
        <v>105</v>
      </c>
      <c r="K534" s="104" t="s">
        <v>1363</v>
      </c>
      <c r="L534" s="104" t="s">
        <v>1364</v>
      </c>
      <c r="M534" s="104" t="s">
        <v>108</v>
      </c>
      <c r="N534" s="108">
        <v>0.46200000000000002</v>
      </c>
      <c r="O534" s="108"/>
      <c r="P534" s="108"/>
      <c r="Q534" s="108"/>
      <c r="R534" s="108"/>
      <c r="S534" s="253">
        <f t="shared" si="8"/>
        <v>0.82375249167992648</v>
      </c>
      <c r="T534" s="108" t="s">
        <v>1365</v>
      </c>
      <c r="U534" s="108">
        <v>0.89400000000000002</v>
      </c>
      <c r="V534" s="107">
        <v>14.871</v>
      </c>
      <c r="W534" s="106" t="s">
        <v>1347</v>
      </c>
    </row>
    <row r="535" spans="1:23" ht="21" customHeight="1">
      <c r="A535" s="104" t="s">
        <v>579</v>
      </c>
      <c r="B535" s="104" t="s">
        <v>580</v>
      </c>
      <c r="C535" s="454" t="s">
        <v>585</v>
      </c>
      <c r="D535" s="105" t="s">
        <v>151</v>
      </c>
      <c r="E535" s="104">
        <v>41229</v>
      </c>
      <c r="F535" s="104">
        <v>10354</v>
      </c>
      <c r="G535" s="106" t="s">
        <v>1357</v>
      </c>
      <c r="H535" s="104" t="s">
        <v>1138</v>
      </c>
      <c r="I535" s="104" t="s">
        <v>225</v>
      </c>
      <c r="J535" s="104" t="s">
        <v>105</v>
      </c>
      <c r="K535" s="104" t="s">
        <v>1363</v>
      </c>
      <c r="L535" s="104" t="s">
        <v>1364</v>
      </c>
      <c r="M535" s="104" t="s">
        <v>108</v>
      </c>
      <c r="N535" s="108">
        <v>0.46200000000000002</v>
      </c>
      <c r="O535" s="108"/>
      <c r="P535" s="108"/>
      <c r="Q535" s="108"/>
      <c r="R535" s="108"/>
      <c r="S535" s="253">
        <f t="shared" si="8"/>
        <v>0.82375249167992648</v>
      </c>
      <c r="T535" s="108" t="s">
        <v>1365</v>
      </c>
      <c r="U535" s="108">
        <v>0.89400000000000002</v>
      </c>
      <c r="V535" s="107">
        <v>14.871</v>
      </c>
      <c r="W535" s="106" t="s">
        <v>1347</v>
      </c>
    </row>
    <row r="536" spans="1:23" ht="21" customHeight="1">
      <c r="A536" s="104" t="s">
        <v>579</v>
      </c>
      <c r="B536" s="104" t="s">
        <v>580</v>
      </c>
      <c r="C536" s="454" t="s">
        <v>585</v>
      </c>
      <c r="D536" s="105" t="s">
        <v>151</v>
      </c>
      <c r="E536" s="104">
        <v>41229</v>
      </c>
      <c r="F536" s="104">
        <v>17243</v>
      </c>
      <c r="G536" s="106" t="s">
        <v>1357</v>
      </c>
      <c r="H536" s="104" t="s">
        <v>1138</v>
      </c>
      <c r="I536" s="104" t="s">
        <v>225</v>
      </c>
      <c r="J536" s="104" t="s">
        <v>105</v>
      </c>
      <c r="K536" s="104" t="s">
        <v>1363</v>
      </c>
      <c r="L536" s="104" t="s">
        <v>1364</v>
      </c>
      <c r="M536" s="104" t="s">
        <v>114</v>
      </c>
      <c r="N536" s="108">
        <v>0.46200000000000002</v>
      </c>
      <c r="O536" s="108"/>
      <c r="P536" s="108"/>
      <c r="Q536" s="108"/>
      <c r="R536" s="108"/>
      <c r="S536" s="253">
        <f t="shared" si="8"/>
        <v>0.82375249167992648</v>
      </c>
      <c r="T536" s="108" t="s">
        <v>1365</v>
      </c>
      <c r="U536" s="108">
        <v>0.89400000000000002</v>
      </c>
      <c r="V536" s="107">
        <v>14.871</v>
      </c>
      <c r="W536" s="106" t="s">
        <v>1347</v>
      </c>
    </row>
    <row r="537" spans="1:23" ht="21" customHeight="1">
      <c r="A537" s="104" t="s">
        <v>579</v>
      </c>
      <c r="B537" s="104" t="s">
        <v>580</v>
      </c>
      <c r="C537" s="454" t="s">
        <v>585</v>
      </c>
      <c r="D537" s="105" t="s">
        <v>151</v>
      </c>
      <c r="E537" s="104">
        <v>41229</v>
      </c>
      <c r="F537" s="104">
        <v>8009</v>
      </c>
      <c r="G537" s="106" t="s">
        <v>1357</v>
      </c>
      <c r="H537" s="104" t="s">
        <v>1138</v>
      </c>
      <c r="I537" s="104" t="s">
        <v>104</v>
      </c>
      <c r="J537" s="104" t="s">
        <v>105</v>
      </c>
      <c r="K537" s="104" t="s">
        <v>1371</v>
      </c>
      <c r="L537" s="104" t="s">
        <v>1372</v>
      </c>
      <c r="M537" s="104" t="s">
        <v>108</v>
      </c>
      <c r="N537" s="108">
        <v>1.2333333333333334</v>
      </c>
      <c r="O537" s="108"/>
      <c r="P537" s="108"/>
      <c r="Q537" s="108"/>
      <c r="R537" s="108"/>
      <c r="S537" s="253">
        <f>(10^(2.217*LOG(N537*10)+0.498))/1000</f>
        <v>0.82589607190456904</v>
      </c>
      <c r="T537" s="108" t="s">
        <v>1373</v>
      </c>
      <c r="U537" s="108">
        <v>0.98488578017961048</v>
      </c>
      <c r="V537" s="107">
        <v>16.747</v>
      </c>
      <c r="W537" s="106" t="s">
        <v>1347</v>
      </c>
    </row>
    <row r="538" spans="1:23" ht="21" customHeight="1">
      <c r="A538" s="104" t="s">
        <v>579</v>
      </c>
      <c r="B538" s="104" t="s">
        <v>580</v>
      </c>
      <c r="C538" s="454" t="s">
        <v>585</v>
      </c>
      <c r="D538" s="105" t="s">
        <v>151</v>
      </c>
      <c r="E538" s="104">
        <v>41229</v>
      </c>
      <c r="F538" s="104">
        <v>17490</v>
      </c>
      <c r="G538" s="106" t="s">
        <v>1357</v>
      </c>
      <c r="H538" s="104" t="s">
        <v>1138</v>
      </c>
      <c r="I538" s="104" t="s">
        <v>104</v>
      </c>
      <c r="J538" s="104" t="s">
        <v>105</v>
      </c>
      <c r="K538" s="104" t="s">
        <v>655</v>
      </c>
      <c r="L538" s="104" t="s">
        <v>656</v>
      </c>
      <c r="M538" s="104" t="s">
        <v>108</v>
      </c>
      <c r="N538" s="254"/>
      <c r="O538" s="103"/>
      <c r="P538" s="108">
        <v>0.92866666666666675</v>
      </c>
      <c r="Q538" s="108">
        <v>0.39200000000000002</v>
      </c>
      <c r="R538" s="108"/>
      <c r="S538" s="253">
        <f>(10^((1.463*LOG((P538*Q538*100))+0.633)))/1000</f>
        <v>0.82595519173482013</v>
      </c>
      <c r="T538" s="104" t="s">
        <v>657</v>
      </c>
      <c r="U538" s="108">
        <v>0.97660000000000002</v>
      </c>
      <c r="V538" s="107">
        <v>33.36</v>
      </c>
      <c r="W538" s="106" t="s">
        <v>404</v>
      </c>
    </row>
    <row r="539" spans="1:23" ht="21" customHeight="1">
      <c r="A539" s="104" t="s">
        <v>579</v>
      </c>
      <c r="B539" s="104" t="s">
        <v>580</v>
      </c>
      <c r="C539" s="454" t="s">
        <v>585</v>
      </c>
      <c r="D539" s="105" t="s">
        <v>151</v>
      </c>
      <c r="E539" s="104">
        <v>41229</v>
      </c>
      <c r="F539" s="104">
        <v>16984</v>
      </c>
      <c r="G539" s="106" t="s">
        <v>1357</v>
      </c>
      <c r="H539" s="104" t="s">
        <v>1138</v>
      </c>
      <c r="I539" s="104" t="s">
        <v>225</v>
      </c>
      <c r="J539" s="104" t="s">
        <v>105</v>
      </c>
      <c r="K539" s="104" t="s">
        <v>670</v>
      </c>
      <c r="L539" s="104" t="s">
        <v>671</v>
      </c>
      <c r="M539" s="104" t="s">
        <v>114</v>
      </c>
      <c r="N539" s="108"/>
      <c r="O539" s="108"/>
      <c r="P539" s="108">
        <v>1.6556666666666668</v>
      </c>
      <c r="Q539" s="108">
        <v>0.69100000000000006</v>
      </c>
      <c r="R539" s="108"/>
      <c r="S539" s="463">
        <f>EXP(2.969*LN(P539*10)-1.611)/1000</f>
        <v>0.83077256353021034</v>
      </c>
      <c r="T539" s="104" t="s">
        <v>672</v>
      </c>
      <c r="U539" s="108">
        <v>0.94099999999999995</v>
      </c>
      <c r="V539" s="107">
        <v>44.075000000000003</v>
      </c>
      <c r="W539" s="106" t="s">
        <v>397</v>
      </c>
    </row>
    <row r="540" spans="1:23" ht="19">
      <c r="A540" s="104" t="s">
        <v>579</v>
      </c>
      <c r="B540" s="104" t="s">
        <v>580</v>
      </c>
      <c r="C540" s="454" t="s">
        <v>585</v>
      </c>
      <c r="D540" s="105" t="s">
        <v>151</v>
      </c>
      <c r="E540" s="104">
        <v>41229</v>
      </c>
      <c r="F540" s="104">
        <v>17126</v>
      </c>
      <c r="G540" s="106" t="s">
        <v>1357</v>
      </c>
      <c r="H540" s="104" t="s">
        <v>1138</v>
      </c>
      <c r="I540" s="104" t="s">
        <v>225</v>
      </c>
      <c r="J540" s="104" t="s">
        <v>105</v>
      </c>
      <c r="K540" s="104" t="s">
        <v>1363</v>
      </c>
      <c r="L540" s="104" t="s">
        <v>1364</v>
      </c>
      <c r="M540" s="104" t="s">
        <v>108</v>
      </c>
      <c r="N540" s="108">
        <v>0.46433333333333338</v>
      </c>
      <c r="O540" s="108"/>
      <c r="P540" s="108"/>
      <c r="Q540" s="108"/>
      <c r="R540" s="108"/>
      <c r="S540" s="253">
        <f>(10^(2.076*LOG(N540*10)+1.536))/1000</f>
        <v>0.83241288273827208</v>
      </c>
      <c r="T540" s="108" t="s">
        <v>1365</v>
      </c>
      <c r="U540" s="108">
        <v>0.89400000000000002</v>
      </c>
      <c r="V540" s="107">
        <v>14.871</v>
      </c>
      <c r="W540" s="106" t="s">
        <v>1347</v>
      </c>
    </row>
    <row r="541" spans="1:23" ht="21" customHeight="1">
      <c r="A541" s="104" t="s">
        <v>579</v>
      </c>
      <c r="B541" s="104" t="s">
        <v>580</v>
      </c>
      <c r="C541" s="454" t="s">
        <v>585</v>
      </c>
      <c r="D541" s="105" t="s">
        <v>151</v>
      </c>
      <c r="E541" s="104">
        <v>41229</v>
      </c>
      <c r="F541" s="104">
        <v>17298</v>
      </c>
      <c r="G541" s="106" t="s">
        <v>1357</v>
      </c>
      <c r="H541" s="104" t="s">
        <v>1138</v>
      </c>
      <c r="I541" s="104" t="s">
        <v>225</v>
      </c>
      <c r="J541" s="104" t="s">
        <v>105</v>
      </c>
      <c r="K541" s="104" t="s">
        <v>1363</v>
      </c>
      <c r="L541" s="104" t="s">
        <v>1364</v>
      </c>
      <c r="M541" s="104" t="s">
        <v>114</v>
      </c>
      <c r="N541" s="108">
        <v>0.46566666666666673</v>
      </c>
      <c r="O541" s="108"/>
      <c r="P541" s="108"/>
      <c r="Q541" s="108"/>
      <c r="R541" s="108"/>
      <c r="S541" s="253">
        <f>(10^(2.076*LOG(N541*10)+1.536))/1000</f>
        <v>0.83738275784772354</v>
      </c>
      <c r="T541" s="108" t="s">
        <v>1365</v>
      </c>
      <c r="U541" s="108">
        <v>0.89400000000000002</v>
      </c>
      <c r="V541" s="107">
        <v>14.871</v>
      </c>
      <c r="W541" s="106" t="s">
        <v>1347</v>
      </c>
    </row>
    <row r="542" spans="1:23" ht="21" customHeight="1">
      <c r="A542" s="104" t="s">
        <v>579</v>
      </c>
      <c r="B542" s="104" t="s">
        <v>580</v>
      </c>
      <c r="C542" s="454" t="s">
        <v>585</v>
      </c>
      <c r="D542" s="105" t="s">
        <v>151</v>
      </c>
      <c r="E542" s="104">
        <v>41229</v>
      </c>
      <c r="F542" s="104">
        <v>17007</v>
      </c>
      <c r="G542" s="106" t="s">
        <v>1357</v>
      </c>
      <c r="H542" s="104" t="s">
        <v>1138</v>
      </c>
      <c r="I542" s="104" t="s">
        <v>225</v>
      </c>
      <c r="J542" s="104" t="s">
        <v>105</v>
      </c>
      <c r="K542" s="104" t="s">
        <v>655</v>
      </c>
      <c r="L542" s="104" t="s">
        <v>656</v>
      </c>
      <c r="M542" s="104" t="s">
        <v>114</v>
      </c>
      <c r="N542" s="254"/>
      <c r="O542" s="103"/>
      <c r="P542" s="108">
        <v>0.88133333333333341</v>
      </c>
      <c r="Q542" s="108">
        <v>0.41699999999999993</v>
      </c>
      <c r="R542" s="108"/>
      <c r="S542" s="253">
        <f>(10^((1.463*LOG((P542*Q542*100))+0.633)))/1000</f>
        <v>0.83752765316257238</v>
      </c>
      <c r="T542" s="104" t="s">
        <v>657</v>
      </c>
      <c r="U542" s="108">
        <v>0.97660000000000002</v>
      </c>
      <c r="V542" s="107">
        <v>33.36</v>
      </c>
      <c r="W542" s="106" t="s">
        <v>404</v>
      </c>
    </row>
    <row r="543" spans="1:23" ht="21" customHeight="1">
      <c r="A543" s="104" t="s">
        <v>579</v>
      </c>
      <c r="B543" s="104" t="s">
        <v>580</v>
      </c>
      <c r="C543" s="454" t="s">
        <v>585</v>
      </c>
      <c r="D543" s="105" t="s">
        <v>151</v>
      </c>
      <c r="E543" s="104">
        <v>41229</v>
      </c>
      <c r="F543" s="104">
        <v>2561</v>
      </c>
      <c r="G543" s="106" t="s">
        <v>1357</v>
      </c>
      <c r="H543" s="104" t="s">
        <v>1138</v>
      </c>
      <c r="I543" s="104" t="s">
        <v>225</v>
      </c>
      <c r="J543" s="104" t="s">
        <v>105</v>
      </c>
      <c r="K543" s="104" t="s">
        <v>1363</v>
      </c>
      <c r="L543" s="104" t="s">
        <v>1364</v>
      </c>
      <c r="M543" s="104" t="s">
        <v>108</v>
      </c>
      <c r="N543" s="108">
        <v>0.46700000000000008</v>
      </c>
      <c r="O543" s="108"/>
      <c r="P543" s="108"/>
      <c r="Q543" s="108"/>
      <c r="R543" s="108"/>
      <c r="S543" s="253">
        <f>(10^(2.076*LOG(N543*10)+1.536))/1000</f>
        <v>0.84236796820449189</v>
      </c>
      <c r="T543" s="108" t="s">
        <v>1365</v>
      </c>
      <c r="U543" s="108">
        <v>0.89400000000000002</v>
      </c>
      <c r="V543" s="107">
        <v>14.871</v>
      </c>
      <c r="W543" s="106" t="s">
        <v>1347</v>
      </c>
    </row>
    <row r="544" spans="1:23" ht="21" customHeight="1">
      <c r="A544" s="104" t="s">
        <v>579</v>
      </c>
      <c r="B544" s="104" t="s">
        <v>580</v>
      </c>
      <c r="C544" s="454" t="s">
        <v>585</v>
      </c>
      <c r="D544" s="105" t="s">
        <v>151</v>
      </c>
      <c r="E544" s="104">
        <v>41229</v>
      </c>
      <c r="F544" s="104">
        <v>17489</v>
      </c>
      <c r="G544" s="106" t="s">
        <v>1357</v>
      </c>
      <c r="H544" s="104" t="s">
        <v>1138</v>
      </c>
      <c r="I544" s="104" t="s">
        <v>104</v>
      </c>
      <c r="J544" s="104" t="s">
        <v>105</v>
      </c>
      <c r="K544" s="104" t="s">
        <v>670</v>
      </c>
      <c r="L544" s="104" t="s">
        <v>671</v>
      </c>
      <c r="M544" s="104" t="s">
        <v>114</v>
      </c>
      <c r="N544" s="108"/>
      <c r="O544" s="108"/>
      <c r="P544" s="108">
        <v>1.6646666666666667</v>
      </c>
      <c r="Q544" s="108">
        <v>0.6399999999999999</v>
      </c>
      <c r="R544" s="108"/>
      <c r="S544" s="463">
        <f>EXP(2.969*LN(P544*10)-1.611)/1000</f>
        <v>0.84425238028449534</v>
      </c>
      <c r="T544" s="104" t="s">
        <v>672</v>
      </c>
      <c r="U544" s="108">
        <v>0.94099999999999995</v>
      </c>
      <c r="V544" s="107">
        <v>44.075000000000003</v>
      </c>
      <c r="W544" s="106" t="s">
        <v>397</v>
      </c>
    </row>
    <row r="545" spans="1:23" ht="21" customHeight="1">
      <c r="A545" s="104" t="s">
        <v>579</v>
      </c>
      <c r="B545" s="104" t="s">
        <v>580</v>
      </c>
      <c r="C545" s="454" t="s">
        <v>585</v>
      </c>
      <c r="D545" s="105" t="s">
        <v>151</v>
      </c>
      <c r="E545" s="104">
        <v>41229</v>
      </c>
      <c r="F545" s="104">
        <v>2562</v>
      </c>
      <c r="G545" s="106" t="s">
        <v>1357</v>
      </c>
      <c r="H545" s="104" t="s">
        <v>1138</v>
      </c>
      <c r="I545" s="104" t="s">
        <v>225</v>
      </c>
      <c r="J545" s="104" t="s">
        <v>105</v>
      </c>
      <c r="K545" s="104" t="s">
        <v>1363</v>
      </c>
      <c r="L545" s="104" t="s">
        <v>1364</v>
      </c>
      <c r="M545" s="104" t="s">
        <v>114</v>
      </c>
      <c r="N545" s="108">
        <v>0.46799999999999997</v>
      </c>
      <c r="O545" s="108"/>
      <c r="P545" s="108"/>
      <c r="Q545" s="108"/>
      <c r="R545" s="108"/>
      <c r="S545" s="253">
        <f>(10^(2.076*LOG(N545*10)+1.536))/1000</f>
        <v>0.84611694173327012</v>
      </c>
      <c r="T545" s="108" t="s">
        <v>1365</v>
      </c>
      <c r="U545" s="108">
        <v>0.89400000000000002</v>
      </c>
      <c r="V545" s="107">
        <v>14.871</v>
      </c>
      <c r="W545" s="106" t="s">
        <v>1347</v>
      </c>
    </row>
    <row r="546" spans="1:23" ht="21" customHeight="1">
      <c r="A546" s="104" t="s">
        <v>579</v>
      </c>
      <c r="B546" s="104" t="s">
        <v>580</v>
      </c>
      <c r="C546" s="454" t="s">
        <v>585</v>
      </c>
      <c r="D546" s="105" t="s">
        <v>151</v>
      </c>
      <c r="E546" s="104">
        <v>41229</v>
      </c>
      <c r="F546" s="104">
        <v>17696</v>
      </c>
      <c r="G546" s="106" t="s">
        <v>1357</v>
      </c>
      <c r="H546" s="104" t="s">
        <v>1138</v>
      </c>
      <c r="I546" s="104" t="s">
        <v>104</v>
      </c>
      <c r="J546" s="104" t="s">
        <v>105</v>
      </c>
      <c r="K546" s="104" t="s">
        <v>1371</v>
      </c>
      <c r="L546" s="104" t="s">
        <v>1372</v>
      </c>
      <c r="M546" s="104" t="s">
        <v>292</v>
      </c>
      <c r="N546" s="108">
        <v>1.2476666666666667</v>
      </c>
      <c r="O546" s="108"/>
      <c r="P546" s="108"/>
      <c r="Q546" s="108"/>
      <c r="R546" s="108"/>
      <c r="S546" s="253">
        <f>(10^(2.217*LOG(N546*10)+0.498))/1000</f>
        <v>0.84732600422069448</v>
      </c>
      <c r="T546" s="108" t="s">
        <v>1373</v>
      </c>
      <c r="U546" s="108">
        <v>0.98488578017961048</v>
      </c>
      <c r="V546" s="107">
        <v>16.747</v>
      </c>
      <c r="W546" s="106" t="s">
        <v>1347</v>
      </c>
    </row>
    <row r="547" spans="1:23" ht="21" customHeight="1">
      <c r="A547" s="416" t="s">
        <v>579</v>
      </c>
      <c r="B547" s="416" t="s">
        <v>580</v>
      </c>
      <c r="C547" s="455" t="s">
        <v>585</v>
      </c>
      <c r="D547" s="105" t="s">
        <v>151</v>
      </c>
      <c r="E547" s="416">
        <v>41229</v>
      </c>
      <c r="F547" s="416">
        <v>9004</v>
      </c>
      <c r="G547" s="456" t="s">
        <v>1357</v>
      </c>
      <c r="H547" s="416" t="s">
        <v>1138</v>
      </c>
      <c r="I547" s="104" t="s">
        <v>225</v>
      </c>
      <c r="J547" s="416" t="s">
        <v>105</v>
      </c>
      <c r="K547" s="416" t="s">
        <v>655</v>
      </c>
      <c r="L547" s="416" t="s">
        <v>656</v>
      </c>
      <c r="M547" s="416" t="s">
        <v>1359</v>
      </c>
      <c r="N547" s="473"/>
      <c r="O547" s="390"/>
      <c r="P547" s="458">
        <v>0.95666666666666678</v>
      </c>
      <c r="Q547" s="458">
        <v>0.38966666666666672</v>
      </c>
      <c r="R547" s="458"/>
      <c r="S547" s="459">
        <f>(10^((1.463*LOG((P547*Q547*100))+0.633)))/1000</f>
        <v>0.85513966917974049</v>
      </c>
      <c r="T547" s="416" t="s">
        <v>657</v>
      </c>
      <c r="U547" s="458">
        <v>0.97660000000000002</v>
      </c>
      <c r="V547" s="460">
        <v>33.36</v>
      </c>
      <c r="W547" s="456" t="s">
        <v>404</v>
      </c>
    </row>
    <row r="548" spans="1:23" ht="21" customHeight="1">
      <c r="A548" s="104" t="s">
        <v>579</v>
      </c>
      <c r="B548" s="104" t="s">
        <v>580</v>
      </c>
      <c r="C548" s="454" t="s">
        <v>585</v>
      </c>
      <c r="D548" s="105" t="s">
        <v>151</v>
      </c>
      <c r="E548" s="104">
        <v>41229</v>
      </c>
      <c r="F548" s="104">
        <v>17199</v>
      </c>
      <c r="G548" s="106" t="s">
        <v>1357</v>
      </c>
      <c r="H548" s="104" t="s">
        <v>1138</v>
      </c>
      <c r="I548" s="104" t="s">
        <v>225</v>
      </c>
      <c r="J548" s="104" t="s">
        <v>105</v>
      </c>
      <c r="K548" s="104" t="s">
        <v>670</v>
      </c>
      <c r="L548" s="104" t="s">
        <v>671</v>
      </c>
      <c r="M548" s="104" t="s">
        <v>108</v>
      </c>
      <c r="N548" s="108"/>
      <c r="O548" s="108"/>
      <c r="P548" s="108">
        <v>1.6736666666666669</v>
      </c>
      <c r="Q548" s="108">
        <v>0.77033333333333331</v>
      </c>
      <c r="R548" s="108"/>
      <c r="S548" s="463">
        <f>EXP(2.969*LN(P548*10)-1.611)/1000</f>
        <v>0.8578764612574622</v>
      </c>
      <c r="T548" s="104" t="s">
        <v>672</v>
      </c>
      <c r="U548" s="108">
        <v>0.94099999999999995</v>
      </c>
      <c r="V548" s="107">
        <v>44.075000000000003</v>
      </c>
      <c r="W548" s="106" t="s">
        <v>397</v>
      </c>
    </row>
    <row r="549" spans="1:23" ht="21" customHeight="1">
      <c r="A549" s="104" t="s">
        <v>579</v>
      </c>
      <c r="B549" s="104" t="s">
        <v>580</v>
      </c>
      <c r="C549" s="454" t="s">
        <v>585</v>
      </c>
      <c r="D549" s="105" t="s">
        <v>151</v>
      </c>
      <c r="E549" s="104">
        <v>41229</v>
      </c>
      <c r="F549" s="104">
        <v>2878</v>
      </c>
      <c r="G549" s="106" t="s">
        <v>1357</v>
      </c>
      <c r="H549" s="104" t="s">
        <v>1138</v>
      </c>
      <c r="I549" s="104" t="s">
        <v>225</v>
      </c>
      <c r="J549" s="104" t="s">
        <v>105</v>
      </c>
      <c r="K549" s="104" t="s">
        <v>1363</v>
      </c>
      <c r="L549" s="104" t="s">
        <v>1364</v>
      </c>
      <c r="M549" s="104" t="s">
        <v>114</v>
      </c>
      <c r="N549" s="108">
        <v>0.47166666666666679</v>
      </c>
      <c r="O549" s="108"/>
      <c r="P549" s="108"/>
      <c r="Q549" s="108"/>
      <c r="R549" s="108"/>
      <c r="S549" s="253">
        <f>(10^(2.076*LOG(N549*10)+1.536))/1000</f>
        <v>0.85993701756238594</v>
      </c>
      <c r="T549" s="108" t="s">
        <v>1365</v>
      </c>
      <c r="U549" s="108">
        <v>0.89400000000000002</v>
      </c>
      <c r="V549" s="107">
        <v>14.871</v>
      </c>
      <c r="W549" s="106" t="s">
        <v>1347</v>
      </c>
    </row>
    <row r="550" spans="1:23" ht="21" customHeight="1">
      <c r="A550" s="104" t="s">
        <v>579</v>
      </c>
      <c r="B550" s="104" t="s">
        <v>580</v>
      </c>
      <c r="C550" s="454" t="s">
        <v>585</v>
      </c>
      <c r="D550" s="105" t="s">
        <v>151</v>
      </c>
      <c r="E550" s="104">
        <v>41229</v>
      </c>
      <c r="F550" s="104">
        <v>7443</v>
      </c>
      <c r="G550" s="106" t="s">
        <v>1357</v>
      </c>
      <c r="H550" s="104" t="s">
        <v>1138</v>
      </c>
      <c r="I550" s="104" t="s">
        <v>225</v>
      </c>
      <c r="J550" s="104" t="s">
        <v>105</v>
      </c>
      <c r="K550" s="104" t="s">
        <v>1360</v>
      </c>
      <c r="L550" s="104" t="s">
        <v>1361</v>
      </c>
      <c r="M550" s="104" t="s">
        <v>114</v>
      </c>
      <c r="N550" s="108"/>
      <c r="O550" s="108"/>
      <c r="P550" s="108"/>
      <c r="Q550" s="108">
        <v>0.71933333333333338</v>
      </c>
      <c r="R550" s="108"/>
      <c r="S550" s="463">
        <f>EXP(2.928*LN(Q550*10)+0.981)/1000</f>
        <v>0.86126038228845758</v>
      </c>
      <c r="T550" s="108" t="s">
        <v>1362</v>
      </c>
      <c r="U550" s="108">
        <v>0.97899999999999998</v>
      </c>
      <c r="V550" s="107">
        <v>32.36</v>
      </c>
      <c r="W550" s="106" t="s">
        <v>397</v>
      </c>
    </row>
    <row r="551" spans="1:23" ht="21" customHeight="1">
      <c r="A551" s="104" t="s">
        <v>579</v>
      </c>
      <c r="B551" s="104" t="s">
        <v>580</v>
      </c>
      <c r="C551" s="454" t="s">
        <v>585</v>
      </c>
      <c r="D551" s="105" t="s">
        <v>151</v>
      </c>
      <c r="E551" s="104">
        <v>41229</v>
      </c>
      <c r="F551" s="104">
        <v>17113</v>
      </c>
      <c r="G551" s="106" t="s">
        <v>1357</v>
      </c>
      <c r="H551" s="104" t="s">
        <v>1138</v>
      </c>
      <c r="I551" s="104" t="s">
        <v>225</v>
      </c>
      <c r="J551" s="104" t="s">
        <v>105</v>
      </c>
      <c r="K551" s="104" t="s">
        <v>1363</v>
      </c>
      <c r="L551" s="104" t="s">
        <v>1364</v>
      </c>
      <c r="M551" s="104" t="s">
        <v>108</v>
      </c>
      <c r="N551" s="108">
        <v>0.47366666666666674</v>
      </c>
      <c r="O551" s="108"/>
      <c r="P551" s="108"/>
      <c r="Q551" s="108"/>
      <c r="R551" s="108"/>
      <c r="S551" s="253">
        <f>(10^(2.076*LOG(N551*10)+1.536))/1000</f>
        <v>0.86752416503586005</v>
      </c>
      <c r="T551" s="108" t="s">
        <v>1365</v>
      </c>
      <c r="U551" s="108">
        <v>0.89400000000000002</v>
      </c>
      <c r="V551" s="107">
        <v>14.871</v>
      </c>
      <c r="W551" s="106" t="s">
        <v>1347</v>
      </c>
    </row>
    <row r="552" spans="1:23" ht="21" customHeight="1">
      <c r="A552" s="104" t="s">
        <v>579</v>
      </c>
      <c r="B552" s="104" t="s">
        <v>580</v>
      </c>
      <c r="C552" s="454" t="s">
        <v>585</v>
      </c>
      <c r="D552" s="105" t="s">
        <v>151</v>
      </c>
      <c r="E552" s="104">
        <v>41229</v>
      </c>
      <c r="F552" s="104">
        <v>17023</v>
      </c>
      <c r="G552" s="106" t="s">
        <v>1357</v>
      </c>
      <c r="H552" s="104" t="s">
        <v>1138</v>
      </c>
      <c r="I552" s="104" t="s">
        <v>225</v>
      </c>
      <c r="J552" s="104" t="s">
        <v>105</v>
      </c>
      <c r="K552" s="104" t="s">
        <v>1363</v>
      </c>
      <c r="L552" s="104" t="s">
        <v>1364</v>
      </c>
      <c r="M552" s="104" t="s">
        <v>108</v>
      </c>
      <c r="N552" s="108">
        <v>0.47666666666666668</v>
      </c>
      <c r="O552" s="108"/>
      <c r="P552" s="108"/>
      <c r="Q552" s="108"/>
      <c r="R552" s="108"/>
      <c r="S552" s="253">
        <f>(10^(2.076*LOG(N552*10)+1.536))/1000</f>
        <v>0.87896966908356844</v>
      </c>
      <c r="T552" s="108" t="s">
        <v>1365</v>
      </c>
      <c r="U552" s="108">
        <v>0.89400000000000002</v>
      </c>
      <c r="V552" s="107">
        <v>14.871</v>
      </c>
      <c r="W552" s="106" t="s">
        <v>1347</v>
      </c>
    </row>
    <row r="553" spans="1:23" ht="21" customHeight="1">
      <c r="A553" s="104" t="s">
        <v>579</v>
      </c>
      <c r="B553" s="104" t="s">
        <v>580</v>
      </c>
      <c r="C553" s="454" t="s">
        <v>585</v>
      </c>
      <c r="D553" s="105" t="s">
        <v>151</v>
      </c>
      <c r="E553" s="104">
        <v>41229</v>
      </c>
      <c r="F553" s="104">
        <v>16959</v>
      </c>
      <c r="G553" s="106" t="s">
        <v>1357</v>
      </c>
      <c r="H553" s="104" t="s">
        <v>1138</v>
      </c>
      <c r="I553" s="104" t="s">
        <v>225</v>
      </c>
      <c r="J553" s="104" t="s">
        <v>105</v>
      </c>
      <c r="K553" s="104" t="s">
        <v>1363</v>
      </c>
      <c r="L553" s="104" t="s">
        <v>1364</v>
      </c>
      <c r="M553" s="104" t="s">
        <v>108</v>
      </c>
      <c r="N553" s="108">
        <v>0.47733333333333333</v>
      </c>
      <c r="O553" s="108"/>
      <c r="P553" s="108"/>
      <c r="Q553" s="108"/>
      <c r="R553" s="108"/>
      <c r="S553" s="253">
        <f>(10^(2.076*LOG(N553*10)+1.536))/1000</f>
        <v>0.88152367482283289</v>
      </c>
      <c r="T553" s="108" t="s">
        <v>1365</v>
      </c>
      <c r="U553" s="108">
        <v>0.89400000000000002</v>
      </c>
      <c r="V553" s="107">
        <v>14.871</v>
      </c>
      <c r="W553" s="106" t="s">
        <v>1347</v>
      </c>
    </row>
    <row r="554" spans="1:23" ht="21" customHeight="1">
      <c r="A554" s="104" t="s">
        <v>579</v>
      </c>
      <c r="B554" s="104" t="s">
        <v>580</v>
      </c>
      <c r="C554" s="454" t="s">
        <v>585</v>
      </c>
      <c r="D554" s="105" t="s">
        <v>151</v>
      </c>
      <c r="E554" s="104">
        <v>41229</v>
      </c>
      <c r="F554" s="104">
        <v>2951</v>
      </c>
      <c r="G554" s="106" t="s">
        <v>1357</v>
      </c>
      <c r="H554" s="104" t="s">
        <v>1138</v>
      </c>
      <c r="I554" s="104" t="s">
        <v>104</v>
      </c>
      <c r="J554" s="104" t="s">
        <v>105</v>
      </c>
      <c r="K554" s="104" t="s">
        <v>1363</v>
      </c>
      <c r="L554" s="104" t="s">
        <v>1364</v>
      </c>
      <c r="M554" s="104" t="s">
        <v>114</v>
      </c>
      <c r="N554" s="108">
        <v>0.47733333333333333</v>
      </c>
      <c r="O554" s="108"/>
      <c r="P554" s="108"/>
      <c r="Q554" s="108"/>
      <c r="R554" s="108"/>
      <c r="S554" s="253">
        <f>(10^(2.076*LOG(N554*10)+1.536))/1000</f>
        <v>0.88152367482283289</v>
      </c>
      <c r="T554" s="108" t="s">
        <v>1365</v>
      </c>
      <c r="U554" s="108">
        <v>0.89400000000000002</v>
      </c>
      <c r="V554" s="107">
        <v>14.871</v>
      </c>
      <c r="W554" s="106" t="s">
        <v>1347</v>
      </c>
    </row>
    <row r="555" spans="1:23" ht="21" customHeight="1">
      <c r="A555" s="104" t="s">
        <v>579</v>
      </c>
      <c r="B555" s="104" t="s">
        <v>580</v>
      </c>
      <c r="C555" s="454" t="s">
        <v>585</v>
      </c>
      <c r="D555" s="105" t="s">
        <v>151</v>
      </c>
      <c r="E555" s="104">
        <v>41229</v>
      </c>
      <c r="F555" s="104">
        <v>17163</v>
      </c>
      <c r="G555" s="106" t="s">
        <v>1357</v>
      </c>
      <c r="H555" s="104" t="s">
        <v>1138</v>
      </c>
      <c r="I555" s="104" t="s">
        <v>225</v>
      </c>
      <c r="J555" s="104" t="s">
        <v>105</v>
      </c>
      <c r="K555" s="104" t="s">
        <v>655</v>
      </c>
      <c r="L555" s="104" t="s">
        <v>656</v>
      </c>
      <c r="M555" s="104" t="s">
        <v>108</v>
      </c>
      <c r="N555" s="254"/>
      <c r="O555" s="103"/>
      <c r="P555" s="108">
        <v>0.94700000000000006</v>
      </c>
      <c r="Q555" s="108">
        <v>0.40533333333333338</v>
      </c>
      <c r="R555" s="108"/>
      <c r="S555" s="253">
        <f>(10^((1.463*LOG((P555*Q555*100))+0.633)))/1000</f>
        <v>0.89254360727276105</v>
      </c>
      <c r="T555" s="104" t="s">
        <v>657</v>
      </c>
      <c r="U555" s="108">
        <v>0.97660000000000002</v>
      </c>
      <c r="V555" s="107">
        <v>33.36</v>
      </c>
      <c r="W555" s="106" t="s">
        <v>404</v>
      </c>
    </row>
    <row r="556" spans="1:23" ht="21" customHeight="1">
      <c r="A556" s="416" t="s">
        <v>579</v>
      </c>
      <c r="B556" s="416" t="s">
        <v>580</v>
      </c>
      <c r="C556" s="455" t="s">
        <v>585</v>
      </c>
      <c r="D556" s="105" t="s">
        <v>151</v>
      </c>
      <c r="E556" s="416">
        <v>41229</v>
      </c>
      <c r="F556" s="416">
        <v>5298</v>
      </c>
      <c r="G556" s="456" t="s">
        <v>1357</v>
      </c>
      <c r="H556" s="416" t="s">
        <v>1138</v>
      </c>
      <c r="I556" s="104" t="s">
        <v>225</v>
      </c>
      <c r="J556" s="416" t="s">
        <v>105</v>
      </c>
      <c r="K556" s="416" t="s">
        <v>670</v>
      </c>
      <c r="L556" s="416" t="s">
        <v>671</v>
      </c>
      <c r="M556" s="416" t="s">
        <v>114</v>
      </c>
      <c r="N556" s="458"/>
      <c r="O556" s="458"/>
      <c r="P556" s="458">
        <v>1.6983333333333335</v>
      </c>
      <c r="Q556" s="458">
        <v>0.63100000000000001</v>
      </c>
      <c r="R556" s="458"/>
      <c r="S556" s="468">
        <f>EXP(2.969*LN(P556*10)-1.611)/1000</f>
        <v>0.8959621837076801</v>
      </c>
      <c r="T556" s="416" t="s">
        <v>672</v>
      </c>
      <c r="U556" s="458">
        <v>0.94099999999999995</v>
      </c>
      <c r="V556" s="460">
        <v>44.075000000000003</v>
      </c>
      <c r="W556" s="456" t="s">
        <v>397</v>
      </c>
    </row>
    <row r="557" spans="1:23" ht="21" customHeight="1">
      <c r="A557" s="104" t="s">
        <v>579</v>
      </c>
      <c r="B557" s="104" t="s">
        <v>580</v>
      </c>
      <c r="C557" s="454" t="s">
        <v>585</v>
      </c>
      <c r="D557" s="105" t="s">
        <v>151</v>
      </c>
      <c r="E557" s="104">
        <v>41229</v>
      </c>
      <c r="F557" s="104">
        <v>17695</v>
      </c>
      <c r="G557" s="106" t="s">
        <v>1357</v>
      </c>
      <c r="H557" s="104" t="s">
        <v>1138</v>
      </c>
      <c r="I557" s="104" t="s">
        <v>104</v>
      </c>
      <c r="J557" s="104" t="s">
        <v>105</v>
      </c>
      <c r="K557" s="104" t="s">
        <v>1363</v>
      </c>
      <c r="L557" s="104" t="s">
        <v>1364</v>
      </c>
      <c r="M557" s="104" t="s">
        <v>108</v>
      </c>
      <c r="N557" s="108">
        <v>0.48166666666666674</v>
      </c>
      <c r="O557" s="108"/>
      <c r="P557" s="108"/>
      <c r="Q557" s="108"/>
      <c r="R557" s="108"/>
      <c r="S557" s="253">
        <f>(10^(2.076*LOG(N557*10)+1.536))/1000</f>
        <v>0.89821835538378136</v>
      </c>
      <c r="T557" s="108" t="s">
        <v>1365</v>
      </c>
      <c r="U557" s="108">
        <v>0.89400000000000002</v>
      </c>
      <c r="V557" s="107">
        <v>14.871</v>
      </c>
      <c r="W557" s="106" t="s">
        <v>1347</v>
      </c>
    </row>
    <row r="558" spans="1:23" ht="21" customHeight="1">
      <c r="A558" s="104" t="s">
        <v>579</v>
      </c>
      <c r="B558" s="104" t="s">
        <v>580</v>
      </c>
      <c r="C558" s="454" t="s">
        <v>585</v>
      </c>
      <c r="D558" s="105" t="s">
        <v>151</v>
      </c>
      <c r="E558" s="104">
        <v>41229</v>
      </c>
      <c r="F558" s="104">
        <v>17213</v>
      </c>
      <c r="G558" s="106" t="s">
        <v>1357</v>
      </c>
      <c r="H558" s="104" t="s">
        <v>1138</v>
      </c>
      <c r="I558" s="104" t="s">
        <v>225</v>
      </c>
      <c r="J558" s="104" t="s">
        <v>105</v>
      </c>
      <c r="K558" s="104" t="s">
        <v>655</v>
      </c>
      <c r="L558" s="104" t="s">
        <v>656</v>
      </c>
      <c r="M558" s="104" t="s">
        <v>108</v>
      </c>
      <c r="N558" s="254"/>
      <c r="O558" s="103"/>
      <c r="P558" s="108">
        <v>1.0950000000000002</v>
      </c>
      <c r="Q558" s="108">
        <v>0.35366666666666668</v>
      </c>
      <c r="R558" s="108"/>
      <c r="S558" s="253">
        <f>(10^((1.463*LOG((P558*Q558*100))+0.633)))/1000</f>
        <v>0.90418243779179575</v>
      </c>
      <c r="T558" s="104" t="s">
        <v>657</v>
      </c>
      <c r="U558" s="108">
        <v>0.97660000000000002</v>
      </c>
      <c r="V558" s="107">
        <v>33.36</v>
      </c>
      <c r="W558" s="106" t="s">
        <v>404</v>
      </c>
    </row>
    <row r="559" spans="1:23" ht="21" customHeight="1">
      <c r="A559" s="104" t="s">
        <v>579</v>
      </c>
      <c r="B559" s="104" t="s">
        <v>580</v>
      </c>
      <c r="C559" s="454" t="s">
        <v>585</v>
      </c>
      <c r="D559" s="105" t="s">
        <v>151</v>
      </c>
      <c r="E559" s="104">
        <v>41229</v>
      </c>
      <c r="F559" s="104">
        <v>17053</v>
      </c>
      <c r="G559" s="106" t="s">
        <v>1357</v>
      </c>
      <c r="H559" s="104" t="s">
        <v>1138</v>
      </c>
      <c r="I559" s="104" t="s">
        <v>225</v>
      </c>
      <c r="J559" s="104" t="s">
        <v>105</v>
      </c>
      <c r="K559" s="104" t="s">
        <v>655</v>
      </c>
      <c r="L559" s="104" t="s">
        <v>656</v>
      </c>
      <c r="M559" s="104" t="s">
        <v>108</v>
      </c>
      <c r="N559" s="254"/>
      <c r="O559" s="103"/>
      <c r="P559" s="108">
        <v>0.93933333333333324</v>
      </c>
      <c r="Q559" s="108">
        <v>0.41633333333333333</v>
      </c>
      <c r="R559" s="108"/>
      <c r="S559" s="253">
        <f>(10^((1.463*LOG((P559*Q559*100))+0.633)))/1000</f>
        <v>0.91722888438350825</v>
      </c>
      <c r="T559" s="104" t="s">
        <v>657</v>
      </c>
      <c r="U559" s="108">
        <v>0.97660000000000002</v>
      </c>
      <c r="V559" s="107">
        <v>33.36</v>
      </c>
      <c r="W559" s="106" t="s">
        <v>404</v>
      </c>
    </row>
    <row r="560" spans="1:23" ht="21" customHeight="1">
      <c r="A560" s="104" t="s">
        <v>579</v>
      </c>
      <c r="B560" s="104" t="s">
        <v>580</v>
      </c>
      <c r="C560" s="454" t="s">
        <v>585</v>
      </c>
      <c r="D560" s="105" t="s">
        <v>151</v>
      </c>
      <c r="E560" s="104">
        <v>41229</v>
      </c>
      <c r="F560" s="104">
        <v>17048</v>
      </c>
      <c r="G560" s="106" t="s">
        <v>1357</v>
      </c>
      <c r="H560" s="104" t="s">
        <v>1138</v>
      </c>
      <c r="I560" s="104" t="s">
        <v>225</v>
      </c>
      <c r="J560" s="104" t="s">
        <v>105</v>
      </c>
      <c r="K560" s="104" t="s">
        <v>1363</v>
      </c>
      <c r="L560" s="104" t="s">
        <v>1364</v>
      </c>
      <c r="M560" s="104" t="s">
        <v>114</v>
      </c>
      <c r="N560" s="108">
        <v>0.48666666666666669</v>
      </c>
      <c r="O560" s="108"/>
      <c r="P560" s="108"/>
      <c r="Q560" s="108"/>
      <c r="R560" s="108"/>
      <c r="S560" s="253">
        <f t="shared" ref="S560:S567" si="9">(10^(2.076*LOG(N560*10)+1.536))/1000</f>
        <v>0.91768324786037636</v>
      </c>
      <c r="T560" s="108" t="s">
        <v>1365</v>
      </c>
      <c r="U560" s="108">
        <v>0.89400000000000002</v>
      </c>
      <c r="V560" s="107">
        <v>14.871</v>
      </c>
      <c r="W560" s="106" t="s">
        <v>1347</v>
      </c>
    </row>
    <row r="561" spans="1:23" ht="21" customHeight="1">
      <c r="A561" s="104" t="s">
        <v>579</v>
      </c>
      <c r="B561" s="104" t="s">
        <v>580</v>
      </c>
      <c r="C561" s="454" t="s">
        <v>585</v>
      </c>
      <c r="D561" s="105" t="s">
        <v>151</v>
      </c>
      <c r="E561" s="104">
        <v>41229</v>
      </c>
      <c r="F561" s="104">
        <v>17656</v>
      </c>
      <c r="G561" s="106" t="s">
        <v>1357</v>
      </c>
      <c r="H561" s="104" t="s">
        <v>1138</v>
      </c>
      <c r="I561" s="104" t="s">
        <v>104</v>
      </c>
      <c r="J561" s="104" t="s">
        <v>105</v>
      </c>
      <c r="K561" s="104" t="s">
        <v>1363</v>
      </c>
      <c r="L561" s="104" t="s">
        <v>1364</v>
      </c>
      <c r="M561" s="104" t="s">
        <v>108</v>
      </c>
      <c r="N561" s="108">
        <v>0.48666666666666669</v>
      </c>
      <c r="O561" s="108"/>
      <c r="P561" s="108"/>
      <c r="Q561" s="108"/>
      <c r="R561" s="108"/>
      <c r="S561" s="253">
        <f t="shared" si="9"/>
        <v>0.91768324786037636</v>
      </c>
      <c r="T561" s="108" t="s">
        <v>1365</v>
      </c>
      <c r="U561" s="108">
        <v>0.89400000000000002</v>
      </c>
      <c r="V561" s="107">
        <v>14.871</v>
      </c>
      <c r="W561" s="106" t="s">
        <v>1347</v>
      </c>
    </row>
    <row r="562" spans="1:23" ht="21" customHeight="1">
      <c r="A562" s="104" t="s">
        <v>579</v>
      </c>
      <c r="B562" s="104" t="s">
        <v>580</v>
      </c>
      <c r="C562" s="454" t="s">
        <v>585</v>
      </c>
      <c r="D562" s="105" t="s">
        <v>151</v>
      </c>
      <c r="E562" s="104">
        <v>41229</v>
      </c>
      <c r="F562" s="104">
        <v>7441</v>
      </c>
      <c r="G562" s="106" t="s">
        <v>1357</v>
      </c>
      <c r="H562" s="104" t="s">
        <v>1138</v>
      </c>
      <c r="I562" s="104" t="s">
        <v>225</v>
      </c>
      <c r="J562" s="104" t="s">
        <v>105</v>
      </c>
      <c r="K562" s="104" t="s">
        <v>1363</v>
      </c>
      <c r="L562" s="104" t="s">
        <v>1364</v>
      </c>
      <c r="M562" s="104" t="s">
        <v>108</v>
      </c>
      <c r="N562" s="108">
        <v>0.48799999999999999</v>
      </c>
      <c r="O562" s="108"/>
      <c r="P562" s="108"/>
      <c r="Q562" s="108"/>
      <c r="R562" s="108"/>
      <c r="S562" s="253">
        <f t="shared" si="9"/>
        <v>0.92291042237517518</v>
      </c>
      <c r="T562" s="108" t="s">
        <v>1365</v>
      </c>
      <c r="U562" s="108">
        <v>0.89400000000000002</v>
      </c>
      <c r="V562" s="107">
        <v>14.871</v>
      </c>
      <c r="W562" s="106" t="s">
        <v>1347</v>
      </c>
    </row>
    <row r="563" spans="1:23" ht="21" customHeight="1">
      <c r="A563" s="104" t="s">
        <v>579</v>
      </c>
      <c r="B563" s="104" t="s">
        <v>580</v>
      </c>
      <c r="C563" s="454" t="s">
        <v>585</v>
      </c>
      <c r="D563" s="105" t="s">
        <v>151</v>
      </c>
      <c r="E563" s="104">
        <v>41229</v>
      </c>
      <c r="F563" s="104">
        <v>17532</v>
      </c>
      <c r="G563" s="106" t="s">
        <v>1357</v>
      </c>
      <c r="H563" s="104" t="s">
        <v>1138</v>
      </c>
      <c r="I563" s="104" t="s">
        <v>104</v>
      </c>
      <c r="J563" s="104" t="s">
        <v>105</v>
      </c>
      <c r="K563" s="104" t="s">
        <v>1363</v>
      </c>
      <c r="L563" s="104" t="s">
        <v>1364</v>
      </c>
      <c r="M563" s="104" t="s">
        <v>114</v>
      </c>
      <c r="N563" s="108">
        <v>0.48833333333333329</v>
      </c>
      <c r="O563" s="108"/>
      <c r="P563" s="108"/>
      <c r="Q563" s="108"/>
      <c r="R563" s="108"/>
      <c r="S563" s="253">
        <f t="shared" si="9"/>
        <v>0.92421962055748985</v>
      </c>
      <c r="T563" s="108" t="s">
        <v>1365</v>
      </c>
      <c r="U563" s="108">
        <v>0.89400000000000002</v>
      </c>
      <c r="V563" s="107">
        <v>14.871</v>
      </c>
      <c r="W563" s="106" t="s">
        <v>1347</v>
      </c>
    </row>
    <row r="564" spans="1:23" ht="21" customHeight="1">
      <c r="A564" s="104" t="s">
        <v>579</v>
      </c>
      <c r="B564" s="104" t="s">
        <v>580</v>
      </c>
      <c r="C564" s="454" t="s">
        <v>585</v>
      </c>
      <c r="D564" s="105" t="s">
        <v>151</v>
      </c>
      <c r="E564" s="104">
        <v>41229</v>
      </c>
      <c r="F564" s="104">
        <v>5079</v>
      </c>
      <c r="G564" s="106" t="s">
        <v>1357</v>
      </c>
      <c r="H564" s="104" t="s">
        <v>1138</v>
      </c>
      <c r="I564" s="104" t="s">
        <v>225</v>
      </c>
      <c r="J564" s="104" t="s">
        <v>105</v>
      </c>
      <c r="K564" s="104" t="s">
        <v>1363</v>
      </c>
      <c r="L564" s="104" t="s">
        <v>1364</v>
      </c>
      <c r="M564" s="104" t="s">
        <v>108</v>
      </c>
      <c r="N564" s="108">
        <v>0.48966666666666675</v>
      </c>
      <c r="O564" s="108"/>
      <c r="P564" s="108"/>
      <c r="Q564" s="108"/>
      <c r="R564" s="108"/>
      <c r="S564" s="253">
        <f t="shared" si="9"/>
        <v>0.92946603299872266</v>
      </c>
      <c r="T564" s="108" t="s">
        <v>1365</v>
      </c>
      <c r="U564" s="108">
        <v>0.89400000000000002</v>
      </c>
      <c r="V564" s="107">
        <v>14.871</v>
      </c>
      <c r="W564" s="106" t="s">
        <v>1347</v>
      </c>
    </row>
    <row r="565" spans="1:23" ht="21" customHeight="1">
      <c r="A565" s="104" t="s">
        <v>579</v>
      </c>
      <c r="B565" s="104" t="s">
        <v>580</v>
      </c>
      <c r="C565" s="454" t="s">
        <v>585</v>
      </c>
      <c r="D565" s="105" t="s">
        <v>151</v>
      </c>
      <c r="E565" s="104">
        <v>41229</v>
      </c>
      <c r="F565" s="104">
        <v>7430</v>
      </c>
      <c r="G565" s="106" t="s">
        <v>1357</v>
      </c>
      <c r="H565" s="104" t="s">
        <v>1138</v>
      </c>
      <c r="I565" s="104" t="s">
        <v>225</v>
      </c>
      <c r="J565" s="104" t="s">
        <v>105</v>
      </c>
      <c r="K565" s="104" t="s">
        <v>1363</v>
      </c>
      <c r="L565" s="104" t="s">
        <v>1364</v>
      </c>
      <c r="M565" s="104" t="s">
        <v>114</v>
      </c>
      <c r="N565" s="108">
        <v>0.49233333333333329</v>
      </c>
      <c r="O565" s="108"/>
      <c r="P565" s="108"/>
      <c r="Q565" s="108"/>
      <c r="R565" s="108"/>
      <c r="S565" s="253">
        <f t="shared" si="9"/>
        <v>0.94000504285378317</v>
      </c>
      <c r="T565" s="108" t="s">
        <v>1365</v>
      </c>
      <c r="U565" s="108">
        <v>0.89400000000000002</v>
      </c>
      <c r="V565" s="107">
        <v>14.871</v>
      </c>
      <c r="W565" s="106" t="s">
        <v>1347</v>
      </c>
    </row>
    <row r="566" spans="1:23" ht="21" customHeight="1">
      <c r="A566" s="104" t="s">
        <v>579</v>
      </c>
      <c r="B566" s="104" t="s">
        <v>580</v>
      </c>
      <c r="C566" s="454" t="s">
        <v>585</v>
      </c>
      <c r="D566" s="105" t="s">
        <v>151</v>
      </c>
      <c r="E566" s="104">
        <v>41229</v>
      </c>
      <c r="F566" s="104">
        <v>17027</v>
      </c>
      <c r="G566" s="106" t="s">
        <v>1357</v>
      </c>
      <c r="H566" s="104" t="s">
        <v>1138</v>
      </c>
      <c r="I566" s="104" t="s">
        <v>225</v>
      </c>
      <c r="J566" s="104" t="s">
        <v>105</v>
      </c>
      <c r="K566" s="104" t="s">
        <v>1363</v>
      </c>
      <c r="L566" s="104" t="s">
        <v>1364</v>
      </c>
      <c r="M566" s="104" t="s">
        <v>114</v>
      </c>
      <c r="N566" s="108">
        <v>0.49300000000000005</v>
      </c>
      <c r="O566" s="108"/>
      <c r="P566" s="108"/>
      <c r="Q566" s="108"/>
      <c r="R566" s="108"/>
      <c r="S566" s="253">
        <f t="shared" si="9"/>
        <v>0.94264941950462899</v>
      </c>
      <c r="T566" s="108" t="s">
        <v>1365</v>
      </c>
      <c r="U566" s="108">
        <v>0.89400000000000002</v>
      </c>
      <c r="V566" s="107">
        <v>14.871</v>
      </c>
      <c r="W566" s="106" t="s">
        <v>1347</v>
      </c>
    </row>
    <row r="567" spans="1:23" ht="21" customHeight="1">
      <c r="A567" s="104" t="s">
        <v>579</v>
      </c>
      <c r="B567" s="104" t="s">
        <v>580</v>
      </c>
      <c r="C567" s="454" t="s">
        <v>585</v>
      </c>
      <c r="D567" s="105" t="s">
        <v>151</v>
      </c>
      <c r="E567" s="104">
        <v>41229</v>
      </c>
      <c r="F567" s="104">
        <v>679</v>
      </c>
      <c r="G567" s="106" t="s">
        <v>1357</v>
      </c>
      <c r="H567" s="104" t="s">
        <v>1138</v>
      </c>
      <c r="I567" s="104" t="s">
        <v>104</v>
      </c>
      <c r="J567" s="104" t="s">
        <v>105</v>
      </c>
      <c r="K567" s="104" t="s">
        <v>1363</v>
      </c>
      <c r="L567" s="104" t="s">
        <v>1364</v>
      </c>
      <c r="M567" s="104" t="s">
        <v>114</v>
      </c>
      <c r="N567" s="108">
        <v>0.49333333333333329</v>
      </c>
      <c r="O567" s="108"/>
      <c r="P567" s="108"/>
      <c r="Q567" s="108"/>
      <c r="R567" s="108"/>
      <c r="S567" s="253">
        <f t="shared" si="9"/>
        <v>0.94397305173064017</v>
      </c>
      <c r="T567" s="108" t="s">
        <v>1365</v>
      </c>
      <c r="U567" s="108">
        <v>0.89400000000000002</v>
      </c>
      <c r="V567" s="107">
        <v>14.871</v>
      </c>
      <c r="W567" s="106" t="s">
        <v>1347</v>
      </c>
    </row>
    <row r="568" spans="1:23" ht="21" customHeight="1">
      <c r="A568" s="104" t="s">
        <v>579</v>
      </c>
      <c r="B568" s="104" t="s">
        <v>580</v>
      </c>
      <c r="C568" s="454" t="s">
        <v>585</v>
      </c>
      <c r="D568" s="105" t="s">
        <v>151</v>
      </c>
      <c r="E568" s="104">
        <v>41229</v>
      </c>
      <c r="F568" s="104">
        <v>17192</v>
      </c>
      <c r="G568" s="106" t="s">
        <v>1357</v>
      </c>
      <c r="H568" s="104" t="s">
        <v>1138</v>
      </c>
      <c r="I568" s="104" t="s">
        <v>225</v>
      </c>
      <c r="J568" s="104" t="s">
        <v>105</v>
      </c>
      <c r="K568" s="104" t="s">
        <v>670</v>
      </c>
      <c r="L568" s="104" t="s">
        <v>671</v>
      </c>
      <c r="M568" s="104" t="s">
        <v>108</v>
      </c>
      <c r="N568" s="108"/>
      <c r="O568" s="108"/>
      <c r="P568" s="108">
        <v>1.7286666666666666</v>
      </c>
      <c r="Q568" s="108">
        <v>0.63100000000000001</v>
      </c>
      <c r="R568" s="108"/>
      <c r="S568" s="463">
        <f>EXP(2.969*LN(P568*10)-1.611)/1000</f>
        <v>0.94431375083003655</v>
      </c>
      <c r="T568" s="104" t="s">
        <v>672</v>
      </c>
      <c r="U568" s="108">
        <v>0.94099999999999995</v>
      </c>
      <c r="V568" s="107">
        <v>44.075000000000003</v>
      </c>
      <c r="W568" s="106" t="s">
        <v>397</v>
      </c>
    </row>
    <row r="569" spans="1:23" ht="21" customHeight="1">
      <c r="A569" s="104" t="s">
        <v>579</v>
      </c>
      <c r="B569" s="104" t="s">
        <v>580</v>
      </c>
      <c r="C569" s="454" t="s">
        <v>585</v>
      </c>
      <c r="D569" s="105" t="s">
        <v>151</v>
      </c>
      <c r="E569" s="104">
        <v>41229</v>
      </c>
      <c r="F569" s="104">
        <v>17277</v>
      </c>
      <c r="G569" s="106" t="s">
        <v>1357</v>
      </c>
      <c r="H569" s="104" t="s">
        <v>1138</v>
      </c>
      <c r="I569" s="104" t="s">
        <v>225</v>
      </c>
      <c r="J569" s="104" t="s">
        <v>105</v>
      </c>
      <c r="K569" s="104" t="s">
        <v>1363</v>
      </c>
      <c r="L569" s="104" t="s">
        <v>1364</v>
      </c>
      <c r="M569" s="104" t="s">
        <v>114</v>
      </c>
      <c r="N569" s="108">
        <v>0.49400000000000005</v>
      </c>
      <c r="O569" s="108"/>
      <c r="P569" s="108"/>
      <c r="Q569" s="108"/>
      <c r="R569" s="108"/>
      <c r="S569" s="253">
        <f>(10^(2.076*LOG(N569*10)+1.536))/1000</f>
        <v>0.94662320423109214</v>
      </c>
      <c r="T569" s="108" t="s">
        <v>1365</v>
      </c>
      <c r="U569" s="108">
        <v>0.89400000000000002</v>
      </c>
      <c r="V569" s="107">
        <v>14.871</v>
      </c>
      <c r="W569" s="106" t="s">
        <v>1347</v>
      </c>
    </row>
    <row r="570" spans="1:23" ht="21" customHeight="1">
      <c r="A570" s="104" t="s">
        <v>579</v>
      </c>
      <c r="B570" s="104" t="s">
        <v>580</v>
      </c>
      <c r="C570" s="454" t="s">
        <v>585</v>
      </c>
      <c r="D570" s="105" t="s">
        <v>151</v>
      </c>
      <c r="E570" s="104">
        <v>41229</v>
      </c>
      <c r="F570" s="104">
        <v>1354</v>
      </c>
      <c r="G570" s="106" t="s">
        <v>1357</v>
      </c>
      <c r="H570" s="104" t="s">
        <v>1138</v>
      </c>
      <c r="I570" s="104" t="s">
        <v>225</v>
      </c>
      <c r="J570" s="104" t="s">
        <v>105</v>
      </c>
      <c r="K570" s="104" t="s">
        <v>1363</v>
      </c>
      <c r="L570" s="104" t="s">
        <v>1364</v>
      </c>
      <c r="M570" s="104" t="s">
        <v>114</v>
      </c>
      <c r="N570" s="108">
        <v>0.4943333333333334</v>
      </c>
      <c r="O570" s="108"/>
      <c r="P570" s="108"/>
      <c r="Q570" s="108"/>
      <c r="R570" s="108"/>
      <c r="S570" s="253">
        <f>(10^(2.076*LOG(N570*10)+1.536))/1000</f>
        <v>0.94794972460433768</v>
      </c>
      <c r="T570" s="108" t="s">
        <v>1365</v>
      </c>
      <c r="U570" s="108">
        <v>0.89400000000000002</v>
      </c>
      <c r="V570" s="107">
        <v>14.871</v>
      </c>
      <c r="W570" s="106" t="s">
        <v>1347</v>
      </c>
    </row>
    <row r="571" spans="1:23" ht="21" customHeight="1">
      <c r="A571" s="104" t="s">
        <v>579</v>
      </c>
      <c r="B571" s="104" t="s">
        <v>580</v>
      </c>
      <c r="C571" s="454" t="s">
        <v>585</v>
      </c>
      <c r="D571" s="105" t="s">
        <v>151</v>
      </c>
      <c r="E571" s="104">
        <v>41229</v>
      </c>
      <c r="F571" s="104">
        <v>17207</v>
      </c>
      <c r="G571" s="106" t="s">
        <v>1357</v>
      </c>
      <c r="H571" s="104" t="s">
        <v>1138</v>
      </c>
      <c r="I571" s="104" t="s">
        <v>225</v>
      </c>
      <c r="J571" s="104" t="s">
        <v>105</v>
      </c>
      <c r="K571" s="104" t="s">
        <v>655</v>
      </c>
      <c r="L571" s="104" t="s">
        <v>656</v>
      </c>
      <c r="M571" s="104" t="s">
        <v>114</v>
      </c>
      <c r="N571" s="254"/>
      <c r="O571" s="103"/>
      <c r="P571" s="108">
        <v>0.92266666666666663</v>
      </c>
      <c r="Q571" s="108">
        <v>0.43466666666666665</v>
      </c>
      <c r="R571" s="108"/>
      <c r="S571" s="253">
        <f>(10^((1.463*LOG((P571*Q571*100))+0.633)))/1000</f>
        <v>0.95166327135838791</v>
      </c>
      <c r="T571" s="104" t="s">
        <v>657</v>
      </c>
      <c r="U571" s="108">
        <v>0.97660000000000002</v>
      </c>
      <c r="V571" s="107">
        <v>33.36</v>
      </c>
      <c r="W571" s="106" t="s">
        <v>404</v>
      </c>
    </row>
    <row r="572" spans="1:23" ht="21" customHeight="1">
      <c r="A572" s="104" t="s">
        <v>579</v>
      </c>
      <c r="B572" s="104" t="s">
        <v>580</v>
      </c>
      <c r="C572" s="454" t="s">
        <v>585</v>
      </c>
      <c r="D572" s="105" t="s">
        <v>151</v>
      </c>
      <c r="E572" s="104">
        <v>41229</v>
      </c>
      <c r="F572" s="104">
        <v>17507</v>
      </c>
      <c r="G572" s="106" t="s">
        <v>1357</v>
      </c>
      <c r="H572" s="104" t="s">
        <v>1138</v>
      </c>
      <c r="I572" s="104" t="s">
        <v>104</v>
      </c>
      <c r="J572" s="104" t="s">
        <v>105</v>
      </c>
      <c r="K572" s="104" t="s">
        <v>1363</v>
      </c>
      <c r="L572" s="104" t="s">
        <v>1364</v>
      </c>
      <c r="M572" s="104" t="s">
        <v>114</v>
      </c>
      <c r="N572" s="108">
        <v>0.496</v>
      </c>
      <c r="O572" s="108"/>
      <c r="P572" s="108"/>
      <c r="Q572" s="108"/>
      <c r="R572" s="108"/>
      <c r="S572" s="253">
        <f>(10^(2.076*LOG(N572*10)+1.536))/1000</f>
        <v>0.95459676967412854</v>
      </c>
      <c r="T572" s="108" t="s">
        <v>1365</v>
      </c>
      <c r="U572" s="108">
        <v>0.89400000000000002</v>
      </c>
      <c r="V572" s="107">
        <v>14.871</v>
      </c>
      <c r="W572" s="106" t="s">
        <v>1347</v>
      </c>
    </row>
    <row r="573" spans="1:23" ht="21" customHeight="1">
      <c r="A573" s="104" t="s">
        <v>579</v>
      </c>
      <c r="B573" s="104" t="s">
        <v>580</v>
      </c>
      <c r="C573" s="454" t="s">
        <v>585</v>
      </c>
      <c r="D573" s="105" t="s">
        <v>151</v>
      </c>
      <c r="E573" s="104">
        <v>41229</v>
      </c>
      <c r="F573" s="104">
        <v>17405</v>
      </c>
      <c r="G573" s="106" t="s">
        <v>1357</v>
      </c>
      <c r="H573" s="104" t="s">
        <v>1138</v>
      </c>
      <c r="I573" s="104" t="s">
        <v>225</v>
      </c>
      <c r="J573" s="104" t="s">
        <v>105</v>
      </c>
      <c r="K573" s="104" t="s">
        <v>1363</v>
      </c>
      <c r="L573" s="104" t="s">
        <v>1364</v>
      </c>
      <c r="M573" s="104" t="s">
        <v>108</v>
      </c>
      <c r="N573" s="108">
        <v>0.497</v>
      </c>
      <c r="O573" s="108"/>
      <c r="P573" s="108"/>
      <c r="Q573" s="108"/>
      <c r="R573" s="108"/>
      <c r="S573" s="253">
        <f>(10^(2.076*LOG(N573*10)+1.536))/1000</f>
        <v>0.95859655305184777</v>
      </c>
      <c r="T573" s="108" t="s">
        <v>1365</v>
      </c>
      <c r="U573" s="108">
        <v>0.89400000000000002</v>
      </c>
      <c r="V573" s="107">
        <v>14.871</v>
      </c>
      <c r="W573" s="106" t="s">
        <v>1347</v>
      </c>
    </row>
    <row r="574" spans="1:23" ht="21" customHeight="1">
      <c r="A574" s="104" t="s">
        <v>579</v>
      </c>
      <c r="B574" s="104" t="s">
        <v>580</v>
      </c>
      <c r="C574" s="454" t="s">
        <v>585</v>
      </c>
      <c r="D574" s="105" t="s">
        <v>151</v>
      </c>
      <c r="E574" s="104">
        <v>41229</v>
      </c>
      <c r="F574" s="104">
        <v>17253</v>
      </c>
      <c r="G574" s="106" t="s">
        <v>1357</v>
      </c>
      <c r="H574" s="104" t="s">
        <v>1138</v>
      </c>
      <c r="I574" s="104" t="s">
        <v>225</v>
      </c>
      <c r="J574" s="104" t="s">
        <v>105</v>
      </c>
      <c r="K574" s="104" t="s">
        <v>655</v>
      </c>
      <c r="L574" s="104" t="s">
        <v>656</v>
      </c>
      <c r="M574" s="104" t="s">
        <v>108</v>
      </c>
      <c r="N574" s="254"/>
      <c r="O574" s="103"/>
      <c r="P574" s="108">
        <v>0.96533333333333338</v>
      </c>
      <c r="Q574" s="108">
        <v>0.41933333333333345</v>
      </c>
      <c r="R574" s="108"/>
      <c r="S574" s="253">
        <f>(10^((1.463*LOG((P574*Q574*100))+0.633)))/1000</f>
        <v>0.96468888858700208</v>
      </c>
      <c r="T574" s="104" t="s">
        <v>657</v>
      </c>
      <c r="U574" s="108">
        <v>0.97660000000000002</v>
      </c>
      <c r="V574" s="107">
        <v>33.36</v>
      </c>
      <c r="W574" s="106" t="s">
        <v>404</v>
      </c>
    </row>
    <row r="575" spans="1:23" ht="21" customHeight="1">
      <c r="A575" s="104" t="s">
        <v>579</v>
      </c>
      <c r="B575" s="104" t="s">
        <v>580</v>
      </c>
      <c r="C575" s="454" t="s">
        <v>585</v>
      </c>
      <c r="D575" s="105" t="s">
        <v>151</v>
      </c>
      <c r="E575" s="104">
        <v>41229</v>
      </c>
      <c r="F575" s="104">
        <v>17505</v>
      </c>
      <c r="G575" s="106" t="s">
        <v>1357</v>
      </c>
      <c r="H575" s="104" t="s">
        <v>1138</v>
      </c>
      <c r="I575" s="104" t="s">
        <v>104</v>
      </c>
      <c r="J575" s="104" t="s">
        <v>105</v>
      </c>
      <c r="K575" s="104" t="s">
        <v>1363</v>
      </c>
      <c r="L575" s="104" t="s">
        <v>1364</v>
      </c>
      <c r="M575" s="104" t="s">
        <v>108</v>
      </c>
      <c r="N575" s="108">
        <v>0.5023333333333333</v>
      </c>
      <c r="O575" s="108"/>
      <c r="P575" s="108"/>
      <c r="Q575" s="108"/>
      <c r="R575" s="108"/>
      <c r="S575" s="253">
        <f>(10^(2.076*LOG(N575*10)+1.536))/1000</f>
        <v>0.98007517097668717</v>
      </c>
      <c r="T575" s="108" t="s">
        <v>1365</v>
      </c>
      <c r="U575" s="108">
        <v>0.89400000000000002</v>
      </c>
      <c r="V575" s="107">
        <v>14.871</v>
      </c>
      <c r="W575" s="106" t="s">
        <v>1347</v>
      </c>
    </row>
    <row r="576" spans="1:23" ht="21" customHeight="1">
      <c r="A576" s="104" t="s">
        <v>579</v>
      </c>
      <c r="B576" s="104" t="s">
        <v>580</v>
      </c>
      <c r="C576" s="454" t="s">
        <v>585</v>
      </c>
      <c r="D576" s="105" t="s">
        <v>151</v>
      </c>
      <c r="E576" s="104">
        <v>41229</v>
      </c>
      <c r="F576" s="104">
        <v>17300</v>
      </c>
      <c r="G576" s="106" t="s">
        <v>1357</v>
      </c>
      <c r="H576" s="104" t="s">
        <v>1138</v>
      </c>
      <c r="I576" s="104" t="s">
        <v>225</v>
      </c>
      <c r="J576" s="104" t="s">
        <v>105</v>
      </c>
      <c r="K576" s="104" t="s">
        <v>1363</v>
      </c>
      <c r="L576" s="104" t="s">
        <v>1364</v>
      </c>
      <c r="M576" s="104" t="s">
        <v>108</v>
      </c>
      <c r="N576" s="108">
        <v>0.5033333333333333</v>
      </c>
      <c r="O576" s="108"/>
      <c r="P576" s="108"/>
      <c r="Q576" s="108"/>
      <c r="R576" s="108"/>
      <c r="S576" s="253">
        <f>(10^(2.076*LOG(N576*10)+1.536))/1000</f>
        <v>0.98412987953154596</v>
      </c>
      <c r="T576" s="108" t="s">
        <v>1365</v>
      </c>
      <c r="U576" s="108">
        <v>0.89400000000000002</v>
      </c>
      <c r="V576" s="107">
        <v>14.871</v>
      </c>
      <c r="W576" s="106" t="s">
        <v>1347</v>
      </c>
    </row>
    <row r="577" spans="1:23" ht="21" customHeight="1">
      <c r="A577" s="104" t="s">
        <v>579</v>
      </c>
      <c r="B577" s="104" t="s">
        <v>580</v>
      </c>
      <c r="C577" s="454" t="s">
        <v>585</v>
      </c>
      <c r="D577" s="105" t="s">
        <v>151</v>
      </c>
      <c r="E577" s="104">
        <v>41229</v>
      </c>
      <c r="F577" s="104">
        <v>17212</v>
      </c>
      <c r="G577" s="106" t="s">
        <v>1357</v>
      </c>
      <c r="H577" s="104" t="s">
        <v>1138</v>
      </c>
      <c r="I577" s="104" t="s">
        <v>225</v>
      </c>
      <c r="J577" s="104" t="s">
        <v>105</v>
      </c>
      <c r="K577" s="104" t="s">
        <v>1363</v>
      </c>
      <c r="L577" s="104" t="s">
        <v>1364</v>
      </c>
      <c r="M577" s="104" t="s">
        <v>108</v>
      </c>
      <c r="N577" s="108">
        <v>0.5036666666666666</v>
      </c>
      <c r="O577" s="108"/>
      <c r="P577" s="108"/>
      <c r="Q577" s="108"/>
      <c r="R577" s="108"/>
      <c r="S577" s="253">
        <f>(10^(2.076*LOG(N577*10)+1.536))/1000</f>
        <v>0.98548337725640445</v>
      </c>
      <c r="T577" s="108" t="s">
        <v>1365</v>
      </c>
      <c r="U577" s="108">
        <v>0.89400000000000002</v>
      </c>
      <c r="V577" s="107">
        <v>14.871</v>
      </c>
      <c r="W577" s="106" t="s">
        <v>1347</v>
      </c>
    </row>
    <row r="578" spans="1:23" ht="21" customHeight="1">
      <c r="A578" s="104" t="s">
        <v>579</v>
      </c>
      <c r="B578" s="104" t="s">
        <v>580</v>
      </c>
      <c r="C578" s="454" t="s">
        <v>585</v>
      </c>
      <c r="D578" s="105" t="s">
        <v>151</v>
      </c>
      <c r="E578" s="104">
        <v>41229</v>
      </c>
      <c r="F578" s="104">
        <v>2775</v>
      </c>
      <c r="G578" s="106" t="s">
        <v>1357</v>
      </c>
      <c r="H578" s="104" t="s">
        <v>1138</v>
      </c>
      <c r="I578" s="104" t="s">
        <v>104</v>
      </c>
      <c r="J578" s="104" t="s">
        <v>105</v>
      </c>
      <c r="K578" s="104" t="s">
        <v>1360</v>
      </c>
      <c r="L578" s="104" t="s">
        <v>1361</v>
      </c>
      <c r="M578" s="104" t="s">
        <v>114</v>
      </c>
      <c r="N578" s="108"/>
      <c r="O578" s="108"/>
      <c r="P578" s="108"/>
      <c r="Q578" s="108">
        <v>0.75333333333333341</v>
      </c>
      <c r="R578" s="108"/>
      <c r="S578" s="463">
        <f>EXP(2.928*LN(Q578*10)+0.981)/1000</f>
        <v>0.98596469173539247</v>
      </c>
      <c r="T578" s="108" t="s">
        <v>1362</v>
      </c>
      <c r="U578" s="108">
        <v>0.97899999999999998</v>
      </c>
      <c r="V578" s="107">
        <v>32.36</v>
      </c>
      <c r="W578" s="106" t="s">
        <v>397</v>
      </c>
    </row>
    <row r="579" spans="1:23" ht="21" customHeight="1">
      <c r="A579" s="104" t="s">
        <v>579</v>
      </c>
      <c r="B579" s="104" t="s">
        <v>580</v>
      </c>
      <c r="C579" s="454" t="s">
        <v>585</v>
      </c>
      <c r="D579" s="105" t="s">
        <v>151</v>
      </c>
      <c r="E579" s="104">
        <v>41229</v>
      </c>
      <c r="F579" s="104">
        <v>17639</v>
      </c>
      <c r="G579" s="106" t="s">
        <v>1357</v>
      </c>
      <c r="H579" s="104" t="s">
        <v>1138</v>
      </c>
      <c r="I579" s="104" t="s">
        <v>104</v>
      </c>
      <c r="J579" s="104" t="s">
        <v>105</v>
      </c>
      <c r="K579" s="104" t="s">
        <v>1363</v>
      </c>
      <c r="L579" s="104" t="s">
        <v>1364</v>
      </c>
      <c r="M579" s="104" t="s">
        <v>108</v>
      </c>
      <c r="N579" s="108">
        <v>0.50533333333333341</v>
      </c>
      <c r="O579" s="108"/>
      <c r="P579" s="108"/>
      <c r="Q579" s="108"/>
      <c r="R579" s="108"/>
      <c r="S579" s="253">
        <f>(10^(2.076*LOG(N579*10)+1.536))/1000</f>
        <v>0.99226532961233571</v>
      </c>
      <c r="T579" s="108" t="s">
        <v>1365</v>
      </c>
      <c r="U579" s="108">
        <v>0.89400000000000002</v>
      </c>
      <c r="V579" s="107">
        <v>14.871</v>
      </c>
      <c r="W579" s="106" t="s">
        <v>1347</v>
      </c>
    </row>
    <row r="580" spans="1:23" ht="21" customHeight="1">
      <c r="A580" s="104" t="s">
        <v>579</v>
      </c>
      <c r="B580" s="104" t="s">
        <v>580</v>
      </c>
      <c r="C580" s="454" t="s">
        <v>585</v>
      </c>
      <c r="D580" s="105" t="s">
        <v>151</v>
      </c>
      <c r="E580" s="104">
        <v>41229</v>
      </c>
      <c r="F580" s="104">
        <v>17017</v>
      </c>
      <c r="G580" s="106" t="s">
        <v>1357</v>
      </c>
      <c r="H580" s="104" t="s">
        <v>1138</v>
      </c>
      <c r="I580" s="104" t="s">
        <v>225</v>
      </c>
      <c r="J580" s="104" t="s">
        <v>105</v>
      </c>
      <c r="K580" s="104" t="s">
        <v>670</v>
      </c>
      <c r="L580" s="104" t="s">
        <v>671</v>
      </c>
      <c r="M580" s="104" t="s">
        <v>108</v>
      </c>
      <c r="N580" s="108"/>
      <c r="O580" s="108"/>
      <c r="P580" s="108">
        <v>1.7593333333333334</v>
      </c>
      <c r="Q580" s="108">
        <v>0.65633333333333321</v>
      </c>
      <c r="R580" s="108"/>
      <c r="S580" s="463">
        <f>EXP(2.969*LN(P580*10)-1.611)/1000</f>
        <v>0.99492465025745402</v>
      </c>
      <c r="T580" s="104" t="s">
        <v>672</v>
      </c>
      <c r="U580" s="108">
        <v>0.94099999999999995</v>
      </c>
      <c r="V580" s="107">
        <v>44.075000000000003</v>
      </c>
      <c r="W580" s="106" t="s">
        <v>397</v>
      </c>
    </row>
    <row r="581" spans="1:23" ht="21" customHeight="1">
      <c r="A581" s="104" t="s">
        <v>579</v>
      </c>
      <c r="B581" s="104" t="s">
        <v>580</v>
      </c>
      <c r="C581" s="454" t="s">
        <v>585</v>
      </c>
      <c r="D581" s="105" t="s">
        <v>151</v>
      </c>
      <c r="E581" s="104">
        <v>41229</v>
      </c>
      <c r="F581" s="104">
        <v>17407</v>
      </c>
      <c r="G581" s="106" t="s">
        <v>1357</v>
      </c>
      <c r="H581" s="104" t="s">
        <v>1138</v>
      </c>
      <c r="I581" s="104" t="s">
        <v>225</v>
      </c>
      <c r="J581" s="104" t="s">
        <v>105</v>
      </c>
      <c r="K581" s="104" t="s">
        <v>655</v>
      </c>
      <c r="L581" s="104" t="s">
        <v>656</v>
      </c>
      <c r="M581" s="104" t="s">
        <v>108</v>
      </c>
      <c r="N581" s="254"/>
      <c r="O581" s="103"/>
      <c r="P581" s="108">
        <v>1.0066666666666666</v>
      </c>
      <c r="Q581" s="108">
        <v>0.41166666666666674</v>
      </c>
      <c r="R581" s="108"/>
      <c r="S581" s="253">
        <f>(10^((1.463*LOG((P581*Q581*100))+0.633)))/1000</f>
        <v>0.99839437428501143</v>
      </c>
      <c r="T581" s="104" t="s">
        <v>657</v>
      </c>
      <c r="U581" s="108">
        <v>0.97660000000000002</v>
      </c>
      <c r="V581" s="107">
        <v>33.36</v>
      </c>
      <c r="W581" s="106" t="s">
        <v>404</v>
      </c>
    </row>
    <row r="582" spans="1:23" ht="21" customHeight="1">
      <c r="A582" s="104" t="s">
        <v>579</v>
      </c>
      <c r="B582" s="104" t="s">
        <v>580</v>
      </c>
      <c r="C582" s="454" t="s">
        <v>585</v>
      </c>
      <c r="D582" s="105" t="s">
        <v>151</v>
      </c>
      <c r="E582" s="104">
        <v>41229</v>
      </c>
      <c r="F582" s="104">
        <v>17538</v>
      </c>
      <c r="G582" s="106" t="s">
        <v>1357</v>
      </c>
      <c r="H582" s="104" t="s">
        <v>1138</v>
      </c>
      <c r="I582" s="104" t="s">
        <v>104</v>
      </c>
      <c r="J582" s="104" t="s">
        <v>105</v>
      </c>
      <c r="K582" s="104" t="s">
        <v>655</v>
      </c>
      <c r="L582" s="104" t="s">
        <v>656</v>
      </c>
      <c r="M582" s="104" t="s">
        <v>1374</v>
      </c>
      <c r="N582" s="254"/>
      <c r="O582" s="103"/>
      <c r="P582" s="108">
        <v>0.92200000000000004</v>
      </c>
      <c r="Q582" s="108">
        <v>0.45</v>
      </c>
      <c r="R582" s="108"/>
      <c r="S582" s="253">
        <f>(10^((1.463*LOG((P582*Q582*100))+0.633)))/1000</f>
        <v>1.0001180032913433</v>
      </c>
      <c r="T582" s="104" t="s">
        <v>657</v>
      </c>
      <c r="U582" s="108">
        <v>0.97660000000000002</v>
      </c>
      <c r="V582" s="107">
        <v>33.36</v>
      </c>
      <c r="W582" s="106" t="s">
        <v>404</v>
      </c>
    </row>
    <row r="583" spans="1:23" ht="21" customHeight="1">
      <c r="A583" s="104" t="s">
        <v>579</v>
      </c>
      <c r="B583" s="104" t="s">
        <v>580</v>
      </c>
      <c r="C583" s="454" t="s">
        <v>585</v>
      </c>
      <c r="D583" s="105" t="s">
        <v>151</v>
      </c>
      <c r="E583" s="104">
        <v>41229</v>
      </c>
      <c r="F583" s="104">
        <v>17848</v>
      </c>
      <c r="G583" s="106" t="s">
        <v>1357</v>
      </c>
      <c r="H583" s="104" t="s">
        <v>1138</v>
      </c>
      <c r="I583" s="104" t="s">
        <v>104</v>
      </c>
      <c r="J583" s="104" t="s">
        <v>105</v>
      </c>
      <c r="K583" s="104" t="s">
        <v>1371</v>
      </c>
      <c r="L583" s="104" t="s">
        <v>1372</v>
      </c>
      <c r="M583" s="104" t="s">
        <v>292</v>
      </c>
      <c r="N583" s="108">
        <v>1.3453333333333333</v>
      </c>
      <c r="O583" s="108"/>
      <c r="P583" s="108"/>
      <c r="Q583" s="108"/>
      <c r="R583" s="108"/>
      <c r="S583" s="253">
        <f>(10^(2.217*LOG(N583*10)+0.498))/1000</f>
        <v>1.0014191557927168</v>
      </c>
      <c r="T583" s="108" t="s">
        <v>1373</v>
      </c>
      <c r="U583" s="108">
        <v>0.98488578017961048</v>
      </c>
      <c r="V583" s="107">
        <v>16.747</v>
      </c>
      <c r="W583" s="106" t="s">
        <v>1347</v>
      </c>
    </row>
    <row r="584" spans="1:23" ht="21" customHeight="1">
      <c r="A584" s="104" t="s">
        <v>579</v>
      </c>
      <c r="B584" s="104" t="s">
        <v>580</v>
      </c>
      <c r="C584" s="454" t="s">
        <v>585</v>
      </c>
      <c r="D584" s="105" t="s">
        <v>151</v>
      </c>
      <c r="E584" s="104">
        <v>41229</v>
      </c>
      <c r="F584" s="104">
        <v>17678</v>
      </c>
      <c r="G584" s="106" t="s">
        <v>1357</v>
      </c>
      <c r="H584" s="104" t="s">
        <v>1138</v>
      </c>
      <c r="I584" s="104" t="s">
        <v>104</v>
      </c>
      <c r="J584" s="104" t="s">
        <v>105</v>
      </c>
      <c r="K584" s="104" t="s">
        <v>1363</v>
      </c>
      <c r="L584" s="104" t="s">
        <v>1364</v>
      </c>
      <c r="M584" s="104" t="s">
        <v>114</v>
      </c>
      <c r="N584" s="108">
        <v>0.50966666666666671</v>
      </c>
      <c r="O584" s="108"/>
      <c r="P584" s="108"/>
      <c r="Q584" s="108"/>
      <c r="R584" s="108"/>
      <c r="S584" s="253">
        <f>(10^(2.076*LOG(N584*10)+1.536))/1000</f>
        <v>1.0100112586600212</v>
      </c>
      <c r="T584" s="108" t="s">
        <v>1365</v>
      </c>
      <c r="U584" s="108">
        <v>0.89400000000000002</v>
      </c>
      <c r="V584" s="107">
        <v>14.871</v>
      </c>
      <c r="W584" s="106" t="s">
        <v>1347</v>
      </c>
    </row>
    <row r="585" spans="1:23" ht="21" customHeight="1">
      <c r="A585" s="104" t="s">
        <v>579</v>
      </c>
      <c r="B585" s="104" t="s">
        <v>580</v>
      </c>
      <c r="C585" s="454" t="s">
        <v>585</v>
      </c>
      <c r="D585" s="105" t="s">
        <v>151</v>
      </c>
      <c r="E585" s="104">
        <v>41229</v>
      </c>
      <c r="F585" s="104">
        <v>17306</v>
      </c>
      <c r="G585" s="106" t="s">
        <v>1357</v>
      </c>
      <c r="H585" s="104" t="s">
        <v>1138</v>
      </c>
      <c r="I585" s="104" t="s">
        <v>225</v>
      </c>
      <c r="J585" s="104" t="s">
        <v>105</v>
      </c>
      <c r="K585" s="104" t="s">
        <v>1363</v>
      </c>
      <c r="L585" s="104" t="s">
        <v>1364</v>
      </c>
      <c r="M585" s="104" t="s">
        <v>114</v>
      </c>
      <c r="N585" s="108">
        <v>0.51</v>
      </c>
      <c r="O585" s="108"/>
      <c r="P585" s="108"/>
      <c r="Q585" s="108"/>
      <c r="R585" s="108"/>
      <c r="S585" s="253">
        <f>(10^(2.076*LOG(N585*10)+1.536))/1000</f>
        <v>1.0113830841457685</v>
      </c>
      <c r="T585" s="108" t="s">
        <v>1365</v>
      </c>
      <c r="U585" s="108">
        <v>0.89400000000000002</v>
      </c>
      <c r="V585" s="107">
        <v>14.871</v>
      </c>
      <c r="W585" s="106" t="s">
        <v>1347</v>
      </c>
    </row>
    <row r="586" spans="1:23" ht="21" customHeight="1">
      <c r="A586" s="104" t="s">
        <v>579</v>
      </c>
      <c r="B586" s="104" t="s">
        <v>580</v>
      </c>
      <c r="C586" s="454" t="s">
        <v>585</v>
      </c>
      <c r="D586" s="105" t="s">
        <v>151</v>
      </c>
      <c r="E586" s="104">
        <v>41229</v>
      </c>
      <c r="F586" s="104">
        <v>17404</v>
      </c>
      <c r="G586" s="106" t="s">
        <v>1357</v>
      </c>
      <c r="H586" s="104" t="s">
        <v>1138</v>
      </c>
      <c r="I586" s="104" t="s">
        <v>225</v>
      </c>
      <c r="J586" s="104" t="s">
        <v>105</v>
      </c>
      <c r="K586" s="104" t="s">
        <v>655</v>
      </c>
      <c r="L586" s="104" t="s">
        <v>656</v>
      </c>
      <c r="M586" s="104" t="s">
        <v>108</v>
      </c>
      <c r="N586" s="254"/>
      <c r="O586" s="103"/>
      <c r="P586" s="108">
        <v>1.026</v>
      </c>
      <c r="Q586" s="108">
        <v>0.40866666666666668</v>
      </c>
      <c r="R586" s="108"/>
      <c r="S586" s="253">
        <f>(10^((1.463*LOG((P586*Q586*100))+0.633)))/1000</f>
        <v>1.0156445701675902</v>
      </c>
      <c r="T586" s="104" t="s">
        <v>657</v>
      </c>
      <c r="U586" s="108">
        <v>0.97660000000000002</v>
      </c>
      <c r="V586" s="107">
        <v>33.36</v>
      </c>
      <c r="W586" s="106" t="s">
        <v>404</v>
      </c>
    </row>
    <row r="587" spans="1:23" ht="21" customHeight="1">
      <c r="A587" s="104" t="s">
        <v>579</v>
      </c>
      <c r="B587" s="104" t="s">
        <v>580</v>
      </c>
      <c r="C587" s="454" t="s">
        <v>585</v>
      </c>
      <c r="D587" s="105" t="s">
        <v>151</v>
      </c>
      <c r="E587" s="104">
        <v>41229</v>
      </c>
      <c r="F587" s="104">
        <v>17321</v>
      </c>
      <c r="G587" s="106" t="s">
        <v>1357</v>
      </c>
      <c r="H587" s="104" t="s">
        <v>1138</v>
      </c>
      <c r="I587" s="104" t="s">
        <v>225</v>
      </c>
      <c r="J587" s="104" t="s">
        <v>105</v>
      </c>
      <c r="K587" s="104" t="s">
        <v>655</v>
      </c>
      <c r="L587" s="104" t="s">
        <v>656</v>
      </c>
      <c r="M587" s="104" t="s">
        <v>114</v>
      </c>
      <c r="N587" s="254"/>
      <c r="O587" s="103"/>
      <c r="P587" s="108">
        <v>0.94766666666666666</v>
      </c>
      <c r="Q587" s="108">
        <v>0.44299999999999995</v>
      </c>
      <c r="R587" s="108"/>
      <c r="S587" s="253">
        <f>(10^((1.463*LOG((P587*Q587*100))+0.633)))/1000</f>
        <v>1.0175032417065708</v>
      </c>
      <c r="T587" s="104" t="s">
        <v>657</v>
      </c>
      <c r="U587" s="108">
        <v>0.97660000000000002</v>
      </c>
      <c r="V587" s="107">
        <v>33.36</v>
      </c>
      <c r="W587" s="106" t="s">
        <v>404</v>
      </c>
    </row>
    <row r="588" spans="1:23" ht="21" customHeight="1">
      <c r="A588" s="104" t="s">
        <v>579</v>
      </c>
      <c r="B588" s="104" t="s">
        <v>580</v>
      </c>
      <c r="C588" s="454" t="s">
        <v>585</v>
      </c>
      <c r="D588" s="105" t="s">
        <v>151</v>
      </c>
      <c r="E588" s="104">
        <v>41229</v>
      </c>
      <c r="F588" s="104">
        <v>17478</v>
      </c>
      <c r="G588" s="106" t="s">
        <v>1357</v>
      </c>
      <c r="H588" s="104" t="s">
        <v>1138</v>
      </c>
      <c r="I588" s="104" t="s">
        <v>104</v>
      </c>
      <c r="J588" s="104" t="s">
        <v>105</v>
      </c>
      <c r="K588" s="104" t="s">
        <v>655</v>
      </c>
      <c r="L588" s="104" t="s">
        <v>656</v>
      </c>
      <c r="M588" s="104" t="s">
        <v>114</v>
      </c>
      <c r="N588" s="254"/>
      <c r="O588" s="103"/>
      <c r="P588" s="108">
        <v>0.96433333333333326</v>
      </c>
      <c r="Q588" s="108">
        <v>0.437</v>
      </c>
      <c r="R588" s="108"/>
      <c r="S588" s="253">
        <f>(10^((1.463*LOG((P588*Q588*100))+0.633)))/1000</f>
        <v>1.0231721372957472</v>
      </c>
      <c r="T588" s="104" t="s">
        <v>657</v>
      </c>
      <c r="U588" s="108">
        <v>0.97660000000000002</v>
      </c>
      <c r="V588" s="107">
        <v>33.36</v>
      </c>
      <c r="W588" s="106" t="s">
        <v>404</v>
      </c>
    </row>
    <row r="589" spans="1:23" ht="21" customHeight="1">
      <c r="A589" s="104" t="s">
        <v>579</v>
      </c>
      <c r="B589" s="104" t="s">
        <v>580</v>
      </c>
      <c r="C589" s="454" t="s">
        <v>585</v>
      </c>
      <c r="D589" s="105" t="s">
        <v>151</v>
      </c>
      <c r="E589" s="104">
        <v>41229</v>
      </c>
      <c r="F589" s="104">
        <v>17225</v>
      </c>
      <c r="G589" s="106" t="s">
        <v>1357</v>
      </c>
      <c r="H589" s="104" t="s">
        <v>1138</v>
      </c>
      <c r="I589" s="104" t="s">
        <v>225</v>
      </c>
      <c r="J589" s="104" t="s">
        <v>105</v>
      </c>
      <c r="K589" s="104" t="s">
        <v>1363</v>
      </c>
      <c r="L589" s="104" t="s">
        <v>1364</v>
      </c>
      <c r="M589" s="104" t="s">
        <v>108</v>
      </c>
      <c r="N589" s="108">
        <v>0.51400000000000001</v>
      </c>
      <c r="O589" s="108"/>
      <c r="P589" s="108"/>
      <c r="Q589" s="108"/>
      <c r="R589" s="108"/>
      <c r="S589" s="253">
        <f>(10^(2.076*LOG(N589*10)+1.536))/1000</f>
        <v>1.0279202814828503</v>
      </c>
      <c r="T589" s="108" t="s">
        <v>1365</v>
      </c>
      <c r="U589" s="108">
        <v>0.89400000000000002</v>
      </c>
      <c r="V589" s="107">
        <v>14.871</v>
      </c>
      <c r="W589" s="106" t="s">
        <v>1347</v>
      </c>
    </row>
    <row r="590" spans="1:23" ht="21" customHeight="1">
      <c r="A590" s="104" t="s">
        <v>579</v>
      </c>
      <c r="B590" s="104" t="s">
        <v>580</v>
      </c>
      <c r="C590" s="454" t="s">
        <v>585</v>
      </c>
      <c r="D590" s="105" t="s">
        <v>151</v>
      </c>
      <c r="E590" s="104">
        <v>41229</v>
      </c>
      <c r="F590" s="104">
        <v>17553</v>
      </c>
      <c r="G590" s="106" t="s">
        <v>1357</v>
      </c>
      <c r="H590" s="104" t="s">
        <v>1138</v>
      </c>
      <c r="I590" s="104" t="s">
        <v>104</v>
      </c>
      <c r="J590" s="104" t="s">
        <v>105</v>
      </c>
      <c r="K590" s="104" t="s">
        <v>1363</v>
      </c>
      <c r="L590" s="104" t="s">
        <v>1364</v>
      </c>
      <c r="M590" s="104" t="s">
        <v>108</v>
      </c>
      <c r="N590" s="108">
        <v>0.51533333333333331</v>
      </c>
      <c r="O590" s="108"/>
      <c r="P590" s="108"/>
      <c r="Q590" s="108"/>
      <c r="R590" s="108"/>
      <c r="S590" s="253">
        <f>(10^(2.076*LOG(N590*10)+1.536))/1000</f>
        <v>1.0334635780768511</v>
      </c>
      <c r="T590" s="108" t="s">
        <v>1365</v>
      </c>
      <c r="U590" s="108">
        <v>0.89400000000000002</v>
      </c>
      <c r="V590" s="107">
        <v>14.871</v>
      </c>
      <c r="W590" s="106" t="s">
        <v>1347</v>
      </c>
    </row>
    <row r="591" spans="1:23" ht="21" customHeight="1">
      <c r="A591" s="104" t="s">
        <v>579</v>
      </c>
      <c r="B591" s="104" t="s">
        <v>580</v>
      </c>
      <c r="C591" s="454" t="s">
        <v>585</v>
      </c>
      <c r="D591" s="105" t="s">
        <v>151</v>
      </c>
      <c r="E591" s="104">
        <v>41229</v>
      </c>
      <c r="F591" s="104">
        <v>837</v>
      </c>
      <c r="G591" s="106" t="s">
        <v>1357</v>
      </c>
      <c r="H591" s="104" t="s">
        <v>1138</v>
      </c>
      <c r="I591" s="104" t="s">
        <v>104</v>
      </c>
      <c r="J591" s="104" t="s">
        <v>105</v>
      </c>
      <c r="K591" s="104" t="s">
        <v>1363</v>
      </c>
      <c r="L591" s="104" t="s">
        <v>1364</v>
      </c>
      <c r="M591" s="104" t="s">
        <v>108</v>
      </c>
      <c r="N591" s="108">
        <v>0.51566666666666661</v>
      </c>
      <c r="O591" s="108"/>
      <c r="P591" s="108"/>
      <c r="Q591" s="108"/>
      <c r="R591" s="108"/>
      <c r="S591" s="253">
        <f>(10^(2.076*LOG(N591*10)+1.536))/1000</f>
        <v>1.034851816765668</v>
      </c>
      <c r="T591" s="108" t="s">
        <v>1365</v>
      </c>
      <c r="U591" s="108">
        <v>0.89400000000000002</v>
      </c>
      <c r="V591" s="107">
        <v>14.871</v>
      </c>
      <c r="W591" s="106" t="s">
        <v>1347</v>
      </c>
    </row>
    <row r="592" spans="1:23" ht="21" customHeight="1">
      <c r="A592" s="104" t="s">
        <v>579</v>
      </c>
      <c r="B592" s="104" t="s">
        <v>580</v>
      </c>
      <c r="C592" s="454" t="s">
        <v>585</v>
      </c>
      <c r="D592" s="105" t="s">
        <v>151</v>
      </c>
      <c r="E592" s="104">
        <v>41229</v>
      </c>
      <c r="F592" s="104">
        <v>16985</v>
      </c>
      <c r="G592" s="106" t="s">
        <v>1357</v>
      </c>
      <c r="H592" s="104" t="s">
        <v>1138</v>
      </c>
      <c r="I592" s="104" t="s">
        <v>225</v>
      </c>
      <c r="J592" s="104" t="s">
        <v>105</v>
      </c>
      <c r="K592" s="104" t="s">
        <v>655</v>
      </c>
      <c r="L592" s="104" t="s">
        <v>656</v>
      </c>
      <c r="M592" s="104" t="s">
        <v>108</v>
      </c>
      <c r="N592" s="254"/>
      <c r="O592" s="103"/>
      <c r="P592" s="108">
        <v>0.9803333333333335</v>
      </c>
      <c r="Q592" s="108">
        <v>0.434</v>
      </c>
      <c r="R592" s="108"/>
      <c r="S592" s="253">
        <f>(10^((1.463*LOG((P592*Q592*100))+0.633)))/1000</f>
        <v>1.0375936362462497</v>
      </c>
      <c r="T592" s="104" t="s">
        <v>657</v>
      </c>
      <c r="U592" s="108">
        <v>0.97660000000000002</v>
      </c>
      <c r="V592" s="107">
        <v>33.36</v>
      </c>
      <c r="W592" s="106" t="s">
        <v>404</v>
      </c>
    </row>
    <row r="593" spans="1:23" ht="21" customHeight="1">
      <c r="A593" s="104" t="s">
        <v>579</v>
      </c>
      <c r="B593" s="104" t="s">
        <v>580</v>
      </c>
      <c r="C593" s="454" t="s">
        <v>585</v>
      </c>
      <c r="D593" s="105" t="s">
        <v>151</v>
      </c>
      <c r="E593" s="104">
        <v>41229</v>
      </c>
      <c r="F593" s="104">
        <v>17011</v>
      </c>
      <c r="G593" s="106" t="s">
        <v>1357</v>
      </c>
      <c r="H593" s="104" t="s">
        <v>1138</v>
      </c>
      <c r="I593" s="104" t="s">
        <v>225</v>
      </c>
      <c r="J593" s="104" t="s">
        <v>105</v>
      </c>
      <c r="K593" s="104" t="s">
        <v>1363</v>
      </c>
      <c r="L593" s="104" t="s">
        <v>1364</v>
      </c>
      <c r="M593" s="104" t="s">
        <v>108</v>
      </c>
      <c r="N593" s="108">
        <v>0.51766666666666672</v>
      </c>
      <c r="O593" s="108"/>
      <c r="P593" s="108"/>
      <c r="Q593" s="108"/>
      <c r="R593" s="108"/>
      <c r="S593" s="253">
        <f>(10^(2.076*LOG(N593*10)+1.536))/1000</f>
        <v>1.0432015346911094</v>
      </c>
      <c r="T593" s="108" t="s">
        <v>1365</v>
      </c>
      <c r="U593" s="108">
        <v>0.89400000000000002</v>
      </c>
      <c r="V593" s="107">
        <v>14.871</v>
      </c>
      <c r="W593" s="106" t="s">
        <v>1347</v>
      </c>
    </row>
    <row r="594" spans="1:23" ht="21" customHeight="1">
      <c r="A594" s="104" t="s">
        <v>579</v>
      </c>
      <c r="B594" s="104" t="s">
        <v>580</v>
      </c>
      <c r="C594" s="454" t="s">
        <v>585</v>
      </c>
      <c r="D594" s="105" t="s">
        <v>151</v>
      </c>
      <c r="E594" s="104">
        <v>41229</v>
      </c>
      <c r="F594" s="104">
        <v>17304</v>
      </c>
      <c r="G594" s="106" t="s">
        <v>1357</v>
      </c>
      <c r="H594" s="104" t="s">
        <v>1138</v>
      </c>
      <c r="I594" s="104" t="s">
        <v>225</v>
      </c>
      <c r="J594" s="104" t="s">
        <v>105</v>
      </c>
      <c r="K594" s="104" t="s">
        <v>1363</v>
      </c>
      <c r="L594" s="104" t="s">
        <v>1364</v>
      </c>
      <c r="M594" s="104" t="s">
        <v>114</v>
      </c>
      <c r="N594" s="108">
        <v>0.51900000000000002</v>
      </c>
      <c r="O594" s="108"/>
      <c r="P594" s="108"/>
      <c r="Q594" s="108"/>
      <c r="R594" s="108"/>
      <c r="S594" s="253">
        <f>(10^(2.076*LOG(N594*10)+1.536))/1000</f>
        <v>1.0487873365825691</v>
      </c>
      <c r="T594" s="108" t="s">
        <v>1365</v>
      </c>
      <c r="U594" s="108">
        <v>0.89400000000000002</v>
      </c>
      <c r="V594" s="107">
        <v>14.871</v>
      </c>
      <c r="W594" s="106" t="s">
        <v>1347</v>
      </c>
    </row>
    <row r="595" spans="1:23" ht="21" customHeight="1">
      <c r="A595" s="104" t="s">
        <v>579</v>
      </c>
      <c r="B595" s="104" t="s">
        <v>580</v>
      </c>
      <c r="C595" s="454" t="s">
        <v>585</v>
      </c>
      <c r="D595" s="105" t="s">
        <v>151</v>
      </c>
      <c r="E595" s="104">
        <v>41229</v>
      </c>
      <c r="F595" s="104">
        <v>17262</v>
      </c>
      <c r="G595" s="106" t="s">
        <v>1357</v>
      </c>
      <c r="H595" s="104" t="s">
        <v>1138</v>
      </c>
      <c r="I595" s="104" t="s">
        <v>225</v>
      </c>
      <c r="J595" s="104" t="s">
        <v>105</v>
      </c>
      <c r="K595" s="104" t="s">
        <v>655</v>
      </c>
      <c r="L595" s="104" t="s">
        <v>656</v>
      </c>
      <c r="M595" s="104" t="s">
        <v>114</v>
      </c>
      <c r="N595" s="254"/>
      <c r="O595" s="103"/>
      <c r="P595" s="108">
        <v>0.97233333333333349</v>
      </c>
      <c r="Q595" s="108">
        <v>0.4413333333333333</v>
      </c>
      <c r="R595" s="108"/>
      <c r="S595" s="253">
        <f>(10^((1.463*LOG((P595*Q595*100))+0.633)))/1000</f>
        <v>1.0506724066036275</v>
      </c>
      <c r="T595" s="104" t="s">
        <v>657</v>
      </c>
      <c r="U595" s="108">
        <v>0.97660000000000002</v>
      </c>
      <c r="V595" s="107">
        <v>33.36</v>
      </c>
      <c r="W595" s="106" t="s">
        <v>404</v>
      </c>
    </row>
    <row r="596" spans="1:23" ht="21" customHeight="1">
      <c r="A596" s="104" t="s">
        <v>579</v>
      </c>
      <c r="B596" s="104" t="s">
        <v>580</v>
      </c>
      <c r="C596" s="454" t="s">
        <v>585</v>
      </c>
      <c r="D596" s="105" t="s">
        <v>151</v>
      </c>
      <c r="E596" s="104">
        <v>41229</v>
      </c>
      <c r="F596" s="104">
        <v>16979</v>
      </c>
      <c r="G596" s="106" t="s">
        <v>1357</v>
      </c>
      <c r="H596" s="104" t="s">
        <v>1138</v>
      </c>
      <c r="I596" s="104" t="s">
        <v>225</v>
      </c>
      <c r="J596" s="104" t="s">
        <v>105</v>
      </c>
      <c r="K596" s="104" t="s">
        <v>1363</v>
      </c>
      <c r="L596" s="104" t="s">
        <v>1364</v>
      </c>
      <c r="M596" s="104" t="s">
        <v>108</v>
      </c>
      <c r="N596" s="108">
        <v>0.52</v>
      </c>
      <c r="O596" s="108"/>
      <c r="P596" s="108"/>
      <c r="Q596" s="108"/>
      <c r="R596" s="108"/>
      <c r="S596" s="253">
        <f>(10^(2.076*LOG(N596*10)+1.536))/1000</f>
        <v>1.0529868348700702</v>
      </c>
      <c r="T596" s="108" t="s">
        <v>1365</v>
      </c>
      <c r="U596" s="108">
        <v>0.89400000000000002</v>
      </c>
      <c r="V596" s="107">
        <v>14.871</v>
      </c>
      <c r="W596" s="106" t="s">
        <v>1347</v>
      </c>
    </row>
    <row r="597" spans="1:23" ht="21" customHeight="1">
      <c r="A597" s="104" t="s">
        <v>579</v>
      </c>
      <c r="B597" s="104" t="s">
        <v>580</v>
      </c>
      <c r="C597" s="454" t="s">
        <v>585</v>
      </c>
      <c r="D597" s="105" t="s">
        <v>151</v>
      </c>
      <c r="E597" s="104">
        <v>41229</v>
      </c>
      <c r="F597" s="104">
        <v>5297</v>
      </c>
      <c r="G597" s="106" t="s">
        <v>1357</v>
      </c>
      <c r="H597" s="104" t="s">
        <v>1138</v>
      </c>
      <c r="I597" s="104" t="s">
        <v>225</v>
      </c>
      <c r="J597" s="104" t="s">
        <v>105</v>
      </c>
      <c r="K597" s="104" t="s">
        <v>655</v>
      </c>
      <c r="L597" s="104" t="s">
        <v>656</v>
      </c>
      <c r="M597" s="104" t="s">
        <v>108</v>
      </c>
      <c r="N597" s="254"/>
      <c r="O597" s="103"/>
      <c r="P597" s="108">
        <v>1.0196666666666667</v>
      </c>
      <c r="Q597" s="108">
        <v>0.42199999999999999</v>
      </c>
      <c r="R597" s="108"/>
      <c r="S597" s="253">
        <f>(10^((1.463*LOG((P597*Q597*100))+0.633)))/1000</f>
        <v>1.0548883471983561</v>
      </c>
      <c r="T597" s="104" t="s">
        <v>657</v>
      </c>
      <c r="U597" s="108">
        <v>0.97660000000000002</v>
      </c>
      <c r="V597" s="107">
        <v>33.36</v>
      </c>
      <c r="W597" s="106" t="s">
        <v>404</v>
      </c>
    </row>
    <row r="598" spans="1:23" ht="21" customHeight="1">
      <c r="A598" s="104" t="s">
        <v>579</v>
      </c>
      <c r="B598" s="104" t="s">
        <v>580</v>
      </c>
      <c r="C598" s="454" t="s">
        <v>585</v>
      </c>
      <c r="D598" s="105" t="s">
        <v>151</v>
      </c>
      <c r="E598" s="104">
        <v>41229</v>
      </c>
      <c r="F598" s="104">
        <v>16956</v>
      </c>
      <c r="G598" s="106" t="s">
        <v>1357</v>
      </c>
      <c r="H598" s="104" t="s">
        <v>1138</v>
      </c>
      <c r="I598" s="104" t="s">
        <v>225</v>
      </c>
      <c r="J598" s="104" t="s">
        <v>105</v>
      </c>
      <c r="K598" s="104" t="s">
        <v>655</v>
      </c>
      <c r="L598" s="104" t="s">
        <v>656</v>
      </c>
      <c r="M598" s="104" t="s">
        <v>108</v>
      </c>
      <c r="N598" s="254"/>
      <c r="O598" s="103"/>
      <c r="P598" s="108">
        <v>0.97766666666666657</v>
      </c>
      <c r="Q598" s="108">
        <v>0.442</v>
      </c>
      <c r="R598" s="108"/>
      <c r="S598" s="253">
        <f>(10^((1.463*LOG((P598*Q598*100))+0.633)))/1000</f>
        <v>1.061455844209386</v>
      </c>
      <c r="T598" s="104" t="s">
        <v>657</v>
      </c>
      <c r="U598" s="108">
        <v>0.97660000000000002</v>
      </c>
      <c r="V598" s="107">
        <v>33.36</v>
      </c>
      <c r="W598" s="106" t="s">
        <v>404</v>
      </c>
    </row>
    <row r="599" spans="1:23" ht="21" customHeight="1">
      <c r="A599" s="104" t="s">
        <v>579</v>
      </c>
      <c r="B599" s="104" t="s">
        <v>580</v>
      </c>
      <c r="C599" s="454" t="s">
        <v>585</v>
      </c>
      <c r="D599" s="105" t="s">
        <v>151</v>
      </c>
      <c r="E599" s="104">
        <v>41229</v>
      </c>
      <c r="F599" s="104">
        <v>17069</v>
      </c>
      <c r="G599" s="106" t="s">
        <v>1357</v>
      </c>
      <c r="H599" s="104" t="s">
        <v>1138</v>
      </c>
      <c r="I599" s="104" t="s">
        <v>225</v>
      </c>
      <c r="J599" s="104" t="s">
        <v>105</v>
      </c>
      <c r="K599" s="104" t="s">
        <v>655</v>
      </c>
      <c r="L599" s="104" t="s">
        <v>656</v>
      </c>
      <c r="M599" s="104" t="s">
        <v>108</v>
      </c>
      <c r="N599" s="254"/>
      <c r="O599" s="103"/>
      <c r="P599" s="108">
        <v>0.96733333333333338</v>
      </c>
      <c r="Q599" s="108">
        <v>0.44699999999999995</v>
      </c>
      <c r="R599" s="108"/>
      <c r="S599" s="253">
        <f>(10^((1.463*LOG((P599*Q599*100))+0.633)))/1000</f>
        <v>1.0624238677947209</v>
      </c>
      <c r="T599" s="104" t="s">
        <v>657</v>
      </c>
      <c r="U599" s="108">
        <v>0.97660000000000002</v>
      </c>
      <c r="V599" s="107">
        <v>33.36</v>
      </c>
      <c r="W599" s="106" t="s">
        <v>404</v>
      </c>
    </row>
    <row r="600" spans="1:23" ht="21" customHeight="1">
      <c r="A600" s="104" t="s">
        <v>579</v>
      </c>
      <c r="B600" s="104" t="s">
        <v>580</v>
      </c>
      <c r="C600" s="454" t="s">
        <v>585</v>
      </c>
      <c r="D600" s="105" t="s">
        <v>151</v>
      </c>
      <c r="E600" s="104">
        <v>41229</v>
      </c>
      <c r="F600" s="104">
        <v>11236</v>
      </c>
      <c r="G600" s="106" t="s">
        <v>1357</v>
      </c>
      <c r="H600" s="104" t="s">
        <v>1138</v>
      </c>
      <c r="I600" s="104" t="s">
        <v>104</v>
      </c>
      <c r="J600" s="104" t="s">
        <v>105</v>
      </c>
      <c r="K600" s="104" t="s">
        <v>1363</v>
      </c>
      <c r="L600" s="104" t="s">
        <v>1364</v>
      </c>
      <c r="M600" s="104" t="s">
        <v>114</v>
      </c>
      <c r="N600" s="108">
        <v>0.52366666666666661</v>
      </c>
      <c r="O600" s="108"/>
      <c r="P600" s="108"/>
      <c r="Q600" s="108"/>
      <c r="R600" s="108"/>
      <c r="S600" s="253">
        <f>(10^(2.076*LOG(N600*10)+1.536))/1000</f>
        <v>1.0684594273806465</v>
      </c>
      <c r="T600" s="108" t="s">
        <v>1365</v>
      </c>
      <c r="U600" s="108">
        <v>0.89400000000000002</v>
      </c>
      <c r="V600" s="107">
        <v>14.871</v>
      </c>
      <c r="W600" s="106" t="s">
        <v>1347</v>
      </c>
    </row>
    <row r="601" spans="1:23" ht="21" customHeight="1">
      <c r="A601" s="104" t="s">
        <v>579</v>
      </c>
      <c r="B601" s="104" t="s">
        <v>580</v>
      </c>
      <c r="C601" s="454" t="s">
        <v>585</v>
      </c>
      <c r="D601" s="105" t="s">
        <v>151</v>
      </c>
      <c r="E601" s="104">
        <v>41229</v>
      </c>
      <c r="F601" s="104">
        <v>17403</v>
      </c>
      <c r="G601" s="106" t="s">
        <v>1357</v>
      </c>
      <c r="H601" s="104" t="s">
        <v>1138</v>
      </c>
      <c r="I601" s="104" t="s">
        <v>225</v>
      </c>
      <c r="J601" s="104" t="s">
        <v>105</v>
      </c>
      <c r="K601" s="104" t="s">
        <v>655</v>
      </c>
      <c r="L601" s="104" t="s">
        <v>656</v>
      </c>
      <c r="M601" s="104" t="s">
        <v>114</v>
      </c>
      <c r="N601" s="254"/>
      <c r="O601" s="103"/>
      <c r="P601" s="108">
        <v>1.0346666666666666</v>
      </c>
      <c r="Q601" s="108">
        <v>0.42366666666666675</v>
      </c>
      <c r="R601" s="108"/>
      <c r="S601" s="253">
        <f>(10^((1.463*LOG((P601*Q601*100))+0.633)))/1000</f>
        <v>1.0839009942577025</v>
      </c>
      <c r="T601" s="104" t="s">
        <v>657</v>
      </c>
      <c r="U601" s="108">
        <v>0.97660000000000002</v>
      </c>
      <c r="V601" s="107">
        <v>33.36</v>
      </c>
      <c r="W601" s="106" t="s">
        <v>404</v>
      </c>
    </row>
    <row r="602" spans="1:23" ht="21" customHeight="1">
      <c r="A602" s="104" t="s">
        <v>579</v>
      </c>
      <c r="B602" s="104" t="s">
        <v>580</v>
      </c>
      <c r="C602" s="454" t="s">
        <v>585</v>
      </c>
      <c r="D602" s="105" t="s">
        <v>151</v>
      </c>
      <c r="E602" s="104">
        <v>41229</v>
      </c>
      <c r="F602" s="104">
        <v>17493</v>
      </c>
      <c r="G602" s="106" t="s">
        <v>1357</v>
      </c>
      <c r="H602" s="104" t="s">
        <v>1138</v>
      </c>
      <c r="I602" s="104" t="s">
        <v>104</v>
      </c>
      <c r="J602" s="104" t="s">
        <v>105</v>
      </c>
      <c r="K602" s="104" t="s">
        <v>1363</v>
      </c>
      <c r="L602" s="104" t="s">
        <v>1364</v>
      </c>
      <c r="M602" s="104" t="s">
        <v>114</v>
      </c>
      <c r="N602" s="108">
        <v>0.52833333333333343</v>
      </c>
      <c r="O602" s="108"/>
      <c r="P602" s="108"/>
      <c r="Q602" s="108"/>
      <c r="R602" s="108"/>
      <c r="S602" s="253">
        <f>(10^(2.076*LOG(N602*10)+1.536))/1000</f>
        <v>1.0883210583004888</v>
      </c>
      <c r="T602" s="108" t="s">
        <v>1365</v>
      </c>
      <c r="U602" s="108">
        <v>0.89400000000000002</v>
      </c>
      <c r="V602" s="107">
        <v>14.871</v>
      </c>
      <c r="W602" s="106" t="s">
        <v>1347</v>
      </c>
    </row>
    <row r="603" spans="1:23" ht="21" customHeight="1">
      <c r="A603" s="104" t="s">
        <v>579</v>
      </c>
      <c r="B603" s="104" t="s">
        <v>580</v>
      </c>
      <c r="C603" s="454" t="s">
        <v>585</v>
      </c>
      <c r="D603" s="105" t="s">
        <v>151</v>
      </c>
      <c r="E603" s="104">
        <v>41229</v>
      </c>
      <c r="F603" s="104">
        <v>2603</v>
      </c>
      <c r="G603" s="106" t="s">
        <v>1357</v>
      </c>
      <c r="H603" s="104" t="s">
        <v>1138</v>
      </c>
      <c r="I603" s="104" t="s">
        <v>104</v>
      </c>
      <c r="J603" s="104" t="s">
        <v>105</v>
      </c>
      <c r="K603" s="104" t="s">
        <v>670</v>
      </c>
      <c r="L603" s="104" t="s">
        <v>671</v>
      </c>
      <c r="M603" s="104" t="s">
        <v>114</v>
      </c>
      <c r="N603" s="108"/>
      <c r="O603" s="108"/>
      <c r="P603" s="108">
        <v>1.8166666666666669</v>
      </c>
      <c r="Q603" s="108">
        <v>0.84000000000000008</v>
      </c>
      <c r="R603" s="108"/>
      <c r="S603" s="463">
        <f>EXP(2.969*LN(P603*10)-1.611)/1000</f>
        <v>1.0943085681572409</v>
      </c>
      <c r="T603" s="104" t="s">
        <v>672</v>
      </c>
      <c r="U603" s="108">
        <v>0.94099999999999995</v>
      </c>
      <c r="V603" s="107">
        <v>44.075000000000003</v>
      </c>
      <c r="W603" s="106" t="s">
        <v>397</v>
      </c>
    </row>
    <row r="604" spans="1:23" ht="21" customHeight="1">
      <c r="A604" s="104" t="s">
        <v>579</v>
      </c>
      <c r="B604" s="104" t="s">
        <v>580</v>
      </c>
      <c r="C604" s="454" t="s">
        <v>585</v>
      </c>
      <c r="D604" s="105" t="s">
        <v>151</v>
      </c>
      <c r="E604" s="104">
        <v>41229</v>
      </c>
      <c r="F604" s="104">
        <v>17018</v>
      </c>
      <c r="G604" s="106" t="s">
        <v>1357</v>
      </c>
      <c r="H604" s="104" t="s">
        <v>1138</v>
      </c>
      <c r="I604" s="104" t="s">
        <v>225</v>
      </c>
      <c r="J604" s="104" t="s">
        <v>105</v>
      </c>
      <c r="K604" s="104" t="s">
        <v>670</v>
      </c>
      <c r="L604" s="104" t="s">
        <v>671</v>
      </c>
      <c r="M604" s="104" t="s">
        <v>108</v>
      </c>
      <c r="N604" s="108"/>
      <c r="O604" s="108"/>
      <c r="P604" s="108">
        <v>1.8236666666666665</v>
      </c>
      <c r="Q604" s="108">
        <v>0.7496666666666667</v>
      </c>
      <c r="R604" s="108"/>
      <c r="S604" s="463">
        <f>EXP(2.969*LN(P604*10)-1.611)/1000</f>
        <v>1.1068752090711527</v>
      </c>
      <c r="T604" s="104" t="s">
        <v>672</v>
      </c>
      <c r="U604" s="108">
        <v>0.94099999999999995</v>
      </c>
      <c r="V604" s="107">
        <v>44.075000000000003</v>
      </c>
      <c r="W604" s="106" t="s">
        <v>397</v>
      </c>
    </row>
    <row r="605" spans="1:23" ht="21" customHeight="1">
      <c r="A605" s="104" t="s">
        <v>579</v>
      </c>
      <c r="B605" s="104" t="s">
        <v>580</v>
      </c>
      <c r="C605" s="454" t="s">
        <v>585</v>
      </c>
      <c r="D605" s="105" t="s">
        <v>151</v>
      </c>
      <c r="E605" s="104">
        <v>41229</v>
      </c>
      <c r="F605" s="104">
        <v>17329</v>
      </c>
      <c r="G605" s="106" t="s">
        <v>1357</v>
      </c>
      <c r="H605" s="104" t="s">
        <v>1138</v>
      </c>
      <c r="I605" s="104" t="s">
        <v>225</v>
      </c>
      <c r="J605" s="104" t="s">
        <v>105</v>
      </c>
      <c r="K605" s="104" t="s">
        <v>655</v>
      </c>
      <c r="L605" s="104" t="s">
        <v>656</v>
      </c>
      <c r="M605" s="104" t="s">
        <v>114</v>
      </c>
      <c r="N605" s="254"/>
      <c r="O605" s="103"/>
      <c r="P605" s="108">
        <v>1.032</v>
      </c>
      <c r="Q605" s="108">
        <v>0.4336666666666667</v>
      </c>
      <c r="R605" s="108"/>
      <c r="S605" s="253">
        <f>(10^((1.463*LOG((P605*Q605*100))+0.633)))/1000</f>
        <v>1.1173074288539193</v>
      </c>
      <c r="T605" s="104" t="s">
        <v>657</v>
      </c>
      <c r="U605" s="108">
        <v>0.97660000000000002</v>
      </c>
      <c r="V605" s="107">
        <v>33.36</v>
      </c>
      <c r="W605" s="106" t="s">
        <v>404</v>
      </c>
    </row>
    <row r="606" spans="1:23" ht="21" customHeight="1">
      <c r="A606" s="104" t="s">
        <v>579</v>
      </c>
      <c r="B606" s="104" t="s">
        <v>580</v>
      </c>
      <c r="C606" s="454" t="s">
        <v>585</v>
      </c>
      <c r="D606" s="105" t="s">
        <v>151</v>
      </c>
      <c r="E606" s="104">
        <v>41229</v>
      </c>
      <c r="F606" s="104">
        <v>17279</v>
      </c>
      <c r="G606" s="106" t="s">
        <v>1357</v>
      </c>
      <c r="H606" s="104" t="s">
        <v>1138</v>
      </c>
      <c r="I606" s="104" t="s">
        <v>225</v>
      </c>
      <c r="J606" s="104" t="s">
        <v>105</v>
      </c>
      <c r="K606" s="104" t="s">
        <v>655</v>
      </c>
      <c r="L606" s="104" t="s">
        <v>656</v>
      </c>
      <c r="M606" s="104" t="s">
        <v>108</v>
      </c>
      <c r="N606" s="254"/>
      <c r="O606" s="103"/>
      <c r="P606" s="108">
        <v>0.96733333333333338</v>
      </c>
      <c r="Q606" s="108">
        <v>0.46466666666666656</v>
      </c>
      <c r="R606" s="108"/>
      <c r="S606" s="253">
        <f>(10^((1.463*LOG((P606*Q606*100))+0.633)))/1000</f>
        <v>1.1244132502543915</v>
      </c>
      <c r="T606" s="104" t="s">
        <v>657</v>
      </c>
      <c r="U606" s="108">
        <v>0.97660000000000002</v>
      </c>
      <c r="V606" s="107">
        <v>33.36</v>
      </c>
      <c r="W606" s="106" t="s">
        <v>404</v>
      </c>
    </row>
    <row r="607" spans="1:23" ht="21" customHeight="1">
      <c r="A607" s="104" t="s">
        <v>579</v>
      </c>
      <c r="B607" s="104" t="s">
        <v>580</v>
      </c>
      <c r="C607" s="454" t="s">
        <v>585</v>
      </c>
      <c r="D607" s="105" t="s">
        <v>151</v>
      </c>
      <c r="E607" s="104">
        <v>41229</v>
      </c>
      <c r="F607" s="104">
        <v>16975</v>
      </c>
      <c r="G607" s="106" t="s">
        <v>1357</v>
      </c>
      <c r="H607" s="104" t="s">
        <v>1138</v>
      </c>
      <c r="I607" s="104" t="s">
        <v>225</v>
      </c>
      <c r="J607" s="104" t="s">
        <v>105</v>
      </c>
      <c r="K607" s="104" t="s">
        <v>655</v>
      </c>
      <c r="L607" s="104" t="s">
        <v>656</v>
      </c>
      <c r="M607" s="104" t="s">
        <v>108</v>
      </c>
      <c r="N607" s="254"/>
      <c r="O607" s="103"/>
      <c r="P607" s="108">
        <v>0.95733333333333326</v>
      </c>
      <c r="Q607" s="108">
        <v>0.47166666666666679</v>
      </c>
      <c r="R607" s="108"/>
      <c r="S607" s="253">
        <f>(10^((1.463*LOG((P607*Q607*100))+0.633)))/1000</f>
        <v>1.1319407880291281</v>
      </c>
      <c r="T607" s="104" t="s">
        <v>657</v>
      </c>
      <c r="U607" s="108">
        <v>0.97660000000000002</v>
      </c>
      <c r="V607" s="107">
        <v>33.36</v>
      </c>
      <c r="W607" s="106" t="s">
        <v>404</v>
      </c>
    </row>
    <row r="608" spans="1:23" ht="21" customHeight="1">
      <c r="A608" s="104" t="s">
        <v>579</v>
      </c>
      <c r="B608" s="104" t="s">
        <v>580</v>
      </c>
      <c r="C608" s="454" t="s">
        <v>585</v>
      </c>
      <c r="D608" s="105" t="s">
        <v>151</v>
      </c>
      <c r="E608" s="104">
        <v>41229</v>
      </c>
      <c r="F608" s="104">
        <v>17475</v>
      </c>
      <c r="G608" s="106" t="s">
        <v>1357</v>
      </c>
      <c r="H608" s="104" t="s">
        <v>1138</v>
      </c>
      <c r="I608" s="104" t="s">
        <v>104</v>
      </c>
      <c r="J608" s="104" t="s">
        <v>105</v>
      </c>
      <c r="K608" s="104" t="s">
        <v>655</v>
      </c>
      <c r="L608" s="104" t="s">
        <v>656</v>
      </c>
      <c r="M608" s="104" t="s">
        <v>108</v>
      </c>
      <c r="N608" s="254"/>
      <c r="O608" s="103"/>
      <c r="P608" s="108">
        <v>1.0390000000000001</v>
      </c>
      <c r="Q608" s="108">
        <v>0.43466666666666665</v>
      </c>
      <c r="R608" s="108"/>
      <c r="S608" s="253">
        <f>(10^((1.463*LOG((P608*Q608*100))+0.633)))/1000</f>
        <v>1.1322211587242881</v>
      </c>
      <c r="T608" s="104" t="s">
        <v>657</v>
      </c>
      <c r="U608" s="108">
        <v>0.97660000000000002</v>
      </c>
      <c r="V608" s="107">
        <v>33.36</v>
      </c>
      <c r="W608" s="106" t="s">
        <v>404</v>
      </c>
    </row>
    <row r="609" spans="1:23" ht="21" customHeight="1">
      <c r="A609" s="104" t="s">
        <v>579</v>
      </c>
      <c r="B609" s="104" t="s">
        <v>580</v>
      </c>
      <c r="C609" s="454" t="s">
        <v>585</v>
      </c>
      <c r="D609" s="105" t="s">
        <v>151</v>
      </c>
      <c r="E609" s="104">
        <v>41229</v>
      </c>
      <c r="F609" s="104">
        <v>1785</v>
      </c>
      <c r="G609" s="106" t="s">
        <v>1357</v>
      </c>
      <c r="H609" s="104" t="s">
        <v>1138</v>
      </c>
      <c r="I609" s="104" t="s">
        <v>104</v>
      </c>
      <c r="J609" s="104" t="s">
        <v>105</v>
      </c>
      <c r="K609" s="104" t="s">
        <v>1363</v>
      </c>
      <c r="L609" s="104" t="s">
        <v>1364</v>
      </c>
      <c r="M609" s="104" t="s">
        <v>114</v>
      </c>
      <c r="N609" s="108">
        <v>0.53866666666666663</v>
      </c>
      <c r="O609" s="108"/>
      <c r="P609" s="108"/>
      <c r="Q609" s="108"/>
      <c r="R609" s="108"/>
      <c r="S609" s="253">
        <f>(10^(2.076*LOG(N609*10)+1.536))/1000</f>
        <v>1.1329755328536608</v>
      </c>
      <c r="T609" s="108" t="s">
        <v>1365</v>
      </c>
      <c r="U609" s="108">
        <v>0.89400000000000002</v>
      </c>
      <c r="V609" s="107">
        <v>14.871</v>
      </c>
      <c r="W609" s="106" t="s">
        <v>1347</v>
      </c>
    </row>
    <row r="610" spans="1:23" ht="21" customHeight="1">
      <c r="A610" s="104" t="s">
        <v>579</v>
      </c>
      <c r="B610" s="104" t="s">
        <v>580</v>
      </c>
      <c r="C610" s="454" t="s">
        <v>585</v>
      </c>
      <c r="D610" s="105" t="s">
        <v>151</v>
      </c>
      <c r="E610" s="104">
        <v>41229</v>
      </c>
      <c r="F610" s="104">
        <v>16986</v>
      </c>
      <c r="G610" s="106" t="s">
        <v>1357</v>
      </c>
      <c r="H610" s="104" t="s">
        <v>1138</v>
      </c>
      <c r="I610" s="104" t="s">
        <v>225</v>
      </c>
      <c r="J610" s="104" t="s">
        <v>105</v>
      </c>
      <c r="K610" s="104" t="s">
        <v>655</v>
      </c>
      <c r="L610" s="104" t="s">
        <v>656</v>
      </c>
      <c r="M610" s="104" t="s">
        <v>108</v>
      </c>
      <c r="N610" s="254"/>
      <c r="O610" s="103"/>
      <c r="P610" s="108">
        <v>1.012</v>
      </c>
      <c r="Q610" s="108">
        <v>0.44666666666666677</v>
      </c>
      <c r="R610" s="108"/>
      <c r="S610" s="253">
        <f>(10^((1.463*LOG((P610*Q610*100))+0.633)))/1000</f>
        <v>1.1337179273674072</v>
      </c>
      <c r="T610" s="104" t="s">
        <v>657</v>
      </c>
      <c r="U610" s="108">
        <v>0.97660000000000002</v>
      </c>
      <c r="V610" s="107">
        <v>33.36</v>
      </c>
      <c r="W610" s="106" t="s">
        <v>404</v>
      </c>
    </row>
    <row r="611" spans="1:23" ht="21" customHeight="1">
      <c r="A611" s="104" t="s">
        <v>579</v>
      </c>
      <c r="B611" s="104" t="s">
        <v>580</v>
      </c>
      <c r="C611" s="454" t="s">
        <v>585</v>
      </c>
      <c r="D611" s="105" t="s">
        <v>151</v>
      </c>
      <c r="E611" s="104">
        <v>41229</v>
      </c>
      <c r="F611" s="104">
        <v>9988</v>
      </c>
      <c r="G611" s="106" t="s">
        <v>1357</v>
      </c>
      <c r="H611" s="104" t="s">
        <v>1138</v>
      </c>
      <c r="I611" s="104" t="s">
        <v>225</v>
      </c>
      <c r="J611" s="104" t="s">
        <v>105</v>
      </c>
      <c r="K611" s="104" t="s">
        <v>670</v>
      </c>
      <c r="L611" s="104" t="s">
        <v>671</v>
      </c>
      <c r="M611" s="104" t="s">
        <v>108</v>
      </c>
      <c r="N611" s="108"/>
      <c r="O611" s="108"/>
      <c r="P611" s="108">
        <v>1.8580000000000001</v>
      </c>
      <c r="Q611" s="108">
        <v>0.7609999999999999</v>
      </c>
      <c r="R611" s="108"/>
      <c r="S611" s="463">
        <f>EXP(2.969*LN(P611*10)-1.611)/1000</f>
        <v>1.1698988164929844</v>
      </c>
      <c r="T611" s="104" t="s">
        <v>672</v>
      </c>
      <c r="U611" s="108">
        <v>0.94099999999999995</v>
      </c>
      <c r="V611" s="107">
        <v>44.075000000000003</v>
      </c>
      <c r="W611" s="106" t="s">
        <v>397</v>
      </c>
    </row>
    <row r="612" spans="1:23" ht="21" customHeight="1">
      <c r="A612" s="104" t="s">
        <v>579</v>
      </c>
      <c r="B612" s="104" t="s">
        <v>580</v>
      </c>
      <c r="C612" s="454" t="s">
        <v>585</v>
      </c>
      <c r="D612" s="105" t="s">
        <v>151</v>
      </c>
      <c r="E612" s="104">
        <v>41229</v>
      </c>
      <c r="F612" s="104">
        <v>17477</v>
      </c>
      <c r="G612" s="106" t="s">
        <v>1357</v>
      </c>
      <c r="H612" s="104" t="s">
        <v>1138</v>
      </c>
      <c r="I612" s="104" t="s">
        <v>104</v>
      </c>
      <c r="J612" s="104" t="s">
        <v>105</v>
      </c>
      <c r="K612" s="104" t="s">
        <v>655</v>
      </c>
      <c r="L612" s="104" t="s">
        <v>656</v>
      </c>
      <c r="M612" s="104" t="s">
        <v>108</v>
      </c>
      <c r="N612" s="254"/>
      <c r="O612" s="103"/>
      <c r="P612" s="108">
        <v>0.99399999999999999</v>
      </c>
      <c r="Q612" s="108">
        <v>0.46533333333333332</v>
      </c>
      <c r="R612" s="108"/>
      <c r="S612" s="253">
        <f>(10^((1.463*LOG((P612*Q612*100))+0.633)))/1000</f>
        <v>1.172506480262802</v>
      </c>
      <c r="T612" s="104" t="s">
        <v>657</v>
      </c>
      <c r="U612" s="108">
        <v>0.97660000000000002</v>
      </c>
      <c r="V612" s="107">
        <v>33.36</v>
      </c>
      <c r="W612" s="106" t="s">
        <v>404</v>
      </c>
    </row>
    <row r="613" spans="1:23" ht="21" customHeight="1">
      <c r="A613" s="104" t="s">
        <v>579</v>
      </c>
      <c r="B613" s="104" t="s">
        <v>580</v>
      </c>
      <c r="C613" s="454" t="s">
        <v>585</v>
      </c>
      <c r="D613" s="105" t="s">
        <v>151</v>
      </c>
      <c r="E613" s="104">
        <v>41229</v>
      </c>
      <c r="F613" s="104">
        <v>17014</v>
      </c>
      <c r="G613" s="106" t="s">
        <v>1357</v>
      </c>
      <c r="H613" s="104" t="s">
        <v>1138</v>
      </c>
      <c r="I613" s="104" t="s">
        <v>225</v>
      </c>
      <c r="J613" s="104" t="s">
        <v>105</v>
      </c>
      <c r="K613" s="104" t="s">
        <v>655</v>
      </c>
      <c r="L613" s="104" t="s">
        <v>656</v>
      </c>
      <c r="M613" s="104" t="s">
        <v>114</v>
      </c>
      <c r="N613" s="254"/>
      <c r="O613" s="103"/>
      <c r="P613" s="108">
        <v>1.0206666666666666</v>
      </c>
      <c r="Q613" s="108">
        <v>0.45599999999999996</v>
      </c>
      <c r="R613" s="108"/>
      <c r="S613" s="253">
        <f>(10^((1.463*LOG((P613*Q613*100))+0.633)))/1000</f>
        <v>1.1832125210104578</v>
      </c>
      <c r="T613" s="104" t="s">
        <v>657</v>
      </c>
      <c r="U613" s="108">
        <v>0.97660000000000002</v>
      </c>
      <c r="V613" s="107">
        <v>33.36</v>
      </c>
      <c r="W613" s="106" t="s">
        <v>404</v>
      </c>
    </row>
    <row r="614" spans="1:23" ht="21" customHeight="1">
      <c r="A614" s="104" t="s">
        <v>579</v>
      </c>
      <c r="B614" s="104" t="s">
        <v>580</v>
      </c>
      <c r="C614" s="454" t="s">
        <v>585</v>
      </c>
      <c r="D614" s="105" t="s">
        <v>151</v>
      </c>
      <c r="E614" s="104">
        <v>41229</v>
      </c>
      <c r="F614" s="104">
        <v>9990</v>
      </c>
      <c r="G614" s="106" t="s">
        <v>1357</v>
      </c>
      <c r="H614" s="104" t="s">
        <v>1138</v>
      </c>
      <c r="I614" s="104" t="s">
        <v>225</v>
      </c>
      <c r="J614" s="104" t="s">
        <v>105</v>
      </c>
      <c r="K614" s="104" t="s">
        <v>670</v>
      </c>
      <c r="L614" s="104" t="s">
        <v>671</v>
      </c>
      <c r="M614" s="104" t="s">
        <v>108</v>
      </c>
      <c r="N614" s="108"/>
      <c r="O614" s="108"/>
      <c r="P614" s="108">
        <v>1.8683333333333334</v>
      </c>
      <c r="Q614" s="108">
        <v>0.76200000000000001</v>
      </c>
      <c r="R614" s="108"/>
      <c r="S614" s="463">
        <f>EXP(2.969*LN(P614*10)-1.611)/1000</f>
        <v>1.1893223794240106</v>
      </c>
      <c r="T614" s="104" t="s">
        <v>1358</v>
      </c>
      <c r="U614" s="108">
        <v>0.94099999999999995</v>
      </c>
      <c r="V614" s="107">
        <v>44.075000000000003</v>
      </c>
      <c r="W614" s="106" t="s">
        <v>397</v>
      </c>
    </row>
    <row r="615" spans="1:23" ht="21" customHeight="1">
      <c r="A615" s="104" t="s">
        <v>579</v>
      </c>
      <c r="B615" s="104" t="s">
        <v>580</v>
      </c>
      <c r="C615" s="454" t="s">
        <v>585</v>
      </c>
      <c r="D615" s="105" t="s">
        <v>151</v>
      </c>
      <c r="E615" s="104">
        <v>41229</v>
      </c>
      <c r="F615" s="104">
        <v>17481</v>
      </c>
      <c r="G615" s="106" t="s">
        <v>1357</v>
      </c>
      <c r="H615" s="104" t="s">
        <v>1138</v>
      </c>
      <c r="I615" s="104" t="s">
        <v>104</v>
      </c>
      <c r="J615" s="104" t="s">
        <v>105</v>
      </c>
      <c r="K615" s="104" t="s">
        <v>655</v>
      </c>
      <c r="L615" s="104" t="s">
        <v>656</v>
      </c>
      <c r="M615" s="104" t="s">
        <v>114</v>
      </c>
      <c r="N615" s="254"/>
      <c r="O615" s="103"/>
      <c r="P615" s="108">
        <v>1.0183333333333331</v>
      </c>
      <c r="Q615" s="108">
        <v>0.45899999999999996</v>
      </c>
      <c r="R615" s="108"/>
      <c r="S615" s="253">
        <f>(10^((1.463*LOG((P615*Q615*100))+0.633)))/1000</f>
        <v>1.1906249255922219</v>
      </c>
      <c r="T615" s="104" t="s">
        <v>657</v>
      </c>
      <c r="U615" s="108">
        <v>0.97660000000000002</v>
      </c>
      <c r="V615" s="107">
        <v>33.36</v>
      </c>
      <c r="W615" s="106" t="s">
        <v>404</v>
      </c>
    </row>
    <row r="616" spans="1:23" ht="21" customHeight="1">
      <c r="A616" s="104" t="s">
        <v>579</v>
      </c>
      <c r="B616" s="104" t="s">
        <v>580</v>
      </c>
      <c r="C616" s="454" t="s">
        <v>585</v>
      </c>
      <c r="D616" s="105" t="s">
        <v>151</v>
      </c>
      <c r="E616" s="104">
        <v>41229</v>
      </c>
      <c r="F616" s="104">
        <v>17506</v>
      </c>
      <c r="G616" s="106" t="s">
        <v>1357</v>
      </c>
      <c r="H616" s="104" t="s">
        <v>1138</v>
      </c>
      <c r="I616" s="104" t="s">
        <v>104</v>
      </c>
      <c r="J616" s="104" t="s">
        <v>105</v>
      </c>
      <c r="K616" s="104" t="s">
        <v>655</v>
      </c>
      <c r="L616" s="104" t="s">
        <v>656</v>
      </c>
      <c r="M616" s="104" t="s">
        <v>114</v>
      </c>
      <c r="N616" s="254"/>
      <c r="O616" s="103"/>
      <c r="P616" s="108">
        <v>1.0333333333333334</v>
      </c>
      <c r="Q616" s="108">
        <v>0.45433333333333331</v>
      </c>
      <c r="R616" s="108"/>
      <c r="S616" s="253">
        <f>(10^((1.463*LOG((P616*Q616*100))+0.633)))/1000</f>
        <v>1.1983199892092464</v>
      </c>
      <c r="T616" s="104" t="s">
        <v>657</v>
      </c>
      <c r="U616" s="108">
        <v>0.97660000000000002</v>
      </c>
      <c r="V616" s="107">
        <v>33.36</v>
      </c>
      <c r="W616" s="106" t="s">
        <v>404</v>
      </c>
    </row>
    <row r="617" spans="1:23" ht="21" customHeight="1">
      <c r="A617" s="104" t="s">
        <v>579</v>
      </c>
      <c r="B617" s="104" t="s">
        <v>580</v>
      </c>
      <c r="C617" s="454" t="s">
        <v>585</v>
      </c>
      <c r="D617" s="105" t="s">
        <v>151</v>
      </c>
      <c r="E617" s="104">
        <v>41229</v>
      </c>
      <c r="F617" s="104">
        <v>17016</v>
      </c>
      <c r="G617" s="106" t="s">
        <v>1357</v>
      </c>
      <c r="H617" s="104" t="s">
        <v>1138</v>
      </c>
      <c r="I617" s="104" t="s">
        <v>225</v>
      </c>
      <c r="J617" s="104" t="s">
        <v>105</v>
      </c>
      <c r="K617" s="104" t="s">
        <v>655</v>
      </c>
      <c r="L617" s="104" t="s">
        <v>656</v>
      </c>
      <c r="M617" s="104" t="s">
        <v>108</v>
      </c>
      <c r="N617" s="254"/>
      <c r="O617" s="103"/>
      <c r="P617" s="108">
        <v>1.0066666666666666</v>
      </c>
      <c r="Q617" s="108">
        <v>0.47433333333333333</v>
      </c>
      <c r="R617" s="108"/>
      <c r="S617" s="253">
        <f>(10^((1.463*LOG((P617*Q617*100))+0.633)))/1000</f>
        <v>1.2283782979625462</v>
      </c>
      <c r="T617" s="104" t="s">
        <v>657</v>
      </c>
      <c r="U617" s="108">
        <v>0.97660000000000002</v>
      </c>
      <c r="V617" s="107">
        <v>33.36</v>
      </c>
      <c r="W617" s="106" t="s">
        <v>404</v>
      </c>
    </row>
    <row r="618" spans="1:23" ht="21" customHeight="1">
      <c r="A618" s="104" t="s">
        <v>579</v>
      </c>
      <c r="B618" s="104" t="s">
        <v>580</v>
      </c>
      <c r="C618" s="454" t="s">
        <v>585</v>
      </c>
      <c r="D618" s="105" t="s">
        <v>151</v>
      </c>
      <c r="E618" s="104">
        <v>41229</v>
      </c>
      <c r="F618" s="104">
        <v>16973</v>
      </c>
      <c r="G618" s="106" t="s">
        <v>1357</v>
      </c>
      <c r="H618" s="104" t="s">
        <v>1138</v>
      </c>
      <c r="I618" s="104" t="s">
        <v>225</v>
      </c>
      <c r="J618" s="104" t="s">
        <v>105</v>
      </c>
      <c r="K618" s="104" t="s">
        <v>670</v>
      </c>
      <c r="L618" s="104" t="s">
        <v>671</v>
      </c>
      <c r="M618" s="104" t="s">
        <v>108</v>
      </c>
      <c r="N618" s="108"/>
      <c r="O618" s="108"/>
      <c r="P618" s="108">
        <v>1.898333333333333</v>
      </c>
      <c r="Q618" s="108">
        <v>0.70733333333333337</v>
      </c>
      <c r="R618" s="108"/>
      <c r="S618" s="463">
        <f>EXP(2.969*LN(P618*10)-1.611)/1000</f>
        <v>1.2469225070408085</v>
      </c>
      <c r="T618" s="104" t="s">
        <v>1358</v>
      </c>
      <c r="U618" s="108">
        <v>0.94099999999999995</v>
      </c>
      <c r="V618" s="107">
        <v>44.075000000000003</v>
      </c>
      <c r="W618" s="106" t="s">
        <v>397</v>
      </c>
    </row>
    <row r="619" spans="1:23" ht="21" customHeight="1">
      <c r="A619" s="104" t="s">
        <v>579</v>
      </c>
      <c r="B619" s="104" t="s">
        <v>580</v>
      </c>
      <c r="C619" s="454" t="s">
        <v>585</v>
      </c>
      <c r="D619" s="105" t="s">
        <v>151</v>
      </c>
      <c r="E619" s="104">
        <v>41229</v>
      </c>
      <c r="F619" s="104">
        <v>17241</v>
      </c>
      <c r="G619" s="106" t="s">
        <v>1357</v>
      </c>
      <c r="H619" s="104" t="s">
        <v>1138</v>
      </c>
      <c r="I619" s="104" t="s">
        <v>225</v>
      </c>
      <c r="J619" s="104" t="s">
        <v>105</v>
      </c>
      <c r="K619" s="104" t="s">
        <v>655</v>
      </c>
      <c r="L619" s="104" t="s">
        <v>656</v>
      </c>
      <c r="M619" s="104" t="s">
        <v>108</v>
      </c>
      <c r="N619" s="254"/>
      <c r="O619" s="103"/>
      <c r="P619" s="108">
        <v>0.98566666666666669</v>
      </c>
      <c r="Q619" s="108">
        <v>0.48966666666666675</v>
      </c>
      <c r="R619" s="108"/>
      <c r="S619" s="253">
        <f t="shared" ref="S619:S624" si="10">(10^((1.463*LOG((P619*Q619*100))+0.633)))/1000</f>
        <v>1.2478189699872324</v>
      </c>
      <c r="T619" s="104" t="s">
        <v>657</v>
      </c>
      <c r="U619" s="108">
        <v>0.97660000000000002</v>
      </c>
      <c r="V619" s="107">
        <v>33.36</v>
      </c>
      <c r="W619" s="106" t="s">
        <v>404</v>
      </c>
    </row>
    <row r="620" spans="1:23" ht="21" customHeight="1">
      <c r="A620" s="104" t="s">
        <v>579</v>
      </c>
      <c r="B620" s="104" t="s">
        <v>580</v>
      </c>
      <c r="C620" s="454" t="s">
        <v>585</v>
      </c>
      <c r="D620" s="105" t="s">
        <v>151</v>
      </c>
      <c r="E620" s="104">
        <v>41229</v>
      </c>
      <c r="F620" s="104">
        <v>3434</v>
      </c>
      <c r="G620" s="106" t="s">
        <v>1357</v>
      </c>
      <c r="H620" s="104" t="s">
        <v>1138</v>
      </c>
      <c r="I620" s="104" t="s">
        <v>104</v>
      </c>
      <c r="J620" s="104" t="s">
        <v>105</v>
      </c>
      <c r="K620" s="104" t="s">
        <v>655</v>
      </c>
      <c r="L620" s="104" t="s">
        <v>656</v>
      </c>
      <c r="M620" s="104" t="s">
        <v>108</v>
      </c>
      <c r="N620" s="254"/>
      <c r="O620" s="103"/>
      <c r="P620" s="108">
        <v>1.0453333333333332</v>
      </c>
      <c r="Q620" s="108">
        <v>0.46900000000000003</v>
      </c>
      <c r="R620" s="108"/>
      <c r="S620" s="253">
        <f t="shared" si="10"/>
        <v>1.2767199369040581</v>
      </c>
      <c r="T620" s="104" t="s">
        <v>657</v>
      </c>
      <c r="U620" s="108">
        <v>0.97660000000000002</v>
      </c>
      <c r="V620" s="107">
        <v>33.36</v>
      </c>
      <c r="W620" s="106" t="s">
        <v>404</v>
      </c>
    </row>
    <row r="621" spans="1:23" ht="21" customHeight="1">
      <c r="A621" s="104" t="s">
        <v>579</v>
      </c>
      <c r="B621" s="104" t="s">
        <v>580</v>
      </c>
      <c r="C621" s="454" t="s">
        <v>585</v>
      </c>
      <c r="D621" s="105" t="s">
        <v>151</v>
      </c>
      <c r="E621" s="104">
        <v>41229</v>
      </c>
      <c r="F621" s="104">
        <v>17470</v>
      </c>
      <c r="G621" s="106" t="s">
        <v>1357</v>
      </c>
      <c r="H621" s="104" t="s">
        <v>1138</v>
      </c>
      <c r="I621" s="104" t="s">
        <v>104</v>
      </c>
      <c r="J621" s="104" t="s">
        <v>105</v>
      </c>
      <c r="K621" s="104" t="s">
        <v>655</v>
      </c>
      <c r="L621" s="104" t="s">
        <v>656</v>
      </c>
      <c r="M621" s="104" t="s">
        <v>114</v>
      </c>
      <c r="N621" s="254"/>
      <c r="O621" s="103"/>
      <c r="P621" s="108">
        <v>1.0183333333333331</v>
      </c>
      <c r="Q621" s="108">
        <v>0.48233333333333334</v>
      </c>
      <c r="R621" s="108"/>
      <c r="S621" s="253">
        <f t="shared" si="10"/>
        <v>1.2802066436590207</v>
      </c>
      <c r="T621" s="104" t="s">
        <v>657</v>
      </c>
      <c r="U621" s="108">
        <v>0.97660000000000002</v>
      </c>
      <c r="V621" s="107">
        <v>33.36</v>
      </c>
      <c r="W621" s="106" t="s">
        <v>404</v>
      </c>
    </row>
    <row r="622" spans="1:23" ht="21" customHeight="1">
      <c r="A622" s="104" t="s">
        <v>579</v>
      </c>
      <c r="B622" s="104" t="s">
        <v>580</v>
      </c>
      <c r="C622" s="454" t="s">
        <v>585</v>
      </c>
      <c r="D622" s="105" t="s">
        <v>151</v>
      </c>
      <c r="E622" s="104">
        <v>41229</v>
      </c>
      <c r="F622" s="104">
        <v>17474</v>
      </c>
      <c r="G622" s="106" t="s">
        <v>1357</v>
      </c>
      <c r="H622" s="104" t="s">
        <v>1138</v>
      </c>
      <c r="I622" s="104" t="s">
        <v>104</v>
      </c>
      <c r="J622" s="104" t="s">
        <v>105</v>
      </c>
      <c r="K622" s="104" t="s">
        <v>655</v>
      </c>
      <c r="L622" s="104" t="s">
        <v>656</v>
      </c>
      <c r="M622" s="104" t="s">
        <v>114</v>
      </c>
      <c r="N622" s="254"/>
      <c r="O622" s="103"/>
      <c r="P622" s="108">
        <v>1.0946666666666667</v>
      </c>
      <c r="Q622" s="108">
        <v>0.45766666666666672</v>
      </c>
      <c r="R622" s="108"/>
      <c r="S622" s="253">
        <f t="shared" si="10"/>
        <v>1.3178106434224539</v>
      </c>
      <c r="T622" s="104" t="s">
        <v>657</v>
      </c>
      <c r="U622" s="108">
        <v>0.97660000000000002</v>
      </c>
      <c r="V622" s="107">
        <v>33.36</v>
      </c>
      <c r="W622" s="106" t="s">
        <v>404</v>
      </c>
    </row>
    <row r="623" spans="1:23" ht="21" customHeight="1">
      <c r="A623" s="104" t="s">
        <v>579</v>
      </c>
      <c r="B623" s="104" t="s">
        <v>580</v>
      </c>
      <c r="C623" s="454" t="s">
        <v>585</v>
      </c>
      <c r="D623" s="105" t="s">
        <v>151</v>
      </c>
      <c r="E623" s="104">
        <v>41229</v>
      </c>
      <c r="F623" s="104">
        <v>17008</v>
      </c>
      <c r="G623" s="106" t="s">
        <v>1357</v>
      </c>
      <c r="H623" s="104" t="s">
        <v>1138</v>
      </c>
      <c r="I623" s="104" t="s">
        <v>225</v>
      </c>
      <c r="J623" s="104" t="s">
        <v>105</v>
      </c>
      <c r="K623" s="104" t="s">
        <v>655</v>
      </c>
      <c r="L623" s="104" t="s">
        <v>656</v>
      </c>
      <c r="M623" s="104" t="s">
        <v>108</v>
      </c>
      <c r="N623" s="254"/>
      <c r="O623" s="103"/>
      <c r="P623" s="108">
        <v>0.97833333333333328</v>
      </c>
      <c r="Q623" s="108">
        <v>0.51466666666666661</v>
      </c>
      <c r="R623" s="108"/>
      <c r="S623" s="253">
        <f t="shared" si="10"/>
        <v>1.3275315803396861</v>
      </c>
      <c r="T623" s="104" t="s">
        <v>657</v>
      </c>
      <c r="U623" s="108">
        <v>0.97660000000000002</v>
      </c>
      <c r="V623" s="107">
        <v>33.36</v>
      </c>
      <c r="W623" s="106" t="s">
        <v>404</v>
      </c>
    </row>
    <row r="624" spans="1:23" ht="21" customHeight="1">
      <c r="A624" s="104" t="s">
        <v>579</v>
      </c>
      <c r="B624" s="104" t="s">
        <v>580</v>
      </c>
      <c r="C624" s="454" t="s">
        <v>585</v>
      </c>
      <c r="D624" s="105" t="s">
        <v>151</v>
      </c>
      <c r="E624" s="104">
        <v>41229</v>
      </c>
      <c r="F624" s="104">
        <v>17480</v>
      </c>
      <c r="G624" s="106" t="s">
        <v>1357</v>
      </c>
      <c r="H624" s="104" t="s">
        <v>1138</v>
      </c>
      <c r="I624" s="104" t="s">
        <v>104</v>
      </c>
      <c r="J624" s="104" t="s">
        <v>105</v>
      </c>
      <c r="K624" s="104" t="s">
        <v>655</v>
      </c>
      <c r="L624" s="104" t="s">
        <v>656</v>
      </c>
      <c r="M624" s="104" t="s">
        <v>108</v>
      </c>
      <c r="N624" s="254"/>
      <c r="O624" s="103"/>
      <c r="P624" s="108">
        <v>1.0863333333333332</v>
      </c>
      <c r="Q624" s="108">
        <v>0.46966666666666662</v>
      </c>
      <c r="R624" s="108"/>
      <c r="S624" s="253">
        <f t="shared" si="10"/>
        <v>1.3534506062911777</v>
      </c>
      <c r="T624" s="104" t="s">
        <v>657</v>
      </c>
      <c r="U624" s="108">
        <v>0.97660000000000002</v>
      </c>
      <c r="V624" s="107">
        <v>33.36</v>
      </c>
      <c r="W624" s="106" t="s">
        <v>404</v>
      </c>
    </row>
    <row r="625" spans="1:23" ht="21" customHeight="1">
      <c r="A625" s="104" t="s">
        <v>579</v>
      </c>
      <c r="B625" s="104" t="s">
        <v>580</v>
      </c>
      <c r="C625" s="454" t="s">
        <v>585</v>
      </c>
      <c r="D625" s="105" t="s">
        <v>151</v>
      </c>
      <c r="E625" s="104">
        <v>41229</v>
      </c>
      <c r="F625" s="104">
        <v>4778</v>
      </c>
      <c r="G625" s="106" t="s">
        <v>1357</v>
      </c>
      <c r="H625" s="104" t="s">
        <v>1138</v>
      </c>
      <c r="I625" s="104" t="s">
        <v>104</v>
      </c>
      <c r="J625" s="104" t="s">
        <v>105</v>
      </c>
      <c r="K625" s="104" t="s">
        <v>670</v>
      </c>
      <c r="L625" s="104" t="s">
        <v>671</v>
      </c>
      <c r="M625" s="104" t="s">
        <v>108</v>
      </c>
      <c r="N625" s="108"/>
      <c r="O625" s="108"/>
      <c r="P625" s="108">
        <v>1.9790000000000003</v>
      </c>
      <c r="Q625" s="108">
        <v>0.7583333333333333</v>
      </c>
      <c r="R625" s="108"/>
      <c r="S625" s="463">
        <f>EXP(2.969*LN(P625*10)-1.611)/1000</f>
        <v>1.410909483644911</v>
      </c>
      <c r="T625" s="104" t="s">
        <v>1358</v>
      </c>
      <c r="U625" s="108">
        <v>0.94099999999999995</v>
      </c>
      <c r="V625" s="107">
        <v>44.075000000000003</v>
      </c>
      <c r="W625" s="106" t="s">
        <v>397</v>
      </c>
    </row>
    <row r="626" spans="1:23" ht="21" customHeight="1">
      <c r="A626" s="104" t="s">
        <v>579</v>
      </c>
      <c r="B626" s="104" t="s">
        <v>580</v>
      </c>
      <c r="C626" s="454" t="s">
        <v>585</v>
      </c>
      <c r="D626" s="105" t="s">
        <v>151</v>
      </c>
      <c r="E626" s="104">
        <v>41229</v>
      </c>
      <c r="F626" s="104">
        <v>17476</v>
      </c>
      <c r="G626" s="106" t="s">
        <v>1357</v>
      </c>
      <c r="H626" s="104" t="s">
        <v>1138</v>
      </c>
      <c r="I626" s="104" t="s">
        <v>104</v>
      </c>
      <c r="J626" s="104" t="s">
        <v>105</v>
      </c>
      <c r="K626" s="104" t="s">
        <v>655</v>
      </c>
      <c r="L626" s="104" t="s">
        <v>656</v>
      </c>
      <c r="M626" s="104" t="s">
        <v>108</v>
      </c>
      <c r="N626" s="254"/>
      <c r="O626" s="103"/>
      <c r="P626" s="108">
        <v>1.0653333333333335</v>
      </c>
      <c r="Q626" s="108">
        <v>0.49366666666666675</v>
      </c>
      <c r="R626" s="108"/>
      <c r="S626" s="253">
        <f>(10^((1.463*LOG((P626*Q626*100))+0.633)))/1000</f>
        <v>1.4148322959206479</v>
      </c>
      <c r="T626" s="104" t="s">
        <v>657</v>
      </c>
      <c r="U626" s="108">
        <v>0.97660000000000002</v>
      </c>
      <c r="V626" s="107">
        <v>33.36</v>
      </c>
      <c r="W626" s="106" t="s">
        <v>404</v>
      </c>
    </row>
    <row r="627" spans="1:23" ht="21" customHeight="1">
      <c r="A627" s="104" t="s">
        <v>579</v>
      </c>
      <c r="B627" s="104" t="s">
        <v>580</v>
      </c>
      <c r="C627" s="454" t="s">
        <v>585</v>
      </c>
      <c r="D627" s="105" t="s">
        <v>151</v>
      </c>
      <c r="E627" s="104">
        <v>41229</v>
      </c>
      <c r="F627" s="104">
        <v>17494</v>
      </c>
      <c r="G627" s="106" t="s">
        <v>1357</v>
      </c>
      <c r="H627" s="104" t="s">
        <v>1138</v>
      </c>
      <c r="I627" s="104" t="s">
        <v>104</v>
      </c>
      <c r="J627" s="104" t="s">
        <v>105</v>
      </c>
      <c r="K627" s="104" t="s">
        <v>655</v>
      </c>
      <c r="L627" s="104" t="s">
        <v>656</v>
      </c>
      <c r="M627" s="104" t="s">
        <v>108</v>
      </c>
      <c r="N627" s="254"/>
      <c r="O627" s="103"/>
      <c r="P627" s="108">
        <v>1.0966666666666667</v>
      </c>
      <c r="Q627" s="108">
        <v>0.47966666666666669</v>
      </c>
      <c r="R627" s="108"/>
      <c r="S627" s="253">
        <f>(10^((1.463*LOG((P627*Q627*100))+0.633)))/1000</f>
        <v>1.4152844953002546</v>
      </c>
      <c r="T627" s="104" t="s">
        <v>657</v>
      </c>
      <c r="U627" s="108">
        <v>0.97660000000000002</v>
      </c>
      <c r="V627" s="107">
        <v>33.36</v>
      </c>
      <c r="W627" s="106" t="s">
        <v>404</v>
      </c>
    </row>
    <row r="628" spans="1:23" ht="21" customHeight="1">
      <c r="A628" s="104" t="s">
        <v>579</v>
      </c>
      <c r="B628" s="104" t="s">
        <v>580</v>
      </c>
      <c r="C628" s="454" t="s">
        <v>585</v>
      </c>
      <c r="D628" s="105" t="s">
        <v>151</v>
      </c>
      <c r="E628" s="104">
        <v>41229</v>
      </c>
      <c r="F628" s="104">
        <v>17450</v>
      </c>
      <c r="G628" s="106" t="s">
        <v>1357</v>
      </c>
      <c r="H628" s="104" t="s">
        <v>1138</v>
      </c>
      <c r="I628" s="104" t="s">
        <v>104</v>
      </c>
      <c r="J628" s="104" t="s">
        <v>105</v>
      </c>
      <c r="K628" s="104" t="s">
        <v>670</v>
      </c>
      <c r="L628" s="104" t="s">
        <v>671</v>
      </c>
      <c r="M628" s="104" t="s">
        <v>108</v>
      </c>
      <c r="N628" s="108"/>
      <c r="O628" s="108"/>
      <c r="P628" s="108">
        <v>1.9836666666666667</v>
      </c>
      <c r="Q628" s="108">
        <v>0.7393333333333334</v>
      </c>
      <c r="R628" s="108"/>
      <c r="S628" s="463">
        <f>EXP(2.969*LN(P628*10)-1.611)/1000</f>
        <v>1.4208104632947876</v>
      </c>
      <c r="T628" s="104" t="s">
        <v>1358</v>
      </c>
      <c r="U628" s="108">
        <v>0.94099999999999995</v>
      </c>
      <c r="V628" s="107">
        <v>44.075000000000003</v>
      </c>
      <c r="W628" s="106" t="s">
        <v>397</v>
      </c>
    </row>
    <row r="629" spans="1:23" ht="21" customHeight="1">
      <c r="A629" s="104" t="s">
        <v>579</v>
      </c>
      <c r="B629" s="104" t="s">
        <v>580</v>
      </c>
      <c r="C629" s="454" t="s">
        <v>585</v>
      </c>
      <c r="D629" s="105" t="s">
        <v>151</v>
      </c>
      <c r="E629" s="104">
        <v>41229</v>
      </c>
      <c r="F629" s="104">
        <v>17484</v>
      </c>
      <c r="G629" s="106" t="s">
        <v>1357</v>
      </c>
      <c r="H629" s="104" t="s">
        <v>1138</v>
      </c>
      <c r="I629" s="104" t="s">
        <v>104</v>
      </c>
      <c r="J629" s="104" t="s">
        <v>105</v>
      </c>
      <c r="K629" s="104" t="s">
        <v>655</v>
      </c>
      <c r="L629" s="104" t="s">
        <v>656</v>
      </c>
      <c r="M629" s="104" t="s">
        <v>108</v>
      </c>
      <c r="N629" s="254"/>
      <c r="O629" s="103"/>
      <c r="P629" s="108">
        <v>1.054</v>
      </c>
      <c r="Q629" s="108">
        <v>0.50133333333333341</v>
      </c>
      <c r="R629" s="108"/>
      <c r="S629" s="253">
        <f>(10^((1.463*LOG((P629*Q629*100))+0.633)))/1000</f>
        <v>1.4246264473339185</v>
      </c>
      <c r="T629" s="104" t="s">
        <v>657</v>
      </c>
      <c r="U629" s="108">
        <v>0.97660000000000002</v>
      </c>
      <c r="V629" s="107">
        <v>33.36</v>
      </c>
      <c r="W629" s="106" t="s">
        <v>404</v>
      </c>
    </row>
    <row r="630" spans="1:23" ht="21" customHeight="1">
      <c r="A630" s="104" t="s">
        <v>579</v>
      </c>
      <c r="B630" s="104" t="s">
        <v>580</v>
      </c>
      <c r="C630" s="454" t="s">
        <v>585</v>
      </c>
      <c r="D630" s="105" t="s">
        <v>151</v>
      </c>
      <c r="E630" s="104">
        <v>41229</v>
      </c>
      <c r="F630" s="104">
        <v>1794</v>
      </c>
      <c r="G630" s="106" t="s">
        <v>1357</v>
      </c>
      <c r="H630" s="104" t="s">
        <v>1138</v>
      </c>
      <c r="I630" s="104" t="s">
        <v>104</v>
      </c>
      <c r="J630" s="104" t="s">
        <v>105</v>
      </c>
      <c r="K630" s="104" t="s">
        <v>655</v>
      </c>
      <c r="L630" s="104" t="s">
        <v>656</v>
      </c>
      <c r="M630" s="104" t="s">
        <v>108</v>
      </c>
      <c r="N630" s="254"/>
      <c r="O630" s="103"/>
      <c r="P630" s="108">
        <v>1.081</v>
      </c>
      <c r="Q630" s="108">
        <v>0.48999999999999994</v>
      </c>
      <c r="R630" s="108"/>
      <c r="S630" s="253">
        <f>(10^((1.463*LOG((P630*Q630*100))+0.633)))/1000</f>
        <v>1.429696504418162</v>
      </c>
      <c r="T630" s="104" t="s">
        <v>657</v>
      </c>
      <c r="U630" s="108">
        <v>0.97660000000000002</v>
      </c>
      <c r="V630" s="107">
        <v>33.36</v>
      </c>
      <c r="W630" s="106" t="s">
        <v>404</v>
      </c>
    </row>
    <row r="631" spans="1:23" ht="21" customHeight="1">
      <c r="A631" s="104" t="s">
        <v>579</v>
      </c>
      <c r="B631" s="104" t="s">
        <v>580</v>
      </c>
      <c r="C631" s="454" t="s">
        <v>585</v>
      </c>
      <c r="D631" s="105" t="s">
        <v>151</v>
      </c>
      <c r="E631" s="104">
        <v>41229</v>
      </c>
      <c r="F631" s="104">
        <v>17487</v>
      </c>
      <c r="G631" s="106" t="s">
        <v>1357</v>
      </c>
      <c r="H631" s="104" t="s">
        <v>1138</v>
      </c>
      <c r="I631" s="104" t="s">
        <v>104</v>
      </c>
      <c r="J631" s="104" t="s">
        <v>105</v>
      </c>
      <c r="K631" s="104" t="s">
        <v>655</v>
      </c>
      <c r="L631" s="104" t="s">
        <v>656</v>
      </c>
      <c r="M631" s="104" t="s">
        <v>114</v>
      </c>
      <c r="N631" s="254"/>
      <c r="O631" s="103"/>
      <c r="P631" s="108">
        <v>1.1093333333333333</v>
      </c>
      <c r="Q631" s="108">
        <v>0.47866666666666663</v>
      </c>
      <c r="R631" s="108"/>
      <c r="S631" s="253">
        <f>(10^((1.463*LOG((P631*Q631*100))+0.633)))/1000</f>
        <v>1.43487592198225</v>
      </c>
      <c r="T631" s="104" t="s">
        <v>657</v>
      </c>
      <c r="U631" s="108">
        <v>0.97660000000000002</v>
      </c>
      <c r="V631" s="107">
        <v>33.36</v>
      </c>
      <c r="W631" s="106" t="s">
        <v>404</v>
      </c>
    </row>
    <row r="632" spans="1:23" ht="21" customHeight="1">
      <c r="A632" s="104" t="s">
        <v>579</v>
      </c>
      <c r="B632" s="104" t="s">
        <v>580</v>
      </c>
      <c r="C632" s="454" t="s">
        <v>585</v>
      </c>
      <c r="D632" s="105" t="s">
        <v>151</v>
      </c>
      <c r="E632" s="104">
        <v>41229</v>
      </c>
      <c r="F632" s="104">
        <v>17479</v>
      </c>
      <c r="G632" s="106" t="s">
        <v>1357</v>
      </c>
      <c r="H632" s="104" t="s">
        <v>1138</v>
      </c>
      <c r="I632" s="104" t="s">
        <v>104</v>
      </c>
      <c r="J632" s="104" t="s">
        <v>105</v>
      </c>
      <c r="K632" s="104" t="s">
        <v>670</v>
      </c>
      <c r="L632" s="104" t="s">
        <v>671</v>
      </c>
      <c r="M632" s="104" t="s">
        <v>108</v>
      </c>
      <c r="N632" s="108"/>
      <c r="O632" s="108"/>
      <c r="P632" s="108">
        <v>1.9933333333333334</v>
      </c>
      <c r="Q632" s="108">
        <v>0.79866666666666675</v>
      </c>
      <c r="R632" s="108"/>
      <c r="S632" s="463">
        <f>EXP(2.969*LN(P632*10)-1.611)/1000</f>
        <v>1.4414659885633985</v>
      </c>
      <c r="T632" s="104" t="s">
        <v>1358</v>
      </c>
      <c r="U632" s="108">
        <v>0.94099999999999995</v>
      </c>
      <c r="V632" s="107">
        <v>44.075000000000003</v>
      </c>
      <c r="W632" s="106" t="s">
        <v>397</v>
      </c>
    </row>
    <row r="633" spans="1:23" ht="21" customHeight="1">
      <c r="A633" s="104" t="s">
        <v>579</v>
      </c>
      <c r="B633" s="104" t="s">
        <v>580</v>
      </c>
      <c r="C633" s="454" t="s">
        <v>585</v>
      </c>
      <c r="D633" s="105" t="s">
        <v>151</v>
      </c>
      <c r="E633" s="104">
        <v>41229</v>
      </c>
      <c r="F633" s="104">
        <v>17372</v>
      </c>
      <c r="G633" s="106" t="s">
        <v>1357</v>
      </c>
      <c r="H633" s="104" t="s">
        <v>1138</v>
      </c>
      <c r="I633" s="104" t="s">
        <v>225</v>
      </c>
      <c r="J633" s="104" t="s">
        <v>105</v>
      </c>
      <c r="K633" s="104" t="s">
        <v>1363</v>
      </c>
      <c r="L633" s="104" t="s">
        <v>1364</v>
      </c>
      <c r="M633" s="104" t="s">
        <v>1199</v>
      </c>
      <c r="N633" s="108">
        <v>0.60599999999999998</v>
      </c>
      <c r="O633" s="108"/>
      <c r="P633" s="108"/>
      <c r="Q633" s="108"/>
      <c r="R633" s="108"/>
      <c r="S633" s="253">
        <f>(10^(2.076*LOG(N633*10)+1.536))/1000</f>
        <v>1.4468155498986486</v>
      </c>
      <c r="T633" s="108" t="s">
        <v>1365</v>
      </c>
      <c r="U633" s="108">
        <v>0.89400000000000002</v>
      </c>
      <c r="V633" s="107">
        <v>14.871</v>
      </c>
      <c r="W633" s="106" t="s">
        <v>1347</v>
      </c>
    </row>
    <row r="634" spans="1:23" ht="21" customHeight="1">
      <c r="A634" s="104" t="s">
        <v>579</v>
      </c>
      <c r="B634" s="104" t="s">
        <v>580</v>
      </c>
      <c r="C634" s="454" t="s">
        <v>585</v>
      </c>
      <c r="D634" s="105" t="s">
        <v>151</v>
      </c>
      <c r="E634" s="104">
        <v>41229</v>
      </c>
      <c r="F634" s="104">
        <v>17452</v>
      </c>
      <c r="G634" s="106" t="s">
        <v>1357</v>
      </c>
      <c r="H634" s="104" t="s">
        <v>1138</v>
      </c>
      <c r="I634" s="104" t="s">
        <v>104</v>
      </c>
      <c r="J634" s="104" t="s">
        <v>105</v>
      </c>
      <c r="K634" s="104" t="s">
        <v>655</v>
      </c>
      <c r="L634" s="104" t="s">
        <v>656</v>
      </c>
      <c r="M634" s="104" t="s">
        <v>108</v>
      </c>
      <c r="N634" s="254"/>
      <c r="O634" s="103"/>
      <c r="P634" s="108">
        <v>1.0636666666666665</v>
      </c>
      <c r="Q634" s="108">
        <v>0.51233333333333342</v>
      </c>
      <c r="R634" s="108"/>
      <c r="S634" s="253">
        <f>(10^((1.463*LOG((P634*Q634*100))+0.633)))/1000</f>
        <v>1.4903627639774779</v>
      </c>
      <c r="T634" s="104" t="s">
        <v>657</v>
      </c>
      <c r="U634" s="108">
        <v>0.97660000000000002</v>
      </c>
      <c r="V634" s="107">
        <v>33.36</v>
      </c>
      <c r="W634" s="106" t="s">
        <v>404</v>
      </c>
    </row>
    <row r="635" spans="1:23" ht="21" customHeight="1">
      <c r="A635" s="104" t="s">
        <v>579</v>
      </c>
      <c r="B635" s="104" t="s">
        <v>580</v>
      </c>
      <c r="C635" s="454" t="s">
        <v>585</v>
      </c>
      <c r="D635" s="105" t="s">
        <v>151</v>
      </c>
      <c r="E635" s="104">
        <v>41229</v>
      </c>
      <c r="F635" s="104">
        <v>10160</v>
      </c>
      <c r="G635" s="106" t="s">
        <v>1357</v>
      </c>
      <c r="H635" s="104" t="s">
        <v>1138</v>
      </c>
      <c r="I635" s="104" t="s">
        <v>104</v>
      </c>
      <c r="J635" s="104" t="s">
        <v>105</v>
      </c>
      <c r="K635" s="104" t="s">
        <v>670</v>
      </c>
      <c r="L635" s="104" t="s">
        <v>671</v>
      </c>
      <c r="M635" s="104" t="s">
        <v>1359</v>
      </c>
      <c r="N635" s="108"/>
      <c r="O635" s="108"/>
      <c r="P635" s="108">
        <v>2.0266666666666664</v>
      </c>
      <c r="Q635" s="108">
        <v>0.77266666666666661</v>
      </c>
      <c r="R635" s="108"/>
      <c r="S635" s="463">
        <f>EXP(2.969*LN(P635*10)-1.611)/1000</f>
        <v>1.5142176749560785</v>
      </c>
      <c r="T635" s="104" t="s">
        <v>1358</v>
      </c>
      <c r="U635" s="108">
        <v>0.94099999999999995</v>
      </c>
      <c r="V635" s="107">
        <v>44.075000000000003</v>
      </c>
      <c r="W635" s="106" t="s">
        <v>397</v>
      </c>
    </row>
    <row r="636" spans="1:23" ht="21" customHeight="1">
      <c r="A636" s="104" t="s">
        <v>579</v>
      </c>
      <c r="B636" s="104" t="s">
        <v>580</v>
      </c>
      <c r="C636" s="454" t="s">
        <v>585</v>
      </c>
      <c r="D636" s="105" t="s">
        <v>151</v>
      </c>
      <c r="E636" s="104">
        <v>41229</v>
      </c>
      <c r="F636" s="104">
        <v>17630</v>
      </c>
      <c r="G636" s="106" t="s">
        <v>1357</v>
      </c>
      <c r="H636" s="104" t="s">
        <v>1138</v>
      </c>
      <c r="I636" s="104" t="s">
        <v>104</v>
      </c>
      <c r="J636" s="104" t="s">
        <v>105</v>
      </c>
      <c r="K636" s="104" t="s">
        <v>655</v>
      </c>
      <c r="L636" s="104" t="s">
        <v>656</v>
      </c>
      <c r="M636" s="104" t="s">
        <v>108</v>
      </c>
      <c r="N636" s="254"/>
      <c r="O636" s="103"/>
      <c r="P636" s="108">
        <v>0.92833333333333334</v>
      </c>
      <c r="Q636" s="108">
        <v>0.60133333333333328</v>
      </c>
      <c r="R636" s="108"/>
      <c r="S636" s="253">
        <f>(10^((1.463*LOG((P636*Q636*100))+0.633)))/1000</f>
        <v>1.5438195051422929</v>
      </c>
      <c r="T636" s="104" t="s">
        <v>657</v>
      </c>
      <c r="U636" s="108">
        <v>0.97660000000000002</v>
      </c>
      <c r="V636" s="107">
        <v>33.36</v>
      </c>
      <c r="W636" s="106" t="s">
        <v>404</v>
      </c>
    </row>
    <row r="637" spans="1:23" ht="21" customHeight="1">
      <c r="A637" s="104" t="s">
        <v>579</v>
      </c>
      <c r="B637" s="104" t="s">
        <v>580</v>
      </c>
      <c r="C637" s="454" t="s">
        <v>585</v>
      </c>
      <c r="D637" s="105" t="s">
        <v>151</v>
      </c>
      <c r="E637" s="104">
        <v>41229</v>
      </c>
      <c r="F637" s="104">
        <v>17510</v>
      </c>
      <c r="G637" s="106" t="s">
        <v>1357</v>
      </c>
      <c r="H637" s="104" t="s">
        <v>1138</v>
      </c>
      <c r="I637" s="104" t="s">
        <v>104</v>
      </c>
      <c r="J637" s="104" t="s">
        <v>105</v>
      </c>
      <c r="K637" s="104" t="s">
        <v>670</v>
      </c>
      <c r="L637" s="104" t="s">
        <v>671</v>
      </c>
      <c r="M637" s="104" t="s">
        <v>108</v>
      </c>
      <c r="N637" s="108"/>
      <c r="O637" s="108"/>
      <c r="P637" s="108">
        <v>2.0483333333333329</v>
      </c>
      <c r="Q637" s="108">
        <v>0.77900000000000003</v>
      </c>
      <c r="R637" s="108"/>
      <c r="S637" s="463">
        <f>EXP(2.969*LN(P637*10)-1.611)/1000</f>
        <v>1.5627879991223814</v>
      </c>
      <c r="T637" s="104" t="s">
        <v>1358</v>
      </c>
      <c r="U637" s="108">
        <v>0.94099999999999995</v>
      </c>
      <c r="V637" s="107">
        <v>44.075000000000003</v>
      </c>
      <c r="W637" s="106" t="s">
        <v>397</v>
      </c>
    </row>
    <row r="638" spans="1:23" ht="21" customHeight="1">
      <c r="A638" s="104" t="s">
        <v>579</v>
      </c>
      <c r="B638" s="104" t="s">
        <v>580</v>
      </c>
      <c r="C638" s="454" t="s">
        <v>585</v>
      </c>
      <c r="D638" s="105" t="s">
        <v>151</v>
      </c>
      <c r="E638" s="104">
        <v>41229</v>
      </c>
      <c r="F638" s="104">
        <v>2850</v>
      </c>
      <c r="G638" s="106" t="s">
        <v>1357</v>
      </c>
      <c r="H638" s="104" t="s">
        <v>1138</v>
      </c>
      <c r="I638" s="104" t="s">
        <v>104</v>
      </c>
      <c r="J638" s="104" t="s">
        <v>105</v>
      </c>
      <c r="K638" s="104" t="s">
        <v>655</v>
      </c>
      <c r="L638" s="104" t="s">
        <v>656</v>
      </c>
      <c r="M638" s="104" t="s">
        <v>114</v>
      </c>
      <c r="N638" s="254"/>
      <c r="O638" s="103"/>
      <c r="P638" s="108">
        <v>1.1086666666666667</v>
      </c>
      <c r="Q638" s="108">
        <v>0.51</v>
      </c>
      <c r="R638" s="108"/>
      <c r="S638" s="253">
        <f>(10^((1.463*LOG((P638*Q638*100))+0.633)))/1000</f>
        <v>1.572964844202742</v>
      </c>
      <c r="T638" s="104" t="s">
        <v>657</v>
      </c>
      <c r="U638" s="108">
        <v>0.97660000000000002</v>
      </c>
      <c r="V638" s="107">
        <v>33.36</v>
      </c>
      <c r="W638" s="106" t="s">
        <v>404</v>
      </c>
    </row>
    <row r="639" spans="1:23" ht="21" customHeight="1">
      <c r="A639" s="104" t="s">
        <v>579</v>
      </c>
      <c r="B639" s="104" t="s">
        <v>580</v>
      </c>
      <c r="C639" s="454" t="s">
        <v>585</v>
      </c>
      <c r="D639" s="105" t="s">
        <v>151</v>
      </c>
      <c r="E639" s="104">
        <v>41229</v>
      </c>
      <c r="F639" s="104">
        <v>1445</v>
      </c>
      <c r="G639" s="106" t="s">
        <v>1357</v>
      </c>
      <c r="H639" s="104" t="s">
        <v>1138</v>
      </c>
      <c r="I639" s="104" t="s">
        <v>104</v>
      </c>
      <c r="J639" s="104" t="s">
        <v>105</v>
      </c>
      <c r="K639" s="104" t="s">
        <v>670</v>
      </c>
      <c r="L639" s="104" t="s">
        <v>671</v>
      </c>
      <c r="M639" s="104" t="s">
        <v>108</v>
      </c>
      <c r="N639" s="108"/>
      <c r="O639" s="108"/>
      <c r="P639" s="108">
        <v>2.0536666666666665</v>
      </c>
      <c r="Q639" s="108">
        <v>0.78566666666666662</v>
      </c>
      <c r="R639" s="108"/>
      <c r="S639" s="463">
        <f>EXP(2.969*LN(P639*10)-1.611)/1000</f>
        <v>1.5749001461467338</v>
      </c>
      <c r="T639" s="104" t="s">
        <v>1358</v>
      </c>
      <c r="U639" s="108">
        <v>0.94099999999999995</v>
      </c>
      <c r="V639" s="107">
        <v>44.075000000000003</v>
      </c>
      <c r="W639" s="106" t="s">
        <v>397</v>
      </c>
    </row>
    <row r="640" spans="1:23" ht="21" customHeight="1">
      <c r="A640" s="104" t="s">
        <v>579</v>
      </c>
      <c r="B640" s="104" t="s">
        <v>580</v>
      </c>
      <c r="C640" s="454" t="s">
        <v>585</v>
      </c>
      <c r="D640" s="105" t="s">
        <v>151</v>
      </c>
      <c r="E640" s="104">
        <v>41229</v>
      </c>
      <c r="F640" s="104">
        <v>17074</v>
      </c>
      <c r="G640" s="106" t="s">
        <v>1357</v>
      </c>
      <c r="H640" s="104" t="s">
        <v>1138</v>
      </c>
      <c r="I640" s="104" t="s">
        <v>225</v>
      </c>
      <c r="J640" s="104" t="s">
        <v>105</v>
      </c>
      <c r="K640" s="104" t="s">
        <v>1363</v>
      </c>
      <c r="L640" s="104" t="s">
        <v>1364</v>
      </c>
      <c r="M640" s="104" t="s">
        <v>108</v>
      </c>
      <c r="N640" s="108">
        <v>0.63300000000000012</v>
      </c>
      <c r="O640" s="108"/>
      <c r="P640" s="108"/>
      <c r="Q640" s="108"/>
      <c r="R640" s="108"/>
      <c r="S640" s="253">
        <f>(10^(2.076*LOG(N640*10)+1.536))/1000</f>
        <v>1.583850193512041</v>
      </c>
      <c r="T640" s="108" t="s">
        <v>1365</v>
      </c>
      <c r="U640" s="108">
        <v>0.89400000000000002</v>
      </c>
      <c r="V640" s="107">
        <v>14.871</v>
      </c>
      <c r="W640" s="106" t="s">
        <v>1347</v>
      </c>
    </row>
    <row r="641" spans="1:23" ht="21" customHeight="1">
      <c r="A641" s="104" t="s">
        <v>579</v>
      </c>
      <c r="B641" s="104" t="s">
        <v>580</v>
      </c>
      <c r="C641" s="454" t="s">
        <v>585</v>
      </c>
      <c r="D641" s="105" t="s">
        <v>151</v>
      </c>
      <c r="E641" s="104">
        <v>41229</v>
      </c>
      <c r="F641" s="104">
        <v>10291</v>
      </c>
      <c r="G641" s="106" t="s">
        <v>1357</v>
      </c>
      <c r="H641" s="104" t="s">
        <v>1138</v>
      </c>
      <c r="I641" s="104" t="s">
        <v>104</v>
      </c>
      <c r="J641" s="104" t="s">
        <v>105</v>
      </c>
      <c r="K641" s="104" t="s">
        <v>670</v>
      </c>
      <c r="L641" s="104" t="s">
        <v>671</v>
      </c>
      <c r="M641" s="104" t="s">
        <v>108</v>
      </c>
      <c r="N641" s="108"/>
      <c r="O641" s="108"/>
      <c r="P641" s="108">
        <v>2.0813333333333333</v>
      </c>
      <c r="Q641" s="108">
        <v>0.80466666666666664</v>
      </c>
      <c r="R641" s="108"/>
      <c r="S641" s="463">
        <f>EXP(2.969*LN(P641*10)-1.611)/1000</f>
        <v>1.6387319375399296</v>
      </c>
      <c r="T641" s="104" t="s">
        <v>1358</v>
      </c>
      <c r="U641" s="108">
        <v>0.94099999999999995</v>
      </c>
      <c r="V641" s="107">
        <v>44.075000000000003</v>
      </c>
      <c r="W641" s="106" t="s">
        <v>397</v>
      </c>
    </row>
    <row r="642" spans="1:23" ht="21" customHeight="1">
      <c r="A642" s="104" t="s">
        <v>579</v>
      </c>
      <c r="B642" s="104" t="s">
        <v>580</v>
      </c>
      <c r="C642" s="454" t="s">
        <v>585</v>
      </c>
      <c r="D642" s="105" t="s">
        <v>151</v>
      </c>
      <c r="E642" s="104">
        <v>41229</v>
      </c>
      <c r="F642" s="104">
        <v>17471</v>
      </c>
      <c r="G642" s="106" t="s">
        <v>1357</v>
      </c>
      <c r="H642" s="104" t="s">
        <v>1138</v>
      </c>
      <c r="I642" s="104" t="s">
        <v>104</v>
      </c>
      <c r="J642" s="104" t="s">
        <v>105</v>
      </c>
      <c r="K642" s="104" t="s">
        <v>670</v>
      </c>
      <c r="L642" s="104" t="s">
        <v>671</v>
      </c>
      <c r="M642" s="104" t="s">
        <v>108</v>
      </c>
      <c r="N642" s="108"/>
      <c r="O642" s="108"/>
      <c r="P642" s="108">
        <v>2.0956666666666668</v>
      </c>
      <c r="Q642" s="108">
        <v>0.81333333333333324</v>
      </c>
      <c r="R642" s="108"/>
      <c r="S642" s="463">
        <f>EXP(2.969*LN(P642*10)-1.611)/1000</f>
        <v>1.6724656939526759</v>
      </c>
      <c r="T642" s="104" t="s">
        <v>1358</v>
      </c>
      <c r="U642" s="108">
        <v>0.94099999999999995</v>
      </c>
      <c r="V642" s="107">
        <v>44.075000000000003</v>
      </c>
      <c r="W642" s="106" t="s">
        <v>397</v>
      </c>
    </row>
    <row r="643" spans="1:23" s="333" customFormat="1" ht="21" customHeight="1">
      <c r="A643" s="104" t="s">
        <v>579</v>
      </c>
      <c r="B643" s="104" t="s">
        <v>580</v>
      </c>
      <c r="C643" s="454" t="s">
        <v>585</v>
      </c>
      <c r="D643" s="105" t="s">
        <v>151</v>
      </c>
      <c r="E643" s="104">
        <v>41229</v>
      </c>
      <c r="F643" s="104">
        <v>17472</v>
      </c>
      <c r="G643" s="106" t="s">
        <v>1357</v>
      </c>
      <c r="H643" s="104" t="s">
        <v>1138</v>
      </c>
      <c r="I643" s="104" t="s">
        <v>104</v>
      </c>
      <c r="J643" s="104" t="s">
        <v>105</v>
      </c>
      <c r="K643" s="104" t="s">
        <v>670</v>
      </c>
      <c r="L643" s="104" t="s">
        <v>671</v>
      </c>
      <c r="M643" s="104" t="s">
        <v>114</v>
      </c>
      <c r="N643" s="108"/>
      <c r="O643" s="108"/>
      <c r="P643" s="108">
        <v>2.105</v>
      </c>
      <c r="Q643" s="108">
        <v>0.84466666666666668</v>
      </c>
      <c r="R643" s="108"/>
      <c r="S643" s="463">
        <f>EXP(2.969*LN(P643*10)-1.611)/1000</f>
        <v>1.6946775454108156</v>
      </c>
      <c r="T643" s="104" t="s">
        <v>1358</v>
      </c>
      <c r="U643" s="108">
        <v>0.94099999999999995</v>
      </c>
      <c r="V643" s="107">
        <v>44.075000000000003</v>
      </c>
      <c r="W643" s="106" t="s">
        <v>397</v>
      </c>
    </row>
    <row r="644" spans="1:23" ht="21" customHeight="1">
      <c r="A644" s="104" t="s">
        <v>579</v>
      </c>
      <c r="B644" s="104" t="s">
        <v>580</v>
      </c>
      <c r="C644" s="454" t="s">
        <v>585</v>
      </c>
      <c r="D644" s="105" t="s">
        <v>151</v>
      </c>
      <c r="E644" s="104">
        <v>41229</v>
      </c>
      <c r="F644" s="104">
        <v>17611</v>
      </c>
      <c r="G644" s="106" t="s">
        <v>1357</v>
      </c>
      <c r="H644" s="104" t="s">
        <v>1138</v>
      </c>
      <c r="I644" s="104" t="s">
        <v>104</v>
      </c>
      <c r="J644" s="104" t="s">
        <v>105</v>
      </c>
      <c r="K644" s="104" t="s">
        <v>670</v>
      </c>
      <c r="L644" s="104" t="s">
        <v>671</v>
      </c>
      <c r="M644" s="104" t="s">
        <v>108</v>
      </c>
      <c r="N644" s="108"/>
      <c r="O644" s="108"/>
      <c r="P644" s="108">
        <v>2.116333333333333</v>
      </c>
      <c r="Q644" s="108">
        <v>0.79466666666666663</v>
      </c>
      <c r="R644" s="108"/>
      <c r="S644" s="463">
        <f>EXP(2.969*LN(P644*10)-1.611)/1000</f>
        <v>1.7219110002050215</v>
      </c>
      <c r="T644" s="104" t="s">
        <v>1358</v>
      </c>
      <c r="U644" s="108">
        <v>0.94099999999999995</v>
      </c>
      <c r="V644" s="107">
        <v>44.075000000000003</v>
      </c>
      <c r="W644" s="106" t="s">
        <v>397</v>
      </c>
    </row>
    <row r="645" spans="1:23" ht="21" customHeight="1">
      <c r="A645" s="104" t="s">
        <v>579</v>
      </c>
      <c r="B645" s="104" t="s">
        <v>580</v>
      </c>
      <c r="C645" s="454" t="s">
        <v>585</v>
      </c>
      <c r="D645" s="105" t="s">
        <v>151</v>
      </c>
      <c r="E645" s="104">
        <v>41229</v>
      </c>
      <c r="F645" s="104">
        <v>17465</v>
      </c>
      <c r="G645" s="106" t="s">
        <v>1357</v>
      </c>
      <c r="H645" s="104" t="s">
        <v>1138</v>
      </c>
      <c r="I645" s="104" t="s">
        <v>104</v>
      </c>
      <c r="J645" s="104" t="s">
        <v>105</v>
      </c>
      <c r="K645" s="104" t="s">
        <v>670</v>
      </c>
      <c r="L645" s="104" t="s">
        <v>671</v>
      </c>
      <c r="M645" s="104" t="s">
        <v>114</v>
      </c>
      <c r="N645" s="108"/>
      <c r="O645" s="108"/>
      <c r="P645" s="108">
        <v>2.1546666666666665</v>
      </c>
      <c r="Q645" s="108">
        <v>0.77666666666666662</v>
      </c>
      <c r="R645" s="108"/>
      <c r="S645" s="463">
        <f>EXP(2.969*LN(P645*10)-1.611)/1000</f>
        <v>1.816172460235719</v>
      </c>
      <c r="T645" s="104" t="s">
        <v>1358</v>
      </c>
      <c r="U645" s="108">
        <v>0.94099999999999995</v>
      </c>
      <c r="V645" s="107">
        <v>44.075000000000003</v>
      </c>
      <c r="W645" s="106" t="s">
        <v>397</v>
      </c>
    </row>
    <row r="646" spans="1:23" ht="21" customHeight="1">
      <c r="A646" s="104" t="s">
        <v>579</v>
      </c>
      <c r="B646" s="104" t="s">
        <v>580</v>
      </c>
      <c r="C646" s="454" t="s">
        <v>585</v>
      </c>
      <c r="D646" s="105" t="s">
        <v>151</v>
      </c>
      <c r="E646" s="104">
        <v>41229</v>
      </c>
      <c r="F646" s="104">
        <v>17211</v>
      </c>
      <c r="G646" s="106" t="s">
        <v>1357</v>
      </c>
      <c r="H646" s="104" t="s">
        <v>1138</v>
      </c>
      <c r="I646" s="104" t="s">
        <v>225</v>
      </c>
      <c r="J646" s="104" t="s">
        <v>105</v>
      </c>
      <c r="K646" s="104" t="s">
        <v>1378</v>
      </c>
      <c r="L646" s="104" t="s">
        <v>1379</v>
      </c>
      <c r="M646" s="104" t="s">
        <v>108</v>
      </c>
      <c r="N646" s="108"/>
      <c r="O646" s="108"/>
      <c r="P646" s="108"/>
      <c r="Q646" s="108">
        <v>0.42233333333333328</v>
      </c>
      <c r="R646" s="108"/>
      <c r="S646" s="253">
        <f>(10^(((LOG((Q646*10)))*2.722)+1.67))/1000</f>
        <v>2.36066244135161</v>
      </c>
      <c r="T646" s="104" t="s">
        <v>1380</v>
      </c>
      <c r="U646" s="474">
        <v>0.98</v>
      </c>
      <c r="V646" s="474">
        <v>37.200000000000003</v>
      </c>
      <c r="W646" s="474" t="s">
        <v>404</v>
      </c>
    </row>
    <row r="647" spans="1:23" ht="21" customHeight="1">
      <c r="A647" s="104" t="s">
        <v>579</v>
      </c>
      <c r="B647" s="104" t="s">
        <v>580</v>
      </c>
      <c r="C647" s="454" t="s">
        <v>585</v>
      </c>
      <c r="D647" s="105" t="s">
        <v>151</v>
      </c>
      <c r="E647" s="104">
        <v>41229</v>
      </c>
      <c r="F647" s="104">
        <v>17013</v>
      </c>
      <c r="G647" s="106" t="s">
        <v>1357</v>
      </c>
      <c r="H647" s="104" t="s">
        <v>1138</v>
      </c>
      <c r="I647" s="104" t="s">
        <v>225</v>
      </c>
      <c r="J647" s="104" t="s">
        <v>105</v>
      </c>
      <c r="K647" s="104" t="s">
        <v>1378</v>
      </c>
      <c r="L647" s="104" t="s">
        <v>1379</v>
      </c>
      <c r="M647" s="104" t="s">
        <v>108</v>
      </c>
      <c r="N647" s="108"/>
      <c r="O647" s="108"/>
      <c r="P647" s="108"/>
      <c r="Q647" s="108">
        <v>0.4413333333333333</v>
      </c>
      <c r="R647" s="108"/>
      <c r="S647" s="253">
        <f>(10^(((LOG((Q647*10)))*2.722)+1.67))/1000</f>
        <v>2.6610622868967275</v>
      </c>
      <c r="T647" s="104" t="s">
        <v>1380</v>
      </c>
      <c r="U647" s="474">
        <v>0.98</v>
      </c>
      <c r="V647" s="474">
        <v>37.200000000000003</v>
      </c>
      <c r="W647" s="474" t="s">
        <v>404</v>
      </c>
    </row>
    <row r="648" spans="1:23" ht="21" customHeight="1">
      <c r="A648" s="104" t="s">
        <v>579</v>
      </c>
      <c r="B648" s="104" t="s">
        <v>580</v>
      </c>
      <c r="C648" s="454" t="s">
        <v>585</v>
      </c>
      <c r="D648" s="105" t="s">
        <v>151</v>
      </c>
      <c r="E648" s="104">
        <v>41229</v>
      </c>
      <c r="F648" s="104">
        <v>17297</v>
      </c>
      <c r="G648" s="106" t="s">
        <v>1357</v>
      </c>
      <c r="H648" s="104" t="s">
        <v>1138</v>
      </c>
      <c r="I648" s="104" t="s">
        <v>225</v>
      </c>
      <c r="J648" s="104" t="s">
        <v>105</v>
      </c>
      <c r="K648" s="104" t="s">
        <v>655</v>
      </c>
      <c r="L648" s="104" t="s">
        <v>656</v>
      </c>
      <c r="M648" s="104" t="s">
        <v>114</v>
      </c>
      <c r="N648" s="254"/>
      <c r="O648" s="103"/>
      <c r="P648" s="108">
        <v>1.4239999999999999</v>
      </c>
      <c r="Q648" s="108">
        <v>0.66933333333333322</v>
      </c>
      <c r="R648" s="108"/>
      <c r="S648" s="253">
        <f>(10^((1.463*LOG((P648*Q648*100))+0.633)))/1000</f>
        <v>3.376758674490453</v>
      </c>
      <c r="T648" s="104" t="s">
        <v>657</v>
      </c>
      <c r="U648" s="108">
        <v>0.97660000000000002</v>
      </c>
      <c r="V648" s="107">
        <v>33.36</v>
      </c>
      <c r="W648" s="106" t="s">
        <v>404</v>
      </c>
    </row>
    <row r="649" spans="1:23" ht="21" customHeight="1">
      <c r="A649" s="104" t="s">
        <v>579</v>
      </c>
      <c r="B649" s="104" t="s">
        <v>580</v>
      </c>
      <c r="C649" s="454" t="s">
        <v>585</v>
      </c>
      <c r="D649" s="105" t="s">
        <v>151</v>
      </c>
      <c r="E649" s="104">
        <v>41229</v>
      </c>
      <c r="F649" s="104">
        <v>17208</v>
      </c>
      <c r="G649" s="106" t="s">
        <v>1357</v>
      </c>
      <c r="H649" s="104" t="s">
        <v>1138</v>
      </c>
      <c r="I649" s="104" t="s">
        <v>225</v>
      </c>
      <c r="J649" s="104" t="s">
        <v>105</v>
      </c>
      <c r="K649" s="104" t="s">
        <v>1381</v>
      </c>
      <c r="L649" s="104" t="s">
        <v>1382</v>
      </c>
      <c r="M649" s="104" t="s">
        <v>114</v>
      </c>
      <c r="N649" s="108"/>
      <c r="O649" s="108"/>
      <c r="P649" s="108">
        <v>0.86033333333333339</v>
      </c>
      <c r="Q649" s="108">
        <v>0.36099999999999999</v>
      </c>
      <c r="R649" s="108"/>
      <c r="S649" s="253"/>
      <c r="T649" s="108" t="s">
        <v>1383</v>
      </c>
      <c r="U649" s="108">
        <v>0.97416631023660427</v>
      </c>
      <c r="V649" s="107">
        <v>22.748999999999999</v>
      </c>
      <c r="W649" s="106" t="s">
        <v>1347</v>
      </c>
    </row>
    <row r="650" spans="1:23" ht="21" customHeight="1">
      <c r="A650" s="104" t="s">
        <v>218</v>
      </c>
      <c r="B650" s="104" t="s">
        <v>221</v>
      </c>
      <c r="C650" s="454" t="s">
        <v>222</v>
      </c>
      <c r="D650" s="105" t="s">
        <v>151</v>
      </c>
      <c r="E650" s="104">
        <v>43279</v>
      </c>
      <c r="F650" s="104">
        <v>3</v>
      </c>
      <c r="G650" s="106" t="s">
        <v>1055</v>
      </c>
      <c r="H650" s="104" t="s">
        <v>1056</v>
      </c>
      <c r="I650" s="104" t="s">
        <v>225</v>
      </c>
      <c r="J650" s="104" t="s">
        <v>105</v>
      </c>
      <c r="K650" s="104" t="s">
        <v>112</v>
      </c>
      <c r="L650" s="104" t="s">
        <v>663</v>
      </c>
      <c r="M650" s="104" t="s">
        <v>114</v>
      </c>
      <c r="N650" s="108" t="s">
        <v>17</v>
      </c>
      <c r="O650" s="104" t="s">
        <v>17</v>
      </c>
      <c r="P650" s="108">
        <v>1.343</v>
      </c>
      <c r="Q650" s="108">
        <v>0.76200000000000001</v>
      </c>
      <c r="R650" s="104" t="s">
        <v>17</v>
      </c>
      <c r="S650" s="253">
        <f>(10^((3.334*LOG((P650))+1.27)))</f>
        <v>49.774330393086728</v>
      </c>
      <c r="T650" s="104" t="s">
        <v>1027</v>
      </c>
      <c r="U650" s="108">
        <v>0.93</v>
      </c>
      <c r="V650" s="107">
        <v>23.9</v>
      </c>
      <c r="W650" s="106" t="s">
        <v>1028</v>
      </c>
    </row>
    <row r="651" spans="1:23" ht="21" customHeight="1">
      <c r="A651" s="104" t="s">
        <v>273</v>
      </c>
      <c r="B651" s="104" t="s">
        <v>74</v>
      </c>
      <c r="C651" s="454" t="s">
        <v>266</v>
      </c>
      <c r="D651" s="105" t="s">
        <v>1185</v>
      </c>
      <c r="E651" s="104">
        <v>43279</v>
      </c>
      <c r="F651" s="104">
        <v>2</v>
      </c>
      <c r="G651" s="106" t="s">
        <v>1055</v>
      </c>
      <c r="H651" s="104" t="s">
        <v>1056</v>
      </c>
      <c r="I651" s="104" t="s">
        <v>225</v>
      </c>
      <c r="J651" s="104" t="s">
        <v>105</v>
      </c>
      <c r="K651" s="104" t="s">
        <v>243</v>
      </c>
      <c r="L651" s="104" t="s">
        <v>421</v>
      </c>
      <c r="M651" s="104" t="s">
        <v>114</v>
      </c>
      <c r="N651" s="108" t="s">
        <v>17</v>
      </c>
      <c r="O651" s="104" t="s">
        <v>17</v>
      </c>
      <c r="P651" s="108">
        <v>1.073</v>
      </c>
      <c r="Q651" s="108">
        <v>0.60099999999999998</v>
      </c>
      <c r="R651" s="104" t="s">
        <v>17</v>
      </c>
      <c r="S651" s="253">
        <f>(10^(((LOG(P651*10))*3.3177)+0.5544))/1000</f>
        <v>9.4106733175831714</v>
      </c>
      <c r="T651" s="104" t="s">
        <v>1162</v>
      </c>
      <c r="U651" s="108">
        <v>0.84909999999999997</v>
      </c>
      <c r="V651" s="107"/>
      <c r="W651" s="114" t="s">
        <v>1163</v>
      </c>
    </row>
    <row r="652" spans="1:23" ht="21" customHeight="1">
      <c r="A652" s="104" t="s">
        <v>218</v>
      </c>
      <c r="B652" s="104" t="s">
        <v>221</v>
      </c>
      <c r="C652" s="454" t="s">
        <v>222</v>
      </c>
      <c r="D652" s="105" t="s">
        <v>151</v>
      </c>
      <c r="E652" s="104" t="s">
        <v>31</v>
      </c>
      <c r="F652" s="104">
        <v>-999</v>
      </c>
      <c r="G652" s="106" t="s">
        <v>1075</v>
      </c>
      <c r="H652" s="104" t="s">
        <v>1076</v>
      </c>
      <c r="I652" s="104" t="s">
        <v>104</v>
      </c>
      <c r="J652" s="104" t="s">
        <v>105</v>
      </c>
      <c r="K652" s="104" t="s">
        <v>112</v>
      </c>
      <c r="L652" s="104" t="s">
        <v>663</v>
      </c>
      <c r="M652" s="104" t="s">
        <v>114</v>
      </c>
      <c r="N652" s="108" t="s">
        <v>17</v>
      </c>
      <c r="O652" s="104" t="s">
        <v>17</v>
      </c>
      <c r="P652" s="108">
        <v>1.4220000000000002</v>
      </c>
      <c r="Q652" s="108">
        <v>0.79299999999999993</v>
      </c>
      <c r="R652" s="104" t="s">
        <v>17</v>
      </c>
      <c r="S652" s="253">
        <f>(10^((3.334*LOG((P652))+1.27)))</f>
        <v>60.223675090224923</v>
      </c>
      <c r="T652" s="104" t="s">
        <v>1027</v>
      </c>
      <c r="U652" s="108">
        <v>0.93</v>
      </c>
      <c r="V652" s="107">
        <v>23.9</v>
      </c>
      <c r="W652" s="106" t="s">
        <v>1028</v>
      </c>
    </row>
    <row r="653" spans="1:23" ht="21" customHeight="1">
      <c r="A653" s="104" t="s">
        <v>218</v>
      </c>
      <c r="B653" s="104" t="s">
        <v>221</v>
      </c>
      <c r="C653" s="454" t="s">
        <v>222</v>
      </c>
      <c r="D653" s="105" t="s">
        <v>151</v>
      </c>
      <c r="E653" s="104" t="s">
        <v>31</v>
      </c>
      <c r="F653" s="104">
        <v>-999</v>
      </c>
      <c r="G653" s="106" t="s">
        <v>1075</v>
      </c>
      <c r="H653" s="104" t="s">
        <v>1076</v>
      </c>
      <c r="I653" s="104" t="s">
        <v>104</v>
      </c>
      <c r="J653" s="104" t="s">
        <v>105</v>
      </c>
      <c r="K653" s="104" t="s">
        <v>112</v>
      </c>
      <c r="L653" s="104" t="s">
        <v>663</v>
      </c>
      <c r="M653" s="104" t="s">
        <v>108</v>
      </c>
      <c r="N653" s="108" t="s">
        <v>17</v>
      </c>
      <c r="O653" s="104" t="s">
        <v>17</v>
      </c>
      <c r="P653" s="108">
        <v>1.6850000000000001</v>
      </c>
      <c r="Q653" s="108">
        <v>0.80199999999999994</v>
      </c>
      <c r="R653" s="104" t="s">
        <v>17</v>
      </c>
      <c r="S653" s="253">
        <f>(10^((3.334*LOG((P653))+1.27)))</f>
        <v>106.04350748001811</v>
      </c>
      <c r="T653" s="104" t="s">
        <v>1027</v>
      </c>
      <c r="U653" s="108">
        <v>0.93</v>
      </c>
      <c r="V653" s="107">
        <v>23.9</v>
      </c>
      <c r="W653" s="106" t="s">
        <v>1028</v>
      </c>
    </row>
    <row r="654" spans="1:23" ht="21" customHeight="1">
      <c r="A654" s="104" t="s">
        <v>218</v>
      </c>
      <c r="B654" s="104" t="s">
        <v>221</v>
      </c>
      <c r="C654" s="454" t="s">
        <v>222</v>
      </c>
      <c r="D654" s="105" t="s">
        <v>151</v>
      </c>
      <c r="E654" s="104" t="s">
        <v>31</v>
      </c>
      <c r="F654" s="104">
        <v>-999</v>
      </c>
      <c r="G654" s="106" t="s">
        <v>1075</v>
      </c>
      <c r="H654" s="104" t="s">
        <v>1076</v>
      </c>
      <c r="I654" s="104" t="s">
        <v>104</v>
      </c>
      <c r="J654" s="104" t="s">
        <v>105</v>
      </c>
      <c r="K654" s="104" t="s">
        <v>178</v>
      </c>
      <c r="L654" s="104" t="s">
        <v>1110</v>
      </c>
      <c r="M654" s="104" t="s">
        <v>114</v>
      </c>
      <c r="N654" s="108" t="s">
        <v>17</v>
      </c>
      <c r="O654" s="104" t="s">
        <v>17</v>
      </c>
      <c r="P654" s="108">
        <v>1.4769999999999999</v>
      </c>
      <c r="Q654" s="108">
        <v>0.73699999999999999</v>
      </c>
      <c r="R654" s="104" t="s">
        <v>17</v>
      </c>
      <c r="S654" s="253">
        <f>(((10^((3.13*LOG((P654*10))+1.4)))+(10^(3.19*LOG((P654*10))+1.31)))/2)/1000</f>
        <v>112.29375838594238</v>
      </c>
      <c r="T654" s="104" t="s">
        <v>1111</v>
      </c>
      <c r="U654" s="108">
        <v>0.73</v>
      </c>
      <c r="V654" s="107">
        <v>73.81</v>
      </c>
      <c r="W654" s="106" t="s">
        <v>644</v>
      </c>
    </row>
    <row r="655" spans="1:23" ht="21" customHeight="1">
      <c r="A655" s="104" t="s">
        <v>169</v>
      </c>
      <c r="B655" s="104" t="s">
        <v>149</v>
      </c>
      <c r="C655" s="454" t="s">
        <v>150</v>
      </c>
      <c r="D655" s="105" t="s">
        <v>151</v>
      </c>
      <c r="E655" s="104" t="s">
        <v>31</v>
      </c>
      <c r="F655" s="104">
        <v>-999</v>
      </c>
      <c r="G655" s="106" t="s">
        <v>1075</v>
      </c>
      <c r="H655" s="104" t="s">
        <v>1076</v>
      </c>
      <c r="I655" s="104" t="s">
        <v>104</v>
      </c>
      <c r="J655" s="104" t="s">
        <v>105</v>
      </c>
      <c r="K655" s="104" t="s">
        <v>185</v>
      </c>
      <c r="L655" s="104" t="s">
        <v>997</v>
      </c>
      <c r="M655" s="104"/>
      <c r="N655" s="108" t="s">
        <v>17</v>
      </c>
      <c r="O655" s="104" t="s">
        <v>17</v>
      </c>
      <c r="P655" s="113">
        <v>2.1399999999999997</v>
      </c>
      <c r="Q655" s="113">
        <v>2.0350000000000001</v>
      </c>
      <c r="R655" s="104" t="s">
        <v>17</v>
      </c>
      <c r="S655" s="253">
        <f t="shared" ref="S655:S686" si="11">((10^((3.187*LOG((P655))+1.264))+(10^((3.01*LOG((P655))+1.216)))+(10^(((2.999*(LOG(P655)))+1.162)))))/3</f>
        <v>170.69786542860274</v>
      </c>
      <c r="T655" s="103" t="s">
        <v>1384</v>
      </c>
      <c r="U655" s="108">
        <v>0.98499999999999999</v>
      </c>
      <c r="V655" s="107">
        <v>16.5</v>
      </c>
      <c r="W655" s="414" t="s">
        <v>1385</v>
      </c>
    </row>
    <row r="656" spans="1:23" ht="21" customHeight="1">
      <c r="A656" s="104" t="s">
        <v>169</v>
      </c>
      <c r="B656" s="104" t="s">
        <v>149</v>
      </c>
      <c r="C656" s="454" t="s">
        <v>150</v>
      </c>
      <c r="D656" s="105" t="s">
        <v>151</v>
      </c>
      <c r="E656" s="104" t="s">
        <v>31</v>
      </c>
      <c r="F656" s="104">
        <v>-999</v>
      </c>
      <c r="G656" s="106" t="s">
        <v>1075</v>
      </c>
      <c r="H656" s="104" t="s">
        <v>1076</v>
      </c>
      <c r="I656" s="104" t="s">
        <v>104</v>
      </c>
      <c r="J656" s="104" t="s">
        <v>105</v>
      </c>
      <c r="K656" s="104" t="s">
        <v>185</v>
      </c>
      <c r="L656" s="104" t="s">
        <v>997</v>
      </c>
      <c r="M656" s="104"/>
      <c r="N656" s="108" t="s">
        <v>17</v>
      </c>
      <c r="O656" s="104" t="s">
        <v>17</v>
      </c>
      <c r="P656" s="113">
        <v>2.56</v>
      </c>
      <c r="Q656" s="113">
        <v>2.5300000000000002</v>
      </c>
      <c r="R656" s="104" t="s">
        <v>17</v>
      </c>
      <c r="S656" s="253">
        <f t="shared" si="11"/>
        <v>296.40467051325112</v>
      </c>
      <c r="T656" s="103" t="s">
        <v>1384</v>
      </c>
      <c r="U656" s="108">
        <v>0.98499999999999999</v>
      </c>
      <c r="V656" s="107">
        <v>16.5</v>
      </c>
      <c r="W656" s="414" t="s">
        <v>1385</v>
      </c>
    </row>
    <row r="657" spans="1:23" ht="21" customHeight="1">
      <c r="A657" s="104" t="s">
        <v>169</v>
      </c>
      <c r="B657" s="104" t="s">
        <v>149</v>
      </c>
      <c r="C657" s="454" t="s">
        <v>150</v>
      </c>
      <c r="D657" s="105" t="s">
        <v>151</v>
      </c>
      <c r="E657" s="104" t="s">
        <v>31</v>
      </c>
      <c r="F657" s="104">
        <v>-999</v>
      </c>
      <c r="G657" s="106" t="s">
        <v>1075</v>
      </c>
      <c r="H657" s="104" t="s">
        <v>1076</v>
      </c>
      <c r="I657" s="104" t="s">
        <v>104</v>
      </c>
      <c r="J657" s="104" t="s">
        <v>105</v>
      </c>
      <c r="K657" s="104" t="s">
        <v>185</v>
      </c>
      <c r="L657" s="104" t="s">
        <v>997</v>
      </c>
      <c r="M657" s="104"/>
      <c r="N657" s="108" t="s">
        <v>17</v>
      </c>
      <c r="O657" s="104" t="s">
        <v>17</v>
      </c>
      <c r="P657" s="113">
        <v>2.59</v>
      </c>
      <c r="Q657" s="113">
        <v>2.4899999999999998</v>
      </c>
      <c r="R657" s="104" t="s">
        <v>17</v>
      </c>
      <c r="S657" s="253">
        <f t="shared" si="11"/>
        <v>307.23451647224789</v>
      </c>
      <c r="T657" s="103" t="s">
        <v>1384</v>
      </c>
      <c r="U657" s="108">
        <v>0.98499999999999999</v>
      </c>
      <c r="V657" s="107">
        <v>16.5</v>
      </c>
      <c r="W657" s="414" t="s">
        <v>1385</v>
      </c>
    </row>
    <row r="658" spans="1:23" ht="21" customHeight="1">
      <c r="A658" s="104" t="s">
        <v>169</v>
      </c>
      <c r="B658" s="104" t="s">
        <v>149</v>
      </c>
      <c r="C658" s="454" t="s">
        <v>150</v>
      </c>
      <c r="D658" s="105" t="s">
        <v>151</v>
      </c>
      <c r="E658" s="104" t="s">
        <v>31</v>
      </c>
      <c r="F658" s="104">
        <v>-999</v>
      </c>
      <c r="G658" s="106" t="s">
        <v>1075</v>
      </c>
      <c r="H658" s="104" t="s">
        <v>1076</v>
      </c>
      <c r="I658" s="104" t="s">
        <v>104</v>
      </c>
      <c r="J658" s="104" t="s">
        <v>105</v>
      </c>
      <c r="K658" s="104" t="s">
        <v>185</v>
      </c>
      <c r="L658" s="104" t="s">
        <v>997</v>
      </c>
      <c r="M658" s="104"/>
      <c r="N658" s="108" t="s">
        <v>17</v>
      </c>
      <c r="O658" s="104" t="s">
        <v>17</v>
      </c>
      <c r="P658" s="113">
        <v>2.6399999999999997</v>
      </c>
      <c r="Q658" s="113">
        <v>2.8220000000000001</v>
      </c>
      <c r="R658" s="104" t="s">
        <v>17</v>
      </c>
      <c r="S658" s="253">
        <f t="shared" si="11"/>
        <v>325.87357185251489</v>
      </c>
      <c r="T658" s="103" t="s">
        <v>1384</v>
      </c>
      <c r="U658" s="108">
        <v>0.98499999999999999</v>
      </c>
      <c r="V658" s="107">
        <v>16.5</v>
      </c>
      <c r="W658" s="414" t="s">
        <v>1385</v>
      </c>
    </row>
    <row r="659" spans="1:23" ht="21" customHeight="1">
      <c r="A659" s="104" t="s">
        <v>169</v>
      </c>
      <c r="B659" s="104" t="s">
        <v>149</v>
      </c>
      <c r="C659" s="454" t="s">
        <v>150</v>
      </c>
      <c r="D659" s="105" t="s">
        <v>151</v>
      </c>
      <c r="E659" s="104" t="s">
        <v>31</v>
      </c>
      <c r="F659" s="104">
        <v>-999</v>
      </c>
      <c r="G659" s="106" t="s">
        <v>1075</v>
      </c>
      <c r="H659" s="104" t="s">
        <v>1076</v>
      </c>
      <c r="I659" s="104" t="s">
        <v>104</v>
      </c>
      <c r="J659" s="104" t="s">
        <v>105</v>
      </c>
      <c r="K659" s="104" t="s">
        <v>185</v>
      </c>
      <c r="L659" s="104" t="s">
        <v>997</v>
      </c>
      <c r="M659" s="104"/>
      <c r="N659" s="108" t="s">
        <v>17</v>
      </c>
      <c r="O659" s="104" t="s">
        <v>17</v>
      </c>
      <c r="P659" s="113">
        <v>2.6749999999999998</v>
      </c>
      <c r="Q659" s="113">
        <v>1.738</v>
      </c>
      <c r="R659" s="104" t="s">
        <v>17</v>
      </c>
      <c r="S659" s="253">
        <f t="shared" si="11"/>
        <v>339.36624817483465</v>
      </c>
      <c r="T659" s="103" t="s">
        <v>1384</v>
      </c>
      <c r="U659" s="108">
        <v>0.98499999999999999</v>
      </c>
      <c r="V659" s="107">
        <v>16.5</v>
      </c>
      <c r="W659" s="414" t="s">
        <v>1385</v>
      </c>
    </row>
    <row r="660" spans="1:23" ht="21" customHeight="1">
      <c r="A660" s="104" t="s">
        <v>169</v>
      </c>
      <c r="B660" s="104" t="s">
        <v>149</v>
      </c>
      <c r="C660" s="454" t="s">
        <v>150</v>
      </c>
      <c r="D660" s="105" t="s">
        <v>151</v>
      </c>
      <c r="E660" s="104" t="s">
        <v>31</v>
      </c>
      <c r="F660" s="104">
        <v>-999</v>
      </c>
      <c r="G660" s="106" t="s">
        <v>1075</v>
      </c>
      <c r="H660" s="104" t="s">
        <v>1076</v>
      </c>
      <c r="I660" s="104" t="s">
        <v>104</v>
      </c>
      <c r="J660" s="104" t="s">
        <v>105</v>
      </c>
      <c r="K660" s="104" t="s">
        <v>185</v>
      </c>
      <c r="L660" s="104" t="s">
        <v>997</v>
      </c>
      <c r="M660" s="104"/>
      <c r="N660" s="108" t="s">
        <v>17</v>
      </c>
      <c r="O660" s="104" t="s">
        <v>17</v>
      </c>
      <c r="P660" s="113">
        <v>2.68</v>
      </c>
      <c r="Q660" s="113">
        <v>1.7010000000000001</v>
      </c>
      <c r="R660" s="104" t="s">
        <v>17</v>
      </c>
      <c r="S660" s="253">
        <f t="shared" si="11"/>
        <v>341.32408263780354</v>
      </c>
      <c r="T660" s="103" t="s">
        <v>1384</v>
      </c>
      <c r="U660" s="108">
        <v>0.98499999999999999</v>
      </c>
      <c r="V660" s="107">
        <v>16.5</v>
      </c>
      <c r="W660" s="414" t="s">
        <v>1385</v>
      </c>
    </row>
    <row r="661" spans="1:23" ht="21" customHeight="1">
      <c r="A661" s="104" t="s">
        <v>169</v>
      </c>
      <c r="B661" s="104" t="s">
        <v>149</v>
      </c>
      <c r="C661" s="454" t="s">
        <v>150</v>
      </c>
      <c r="D661" s="105" t="s">
        <v>151</v>
      </c>
      <c r="E661" s="104" t="s">
        <v>31</v>
      </c>
      <c r="F661" s="104">
        <v>-999</v>
      </c>
      <c r="G661" s="106" t="s">
        <v>1075</v>
      </c>
      <c r="H661" s="104" t="s">
        <v>1076</v>
      </c>
      <c r="I661" s="104" t="s">
        <v>104</v>
      </c>
      <c r="J661" s="104" t="s">
        <v>105</v>
      </c>
      <c r="K661" s="104" t="s">
        <v>185</v>
      </c>
      <c r="L661" s="104" t="s">
        <v>997</v>
      </c>
      <c r="M661" s="104"/>
      <c r="N661" s="108" t="s">
        <v>17</v>
      </c>
      <c r="O661" s="104" t="s">
        <v>17</v>
      </c>
      <c r="P661" s="113">
        <v>2.681</v>
      </c>
      <c r="Q661" s="113">
        <v>1.8800000000000001</v>
      </c>
      <c r="R661" s="104" t="s">
        <v>17</v>
      </c>
      <c r="S661" s="253">
        <f t="shared" si="11"/>
        <v>341.71656387779353</v>
      </c>
      <c r="T661" s="103" t="s">
        <v>1384</v>
      </c>
      <c r="U661" s="108">
        <v>0.98499999999999999</v>
      </c>
      <c r="V661" s="107">
        <v>16.5</v>
      </c>
      <c r="W661" s="414" t="s">
        <v>1385</v>
      </c>
    </row>
    <row r="662" spans="1:23" ht="21" customHeight="1">
      <c r="A662" s="104" t="s">
        <v>169</v>
      </c>
      <c r="B662" s="104" t="s">
        <v>149</v>
      </c>
      <c r="C662" s="454" t="s">
        <v>150</v>
      </c>
      <c r="D662" s="105" t="s">
        <v>151</v>
      </c>
      <c r="E662" s="104" t="s">
        <v>31</v>
      </c>
      <c r="F662" s="104">
        <v>-999</v>
      </c>
      <c r="G662" s="106" t="s">
        <v>1075</v>
      </c>
      <c r="H662" s="104" t="s">
        <v>1076</v>
      </c>
      <c r="I662" s="104" t="s">
        <v>104</v>
      </c>
      <c r="J662" s="104" t="s">
        <v>105</v>
      </c>
      <c r="K662" s="104" t="s">
        <v>185</v>
      </c>
      <c r="L662" s="104" t="s">
        <v>997</v>
      </c>
      <c r="M662" s="104"/>
      <c r="N662" s="108" t="s">
        <v>17</v>
      </c>
      <c r="O662" s="104" t="s">
        <v>17</v>
      </c>
      <c r="P662" s="113">
        <v>2.6870000000000003</v>
      </c>
      <c r="Q662" s="113">
        <v>2.9630000000000001</v>
      </c>
      <c r="R662" s="104" t="s">
        <v>17</v>
      </c>
      <c r="S662" s="253">
        <f t="shared" si="11"/>
        <v>344.0778621394515</v>
      </c>
      <c r="T662" s="103" t="s">
        <v>1384</v>
      </c>
      <c r="U662" s="108">
        <v>0.98499999999999999</v>
      </c>
      <c r="V662" s="107">
        <v>16.5</v>
      </c>
      <c r="W662" s="414" t="s">
        <v>1385</v>
      </c>
    </row>
    <row r="663" spans="1:23" ht="21" customHeight="1">
      <c r="A663" s="104" t="s">
        <v>169</v>
      </c>
      <c r="B663" s="104" t="s">
        <v>149</v>
      </c>
      <c r="C663" s="454" t="s">
        <v>150</v>
      </c>
      <c r="D663" s="105" t="s">
        <v>151</v>
      </c>
      <c r="E663" s="104" t="s">
        <v>31</v>
      </c>
      <c r="F663" s="104">
        <v>-999</v>
      </c>
      <c r="G663" s="106" t="s">
        <v>1075</v>
      </c>
      <c r="H663" s="104" t="s">
        <v>1076</v>
      </c>
      <c r="I663" s="104" t="s">
        <v>104</v>
      </c>
      <c r="J663" s="104" t="s">
        <v>105</v>
      </c>
      <c r="K663" s="104" t="s">
        <v>185</v>
      </c>
      <c r="L663" s="104" t="s">
        <v>997</v>
      </c>
      <c r="M663" s="104"/>
      <c r="N663" s="108" t="s">
        <v>17</v>
      </c>
      <c r="O663" s="104" t="s">
        <v>17</v>
      </c>
      <c r="P663" s="113">
        <v>2.7109999999999999</v>
      </c>
      <c r="Q663" s="113">
        <v>3.3020000000000005</v>
      </c>
      <c r="R663" s="104" t="s">
        <v>17</v>
      </c>
      <c r="S663" s="253">
        <f t="shared" si="11"/>
        <v>353.63341525884243</v>
      </c>
      <c r="T663" s="103" t="s">
        <v>1384</v>
      </c>
      <c r="U663" s="108">
        <v>0.98499999999999999</v>
      </c>
      <c r="V663" s="107">
        <v>16.5</v>
      </c>
      <c r="W663" s="414" t="s">
        <v>1385</v>
      </c>
    </row>
    <row r="664" spans="1:23" ht="21" customHeight="1">
      <c r="A664" s="104" t="s">
        <v>169</v>
      </c>
      <c r="B664" s="104" t="s">
        <v>149</v>
      </c>
      <c r="C664" s="454" t="s">
        <v>150</v>
      </c>
      <c r="D664" s="105" t="s">
        <v>151</v>
      </c>
      <c r="E664" s="104" t="s">
        <v>31</v>
      </c>
      <c r="F664" s="104">
        <v>-999</v>
      </c>
      <c r="G664" s="106" t="s">
        <v>1075</v>
      </c>
      <c r="H664" s="104" t="s">
        <v>1076</v>
      </c>
      <c r="I664" s="104" t="s">
        <v>104</v>
      </c>
      <c r="J664" s="104" t="s">
        <v>105</v>
      </c>
      <c r="K664" s="104" t="s">
        <v>185</v>
      </c>
      <c r="L664" s="104" t="s">
        <v>997</v>
      </c>
      <c r="M664" s="104"/>
      <c r="N664" s="108" t="s">
        <v>17</v>
      </c>
      <c r="O664" s="104" t="s">
        <v>17</v>
      </c>
      <c r="P664" s="113">
        <v>2.77</v>
      </c>
      <c r="Q664" s="113">
        <v>1.98</v>
      </c>
      <c r="R664" s="104" t="s">
        <v>17</v>
      </c>
      <c r="S664" s="253">
        <f t="shared" si="11"/>
        <v>377.88374639195621</v>
      </c>
      <c r="T664" s="103" t="s">
        <v>1384</v>
      </c>
      <c r="U664" s="108">
        <v>0.98499999999999999</v>
      </c>
      <c r="V664" s="107">
        <v>16.5</v>
      </c>
      <c r="W664" s="414" t="s">
        <v>1385</v>
      </c>
    </row>
    <row r="665" spans="1:23" ht="21" customHeight="1">
      <c r="A665" s="104" t="s">
        <v>169</v>
      </c>
      <c r="B665" s="104" t="s">
        <v>149</v>
      </c>
      <c r="C665" s="454" t="s">
        <v>150</v>
      </c>
      <c r="D665" s="105" t="s">
        <v>151</v>
      </c>
      <c r="E665" s="104" t="s">
        <v>31</v>
      </c>
      <c r="F665" s="104">
        <v>-999</v>
      </c>
      <c r="G665" s="106" t="s">
        <v>1075</v>
      </c>
      <c r="H665" s="104" t="s">
        <v>1076</v>
      </c>
      <c r="I665" s="104" t="s">
        <v>104</v>
      </c>
      <c r="J665" s="104" t="s">
        <v>105</v>
      </c>
      <c r="K665" s="104" t="s">
        <v>185</v>
      </c>
      <c r="L665" s="104" t="s">
        <v>997</v>
      </c>
      <c r="M665" s="104"/>
      <c r="N665" s="108" t="s">
        <v>17</v>
      </c>
      <c r="O665" s="104" t="s">
        <v>17</v>
      </c>
      <c r="P665" s="113">
        <v>2.7850000000000001</v>
      </c>
      <c r="Q665" s="113">
        <v>2.7090000000000001</v>
      </c>
      <c r="R665" s="104" t="s">
        <v>17</v>
      </c>
      <c r="S665" s="253">
        <f t="shared" si="11"/>
        <v>384.22350906569164</v>
      </c>
      <c r="T665" s="103" t="s">
        <v>1384</v>
      </c>
      <c r="U665" s="108">
        <v>0.98499999999999999</v>
      </c>
      <c r="V665" s="107">
        <v>16.5</v>
      </c>
      <c r="W665" s="414" t="s">
        <v>1385</v>
      </c>
    </row>
    <row r="666" spans="1:23" ht="21" customHeight="1">
      <c r="A666" s="104" t="s">
        <v>169</v>
      </c>
      <c r="B666" s="104" t="s">
        <v>149</v>
      </c>
      <c r="C666" s="454" t="s">
        <v>150</v>
      </c>
      <c r="D666" s="105" t="s">
        <v>151</v>
      </c>
      <c r="E666" s="104" t="s">
        <v>31</v>
      </c>
      <c r="F666" s="104">
        <v>-999</v>
      </c>
      <c r="G666" s="106" t="s">
        <v>1075</v>
      </c>
      <c r="H666" s="104" t="s">
        <v>1076</v>
      </c>
      <c r="I666" s="104" t="s">
        <v>104</v>
      </c>
      <c r="J666" s="104" t="s">
        <v>105</v>
      </c>
      <c r="K666" s="104" t="s">
        <v>185</v>
      </c>
      <c r="L666" s="104" t="s">
        <v>997</v>
      </c>
      <c r="M666" s="104"/>
      <c r="N666" s="108" t="s">
        <v>17</v>
      </c>
      <c r="O666" s="104" t="s">
        <v>17</v>
      </c>
      <c r="P666" s="113">
        <v>2.8050000000000002</v>
      </c>
      <c r="Q666" s="113">
        <v>2.92</v>
      </c>
      <c r="R666" s="104" t="s">
        <v>17</v>
      </c>
      <c r="S666" s="253">
        <f t="shared" si="11"/>
        <v>392.7878838113063</v>
      </c>
      <c r="T666" s="103" t="s">
        <v>1384</v>
      </c>
      <c r="U666" s="108">
        <v>0.98499999999999999</v>
      </c>
      <c r="V666" s="107">
        <v>16.5</v>
      </c>
      <c r="W666" s="414" t="s">
        <v>1385</v>
      </c>
    </row>
    <row r="667" spans="1:23" ht="21" customHeight="1">
      <c r="A667" s="104" t="s">
        <v>169</v>
      </c>
      <c r="B667" s="104" t="s">
        <v>149</v>
      </c>
      <c r="C667" s="454" t="s">
        <v>150</v>
      </c>
      <c r="D667" s="105" t="s">
        <v>151</v>
      </c>
      <c r="E667" s="104" t="s">
        <v>31</v>
      </c>
      <c r="F667" s="104">
        <v>-999</v>
      </c>
      <c r="G667" s="106" t="s">
        <v>1075</v>
      </c>
      <c r="H667" s="104" t="s">
        <v>1076</v>
      </c>
      <c r="I667" s="104" t="s">
        <v>104</v>
      </c>
      <c r="J667" s="104" t="s">
        <v>105</v>
      </c>
      <c r="K667" s="104" t="s">
        <v>185</v>
      </c>
      <c r="L667" s="104" t="s">
        <v>997</v>
      </c>
      <c r="M667" s="104"/>
      <c r="N667" s="108" t="s">
        <v>17</v>
      </c>
      <c r="O667" s="104" t="s">
        <v>17</v>
      </c>
      <c r="P667" s="113">
        <v>2.8090000000000002</v>
      </c>
      <c r="Q667" s="113">
        <v>3.0300000000000002</v>
      </c>
      <c r="R667" s="104" t="s">
        <v>17</v>
      </c>
      <c r="S667" s="253">
        <f t="shared" si="11"/>
        <v>394.516108174772</v>
      </c>
      <c r="T667" s="103" t="s">
        <v>1384</v>
      </c>
      <c r="U667" s="108">
        <v>0.98499999999999999</v>
      </c>
      <c r="V667" s="107">
        <v>16.5</v>
      </c>
      <c r="W667" s="414" t="s">
        <v>1385</v>
      </c>
    </row>
    <row r="668" spans="1:23" ht="21" customHeight="1">
      <c r="A668" s="104" t="s">
        <v>169</v>
      </c>
      <c r="B668" s="104" t="s">
        <v>149</v>
      </c>
      <c r="C668" s="454" t="s">
        <v>150</v>
      </c>
      <c r="D668" s="105" t="s">
        <v>151</v>
      </c>
      <c r="E668" s="104" t="s">
        <v>31</v>
      </c>
      <c r="F668" s="104">
        <v>-999</v>
      </c>
      <c r="G668" s="106" t="s">
        <v>1075</v>
      </c>
      <c r="H668" s="104" t="s">
        <v>1076</v>
      </c>
      <c r="I668" s="104" t="s">
        <v>104</v>
      </c>
      <c r="J668" s="104" t="s">
        <v>105</v>
      </c>
      <c r="K668" s="104" t="s">
        <v>185</v>
      </c>
      <c r="L668" s="104" t="s">
        <v>997</v>
      </c>
      <c r="M668" s="104"/>
      <c r="N668" s="108" t="s">
        <v>17</v>
      </c>
      <c r="O668" s="104" t="s">
        <v>17</v>
      </c>
      <c r="P668" s="113">
        <v>2.8220000000000001</v>
      </c>
      <c r="Q668" s="113">
        <v>1.5130000000000001</v>
      </c>
      <c r="R668" s="104" t="s">
        <v>17</v>
      </c>
      <c r="S668" s="253">
        <f t="shared" si="11"/>
        <v>400.1683422822739</v>
      </c>
      <c r="T668" s="103" t="s">
        <v>1384</v>
      </c>
      <c r="U668" s="108">
        <v>0.98499999999999999</v>
      </c>
      <c r="V668" s="107">
        <v>16.5</v>
      </c>
      <c r="W668" s="414" t="s">
        <v>1385</v>
      </c>
    </row>
    <row r="669" spans="1:23" ht="21" customHeight="1">
      <c r="A669" s="104" t="s">
        <v>169</v>
      </c>
      <c r="B669" s="104" t="s">
        <v>149</v>
      </c>
      <c r="C669" s="454" t="s">
        <v>150</v>
      </c>
      <c r="D669" s="105" t="s">
        <v>151</v>
      </c>
      <c r="E669" s="104" t="s">
        <v>31</v>
      </c>
      <c r="F669" s="104">
        <v>-999</v>
      </c>
      <c r="G669" s="106" t="s">
        <v>1075</v>
      </c>
      <c r="H669" s="104" t="s">
        <v>1076</v>
      </c>
      <c r="I669" s="104" t="s">
        <v>104</v>
      </c>
      <c r="J669" s="104" t="s">
        <v>105</v>
      </c>
      <c r="K669" s="104" t="s">
        <v>185</v>
      </c>
      <c r="L669" s="104" t="s">
        <v>997</v>
      </c>
      <c r="M669" s="104"/>
      <c r="N669" s="108" t="s">
        <v>17</v>
      </c>
      <c r="O669" s="104" t="s">
        <v>17</v>
      </c>
      <c r="P669" s="113">
        <v>2.823</v>
      </c>
      <c r="Q669" s="113">
        <v>2.6109999999999998</v>
      </c>
      <c r="R669" s="104" t="s">
        <v>17</v>
      </c>
      <c r="S669" s="253">
        <f t="shared" si="11"/>
        <v>400.60538392120424</v>
      </c>
      <c r="T669" s="103" t="s">
        <v>1384</v>
      </c>
      <c r="U669" s="108">
        <v>0.98499999999999999</v>
      </c>
      <c r="V669" s="107">
        <v>16.5</v>
      </c>
      <c r="W669" s="414" t="s">
        <v>1385</v>
      </c>
    </row>
    <row r="670" spans="1:23" ht="21" customHeight="1">
      <c r="A670" s="104" t="s">
        <v>169</v>
      </c>
      <c r="B670" s="104" t="s">
        <v>149</v>
      </c>
      <c r="C670" s="454" t="s">
        <v>150</v>
      </c>
      <c r="D670" s="105" t="s">
        <v>151</v>
      </c>
      <c r="E670" s="104" t="s">
        <v>31</v>
      </c>
      <c r="F670" s="104">
        <v>-999</v>
      </c>
      <c r="G670" s="106" t="s">
        <v>1075</v>
      </c>
      <c r="H670" s="104" t="s">
        <v>1076</v>
      </c>
      <c r="I670" s="104" t="s">
        <v>104</v>
      </c>
      <c r="J670" s="104" t="s">
        <v>105</v>
      </c>
      <c r="K670" s="104" t="s">
        <v>185</v>
      </c>
      <c r="L670" s="104" t="s">
        <v>997</v>
      </c>
      <c r="M670" s="104"/>
      <c r="N670" s="108" t="s">
        <v>17</v>
      </c>
      <c r="O670" s="104" t="s">
        <v>17</v>
      </c>
      <c r="P670" s="113">
        <v>2.8250000000000002</v>
      </c>
      <c r="Q670" s="113">
        <v>3.0339999999999998</v>
      </c>
      <c r="R670" s="104" t="s">
        <v>17</v>
      </c>
      <c r="S670" s="253">
        <f t="shared" si="11"/>
        <v>401.4804353589887</v>
      </c>
      <c r="T670" s="103" t="s">
        <v>1384</v>
      </c>
      <c r="U670" s="108">
        <v>0.98499999999999999</v>
      </c>
      <c r="V670" s="107">
        <v>16.5</v>
      </c>
      <c r="W670" s="414" t="s">
        <v>1385</v>
      </c>
    </row>
    <row r="671" spans="1:23" ht="21" customHeight="1">
      <c r="A671" s="104" t="s">
        <v>169</v>
      </c>
      <c r="B671" s="104" t="s">
        <v>149</v>
      </c>
      <c r="C671" s="454" t="s">
        <v>150</v>
      </c>
      <c r="D671" s="105" t="s">
        <v>151</v>
      </c>
      <c r="E671" s="104" t="s">
        <v>31</v>
      </c>
      <c r="F671" s="104">
        <v>-999</v>
      </c>
      <c r="G671" s="106" t="s">
        <v>1075</v>
      </c>
      <c r="H671" s="104" t="s">
        <v>1076</v>
      </c>
      <c r="I671" s="104" t="s">
        <v>104</v>
      </c>
      <c r="J671" s="104" t="s">
        <v>105</v>
      </c>
      <c r="K671" s="104" t="s">
        <v>185</v>
      </c>
      <c r="L671" s="104" t="s">
        <v>997</v>
      </c>
      <c r="M671" s="104"/>
      <c r="N671" s="108" t="s">
        <v>17</v>
      </c>
      <c r="O671" s="104" t="s">
        <v>17</v>
      </c>
      <c r="P671" s="113">
        <v>2.8540000000000001</v>
      </c>
      <c r="Q671" s="113">
        <v>2.95</v>
      </c>
      <c r="R671" s="104" t="s">
        <v>17</v>
      </c>
      <c r="S671" s="253">
        <f t="shared" si="11"/>
        <v>414.31433996083041</v>
      </c>
      <c r="T671" s="103" t="s">
        <v>1384</v>
      </c>
      <c r="U671" s="108">
        <v>0.98499999999999999</v>
      </c>
      <c r="V671" s="107">
        <v>16.5</v>
      </c>
      <c r="W671" s="414" t="s">
        <v>1385</v>
      </c>
    </row>
    <row r="672" spans="1:23" ht="21" customHeight="1">
      <c r="A672" s="104" t="s">
        <v>169</v>
      </c>
      <c r="B672" s="104" t="s">
        <v>149</v>
      </c>
      <c r="C672" s="454" t="s">
        <v>150</v>
      </c>
      <c r="D672" s="105" t="s">
        <v>151</v>
      </c>
      <c r="E672" s="104" t="s">
        <v>31</v>
      </c>
      <c r="F672" s="104">
        <v>-999</v>
      </c>
      <c r="G672" s="106" t="s">
        <v>1075</v>
      </c>
      <c r="H672" s="104" t="s">
        <v>1076</v>
      </c>
      <c r="I672" s="104" t="s">
        <v>104</v>
      </c>
      <c r="J672" s="104" t="s">
        <v>105</v>
      </c>
      <c r="K672" s="104" t="s">
        <v>185</v>
      </c>
      <c r="L672" s="104" t="s">
        <v>997</v>
      </c>
      <c r="M672" s="104"/>
      <c r="N672" s="108" t="s">
        <v>17</v>
      </c>
      <c r="O672" s="104" t="s">
        <v>17</v>
      </c>
      <c r="P672" s="113">
        <v>2.87</v>
      </c>
      <c r="Q672" s="113">
        <v>2.9780000000000002</v>
      </c>
      <c r="R672" s="104" t="s">
        <v>17</v>
      </c>
      <c r="S672" s="253">
        <f t="shared" si="11"/>
        <v>421.51247304338875</v>
      </c>
      <c r="T672" s="103" t="s">
        <v>1384</v>
      </c>
      <c r="U672" s="108">
        <v>0.98499999999999999</v>
      </c>
      <c r="V672" s="107">
        <v>16.5</v>
      </c>
      <c r="W672" s="414" t="s">
        <v>1385</v>
      </c>
    </row>
    <row r="673" spans="1:23" ht="21" customHeight="1">
      <c r="A673" s="104" t="s">
        <v>169</v>
      </c>
      <c r="B673" s="104" t="s">
        <v>149</v>
      </c>
      <c r="C673" s="454" t="s">
        <v>150</v>
      </c>
      <c r="D673" s="105" t="s">
        <v>151</v>
      </c>
      <c r="E673" s="104" t="s">
        <v>31</v>
      </c>
      <c r="F673" s="104">
        <v>-999</v>
      </c>
      <c r="G673" s="106" t="s">
        <v>1075</v>
      </c>
      <c r="H673" s="104" t="s">
        <v>1076</v>
      </c>
      <c r="I673" s="104" t="s">
        <v>104</v>
      </c>
      <c r="J673" s="104" t="s">
        <v>105</v>
      </c>
      <c r="K673" s="104" t="s">
        <v>185</v>
      </c>
      <c r="L673" s="104" t="s">
        <v>997</v>
      </c>
      <c r="M673" s="104"/>
      <c r="N673" s="108" t="s">
        <v>17</v>
      </c>
      <c r="O673" s="104" t="s">
        <v>17</v>
      </c>
      <c r="P673" s="113">
        <v>2.875</v>
      </c>
      <c r="Q673" s="113">
        <v>3.097</v>
      </c>
      <c r="R673" s="104" t="s">
        <v>17</v>
      </c>
      <c r="S673" s="253">
        <f t="shared" si="11"/>
        <v>423.77911323944926</v>
      </c>
      <c r="T673" s="103" t="s">
        <v>1384</v>
      </c>
      <c r="U673" s="108">
        <v>0.98499999999999999</v>
      </c>
      <c r="V673" s="107">
        <v>16.5</v>
      </c>
      <c r="W673" s="414" t="s">
        <v>1385</v>
      </c>
    </row>
    <row r="674" spans="1:23" ht="21" customHeight="1">
      <c r="A674" s="104" t="s">
        <v>169</v>
      </c>
      <c r="B674" s="104" t="s">
        <v>149</v>
      </c>
      <c r="C674" s="454" t="s">
        <v>150</v>
      </c>
      <c r="D674" s="105" t="s">
        <v>151</v>
      </c>
      <c r="E674" s="104" t="s">
        <v>31</v>
      </c>
      <c r="F674" s="104">
        <v>-999</v>
      </c>
      <c r="G674" s="106" t="s">
        <v>1075</v>
      </c>
      <c r="H674" s="104" t="s">
        <v>1076</v>
      </c>
      <c r="I674" s="104" t="s">
        <v>104</v>
      </c>
      <c r="J674" s="104" t="s">
        <v>105</v>
      </c>
      <c r="K674" s="104" t="s">
        <v>185</v>
      </c>
      <c r="L674" s="104" t="s">
        <v>997</v>
      </c>
      <c r="M674" s="104"/>
      <c r="N674" s="108" t="s">
        <v>17</v>
      </c>
      <c r="O674" s="104" t="s">
        <v>17</v>
      </c>
      <c r="P674" s="113">
        <v>2.88</v>
      </c>
      <c r="Q674" s="113">
        <v>1.8699999999999999</v>
      </c>
      <c r="R674" s="104" t="s">
        <v>17</v>
      </c>
      <c r="S674" s="253">
        <f t="shared" si="11"/>
        <v>426.05398212670315</v>
      </c>
      <c r="T674" s="103" t="s">
        <v>1384</v>
      </c>
      <c r="U674" s="108">
        <v>0.98499999999999999</v>
      </c>
      <c r="V674" s="107">
        <v>16.5</v>
      </c>
      <c r="W674" s="414" t="s">
        <v>1385</v>
      </c>
    </row>
    <row r="675" spans="1:23" ht="21" customHeight="1">
      <c r="A675" s="104" t="s">
        <v>169</v>
      </c>
      <c r="B675" s="104" t="s">
        <v>149</v>
      </c>
      <c r="C675" s="454" t="s">
        <v>150</v>
      </c>
      <c r="D675" s="105" t="s">
        <v>151</v>
      </c>
      <c r="E675" s="104" t="s">
        <v>31</v>
      </c>
      <c r="F675" s="104">
        <v>-999</v>
      </c>
      <c r="G675" s="106" t="s">
        <v>1075</v>
      </c>
      <c r="H675" s="104" t="s">
        <v>1076</v>
      </c>
      <c r="I675" s="104" t="s">
        <v>104</v>
      </c>
      <c r="J675" s="104" t="s">
        <v>105</v>
      </c>
      <c r="K675" s="104" t="s">
        <v>185</v>
      </c>
      <c r="L675" s="104" t="s">
        <v>997</v>
      </c>
      <c r="M675" s="104"/>
      <c r="N675" s="108" t="s">
        <v>17</v>
      </c>
      <c r="O675" s="104" t="s">
        <v>17</v>
      </c>
      <c r="P675" s="113">
        <v>2.8899999999999997</v>
      </c>
      <c r="Q675" s="113">
        <v>1.8079999999999998</v>
      </c>
      <c r="R675" s="104" t="s">
        <v>17</v>
      </c>
      <c r="S675" s="253">
        <f t="shared" si="11"/>
        <v>430.62846823921853</v>
      </c>
      <c r="T675" s="103" t="s">
        <v>1384</v>
      </c>
      <c r="U675" s="108">
        <v>0.98499999999999999</v>
      </c>
      <c r="V675" s="107">
        <v>16.5</v>
      </c>
      <c r="W675" s="414" t="s">
        <v>1385</v>
      </c>
    </row>
    <row r="676" spans="1:23" ht="21" customHeight="1">
      <c r="A676" s="104" t="s">
        <v>169</v>
      </c>
      <c r="B676" s="104" t="s">
        <v>149</v>
      </c>
      <c r="C676" s="454" t="s">
        <v>150</v>
      </c>
      <c r="D676" s="105" t="s">
        <v>151</v>
      </c>
      <c r="E676" s="104" t="s">
        <v>31</v>
      </c>
      <c r="F676" s="104">
        <v>-999</v>
      </c>
      <c r="G676" s="106" t="s">
        <v>1075</v>
      </c>
      <c r="H676" s="104" t="s">
        <v>1076</v>
      </c>
      <c r="I676" s="104" t="s">
        <v>104</v>
      </c>
      <c r="J676" s="104" t="s">
        <v>105</v>
      </c>
      <c r="K676" s="104" t="s">
        <v>185</v>
      </c>
      <c r="L676" s="104" t="s">
        <v>997</v>
      </c>
      <c r="M676" s="104"/>
      <c r="N676" s="108" t="s">
        <v>17</v>
      </c>
      <c r="O676" s="104" t="s">
        <v>17</v>
      </c>
      <c r="P676" s="113">
        <v>2.903</v>
      </c>
      <c r="Q676" s="113">
        <v>3.0049999999999999</v>
      </c>
      <c r="R676" s="104" t="s">
        <v>17</v>
      </c>
      <c r="S676" s="253">
        <f t="shared" si="11"/>
        <v>436.62480567916856</v>
      </c>
      <c r="T676" s="103" t="s">
        <v>1384</v>
      </c>
      <c r="U676" s="108">
        <v>0.98499999999999999</v>
      </c>
      <c r="V676" s="107">
        <v>16.5</v>
      </c>
      <c r="W676" s="414" t="s">
        <v>1385</v>
      </c>
    </row>
    <row r="677" spans="1:23" ht="21" customHeight="1">
      <c r="A677" s="104" t="s">
        <v>169</v>
      </c>
      <c r="B677" s="104" t="s">
        <v>149</v>
      </c>
      <c r="C677" s="454" t="s">
        <v>150</v>
      </c>
      <c r="D677" s="105" t="s">
        <v>151</v>
      </c>
      <c r="E677" s="104" t="s">
        <v>31</v>
      </c>
      <c r="F677" s="104">
        <v>-999</v>
      </c>
      <c r="G677" s="106" t="s">
        <v>1075</v>
      </c>
      <c r="H677" s="104" t="s">
        <v>1076</v>
      </c>
      <c r="I677" s="104" t="s">
        <v>104</v>
      </c>
      <c r="J677" s="104" t="s">
        <v>105</v>
      </c>
      <c r="K677" s="104" t="s">
        <v>185</v>
      </c>
      <c r="L677" s="104" t="s">
        <v>997</v>
      </c>
      <c r="M677" s="104"/>
      <c r="N677" s="108" t="s">
        <v>17</v>
      </c>
      <c r="O677" s="104" t="s">
        <v>17</v>
      </c>
      <c r="P677" s="113">
        <v>2.9210000000000003</v>
      </c>
      <c r="Q677" s="113">
        <v>1.9430000000000001</v>
      </c>
      <c r="R677" s="104" t="s">
        <v>17</v>
      </c>
      <c r="S677" s="253">
        <f t="shared" si="11"/>
        <v>445.0202900663046</v>
      </c>
      <c r="T677" s="103" t="s">
        <v>1384</v>
      </c>
      <c r="U677" s="108">
        <v>0.98499999999999999</v>
      </c>
      <c r="V677" s="107">
        <v>16.5</v>
      </c>
      <c r="W677" s="414" t="s">
        <v>1385</v>
      </c>
    </row>
    <row r="678" spans="1:23" ht="21" customHeight="1">
      <c r="A678" s="104" t="s">
        <v>169</v>
      </c>
      <c r="B678" s="104" t="s">
        <v>149</v>
      </c>
      <c r="C678" s="454" t="s">
        <v>150</v>
      </c>
      <c r="D678" s="105" t="s">
        <v>151</v>
      </c>
      <c r="E678" s="104" t="s">
        <v>31</v>
      </c>
      <c r="F678" s="104">
        <v>-999</v>
      </c>
      <c r="G678" s="106" t="s">
        <v>1075</v>
      </c>
      <c r="H678" s="104" t="s">
        <v>1076</v>
      </c>
      <c r="I678" s="104" t="s">
        <v>104</v>
      </c>
      <c r="J678" s="104" t="s">
        <v>105</v>
      </c>
      <c r="K678" s="104" t="s">
        <v>185</v>
      </c>
      <c r="L678" s="104" t="s">
        <v>997</v>
      </c>
      <c r="M678" s="104"/>
      <c r="N678" s="108" t="s">
        <v>17</v>
      </c>
      <c r="O678" s="104" t="s">
        <v>17</v>
      </c>
      <c r="P678" s="113">
        <v>2.927</v>
      </c>
      <c r="Q678" s="113">
        <v>1.9149999999999998</v>
      </c>
      <c r="R678" s="104" t="s">
        <v>17</v>
      </c>
      <c r="S678" s="253">
        <f t="shared" si="11"/>
        <v>447.84286028508842</v>
      </c>
      <c r="T678" s="103" t="s">
        <v>1384</v>
      </c>
      <c r="U678" s="108">
        <v>0.98499999999999999</v>
      </c>
      <c r="V678" s="107">
        <v>16.5</v>
      </c>
      <c r="W678" s="414" t="s">
        <v>1385</v>
      </c>
    </row>
    <row r="679" spans="1:23" ht="21" customHeight="1">
      <c r="A679" s="104" t="s">
        <v>169</v>
      </c>
      <c r="B679" s="104" t="s">
        <v>149</v>
      </c>
      <c r="C679" s="454" t="s">
        <v>150</v>
      </c>
      <c r="D679" s="105" t="s">
        <v>151</v>
      </c>
      <c r="E679" s="104" t="s">
        <v>31</v>
      </c>
      <c r="F679" s="104">
        <v>-999</v>
      </c>
      <c r="G679" s="106" t="s">
        <v>1075</v>
      </c>
      <c r="H679" s="104" t="s">
        <v>1076</v>
      </c>
      <c r="I679" s="104" t="s">
        <v>104</v>
      </c>
      <c r="J679" s="104" t="s">
        <v>105</v>
      </c>
      <c r="K679" s="104" t="s">
        <v>185</v>
      </c>
      <c r="L679" s="104" t="s">
        <v>997</v>
      </c>
      <c r="M679" s="104"/>
      <c r="N679" s="108" t="s">
        <v>17</v>
      </c>
      <c r="O679" s="104" t="s">
        <v>17</v>
      </c>
      <c r="P679" s="113">
        <v>2.9489999999999998</v>
      </c>
      <c r="Q679" s="113">
        <v>3.0989999999999998</v>
      </c>
      <c r="R679" s="104" t="s">
        <v>17</v>
      </c>
      <c r="S679" s="253">
        <f t="shared" si="11"/>
        <v>458.2958627319461</v>
      </c>
      <c r="T679" s="103" t="s">
        <v>1384</v>
      </c>
      <c r="U679" s="108">
        <v>0.98499999999999999</v>
      </c>
      <c r="V679" s="107">
        <v>16.5</v>
      </c>
      <c r="W679" s="414" t="s">
        <v>1385</v>
      </c>
    </row>
    <row r="680" spans="1:23" ht="21" customHeight="1">
      <c r="A680" s="104" t="s">
        <v>169</v>
      </c>
      <c r="B680" s="104" t="s">
        <v>149</v>
      </c>
      <c r="C680" s="454" t="s">
        <v>150</v>
      </c>
      <c r="D680" s="105" t="s">
        <v>151</v>
      </c>
      <c r="E680" s="104" t="s">
        <v>31</v>
      </c>
      <c r="F680" s="104">
        <v>-999</v>
      </c>
      <c r="G680" s="106" t="s">
        <v>1075</v>
      </c>
      <c r="H680" s="104" t="s">
        <v>1076</v>
      </c>
      <c r="I680" s="104" t="s">
        <v>104</v>
      </c>
      <c r="J680" s="104" t="s">
        <v>105</v>
      </c>
      <c r="K680" s="104" t="s">
        <v>185</v>
      </c>
      <c r="L680" s="104" t="s">
        <v>997</v>
      </c>
      <c r="M680" s="104"/>
      <c r="N680" s="108" t="s">
        <v>17</v>
      </c>
      <c r="O680" s="104" t="s">
        <v>17</v>
      </c>
      <c r="P680" s="113">
        <v>2.96</v>
      </c>
      <c r="Q680" s="108">
        <v>3.1379999999999999</v>
      </c>
      <c r="R680" s="104" t="s">
        <v>17</v>
      </c>
      <c r="S680" s="253">
        <f t="shared" si="11"/>
        <v>463.583695583012</v>
      </c>
      <c r="T680" s="103" t="s">
        <v>1384</v>
      </c>
      <c r="U680" s="108">
        <v>0.98499999999999999</v>
      </c>
      <c r="V680" s="107">
        <v>16.5</v>
      </c>
      <c r="W680" s="414" t="s">
        <v>1385</v>
      </c>
    </row>
    <row r="681" spans="1:23" ht="21" customHeight="1">
      <c r="A681" s="104" t="s">
        <v>169</v>
      </c>
      <c r="B681" s="104" t="s">
        <v>149</v>
      </c>
      <c r="C681" s="454" t="s">
        <v>150</v>
      </c>
      <c r="D681" s="105" t="s">
        <v>151</v>
      </c>
      <c r="E681" s="104" t="s">
        <v>31</v>
      </c>
      <c r="F681" s="104">
        <v>-999</v>
      </c>
      <c r="G681" s="106" t="s">
        <v>1075</v>
      </c>
      <c r="H681" s="104" t="s">
        <v>1076</v>
      </c>
      <c r="I681" s="104" t="s">
        <v>104</v>
      </c>
      <c r="J681" s="104" t="s">
        <v>105</v>
      </c>
      <c r="K681" s="104" t="s">
        <v>185</v>
      </c>
      <c r="L681" s="104" t="s">
        <v>997</v>
      </c>
      <c r="M681" s="104"/>
      <c r="N681" s="108" t="s">
        <v>17</v>
      </c>
      <c r="O681" s="104" t="s">
        <v>17</v>
      </c>
      <c r="P681" s="113">
        <v>2.9660000000000002</v>
      </c>
      <c r="Q681" s="113">
        <v>1.7399999999999998</v>
      </c>
      <c r="R681" s="104" t="s">
        <v>17</v>
      </c>
      <c r="S681" s="253">
        <f t="shared" si="11"/>
        <v>466.4852844842124</v>
      </c>
      <c r="T681" s="103" t="s">
        <v>1384</v>
      </c>
      <c r="U681" s="108">
        <v>0.98499999999999999</v>
      </c>
      <c r="V681" s="107">
        <v>16.5</v>
      </c>
      <c r="W681" s="414" t="s">
        <v>1385</v>
      </c>
    </row>
    <row r="682" spans="1:23" ht="21" customHeight="1">
      <c r="A682" s="104" t="s">
        <v>169</v>
      </c>
      <c r="B682" s="104" t="s">
        <v>149</v>
      </c>
      <c r="C682" s="454" t="s">
        <v>150</v>
      </c>
      <c r="D682" s="105" t="s">
        <v>151</v>
      </c>
      <c r="E682" s="104" t="s">
        <v>31</v>
      </c>
      <c r="F682" s="104">
        <v>-999</v>
      </c>
      <c r="G682" s="106" t="s">
        <v>1075</v>
      </c>
      <c r="H682" s="104" t="s">
        <v>1076</v>
      </c>
      <c r="I682" s="104" t="s">
        <v>104</v>
      </c>
      <c r="J682" s="104" t="s">
        <v>105</v>
      </c>
      <c r="K682" s="104" t="s">
        <v>185</v>
      </c>
      <c r="L682" s="104" t="s">
        <v>997</v>
      </c>
      <c r="M682" s="104"/>
      <c r="N682" s="108" t="s">
        <v>17</v>
      </c>
      <c r="O682" s="104" t="s">
        <v>17</v>
      </c>
      <c r="P682" s="113">
        <v>2.968</v>
      </c>
      <c r="Q682" s="113">
        <v>3.1619999999999999</v>
      </c>
      <c r="R682" s="104" t="s">
        <v>17</v>
      </c>
      <c r="S682" s="253">
        <f t="shared" si="11"/>
        <v>467.45520341482342</v>
      </c>
      <c r="T682" s="103" t="s">
        <v>1384</v>
      </c>
      <c r="U682" s="108">
        <v>0.98499999999999999</v>
      </c>
      <c r="V682" s="107">
        <v>16.5</v>
      </c>
      <c r="W682" s="414" t="s">
        <v>1385</v>
      </c>
    </row>
    <row r="683" spans="1:23" ht="21" customHeight="1">
      <c r="A683" s="104" t="s">
        <v>169</v>
      </c>
      <c r="B683" s="104" t="s">
        <v>149</v>
      </c>
      <c r="C683" s="454" t="s">
        <v>150</v>
      </c>
      <c r="D683" s="105" t="s">
        <v>151</v>
      </c>
      <c r="E683" s="104" t="s">
        <v>31</v>
      </c>
      <c r="F683" s="104">
        <v>-999</v>
      </c>
      <c r="G683" s="106" t="s">
        <v>1075</v>
      </c>
      <c r="H683" s="104" t="s">
        <v>1076</v>
      </c>
      <c r="I683" s="104" t="s">
        <v>104</v>
      </c>
      <c r="J683" s="104" t="s">
        <v>105</v>
      </c>
      <c r="K683" s="104" t="s">
        <v>185</v>
      </c>
      <c r="L683" s="104" t="s">
        <v>997</v>
      </c>
      <c r="M683" s="104"/>
      <c r="N683" s="108" t="s">
        <v>17</v>
      </c>
      <c r="O683" s="104" t="s">
        <v>17</v>
      </c>
      <c r="P683" s="113">
        <v>2.98</v>
      </c>
      <c r="Q683" s="113">
        <v>3.032</v>
      </c>
      <c r="R683" s="104" t="s">
        <v>17</v>
      </c>
      <c r="S683" s="253">
        <f t="shared" si="11"/>
        <v>473.30337455618138</v>
      </c>
      <c r="T683" s="103" t="s">
        <v>1384</v>
      </c>
      <c r="U683" s="108">
        <v>0.98499999999999999</v>
      </c>
      <c r="V683" s="107">
        <v>16.5</v>
      </c>
      <c r="W683" s="414" t="s">
        <v>1385</v>
      </c>
    </row>
    <row r="684" spans="1:23" ht="21" customHeight="1">
      <c r="A684" s="104" t="s">
        <v>169</v>
      </c>
      <c r="B684" s="104" t="s">
        <v>149</v>
      </c>
      <c r="C684" s="454" t="s">
        <v>150</v>
      </c>
      <c r="D684" s="105" t="s">
        <v>151</v>
      </c>
      <c r="E684" s="104" t="s">
        <v>31</v>
      </c>
      <c r="F684" s="104">
        <v>-999</v>
      </c>
      <c r="G684" s="106" t="s">
        <v>1075</v>
      </c>
      <c r="H684" s="104" t="s">
        <v>1076</v>
      </c>
      <c r="I684" s="104" t="s">
        <v>104</v>
      </c>
      <c r="J684" s="104" t="s">
        <v>105</v>
      </c>
      <c r="K684" s="104" t="s">
        <v>185</v>
      </c>
      <c r="L684" s="104" t="s">
        <v>997</v>
      </c>
      <c r="M684" s="104"/>
      <c r="N684" s="108" t="s">
        <v>17</v>
      </c>
      <c r="O684" s="104" t="s">
        <v>17</v>
      </c>
      <c r="P684" s="113">
        <v>3</v>
      </c>
      <c r="Q684" s="113">
        <v>1.54</v>
      </c>
      <c r="R684" s="104" t="s">
        <v>17</v>
      </c>
      <c r="S684" s="253">
        <f t="shared" si="11"/>
        <v>483.15995120003112</v>
      </c>
      <c r="T684" s="103" t="s">
        <v>1384</v>
      </c>
      <c r="U684" s="108">
        <v>0.98499999999999999</v>
      </c>
      <c r="V684" s="107">
        <v>16.5</v>
      </c>
      <c r="W684" s="414" t="s">
        <v>1385</v>
      </c>
    </row>
    <row r="685" spans="1:23" ht="21" customHeight="1">
      <c r="A685" s="104" t="s">
        <v>169</v>
      </c>
      <c r="B685" s="104" t="s">
        <v>149</v>
      </c>
      <c r="C685" s="454" t="s">
        <v>150</v>
      </c>
      <c r="D685" s="105" t="s">
        <v>151</v>
      </c>
      <c r="E685" s="104" t="s">
        <v>31</v>
      </c>
      <c r="F685" s="104">
        <v>-999</v>
      </c>
      <c r="G685" s="106" t="s">
        <v>1075</v>
      </c>
      <c r="H685" s="104" t="s">
        <v>1076</v>
      </c>
      <c r="I685" s="104" t="s">
        <v>104</v>
      </c>
      <c r="J685" s="104" t="s">
        <v>105</v>
      </c>
      <c r="K685" s="104" t="s">
        <v>185</v>
      </c>
      <c r="L685" s="104" t="s">
        <v>997</v>
      </c>
      <c r="M685" s="104"/>
      <c r="N685" s="108" t="s">
        <v>17</v>
      </c>
      <c r="O685" s="104" t="s">
        <v>17</v>
      </c>
      <c r="P685" s="113">
        <v>3</v>
      </c>
      <c r="Q685" s="113">
        <v>1.7210000000000001</v>
      </c>
      <c r="R685" s="104" t="s">
        <v>17</v>
      </c>
      <c r="S685" s="253">
        <f t="shared" si="11"/>
        <v>483.15995120003112</v>
      </c>
      <c r="T685" s="103" t="s">
        <v>1384</v>
      </c>
      <c r="U685" s="108">
        <v>0.98499999999999999</v>
      </c>
      <c r="V685" s="107">
        <v>16.5</v>
      </c>
      <c r="W685" s="414" t="s">
        <v>1385</v>
      </c>
    </row>
    <row r="686" spans="1:23" ht="21" customHeight="1">
      <c r="A686" s="104" t="s">
        <v>169</v>
      </c>
      <c r="B686" s="104" t="s">
        <v>149</v>
      </c>
      <c r="C686" s="454" t="s">
        <v>150</v>
      </c>
      <c r="D686" s="105" t="s">
        <v>151</v>
      </c>
      <c r="E686" s="104" t="s">
        <v>31</v>
      </c>
      <c r="F686" s="104">
        <v>-999</v>
      </c>
      <c r="G686" s="106" t="s">
        <v>1075</v>
      </c>
      <c r="H686" s="104" t="s">
        <v>1076</v>
      </c>
      <c r="I686" s="104" t="s">
        <v>104</v>
      </c>
      <c r="J686" s="104" t="s">
        <v>105</v>
      </c>
      <c r="K686" s="104" t="s">
        <v>185</v>
      </c>
      <c r="L686" s="104" t="s">
        <v>997</v>
      </c>
      <c r="M686" s="104"/>
      <c r="N686" s="108" t="s">
        <v>17</v>
      </c>
      <c r="O686" s="104" t="s">
        <v>17</v>
      </c>
      <c r="P686" s="113">
        <v>3</v>
      </c>
      <c r="Q686" s="113">
        <v>2.976</v>
      </c>
      <c r="R686" s="104" t="s">
        <v>17</v>
      </c>
      <c r="S686" s="253">
        <f t="shared" si="11"/>
        <v>483.15995120003112</v>
      </c>
      <c r="T686" s="103" t="s">
        <v>1384</v>
      </c>
      <c r="U686" s="108">
        <v>0.98499999999999999</v>
      </c>
      <c r="V686" s="107">
        <v>16.5</v>
      </c>
      <c r="W686" s="414" t="s">
        <v>1385</v>
      </c>
    </row>
    <row r="687" spans="1:23" ht="21" customHeight="1">
      <c r="A687" s="104" t="s">
        <v>169</v>
      </c>
      <c r="B687" s="104" t="s">
        <v>149</v>
      </c>
      <c r="C687" s="454" t="s">
        <v>150</v>
      </c>
      <c r="D687" s="105" t="s">
        <v>151</v>
      </c>
      <c r="E687" s="104" t="s">
        <v>31</v>
      </c>
      <c r="F687" s="104">
        <v>-999</v>
      </c>
      <c r="G687" s="106" t="s">
        <v>1075</v>
      </c>
      <c r="H687" s="104" t="s">
        <v>1076</v>
      </c>
      <c r="I687" s="104" t="s">
        <v>104</v>
      </c>
      <c r="J687" s="104" t="s">
        <v>105</v>
      </c>
      <c r="K687" s="104" t="s">
        <v>185</v>
      </c>
      <c r="L687" s="104" t="s">
        <v>997</v>
      </c>
      <c r="M687" s="104"/>
      <c r="N687" s="108" t="s">
        <v>17</v>
      </c>
      <c r="O687" s="104" t="s">
        <v>17</v>
      </c>
      <c r="P687" s="113">
        <v>3</v>
      </c>
      <c r="Q687" s="113">
        <v>3.0300000000000002</v>
      </c>
      <c r="R687" s="104" t="s">
        <v>17</v>
      </c>
      <c r="S687" s="253">
        <f t="shared" ref="S687:S719" si="12">((10^((3.187*LOG((P687))+1.264))+(10^((3.01*LOG((P687))+1.216)))+(10^(((2.999*(LOG(P687)))+1.162)))))/3</f>
        <v>483.15995120003112</v>
      </c>
      <c r="T687" s="103" t="s">
        <v>1384</v>
      </c>
      <c r="U687" s="108">
        <v>0.98499999999999999</v>
      </c>
      <c r="V687" s="107">
        <v>16.5</v>
      </c>
      <c r="W687" s="414" t="s">
        <v>1385</v>
      </c>
    </row>
    <row r="688" spans="1:23" ht="21" customHeight="1">
      <c r="A688" s="104" t="s">
        <v>169</v>
      </c>
      <c r="B688" s="104" t="s">
        <v>149</v>
      </c>
      <c r="C688" s="454" t="s">
        <v>150</v>
      </c>
      <c r="D688" s="105" t="s">
        <v>151</v>
      </c>
      <c r="E688" s="104" t="s">
        <v>31</v>
      </c>
      <c r="F688" s="104">
        <v>-999</v>
      </c>
      <c r="G688" s="106" t="s">
        <v>1075</v>
      </c>
      <c r="H688" s="104" t="s">
        <v>1076</v>
      </c>
      <c r="I688" s="104" t="s">
        <v>104</v>
      </c>
      <c r="J688" s="104" t="s">
        <v>105</v>
      </c>
      <c r="K688" s="104" t="s">
        <v>185</v>
      </c>
      <c r="L688" s="104" t="s">
        <v>997</v>
      </c>
      <c r="M688" s="104"/>
      <c r="N688" s="108" t="s">
        <v>17</v>
      </c>
      <c r="O688" s="104" t="s">
        <v>17</v>
      </c>
      <c r="P688" s="113">
        <v>3.0010000000000003</v>
      </c>
      <c r="Q688" s="113">
        <v>1.67</v>
      </c>
      <c r="R688" s="104" t="s">
        <v>17</v>
      </c>
      <c r="S688" s="253">
        <f t="shared" si="12"/>
        <v>483.65639152795183</v>
      </c>
      <c r="T688" s="103" t="s">
        <v>1384</v>
      </c>
      <c r="U688" s="108">
        <v>0.98499999999999999</v>
      </c>
      <c r="V688" s="107">
        <v>16.5</v>
      </c>
      <c r="W688" s="414" t="s">
        <v>1385</v>
      </c>
    </row>
    <row r="689" spans="1:23" ht="21" customHeight="1">
      <c r="A689" s="104" t="s">
        <v>169</v>
      </c>
      <c r="B689" s="104" t="s">
        <v>149</v>
      </c>
      <c r="C689" s="454" t="s">
        <v>150</v>
      </c>
      <c r="D689" s="105" t="s">
        <v>151</v>
      </c>
      <c r="E689" s="104" t="s">
        <v>31</v>
      </c>
      <c r="F689" s="104">
        <v>-999</v>
      </c>
      <c r="G689" s="106" t="s">
        <v>1075</v>
      </c>
      <c r="H689" s="104" t="s">
        <v>1076</v>
      </c>
      <c r="I689" s="104" t="s">
        <v>104</v>
      </c>
      <c r="J689" s="104" t="s">
        <v>105</v>
      </c>
      <c r="K689" s="104" t="s">
        <v>185</v>
      </c>
      <c r="L689" s="104" t="s">
        <v>997</v>
      </c>
      <c r="M689" s="104"/>
      <c r="N689" s="108" t="s">
        <v>17</v>
      </c>
      <c r="O689" s="104" t="s">
        <v>17</v>
      </c>
      <c r="P689" s="113">
        <v>3.05</v>
      </c>
      <c r="Q689" s="113">
        <v>3.28</v>
      </c>
      <c r="R689" s="104" t="s">
        <v>17</v>
      </c>
      <c r="S689" s="253">
        <f t="shared" si="12"/>
        <v>508.40688312119323</v>
      </c>
      <c r="T689" s="103" t="s">
        <v>1384</v>
      </c>
      <c r="U689" s="108">
        <v>0.98499999999999999</v>
      </c>
      <c r="V689" s="107">
        <v>16.5</v>
      </c>
      <c r="W689" s="414" t="s">
        <v>1385</v>
      </c>
    </row>
    <row r="690" spans="1:23" ht="21" customHeight="1">
      <c r="A690" s="104" t="s">
        <v>169</v>
      </c>
      <c r="B690" s="104" t="s">
        <v>149</v>
      </c>
      <c r="C690" s="454" t="s">
        <v>150</v>
      </c>
      <c r="D690" s="105" t="s">
        <v>151</v>
      </c>
      <c r="E690" s="104" t="s">
        <v>31</v>
      </c>
      <c r="F690" s="104">
        <v>-999</v>
      </c>
      <c r="G690" s="106" t="s">
        <v>1075</v>
      </c>
      <c r="H690" s="104" t="s">
        <v>1076</v>
      </c>
      <c r="I690" s="104" t="s">
        <v>104</v>
      </c>
      <c r="J690" s="104" t="s">
        <v>105</v>
      </c>
      <c r="K690" s="104" t="s">
        <v>185</v>
      </c>
      <c r="L690" s="104" t="s">
        <v>997</v>
      </c>
      <c r="M690" s="104"/>
      <c r="N690" s="108" t="s">
        <v>17</v>
      </c>
      <c r="O690" s="104" t="s">
        <v>17</v>
      </c>
      <c r="P690" s="113">
        <v>3.0550000000000002</v>
      </c>
      <c r="Q690" s="113">
        <v>1.716</v>
      </c>
      <c r="R690" s="104" t="s">
        <v>17</v>
      </c>
      <c r="S690" s="253">
        <f t="shared" si="12"/>
        <v>510.97958059662704</v>
      </c>
      <c r="T690" s="103" t="s">
        <v>1384</v>
      </c>
      <c r="U690" s="108">
        <v>0.98499999999999999</v>
      </c>
      <c r="V690" s="107">
        <v>16.5</v>
      </c>
      <c r="W690" s="414" t="s">
        <v>1385</v>
      </c>
    </row>
    <row r="691" spans="1:23" ht="21" customHeight="1">
      <c r="A691" s="104" t="s">
        <v>169</v>
      </c>
      <c r="B691" s="104" t="s">
        <v>149</v>
      </c>
      <c r="C691" s="454" t="s">
        <v>150</v>
      </c>
      <c r="D691" s="105" t="s">
        <v>151</v>
      </c>
      <c r="E691" s="104" t="s">
        <v>31</v>
      </c>
      <c r="F691" s="104">
        <v>-999</v>
      </c>
      <c r="G691" s="106" t="s">
        <v>1075</v>
      </c>
      <c r="H691" s="104" t="s">
        <v>1076</v>
      </c>
      <c r="I691" s="104" t="s">
        <v>104</v>
      </c>
      <c r="J691" s="104" t="s">
        <v>105</v>
      </c>
      <c r="K691" s="104" t="s">
        <v>185</v>
      </c>
      <c r="L691" s="104" t="s">
        <v>997</v>
      </c>
      <c r="M691" s="104"/>
      <c r="N691" s="108" t="s">
        <v>17</v>
      </c>
      <c r="O691" s="104" t="s">
        <v>17</v>
      </c>
      <c r="P691" s="113">
        <v>3.056</v>
      </c>
      <c r="Q691" s="113">
        <v>1.7289999999999999</v>
      </c>
      <c r="R691" s="104" t="s">
        <v>17</v>
      </c>
      <c r="S691" s="253">
        <f t="shared" si="12"/>
        <v>511.49517446791475</v>
      </c>
      <c r="T691" s="103" t="s">
        <v>1384</v>
      </c>
      <c r="U691" s="108">
        <v>0.98499999999999999</v>
      </c>
      <c r="V691" s="107">
        <v>16.5</v>
      </c>
      <c r="W691" s="414" t="s">
        <v>1385</v>
      </c>
    </row>
    <row r="692" spans="1:23" ht="21" customHeight="1">
      <c r="A692" s="104" t="s">
        <v>169</v>
      </c>
      <c r="B692" s="104" t="s">
        <v>149</v>
      </c>
      <c r="C692" s="454" t="s">
        <v>150</v>
      </c>
      <c r="D692" s="105" t="s">
        <v>151</v>
      </c>
      <c r="E692" s="104" t="s">
        <v>31</v>
      </c>
      <c r="F692" s="104">
        <v>-999</v>
      </c>
      <c r="G692" s="106" t="s">
        <v>1075</v>
      </c>
      <c r="H692" s="104" t="s">
        <v>1076</v>
      </c>
      <c r="I692" s="104" t="s">
        <v>104</v>
      </c>
      <c r="J692" s="104" t="s">
        <v>105</v>
      </c>
      <c r="K692" s="104" t="s">
        <v>185</v>
      </c>
      <c r="L692" s="104" t="s">
        <v>997</v>
      </c>
      <c r="M692" s="104"/>
      <c r="N692" s="108" t="s">
        <v>17</v>
      </c>
      <c r="O692" s="104" t="s">
        <v>17</v>
      </c>
      <c r="P692" s="113">
        <v>3.06</v>
      </c>
      <c r="Q692" s="113">
        <v>2.81</v>
      </c>
      <c r="R692" s="104" t="s">
        <v>17</v>
      </c>
      <c r="S692" s="253">
        <f t="shared" si="12"/>
        <v>513.56106871499935</v>
      </c>
      <c r="T692" s="103" t="s">
        <v>1384</v>
      </c>
      <c r="U692" s="108">
        <v>0.98499999999999999</v>
      </c>
      <c r="V692" s="107">
        <v>16.5</v>
      </c>
      <c r="W692" s="414" t="s">
        <v>1385</v>
      </c>
    </row>
    <row r="693" spans="1:23" ht="21" customHeight="1">
      <c r="A693" s="104" t="s">
        <v>169</v>
      </c>
      <c r="B693" s="104" t="s">
        <v>149</v>
      </c>
      <c r="C693" s="454" t="s">
        <v>150</v>
      </c>
      <c r="D693" s="105" t="s">
        <v>151</v>
      </c>
      <c r="E693" s="104" t="s">
        <v>31</v>
      </c>
      <c r="F693" s="104">
        <v>-999</v>
      </c>
      <c r="G693" s="106" t="s">
        <v>1075</v>
      </c>
      <c r="H693" s="104" t="s">
        <v>1076</v>
      </c>
      <c r="I693" s="104" t="s">
        <v>104</v>
      </c>
      <c r="J693" s="104" t="s">
        <v>105</v>
      </c>
      <c r="K693" s="104" t="s">
        <v>185</v>
      </c>
      <c r="L693" s="104" t="s">
        <v>997</v>
      </c>
      <c r="M693" s="104"/>
      <c r="N693" s="108" t="s">
        <v>17</v>
      </c>
      <c r="O693" s="104" t="s">
        <v>17</v>
      </c>
      <c r="P693" s="113">
        <v>3.0680000000000001</v>
      </c>
      <c r="Q693" s="113">
        <v>2.17</v>
      </c>
      <c r="R693" s="104" t="s">
        <v>17</v>
      </c>
      <c r="S693" s="253">
        <f t="shared" si="12"/>
        <v>517.70977331960682</v>
      </c>
      <c r="T693" s="103" t="s">
        <v>1384</v>
      </c>
      <c r="U693" s="108">
        <v>0.98499999999999999</v>
      </c>
      <c r="V693" s="107">
        <v>16.5</v>
      </c>
      <c r="W693" s="414" t="s">
        <v>1385</v>
      </c>
    </row>
    <row r="694" spans="1:23" ht="21" customHeight="1">
      <c r="A694" s="104" t="s">
        <v>169</v>
      </c>
      <c r="B694" s="104" t="s">
        <v>149</v>
      </c>
      <c r="C694" s="454" t="s">
        <v>150</v>
      </c>
      <c r="D694" s="105" t="s">
        <v>151</v>
      </c>
      <c r="E694" s="104" t="s">
        <v>31</v>
      </c>
      <c r="F694" s="104">
        <v>-999</v>
      </c>
      <c r="G694" s="106" t="s">
        <v>1075</v>
      </c>
      <c r="H694" s="104" t="s">
        <v>1076</v>
      </c>
      <c r="I694" s="104" t="s">
        <v>104</v>
      </c>
      <c r="J694" s="104" t="s">
        <v>105</v>
      </c>
      <c r="K694" s="104" t="s">
        <v>185</v>
      </c>
      <c r="L694" s="104" t="s">
        <v>997</v>
      </c>
      <c r="M694" s="104"/>
      <c r="N694" s="108" t="s">
        <v>17</v>
      </c>
      <c r="O694" s="104" t="s">
        <v>17</v>
      </c>
      <c r="P694" s="113">
        <v>3.07</v>
      </c>
      <c r="Q694" s="113">
        <v>2.1420000000000003</v>
      </c>
      <c r="R694" s="104" t="s">
        <v>17</v>
      </c>
      <c r="S694" s="253">
        <f t="shared" si="12"/>
        <v>518.75047950637634</v>
      </c>
      <c r="T694" s="103" t="s">
        <v>1384</v>
      </c>
      <c r="U694" s="108">
        <v>0.98499999999999999</v>
      </c>
      <c r="V694" s="107">
        <v>16.5</v>
      </c>
      <c r="W694" s="414" t="s">
        <v>1385</v>
      </c>
    </row>
    <row r="695" spans="1:23" ht="21" customHeight="1">
      <c r="A695" s="104" t="s">
        <v>169</v>
      </c>
      <c r="B695" s="104" t="s">
        <v>149</v>
      </c>
      <c r="C695" s="454" t="s">
        <v>150</v>
      </c>
      <c r="D695" s="105" t="s">
        <v>151</v>
      </c>
      <c r="E695" s="104" t="s">
        <v>31</v>
      </c>
      <c r="F695" s="104">
        <v>-999</v>
      </c>
      <c r="G695" s="106" t="s">
        <v>1075</v>
      </c>
      <c r="H695" s="104" t="s">
        <v>1076</v>
      </c>
      <c r="I695" s="104" t="s">
        <v>104</v>
      </c>
      <c r="J695" s="104" t="s">
        <v>105</v>
      </c>
      <c r="K695" s="104" t="s">
        <v>185</v>
      </c>
      <c r="L695" s="104" t="s">
        <v>997</v>
      </c>
      <c r="M695" s="104"/>
      <c r="N695" s="108" t="s">
        <v>17</v>
      </c>
      <c r="O695" s="104" t="s">
        <v>17</v>
      </c>
      <c r="P695" s="113">
        <v>3.09</v>
      </c>
      <c r="Q695" s="113">
        <v>1.9870000000000001</v>
      </c>
      <c r="R695" s="104" t="s">
        <v>17</v>
      </c>
      <c r="S695" s="253">
        <f t="shared" si="12"/>
        <v>529.23547782525009</v>
      </c>
      <c r="T695" s="103" t="s">
        <v>1384</v>
      </c>
      <c r="U695" s="108">
        <v>0.98499999999999999</v>
      </c>
      <c r="V695" s="107">
        <v>16.5</v>
      </c>
      <c r="W695" s="414" t="s">
        <v>1385</v>
      </c>
    </row>
    <row r="696" spans="1:23" ht="21" customHeight="1">
      <c r="A696" s="104" t="s">
        <v>169</v>
      </c>
      <c r="B696" s="104" t="s">
        <v>149</v>
      </c>
      <c r="C696" s="454" t="s">
        <v>150</v>
      </c>
      <c r="D696" s="105" t="s">
        <v>151</v>
      </c>
      <c r="E696" s="104" t="s">
        <v>31</v>
      </c>
      <c r="F696" s="104">
        <v>-999</v>
      </c>
      <c r="G696" s="106" t="s">
        <v>1075</v>
      </c>
      <c r="H696" s="104" t="s">
        <v>1076</v>
      </c>
      <c r="I696" s="104" t="s">
        <v>104</v>
      </c>
      <c r="J696" s="104" t="s">
        <v>105</v>
      </c>
      <c r="K696" s="104" t="s">
        <v>185</v>
      </c>
      <c r="L696" s="104" t="s">
        <v>997</v>
      </c>
      <c r="M696" s="104"/>
      <c r="N696" s="108" t="s">
        <v>17</v>
      </c>
      <c r="O696" s="104" t="s">
        <v>17</v>
      </c>
      <c r="P696" s="113">
        <v>3.1019999999999999</v>
      </c>
      <c r="Q696" s="113">
        <v>3.06</v>
      </c>
      <c r="R696" s="104" t="s">
        <v>17</v>
      </c>
      <c r="S696" s="253">
        <f t="shared" si="12"/>
        <v>535.59476683238984</v>
      </c>
      <c r="T696" s="103" t="s">
        <v>1384</v>
      </c>
      <c r="U696" s="108">
        <v>0.98499999999999999</v>
      </c>
      <c r="V696" s="107">
        <v>16.5</v>
      </c>
      <c r="W696" s="414" t="s">
        <v>1385</v>
      </c>
    </row>
    <row r="697" spans="1:23" ht="21" customHeight="1">
      <c r="A697" s="104" t="s">
        <v>169</v>
      </c>
      <c r="B697" s="104" t="s">
        <v>149</v>
      </c>
      <c r="C697" s="454" t="s">
        <v>150</v>
      </c>
      <c r="D697" s="105" t="s">
        <v>151</v>
      </c>
      <c r="E697" s="104" t="s">
        <v>31</v>
      </c>
      <c r="F697" s="104">
        <v>-999</v>
      </c>
      <c r="G697" s="106" t="s">
        <v>1075</v>
      </c>
      <c r="H697" s="104" t="s">
        <v>1076</v>
      </c>
      <c r="I697" s="104" t="s">
        <v>104</v>
      </c>
      <c r="J697" s="104" t="s">
        <v>105</v>
      </c>
      <c r="K697" s="104" t="s">
        <v>185</v>
      </c>
      <c r="L697" s="104" t="s">
        <v>997</v>
      </c>
      <c r="M697" s="104"/>
      <c r="N697" s="108" t="s">
        <v>17</v>
      </c>
      <c r="O697" s="104" t="s">
        <v>17</v>
      </c>
      <c r="P697" s="113">
        <v>3.1120000000000001</v>
      </c>
      <c r="Q697" s="113">
        <v>1.857</v>
      </c>
      <c r="R697" s="104" t="s">
        <v>17</v>
      </c>
      <c r="S697" s="253">
        <f t="shared" si="12"/>
        <v>540.93349192273399</v>
      </c>
      <c r="T697" s="103" t="s">
        <v>1384</v>
      </c>
      <c r="U697" s="108">
        <v>0.98499999999999999</v>
      </c>
      <c r="V697" s="107">
        <v>16.5</v>
      </c>
      <c r="W697" s="414" t="s">
        <v>1385</v>
      </c>
    </row>
    <row r="698" spans="1:23" ht="21" customHeight="1">
      <c r="A698" s="104" t="s">
        <v>169</v>
      </c>
      <c r="B698" s="104" t="s">
        <v>149</v>
      </c>
      <c r="C698" s="454" t="s">
        <v>150</v>
      </c>
      <c r="D698" s="105" t="s">
        <v>151</v>
      </c>
      <c r="E698" s="104" t="s">
        <v>31</v>
      </c>
      <c r="F698" s="104">
        <v>-999</v>
      </c>
      <c r="G698" s="106" t="s">
        <v>1075</v>
      </c>
      <c r="H698" s="104" t="s">
        <v>1076</v>
      </c>
      <c r="I698" s="104" t="s">
        <v>104</v>
      </c>
      <c r="J698" s="104" t="s">
        <v>105</v>
      </c>
      <c r="K698" s="104" t="s">
        <v>185</v>
      </c>
      <c r="L698" s="104" t="s">
        <v>997</v>
      </c>
      <c r="M698" s="104"/>
      <c r="N698" s="108" t="s">
        <v>17</v>
      </c>
      <c r="O698" s="104" t="s">
        <v>17</v>
      </c>
      <c r="P698" s="113">
        <v>3.12</v>
      </c>
      <c r="Q698" s="113">
        <v>1.825</v>
      </c>
      <c r="R698" s="104" t="s">
        <v>17</v>
      </c>
      <c r="S698" s="253">
        <f t="shared" si="12"/>
        <v>545.23029745477163</v>
      </c>
      <c r="T698" s="103" t="s">
        <v>1384</v>
      </c>
      <c r="U698" s="108">
        <v>0.98499999999999999</v>
      </c>
      <c r="V698" s="107">
        <v>16.5</v>
      </c>
      <c r="W698" s="414" t="s">
        <v>1385</v>
      </c>
    </row>
    <row r="699" spans="1:23" ht="21" customHeight="1">
      <c r="A699" s="104" t="s">
        <v>169</v>
      </c>
      <c r="B699" s="104" t="s">
        <v>149</v>
      </c>
      <c r="C699" s="454" t="s">
        <v>150</v>
      </c>
      <c r="D699" s="105" t="s">
        <v>151</v>
      </c>
      <c r="E699" s="104" t="s">
        <v>31</v>
      </c>
      <c r="F699" s="104">
        <v>-999</v>
      </c>
      <c r="G699" s="106" t="s">
        <v>1075</v>
      </c>
      <c r="H699" s="104" t="s">
        <v>1076</v>
      </c>
      <c r="I699" s="104" t="s">
        <v>104</v>
      </c>
      <c r="J699" s="104" t="s">
        <v>105</v>
      </c>
      <c r="K699" s="104" t="s">
        <v>185</v>
      </c>
      <c r="L699" s="104" t="s">
        <v>997</v>
      </c>
      <c r="M699" s="104"/>
      <c r="N699" s="108" t="s">
        <v>17</v>
      </c>
      <c r="O699" s="104" t="s">
        <v>17</v>
      </c>
      <c r="P699" s="113">
        <v>3.1230000000000002</v>
      </c>
      <c r="Q699" s="113">
        <v>2.75</v>
      </c>
      <c r="R699" s="104" t="s">
        <v>17</v>
      </c>
      <c r="S699" s="253">
        <f t="shared" si="12"/>
        <v>546.84753235530673</v>
      </c>
      <c r="T699" s="103" t="s">
        <v>1384</v>
      </c>
      <c r="U699" s="108">
        <v>0.98499999999999999</v>
      </c>
      <c r="V699" s="107">
        <v>16.5</v>
      </c>
      <c r="W699" s="414" t="s">
        <v>1385</v>
      </c>
    </row>
    <row r="700" spans="1:23" ht="21" customHeight="1">
      <c r="A700" s="104" t="s">
        <v>169</v>
      </c>
      <c r="B700" s="104" t="s">
        <v>149</v>
      </c>
      <c r="C700" s="454" t="s">
        <v>150</v>
      </c>
      <c r="D700" s="105" t="s">
        <v>151</v>
      </c>
      <c r="E700" s="104" t="s">
        <v>31</v>
      </c>
      <c r="F700" s="104">
        <v>-999</v>
      </c>
      <c r="G700" s="106" t="s">
        <v>1075</v>
      </c>
      <c r="H700" s="104" t="s">
        <v>1076</v>
      </c>
      <c r="I700" s="104" t="s">
        <v>104</v>
      </c>
      <c r="J700" s="104" t="s">
        <v>105</v>
      </c>
      <c r="K700" s="104" t="s">
        <v>185</v>
      </c>
      <c r="L700" s="104" t="s">
        <v>997</v>
      </c>
      <c r="M700" s="104"/>
      <c r="N700" s="108" t="s">
        <v>17</v>
      </c>
      <c r="O700" s="104" t="s">
        <v>17</v>
      </c>
      <c r="P700" s="113">
        <v>3.15</v>
      </c>
      <c r="Q700" s="113">
        <v>1.73</v>
      </c>
      <c r="R700" s="104" t="s">
        <v>17</v>
      </c>
      <c r="S700" s="253">
        <f t="shared" si="12"/>
        <v>561.54891425684411</v>
      </c>
      <c r="T700" s="103" t="s">
        <v>1384</v>
      </c>
      <c r="U700" s="108">
        <v>0.98499999999999999</v>
      </c>
      <c r="V700" s="107">
        <v>16.5</v>
      </c>
      <c r="W700" s="414" t="s">
        <v>1385</v>
      </c>
    </row>
    <row r="701" spans="1:23" ht="21" customHeight="1">
      <c r="A701" s="104" t="s">
        <v>169</v>
      </c>
      <c r="B701" s="104" t="s">
        <v>149</v>
      </c>
      <c r="C701" s="454" t="s">
        <v>150</v>
      </c>
      <c r="D701" s="105" t="s">
        <v>151</v>
      </c>
      <c r="E701" s="104" t="s">
        <v>31</v>
      </c>
      <c r="F701" s="104">
        <v>-999</v>
      </c>
      <c r="G701" s="106" t="s">
        <v>1075</v>
      </c>
      <c r="H701" s="104" t="s">
        <v>1076</v>
      </c>
      <c r="I701" s="104" t="s">
        <v>104</v>
      </c>
      <c r="J701" s="104" t="s">
        <v>105</v>
      </c>
      <c r="K701" s="104" t="s">
        <v>185</v>
      </c>
      <c r="L701" s="104" t="s">
        <v>997</v>
      </c>
      <c r="M701" s="104"/>
      <c r="N701" s="108" t="s">
        <v>17</v>
      </c>
      <c r="O701" s="104" t="s">
        <v>17</v>
      </c>
      <c r="P701" s="113">
        <v>3.169</v>
      </c>
      <c r="Q701" s="113">
        <v>2.1670000000000003</v>
      </c>
      <c r="R701" s="104" t="s">
        <v>17</v>
      </c>
      <c r="S701" s="253">
        <f t="shared" si="12"/>
        <v>572.05305217448779</v>
      </c>
      <c r="T701" s="103" t="s">
        <v>1384</v>
      </c>
      <c r="U701" s="108">
        <v>0.98499999999999999</v>
      </c>
      <c r="V701" s="107">
        <v>16.5</v>
      </c>
      <c r="W701" s="414" t="s">
        <v>1385</v>
      </c>
    </row>
    <row r="702" spans="1:23" ht="21" customHeight="1">
      <c r="A702" s="104" t="s">
        <v>169</v>
      </c>
      <c r="B702" s="104" t="s">
        <v>149</v>
      </c>
      <c r="C702" s="454" t="s">
        <v>150</v>
      </c>
      <c r="D702" s="105" t="s">
        <v>151</v>
      </c>
      <c r="E702" s="104" t="s">
        <v>31</v>
      </c>
      <c r="F702" s="104">
        <v>-999</v>
      </c>
      <c r="G702" s="106" t="s">
        <v>1075</v>
      </c>
      <c r="H702" s="104" t="s">
        <v>1076</v>
      </c>
      <c r="I702" s="104" t="s">
        <v>104</v>
      </c>
      <c r="J702" s="104" t="s">
        <v>105</v>
      </c>
      <c r="K702" s="104" t="s">
        <v>185</v>
      </c>
      <c r="L702" s="104" t="s">
        <v>997</v>
      </c>
      <c r="M702" s="104"/>
      <c r="N702" s="108" t="s">
        <v>17</v>
      </c>
      <c r="O702" s="104" t="s">
        <v>17</v>
      </c>
      <c r="P702" s="113">
        <v>3.1719999999999997</v>
      </c>
      <c r="Q702" s="113">
        <v>1.6600000000000001</v>
      </c>
      <c r="R702" s="104" t="s">
        <v>17</v>
      </c>
      <c r="S702" s="253">
        <f t="shared" si="12"/>
        <v>573.72365377309643</v>
      </c>
      <c r="T702" s="103" t="s">
        <v>1384</v>
      </c>
      <c r="U702" s="108">
        <v>0.98499999999999999</v>
      </c>
      <c r="V702" s="107">
        <v>16.5</v>
      </c>
      <c r="W702" s="414" t="s">
        <v>1385</v>
      </c>
    </row>
    <row r="703" spans="1:23" ht="21" customHeight="1">
      <c r="A703" s="104" t="s">
        <v>169</v>
      </c>
      <c r="B703" s="104" t="s">
        <v>149</v>
      </c>
      <c r="C703" s="454" t="s">
        <v>150</v>
      </c>
      <c r="D703" s="105" t="s">
        <v>151</v>
      </c>
      <c r="E703" s="104" t="s">
        <v>31</v>
      </c>
      <c r="F703" s="104">
        <v>-999</v>
      </c>
      <c r="G703" s="106" t="s">
        <v>1075</v>
      </c>
      <c r="H703" s="104" t="s">
        <v>1076</v>
      </c>
      <c r="I703" s="104" t="s">
        <v>104</v>
      </c>
      <c r="J703" s="104" t="s">
        <v>105</v>
      </c>
      <c r="K703" s="104" t="s">
        <v>185</v>
      </c>
      <c r="L703" s="104" t="s">
        <v>997</v>
      </c>
      <c r="M703" s="104"/>
      <c r="N703" s="108" t="s">
        <v>17</v>
      </c>
      <c r="O703" s="104" t="s">
        <v>17</v>
      </c>
      <c r="P703" s="113">
        <v>3.1850000000000001</v>
      </c>
      <c r="Q703" s="113">
        <v>2.028</v>
      </c>
      <c r="R703" s="104" t="s">
        <v>17</v>
      </c>
      <c r="S703" s="253">
        <f t="shared" si="12"/>
        <v>581.00106666343061</v>
      </c>
      <c r="T703" s="103" t="s">
        <v>1384</v>
      </c>
      <c r="U703" s="108">
        <v>0.98499999999999999</v>
      </c>
      <c r="V703" s="107">
        <v>16.5</v>
      </c>
      <c r="W703" s="414" t="s">
        <v>1385</v>
      </c>
    </row>
    <row r="704" spans="1:23" ht="21" customHeight="1">
      <c r="A704" s="104" t="s">
        <v>169</v>
      </c>
      <c r="B704" s="104" t="s">
        <v>149</v>
      </c>
      <c r="C704" s="454" t="s">
        <v>150</v>
      </c>
      <c r="D704" s="105" t="s">
        <v>151</v>
      </c>
      <c r="E704" s="104" t="s">
        <v>31</v>
      </c>
      <c r="F704" s="104">
        <v>-999</v>
      </c>
      <c r="G704" s="106" t="s">
        <v>1075</v>
      </c>
      <c r="H704" s="104" t="s">
        <v>1076</v>
      </c>
      <c r="I704" s="104" t="s">
        <v>104</v>
      </c>
      <c r="J704" s="104" t="s">
        <v>105</v>
      </c>
      <c r="K704" s="104" t="s">
        <v>185</v>
      </c>
      <c r="L704" s="104" t="s">
        <v>997</v>
      </c>
      <c r="M704" s="104"/>
      <c r="N704" s="108" t="s">
        <v>17</v>
      </c>
      <c r="O704" s="104" t="s">
        <v>17</v>
      </c>
      <c r="P704" s="113">
        <v>3.19</v>
      </c>
      <c r="Q704" s="113">
        <v>1.73</v>
      </c>
      <c r="R704" s="104" t="s">
        <v>17</v>
      </c>
      <c r="S704" s="253">
        <f t="shared" si="12"/>
        <v>583.81661380173853</v>
      </c>
      <c r="T704" s="103" t="s">
        <v>1384</v>
      </c>
      <c r="U704" s="108">
        <v>0.98499999999999999</v>
      </c>
      <c r="V704" s="107">
        <v>16.5</v>
      </c>
      <c r="W704" s="414" t="s">
        <v>1385</v>
      </c>
    </row>
    <row r="705" spans="1:23" ht="21" customHeight="1">
      <c r="A705" s="104" t="s">
        <v>169</v>
      </c>
      <c r="B705" s="104" t="s">
        <v>149</v>
      </c>
      <c r="C705" s="454" t="s">
        <v>150</v>
      </c>
      <c r="D705" s="105" t="s">
        <v>151</v>
      </c>
      <c r="E705" s="104" t="s">
        <v>31</v>
      </c>
      <c r="F705" s="104">
        <v>-999</v>
      </c>
      <c r="G705" s="106" t="s">
        <v>1075</v>
      </c>
      <c r="H705" s="104" t="s">
        <v>1076</v>
      </c>
      <c r="I705" s="104" t="s">
        <v>104</v>
      </c>
      <c r="J705" s="104" t="s">
        <v>105</v>
      </c>
      <c r="K705" s="104" t="s">
        <v>185</v>
      </c>
      <c r="L705" s="104" t="s">
        <v>997</v>
      </c>
      <c r="M705" s="104"/>
      <c r="N705" s="108" t="s">
        <v>17</v>
      </c>
      <c r="O705" s="104" t="s">
        <v>17</v>
      </c>
      <c r="P705" s="113">
        <v>3.194</v>
      </c>
      <c r="Q705" s="113">
        <v>3.0129999999999999</v>
      </c>
      <c r="R705" s="104" t="s">
        <v>17</v>
      </c>
      <c r="S705" s="253">
        <f t="shared" si="12"/>
        <v>586.07568498213277</v>
      </c>
      <c r="T705" s="103" t="s">
        <v>1384</v>
      </c>
      <c r="U705" s="108">
        <v>0.98499999999999999</v>
      </c>
      <c r="V705" s="107">
        <v>16.5</v>
      </c>
      <c r="W705" s="414" t="s">
        <v>1385</v>
      </c>
    </row>
    <row r="706" spans="1:23" ht="21" customHeight="1">
      <c r="A706" s="104" t="s">
        <v>169</v>
      </c>
      <c r="B706" s="104" t="s">
        <v>149</v>
      </c>
      <c r="C706" s="454" t="s">
        <v>150</v>
      </c>
      <c r="D706" s="105" t="s">
        <v>151</v>
      </c>
      <c r="E706" s="104" t="s">
        <v>31</v>
      </c>
      <c r="F706" s="104">
        <v>-999</v>
      </c>
      <c r="G706" s="106" t="s">
        <v>1075</v>
      </c>
      <c r="H706" s="104" t="s">
        <v>1076</v>
      </c>
      <c r="I706" s="104" t="s">
        <v>104</v>
      </c>
      <c r="J706" s="104" t="s">
        <v>105</v>
      </c>
      <c r="K706" s="104" t="s">
        <v>185</v>
      </c>
      <c r="L706" s="104" t="s">
        <v>997</v>
      </c>
      <c r="M706" s="104"/>
      <c r="N706" s="108" t="s">
        <v>17</v>
      </c>
      <c r="O706" s="104" t="s">
        <v>17</v>
      </c>
      <c r="P706" s="113">
        <v>3.2</v>
      </c>
      <c r="Q706" s="113">
        <v>3.09</v>
      </c>
      <c r="R706" s="104" t="s">
        <v>17</v>
      </c>
      <c r="S706" s="253">
        <f t="shared" si="12"/>
        <v>589.47536640047053</v>
      </c>
      <c r="T706" s="103" t="s">
        <v>1384</v>
      </c>
      <c r="U706" s="108">
        <v>0.98499999999999999</v>
      </c>
      <c r="V706" s="107">
        <v>16.5</v>
      </c>
      <c r="W706" s="414" t="s">
        <v>1385</v>
      </c>
    </row>
    <row r="707" spans="1:23" ht="21" customHeight="1">
      <c r="A707" s="104" t="s">
        <v>169</v>
      </c>
      <c r="B707" s="104" t="s">
        <v>149</v>
      </c>
      <c r="C707" s="454" t="s">
        <v>150</v>
      </c>
      <c r="D707" s="105" t="s">
        <v>151</v>
      </c>
      <c r="E707" s="104" t="s">
        <v>31</v>
      </c>
      <c r="F707" s="104">
        <v>-999</v>
      </c>
      <c r="G707" s="106" t="s">
        <v>1075</v>
      </c>
      <c r="H707" s="104" t="s">
        <v>1076</v>
      </c>
      <c r="I707" s="104" t="s">
        <v>104</v>
      </c>
      <c r="J707" s="104" t="s">
        <v>105</v>
      </c>
      <c r="K707" s="104" t="s">
        <v>185</v>
      </c>
      <c r="L707" s="104" t="s">
        <v>997</v>
      </c>
      <c r="M707" s="104"/>
      <c r="N707" s="108" t="s">
        <v>17</v>
      </c>
      <c r="O707" s="104" t="s">
        <v>17</v>
      </c>
      <c r="P707" s="113">
        <v>3.2130000000000001</v>
      </c>
      <c r="Q707" s="113">
        <v>3.4549999999999996</v>
      </c>
      <c r="R707" s="104" t="s">
        <v>17</v>
      </c>
      <c r="S707" s="253">
        <f t="shared" si="12"/>
        <v>596.88705254415117</v>
      </c>
      <c r="T707" s="103" t="s">
        <v>1384</v>
      </c>
      <c r="U707" s="108">
        <v>0.98499999999999999</v>
      </c>
      <c r="V707" s="107">
        <v>16.5</v>
      </c>
      <c r="W707" s="414" t="s">
        <v>1385</v>
      </c>
    </row>
    <row r="708" spans="1:23" ht="21" customHeight="1">
      <c r="A708" s="104" t="s">
        <v>169</v>
      </c>
      <c r="B708" s="104" t="s">
        <v>149</v>
      </c>
      <c r="C708" s="454" t="s">
        <v>150</v>
      </c>
      <c r="D708" s="105" t="s">
        <v>151</v>
      </c>
      <c r="E708" s="104" t="s">
        <v>31</v>
      </c>
      <c r="F708" s="104">
        <v>-999</v>
      </c>
      <c r="G708" s="106" t="s">
        <v>1075</v>
      </c>
      <c r="H708" s="104" t="s">
        <v>1076</v>
      </c>
      <c r="I708" s="104" t="s">
        <v>104</v>
      </c>
      <c r="J708" s="104" t="s">
        <v>105</v>
      </c>
      <c r="K708" s="104" t="s">
        <v>185</v>
      </c>
      <c r="L708" s="104" t="s">
        <v>997</v>
      </c>
      <c r="M708" s="104"/>
      <c r="N708" s="108" t="s">
        <v>17</v>
      </c>
      <c r="O708" s="104" t="s">
        <v>17</v>
      </c>
      <c r="P708" s="113">
        <v>3.22</v>
      </c>
      <c r="Q708" s="113">
        <v>1.9899999999999998</v>
      </c>
      <c r="R708" s="104" t="s">
        <v>17</v>
      </c>
      <c r="S708" s="253">
        <f t="shared" si="12"/>
        <v>600.9039451517682</v>
      </c>
      <c r="T708" s="103" t="s">
        <v>1384</v>
      </c>
      <c r="U708" s="108">
        <v>0.98499999999999999</v>
      </c>
      <c r="V708" s="107">
        <v>16.5</v>
      </c>
      <c r="W708" s="414" t="s">
        <v>1385</v>
      </c>
    </row>
    <row r="709" spans="1:23" ht="21" customHeight="1">
      <c r="A709" s="104" t="s">
        <v>169</v>
      </c>
      <c r="B709" s="104" t="s">
        <v>149</v>
      </c>
      <c r="C709" s="454" t="s">
        <v>150</v>
      </c>
      <c r="D709" s="105" t="s">
        <v>151</v>
      </c>
      <c r="E709" s="104" t="s">
        <v>31</v>
      </c>
      <c r="F709" s="104">
        <v>-999</v>
      </c>
      <c r="G709" s="106" t="s">
        <v>1075</v>
      </c>
      <c r="H709" s="104" t="s">
        <v>1076</v>
      </c>
      <c r="I709" s="104" t="s">
        <v>104</v>
      </c>
      <c r="J709" s="104" t="s">
        <v>105</v>
      </c>
      <c r="K709" s="104" t="s">
        <v>185</v>
      </c>
      <c r="L709" s="104" t="s">
        <v>997</v>
      </c>
      <c r="M709" s="104"/>
      <c r="N709" s="108" t="s">
        <v>17</v>
      </c>
      <c r="O709" s="104" t="s">
        <v>17</v>
      </c>
      <c r="P709" s="113">
        <v>3.22</v>
      </c>
      <c r="Q709" s="113">
        <v>3.29</v>
      </c>
      <c r="R709" s="104" t="s">
        <v>17</v>
      </c>
      <c r="S709" s="253">
        <f t="shared" si="12"/>
        <v>600.9039451517682</v>
      </c>
      <c r="T709" s="103" t="s">
        <v>1384</v>
      </c>
      <c r="U709" s="108">
        <v>0.98499999999999999</v>
      </c>
      <c r="V709" s="107">
        <v>16.5</v>
      </c>
      <c r="W709" s="414" t="s">
        <v>1385</v>
      </c>
    </row>
    <row r="710" spans="1:23" ht="21" customHeight="1">
      <c r="A710" s="104" t="s">
        <v>169</v>
      </c>
      <c r="B710" s="104" t="s">
        <v>149</v>
      </c>
      <c r="C710" s="454" t="s">
        <v>150</v>
      </c>
      <c r="D710" s="105" t="s">
        <v>151</v>
      </c>
      <c r="E710" s="104" t="s">
        <v>31</v>
      </c>
      <c r="F710" s="104">
        <v>-999</v>
      </c>
      <c r="G710" s="106" t="s">
        <v>1075</v>
      </c>
      <c r="H710" s="104" t="s">
        <v>1076</v>
      </c>
      <c r="I710" s="104" t="s">
        <v>104</v>
      </c>
      <c r="J710" s="104" t="s">
        <v>105</v>
      </c>
      <c r="K710" s="104" t="s">
        <v>185</v>
      </c>
      <c r="L710" s="104" t="s">
        <v>997</v>
      </c>
      <c r="M710" s="104"/>
      <c r="N710" s="108" t="s">
        <v>17</v>
      </c>
      <c r="O710" s="104" t="s">
        <v>17</v>
      </c>
      <c r="P710" s="113">
        <v>3.25</v>
      </c>
      <c r="Q710" s="113">
        <v>1.58</v>
      </c>
      <c r="R710" s="104" t="s">
        <v>17</v>
      </c>
      <c r="S710" s="253">
        <f t="shared" si="12"/>
        <v>618.32638493311447</v>
      </c>
      <c r="T710" s="103" t="s">
        <v>1384</v>
      </c>
      <c r="U710" s="108">
        <v>0.98499999999999999</v>
      </c>
      <c r="V710" s="107">
        <v>16.5</v>
      </c>
      <c r="W710" s="414" t="s">
        <v>1385</v>
      </c>
    </row>
    <row r="711" spans="1:23" ht="21" customHeight="1">
      <c r="A711" s="104" t="s">
        <v>169</v>
      </c>
      <c r="B711" s="104" t="s">
        <v>149</v>
      </c>
      <c r="C711" s="454" t="s">
        <v>150</v>
      </c>
      <c r="D711" s="105" t="s">
        <v>151</v>
      </c>
      <c r="E711" s="104" t="s">
        <v>31</v>
      </c>
      <c r="F711" s="104">
        <v>-999</v>
      </c>
      <c r="G711" s="106" t="s">
        <v>1075</v>
      </c>
      <c r="H711" s="104" t="s">
        <v>1076</v>
      </c>
      <c r="I711" s="104" t="s">
        <v>104</v>
      </c>
      <c r="J711" s="104" t="s">
        <v>105</v>
      </c>
      <c r="K711" s="104" t="s">
        <v>185</v>
      </c>
      <c r="L711" s="104" t="s">
        <v>997</v>
      </c>
      <c r="M711" s="104"/>
      <c r="N711" s="108" t="s">
        <v>17</v>
      </c>
      <c r="O711" s="104" t="s">
        <v>17</v>
      </c>
      <c r="P711" s="113">
        <v>3.2600000000000002</v>
      </c>
      <c r="Q711" s="113">
        <v>2.0840000000000001</v>
      </c>
      <c r="R711" s="104" t="s">
        <v>17</v>
      </c>
      <c r="S711" s="253">
        <f t="shared" si="12"/>
        <v>624.2089209693811</v>
      </c>
      <c r="T711" s="103" t="s">
        <v>1384</v>
      </c>
      <c r="U711" s="108">
        <v>0.98499999999999999</v>
      </c>
      <c r="V711" s="107">
        <v>16.5</v>
      </c>
      <c r="W711" s="414" t="s">
        <v>1385</v>
      </c>
    </row>
    <row r="712" spans="1:23" ht="21" customHeight="1">
      <c r="A712" s="104" t="s">
        <v>169</v>
      </c>
      <c r="B712" s="104" t="s">
        <v>149</v>
      </c>
      <c r="C712" s="454" t="s">
        <v>150</v>
      </c>
      <c r="D712" s="105" t="s">
        <v>151</v>
      </c>
      <c r="E712" s="104" t="s">
        <v>31</v>
      </c>
      <c r="F712" s="104">
        <v>-999</v>
      </c>
      <c r="G712" s="106" t="s">
        <v>1075</v>
      </c>
      <c r="H712" s="104" t="s">
        <v>1076</v>
      </c>
      <c r="I712" s="104" t="s">
        <v>104</v>
      </c>
      <c r="J712" s="104" t="s">
        <v>105</v>
      </c>
      <c r="K712" s="104" t="s">
        <v>185</v>
      </c>
      <c r="L712" s="104" t="s">
        <v>997</v>
      </c>
      <c r="M712" s="104"/>
      <c r="N712" s="108" t="s">
        <v>17</v>
      </c>
      <c r="O712" s="104" t="s">
        <v>17</v>
      </c>
      <c r="P712" s="113">
        <v>3.2610000000000001</v>
      </c>
      <c r="Q712" s="113">
        <v>2.8340000000000001</v>
      </c>
      <c r="R712" s="104" t="s">
        <v>17</v>
      </c>
      <c r="S712" s="253">
        <f t="shared" si="12"/>
        <v>624.79924808505609</v>
      </c>
      <c r="T712" s="103" t="s">
        <v>1384</v>
      </c>
      <c r="U712" s="108">
        <v>0.98499999999999999</v>
      </c>
      <c r="V712" s="107">
        <v>16.5</v>
      </c>
      <c r="W712" s="414" t="s">
        <v>1385</v>
      </c>
    </row>
    <row r="713" spans="1:23" ht="21" customHeight="1">
      <c r="A713" s="104" t="s">
        <v>169</v>
      </c>
      <c r="B713" s="104" t="s">
        <v>149</v>
      </c>
      <c r="C713" s="454" t="s">
        <v>150</v>
      </c>
      <c r="D713" s="105" t="s">
        <v>151</v>
      </c>
      <c r="E713" s="104" t="s">
        <v>31</v>
      </c>
      <c r="F713" s="104">
        <v>-999</v>
      </c>
      <c r="G713" s="106" t="s">
        <v>1075</v>
      </c>
      <c r="H713" s="104" t="s">
        <v>1076</v>
      </c>
      <c r="I713" s="104" t="s">
        <v>104</v>
      </c>
      <c r="J713" s="104" t="s">
        <v>105</v>
      </c>
      <c r="K713" s="104" t="s">
        <v>185</v>
      </c>
      <c r="L713" s="104" t="s">
        <v>997</v>
      </c>
      <c r="M713" s="104"/>
      <c r="N713" s="108" t="s">
        <v>17</v>
      </c>
      <c r="O713" s="104" t="s">
        <v>17</v>
      </c>
      <c r="P713" s="113">
        <v>3.2689999999999997</v>
      </c>
      <c r="Q713" s="113">
        <v>2.08</v>
      </c>
      <c r="R713" s="104" t="s">
        <v>17</v>
      </c>
      <c r="S713" s="253">
        <f t="shared" si="12"/>
        <v>629.53546582180581</v>
      </c>
      <c r="T713" s="103" t="s">
        <v>1384</v>
      </c>
      <c r="U713" s="108">
        <v>0.98499999999999999</v>
      </c>
      <c r="V713" s="107">
        <v>16.5</v>
      </c>
      <c r="W713" s="414" t="s">
        <v>1385</v>
      </c>
    </row>
    <row r="714" spans="1:23" ht="21" customHeight="1">
      <c r="A714" s="104" t="s">
        <v>169</v>
      </c>
      <c r="B714" s="104" t="s">
        <v>149</v>
      </c>
      <c r="C714" s="454" t="s">
        <v>150</v>
      </c>
      <c r="D714" s="105" t="s">
        <v>151</v>
      </c>
      <c r="E714" s="104" t="s">
        <v>31</v>
      </c>
      <c r="F714" s="104">
        <v>-999</v>
      </c>
      <c r="G714" s="106" t="s">
        <v>1075</v>
      </c>
      <c r="H714" s="104" t="s">
        <v>1076</v>
      </c>
      <c r="I714" s="104" t="s">
        <v>104</v>
      </c>
      <c r="J714" s="104" t="s">
        <v>105</v>
      </c>
      <c r="K714" s="104" t="s">
        <v>185</v>
      </c>
      <c r="L714" s="104" t="s">
        <v>997</v>
      </c>
      <c r="M714" s="104"/>
      <c r="N714" s="108" t="s">
        <v>17</v>
      </c>
      <c r="O714" s="104" t="s">
        <v>17</v>
      </c>
      <c r="P714" s="113">
        <v>3.3359999999999999</v>
      </c>
      <c r="Q714" s="113">
        <v>1.89</v>
      </c>
      <c r="R714" s="104" t="s">
        <v>17</v>
      </c>
      <c r="S714" s="253">
        <f t="shared" si="12"/>
        <v>670.15853888063066</v>
      </c>
      <c r="T714" s="103" t="s">
        <v>1384</v>
      </c>
      <c r="U714" s="108">
        <v>0.98499999999999999</v>
      </c>
      <c r="V714" s="107">
        <v>16.5</v>
      </c>
      <c r="W714" s="414" t="s">
        <v>1385</v>
      </c>
    </row>
    <row r="715" spans="1:23" ht="21" customHeight="1">
      <c r="A715" s="104" t="s">
        <v>169</v>
      </c>
      <c r="B715" s="104" t="s">
        <v>149</v>
      </c>
      <c r="C715" s="454" t="s">
        <v>150</v>
      </c>
      <c r="D715" s="105" t="s">
        <v>151</v>
      </c>
      <c r="E715" s="104" t="s">
        <v>31</v>
      </c>
      <c r="F715" s="104">
        <v>-999</v>
      </c>
      <c r="G715" s="106" t="s">
        <v>1075</v>
      </c>
      <c r="H715" s="104" t="s">
        <v>1076</v>
      </c>
      <c r="I715" s="104" t="s">
        <v>104</v>
      </c>
      <c r="J715" s="104" t="s">
        <v>105</v>
      </c>
      <c r="K715" s="104" t="s">
        <v>185</v>
      </c>
      <c r="L715" s="104" t="s">
        <v>997</v>
      </c>
      <c r="M715" s="104"/>
      <c r="N715" s="108" t="s">
        <v>17</v>
      </c>
      <c r="O715" s="104" t="s">
        <v>17</v>
      </c>
      <c r="P715" s="113">
        <v>3.38</v>
      </c>
      <c r="Q715" s="113">
        <v>2.9370000000000003</v>
      </c>
      <c r="R715" s="104" t="s">
        <v>17</v>
      </c>
      <c r="S715" s="253">
        <f t="shared" si="12"/>
        <v>697.77899271545994</v>
      </c>
      <c r="T715" s="103" t="s">
        <v>1384</v>
      </c>
      <c r="U715" s="108">
        <v>0.98499999999999999</v>
      </c>
      <c r="V715" s="107">
        <v>16.5</v>
      </c>
      <c r="W715" s="414" t="s">
        <v>1385</v>
      </c>
    </row>
    <row r="716" spans="1:23" ht="21" customHeight="1">
      <c r="A716" s="104" t="s">
        <v>169</v>
      </c>
      <c r="B716" s="104" t="s">
        <v>149</v>
      </c>
      <c r="C716" s="454" t="s">
        <v>150</v>
      </c>
      <c r="D716" s="105" t="s">
        <v>151</v>
      </c>
      <c r="E716" s="104" t="s">
        <v>31</v>
      </c>
      <c r="F716" s="104">
        <v>-999</v>
      </c>
      <c r="G716" s="106" t="s">
        <v>1075</v>
      </c>
      <c r="H716" s="104" t="s">
        <v>1076</v>
      </c>
      <c r="I716" s="104" t="s">
        <v>104</v>
      </c>
      <c r="J716" s="104" t="s">
        <v>105</v>
      </c>
      <c r="K716" s="104" t="s">
        <v>185</v>
      </c>
      <c r="L716" s="104" t="s">
        <v>997</v>
      </c>
      <c r="M716" s="104"/>
      <c r="N716" s="108" t="s">
        <v>17</v>
      </c>
      <c r="O716" s="104" t="s">
        <v>17</v>
      </c>
      <c r="P716" s="113">
        <v>3.4590000000000005</v>
      </c>
      <c r="Q716" s="113">
        <v>3.0510000000000002</v>
      </c>
      <c r="R716" s="104" t="s">
        <v>17</v>
      </c>
      <c r="S716" s="253">
        <f t="shared" si="12"/>
        <v>749.28453958418334</v>
      </c>
      <c r="T716" s="103" t="s">
        <v>1384</v>
      </c>
      <c r="U716" s="108">
        <v>0.98499999999999999</v>
      </c>
      <c r="V716" s="107">
        <v>16.5</v>
      </c>
      <c r="W716" s="414" t="s">
        <v>1385</v>
      </c>
    </row>
    <row r="717" spans="1:23" ht="21" customHeight="1">
      <c r="A717" s="104" t="s">
        <v>169</v>
      </c>
      <c r="B717" s="104" t="s">
        <v>149</v>
      </c>
      <c r="C717" s="454" t="s">
        <v>150</v>
      </c>
      <c r="D717" s="105" t="s">
        <v>151</v>
      </c>
      <c r="E717" s="104" t="s">
        <v>31</v>
      </c>
      <c r="F717" s="104">
        <v>-999</v>
      </c>
      <c r="G717" s="106" t="s">
        <v>1075</v>
      </c>
      <c r="H717" s="104" t="s">
        <v>1076</v>
      </c>
      <c r="I717" s="104" t="s">
        <v>104</v>
      </c>
      <c r="J717" s="104" t="s">
        <v>105</v>
      </c>
      <c r="K717" s="104" t="s">
        <v>185</v>
      </c>
      <c r="L717" s="104" t="s">
        <v>997</v>
      </c>
      <c r="M717" s="104"/>
      <c r="N717" s="108" t="s">
        <v>17</v>
      </c>
      <c r="O717" s="104" t="s">
        <v>17</v>
      </c>
      <c r="P717" s="113">
        <v>3.46</v>
      </c>
      <c r="Q717" s="113">
        <v>3.133</v>
      </c>
      <c r="R717" s="104" t="s">
        <v>17</v>
      </c>
      <c r="S717" s="253">
        <f t="shared" si="12"/>
        <v>749.95247801649214</v>
      </c>
      <c r="T717" s="103" t="s">
        <v>1384</v>
      </c>
      <c r="U717" s="108">
        <v>0.98499999999999999</v>
      </c>
      <c r="V717" s="107">
        <v>16.5</v>
      </c>
      <c r="W717" s="414" t="s">
        <v>1385</v>
      </c>
    </row>
    <row r="718" spans="1:23" ht="21" customHeight="1">
      <c r="A718" s="104" t="s">
        <v>169</v>
      </c>
      <c r="B718" s="104" t="s">
        <v>149</v>
      </c>
      <c r="C718" s="454" t="s">
        <v>150</v>
      </c>
      <c r="D718" s="105" t="s">
        <v>151</v>
      </c>
      <c r="E718" s="104" t="s">
        <v>31</v>
      </c>
      <c r="F718" s="104">
        <v>-999</v>
      </c>
      <c r="G718" s="106" t="s">
        <v>1075</v>
      </c>
      <c r="H718" s="104" t="s">
        <v>1076</v>
      </c>
      <c r="I718" s="104" t="s">
        <v>104</v>
      </c>
      <c r="J718" s="104" t="s">
        <v>105</v>
      </c>
      <c r="K718" s="104" t="s">
        <v>185</v>
      </c>
      <c r="L718" s="104" t="s">
        <v>997</v>
      </c>
      <c r="M718" s="104"/>
      <c r="N718" s="108" t="s">
        <v>17</v>
      </c>
      <c r="O718" s="104" t="s">
        <v>17</v>
      </c>
      <c r="P718" s="113">
        <v>3.5520000000000005</v>
      </c>
      <c r="Q718" s="113">
        <v>2.3780000000000001</v>
      </c>
      <c r="R718" s="104" t="s">
        <v>17</v>
      </c>
      <c r="S718" s="253">
        <f t="shared" si="12"/>
        <v>813.14183958872911</v>
      </c>
      <c r="T718" s="103" t="s">
        <v>1384</v>
      </c>
      <c r="U718" s="108">
        <v>0.98499999999999999</v>
      </c>
      <c r="V718" s="107">
        <v>16.5</v>
      </c>
      <c r="W718" s="414" t="s">
        <v>1385</v>
      </c>
    </row>
    <row r="719" spans="1:23" ht="21" customHeight="1">
      <c r="A719" s="104" t="s">
        <v>169</v>
      </c>
      <c r="B719" s="104" t="s">
        <v>149</v>
      </c>
      <c r="C719" s="454" t="s">
        <v>150</v>
      </c>
      <c r="D719" s="105" t="s">
        <v>151</v>
      </c>
      <c r="E719" s="104" t="s">
        <v>31</v>
      </c>
      <c r="F719" s="104">
        <v>-999</v>
      </c>
      <c r="G719" s="106" t="s">
        <v>1075</v>
      </c>
      <c r="H719" s="104" t="s">
        <v>1076</v>
      </c>
      <c r="I719" s="104" t="s">
        <v>104</v>
      </c>
      <c r="J719" s="104" t="s">
        <v>105</v>
      </c>
      <c r="K719" s="104" t="s">
        <v>185</v>
      </c>
      <c r="L719" s="104" t="s">
        <v>997</v>
      </c>
      <c r="M719" s="104"/>
      <c r="N719" s="108" t="s">
        <v>17</v>
      </c>
      <c r="O719" s="104" t="s">
        <v>17</v>
      </c>
      <c r="P719" s="113">
        <v>3.5529999999999999</v>
      </c>
      <c r="Q719" s="113">
        <v>3.0940000000000003</v>
      </c>
      <c r="R719" s="104" t="s">
        <v>17</v>
      </c>
      <c r="S719" s="253">
        <f t="shared" si="12"/>
        <v>813.84776783370808</v>
      </c>
      <c r="T719" s="103" t="s">
        <v>1384</v>
      </c>
      <c r="U719" s="108">
        <v>0.98499999999999999</v>
      </c>
      <c r="V719" s="107">
        <v>16.5</v>
      </c>
      <c r="W719" s="414" t="s">
        <v>1385</v>
      </c>
    </row>
    <row r="720" spans="1:23" ht="21" customHeight="1">
      <c r="A720" s="104" t="s">
        <v>218</v>
      </c>
      <c r="B720" s="104" t="s">
        <v>389</v>
      </c>
      <c r="C720" s="454" t="s">
        <v>390</v>
      </c>
      <c r="D720" s="105" t="s">
        <v>151</v>
      </c>
      <c r="E720" s="104">
        <v>31322</v>
      </c>
      <c r="F720" s="104">
        <v>1</v>
      </c>
      <c r="G720" s="106" t="s">
        <v>832</v>
      </c>
      <c r="H720" s="104" t="s">
        <v>833</v>
      </c>
      <c r="I720" s="104" t="s">
        <v>104</v>
      </c>
      <c r="J720" s="104" t="s">
        <v>105</v>
      </c>
      <c r="K720" s="104" t="s">
        <v>785</v>
      </c>
      <c r="L720" s="104" t="s">
        <v>786</v>
      </c>
      <c r="M720" s="104" t="s">
        <v>108</v>
      </c>
      <c r="N720" s="108"/>
      <c r="O720" s="104"/>
      <c r="P720" s="108">
        <v>5.38</v>
      </c>
      <c r="Q720" s="108">
        <v>2.7</v>
      </c>
      <c r="R720" s="104" t="s">
        <v>17</v>
      </c>
      <c r="S720" s="113">
        <v>348.63231471550483</v>
      </c>
      <c r="T720" s="104" t="s">
        <v>787</v>
      </c>
      <c r="U720" s="108">
        <v>0.95289999999999997</v>
      </c>
      <c r="V720" s="107">
        <v>20</v>
      </c>
      <c r="W720" s="106" t="s">
        <v>694</v>
      </c>
    </row>
    <row r="721" spans="1:23" ht="21" customHeight="1">
      <c r="A721" s="104" t="s">
        <v>273</v>
      </c>
      <c r="B721" s="104" t="s">
        <v>551</v>
      </c>
      <c r="C721" s="454" t="s">
        <v>552</v>
      </c>
      <c r="D721" s="105" t="s">
        <v>553</v>
      </c>
      <c r="E721" s="104" t="s">
        <v>185</v>
      </c>
      <c r="F721" s="104">
        <v>800</v>
      </c>
      <c r="G721" s="106" t="s">
        <v>1306</v>
      </c>
      <c r="H721" s="104"/>
      <c r="I721" s="104" t="s">
        <v>289</v>
      </c>
      <c r="J721" s="104" t="s">
        <v>105</v>
      </c>
      <c r="K721" s="104" t="s">
        <v>112</v>
      </c>
      <c r="L721" s="104" t="s">
        <v>663</v>
      </c>
      <c r="M721" s="104" t="s">
        <v>108</v>
      </c>
      <c r="N721" s="108" t="s">
        <v>17</v>
      </c>
      <c r="O721" s="104" t="s">
        <v>17</v>
      </c>
      <c r="P721" s="113">
        <v>0.80800000000000005</v>
      </c>
      <c r="Q721" s="113" t="s">
        <v>17</v>
      </c>
      <c r="R721" s="104" t="s">
        <v>17</v>
      </c>
      <c r="S721" s="253">
        <f>(10^((3.9287*LOG(P721*10))+-0.5516))/1000</f>
        <v>1.0312097559199065</v>
      </c>
      <c r="T721" s="104" t="s">
        <v>1292</v>
      </c>
      <c r="U721" s="108">
        <v>0.81</v>
      </c>
      <c r="V721" s="107"/>
      <c r="W721" s="114" t="s">
        <v>105</v>
      </c>
    </row>
    <row r="722" spans="1:23" ht="21" customHeight="1">
      <c r="A722" s="103" t="s">
        <v>601</v>
      </c>
      <c r="B722" s="103" t="s">
        <v>602</v>
      </c>
      <c r="C722" s="421" t="s">
        <v>603</v>
      </c>
      <c r="D722" s="105" t="s">
        <v>151</v>
      </c>
      <c r="E722" s="103">
        <v>1140</v>
      </c>
      <c r="F722" s="103">
        <v>1</v>
      </c>
      <c r="G722" s="103" t="s">
        <v>1524</v>
      </c>
      <c r="H722" s="103" t="s">
        <v>1525</v>
      </c>
      <c r="I722" s="104" t="s">
        <v>104</v>
      </c>
      <c r="J722" s="103" t="s">
        <v>105</v>
      </c>
      <c r="K722" s="103" t="s">
        <v>185</v>
      </c>
      <c r="L722" s="103" t="s">
        <v>186</v>
      </c>
      <c r="M722" s="103"/>
      <c r="N722" s="103"/>
      <c r="O722" s="103"/>
      <c r="P722" s="103">
        <v>23.7</v>
      </c>
      <c r="Q722" s="103">
        <v>11</v>
      </c>
      <c r="R722" s="103"/>
      <c r="S722" s="476"/>
      <c r="T722" s="103"/>
      <c r="U722" s="103"/>
      <c r="V722" s="103"/>
      <c r="W722" s="414"/>
    </row>
    <row r="723" spans="1:23" ht="21" customHeight="1">
      <c r="A723" s="103" t="s">
        <v>601</v>
      </c>
      <c r="B723" s="103" t="s">
        <v>602</v>
      </c>
      <c r="C723" s="421" t="s">
        <v>603</v>
      </c>
      <c r="D723" s="105" t="s">
        <v>151</v>
      </c>
      <c r="E723" s="103">
        <v>1140</v>
      </c>
      <c r="F723" s="103">
        <v>3</v>
      </c>
      <c r="G723" s="103" t="s">
        <v>1524</v>
      </c>
      <c r="H723" s="103" t="s">
        <v>1525</v>
      </c>
      <c r="I723" s="104" t="s">
        <v>104</v>
      </c>
      <c r="J723" s="103" t="s">
        <v>105</v>
      </c>
      <c r="K723" s="103" t="s">
        <v>185</v>
      </c>
      <c r="L723" s="103" t="s">
        <v>186</v>
      </c>
      <c r="M723" s="103"/>
      <c r="N723" s="103"/>
      <c r="O723" s="103"/>
      <c r="P723" s="103">
        <v>21.5</v>
      </c>
      <c r="Q723" s="103">
        <v>11.5</v>
      </c>
      <c r="R723" s="103"/>
      <c r="S723" s="476"/>
      <c r="T723" s="103"/>
      <c r="U723" s="103"/>
      <c r="V723" s="103"/>
      <c r="W723" s="414"/>
    </row>
    <row r="724" spans="1:23" ht="21" customHeight="1">
      <c r="A724" s="663" t="s">
        <v>218</v>
      </c>
      <c r="B724" s="663" t="s">
        <v>193</v>
      </c>
      <c r="C724" s="664" t="s">
        <v>460</v>
      </c>
      <c r="D724" s="665" t="s">
        <v>151</v>
      </c>
      <c r="E724" s="663">
        <v>43407</v>
      </c>
      <c r="F724" s="663">
        <v>37</v>
      </c>
      <c r="G724" s="666" t="s">
        <v>682</v>
      </c>
      <c r="H724" s="663" t="s">
        <v>135</v>
      </c>
      <c r="I724" s="663" t="s">
        <v>104</v>
      </c>
      <c r="J724" s="663" t="s">
        <v>3678</v>
      </c>
      <c r="K724" s="663" t="s">
        <v>158</v>
      </c>
      <c r="L724" s="663"/>
      <c r="M724" s="663" t="s">
        <v>114</v>
      </c>
      <c r="N724" s="667"/>
      <c r="O724" s="663"/>
      <c r="P724" s="670">
        <v>12.17</v>
      </c>
      <c r="Q724" s="670">
        <v>6.6</v>
      </c>
      <c r="R724" s="663"/>
      <c r="S724" s="668"/>
      <c r="T724" s="663"/>
      <c r="U724" s="667"/>
      <c r="V724" s="669"/>
      <c r="W724" s="671"/>
    </row>
    <row r="725" spans="1:23" ht="21" customHeight="1">
      <c r="A725" s="104" t="s">
        <v>218</v>
      </c>
      <c r="B725" s="104" t="s">
        <v>193</v>
      </c>
      <c r="C725" s="454" t="s">
        <v>681</v>
      </c>
      <c r="D725" s="105" t="s">
        <v>151</v>
      </c>
      <c r="E725" s="104">
        <v>43407</v>
      </c>
      <c r="F725" s="104">
        <v>39</v>
      </c>
      <c r="G725" s="106" t="s">
        <v>682</v>
      </c>
      <c r="H725" s="104" t="s">
        <v>135</v>
      </c>
      <c r="I725" s="104" t="s">
        <v>104</v>
      </c>
      <c r="J725" s="104" t="s">
        <v>105</v>
      </c>
      <c r="K725" s="104" t="s">
        <v>683</v>
      </c>
      <c r="L725" s="104" t="s">
        <v>684</v>
      </c>
      <c r="M725" s="104" t="s">
        <v>108</v>
      </c>
      <c r="N725" s="113" t="s">
        <v>17</v>
      </c>
      <c r="O725" s="104" t="s">
        <v>17</v>
      </c>
      <c r="P725" s="108">
        <v>1.7829999999999999</v>
      </c>
      <c r="Q725" s="108">
        <v>0.84499999999999997</v>
      </c>
      <c r="R725" s="104" t="s">
        <v>17</v>
      </c>
      <c r="S725" s="253">
        <f>(((10^(3.41*LOG((P725*10))+0.72))))/1000</f>
        <v>96.922828624257718</v>
      </c>
      <c r="T725" s="104" t="s">
        <v>685</v>
      </c>
      <c r="U725" s="108">
        <v>0.94</v>
      </c>
      <c r="V725" s="107">
        <v>40</v>
      </c>
      <c r="W725" s="106" t="s">
        <v>644</v>
      </c>
    </row>
    <row r="726" spans="1:23" ht="21" customHeight="1">
      <c r="A726" s="104" t="s">
        <v>218</v>
      </c>
      <c r="B726" s="104" t="s">
        <v>193</v>
      </c>
      <c r="C726" s="454" t="s">
        <v>681</v>
      </c>
      <c r="D726" s="105" t="s">
        <v>151</v>
      </c>
      <c r="E726" s="104">
        <v>43407</v>
      </c>
      <c r="F726" s="104">
        <v>38</v>
      </c>
      <c r="G726" s="106" t="s">
        <v>682</v>
      </c>
      <c r="H726" s="104" t="s">
        <v>135</v>
      </c>
      <c r="I726" s="104" t="s">
        <v>104</v>
      </c>
      <c r="J726" s="104" t="s">
        <v>105</v>
      </c>
      <c r="K726" s="104" t="s">
        <v>126</v>
      </c>
      <c r="L726" s="104" t="s">
        <v>636</v>
      </c>
      <c r="M726" s="104" t="s">
        <v>114</v>
      </c>
      <c r="N726" s="113" t="s">
        <v>17</v>
      </c>
      <c r="O726" s="104" t="s">
        <v>17</v>
      </c>
      <c r="P726" s="108">
        <v>2.7589999999999999</v>
      </c>
      <c r="Q726" s="108">
        <v>0.76500000000000001</v>
      </c>
      <c r="R726" s="104" t="s">
        <v>17</v>
      </c>
      <c r="S726" s="253">
        <f>(10^((3.35*LOG((P726*10))+0.35)))/1000</f>
        <v>150.14753150988361</v>
      </c>
      <c r="T726" s="104" t="s">
        <v>637</v>
      </c>
      <c r="U726" s="108">
        <v>0.93</v>
      </c>
      <c r="V726" s="107">
        <v>47.2</v>
      </c>
      <c r="W726" s="106" t="s">
        <v>638</v>
      </c>
    </row>
    <row r="727" spans="1:23" ht="21" customHeight="1">
      <c r="A727" s="104" t="s">
        <v>218</v>
      </c>
      <c r="B727" s="104" t="s">
        <v>202</v>
      </c>
      <c r="C727" s="454" t="s">
        <v>203</v>
      </c>
      <c r="D727" s="105" t="s">
        <v>204</v>
      </c>
      <c r="E727" s="104">
        <v>43407</v>
      </c>
      <c r="F727" s="104" t="s">
        <v>995</v>
      </c>
      <c r="G727" s="106" t="s">
        <v>682</v>
      </c>
      <c r="H727" s="104" t="s">
        <v>135</v>
      </c>
      <c r="I727" s="104" t="s">
        <v>104</v>
      </c>
      <c r="J727" s="104" t="s">
        <v>105</v>
      </c>
      <c r="K727" s="104" t="s">
        <v>174</v>
      </c>
      <c r="L727" s="104" t="s">
        <v>340</v>
      </c>
      <c r="M727" s="104"/>
      <c r="N727" s="108" t="s">
        <v>17</v>
      </c>
      <c r="O727" s="104" t="s">
        <v>17</v>
      </c>
      <c r="P727" s="113">
        <v>5.75</v>
      </c>
      <c r="Q727" s="113">
        <v>1.7899999999999998</v>
      </c>
      <c r="R727" s="104" t="s">
        <v>17</v>
      </c>
      <c r="S727" s="253">
        <f>(((((10^((3.19*LOG((P727*10))+0.51)))))))/1000</f>
        <v>1328.435352428764</v>
      </c>
      <c r="T727" s="104" t="s">
        <v>979</v>
      </c>
      <c r="U727" s="108">
        <v>0.89</v>
      </c>
      <c r="V727" s="107">
        <v>39.18</v>
      </c>
      <c r="W727" s="106" t="s">
        <v>980</v>
      </c>
    </row>
    <row r="728" spans="1:23" ht="21" customHeight="1">
      <c r="A728" s="104" t="s">
        <v>218</v>
      </c>
      <c r="B728" s="104" t="s">
        <v>221</v>
      </c>
      <c r="C728" s="454" t="s">
        <v>222</v>
      </c>
      <c r="D728" s="105" t="s">
        <v>151</v>
      </c>
      <c r="E728" s="104">
        <v>43407</v>
      </c>
      <c r="F728" s="104" t="s">
        <v>753</v>
      </c>
      <c r="G728" s="106" t="s">
        <v>682</v>
      </c>
      <c r="H728" s="104" t="s">
        <v>135</v>
      </c>
      <c r="I728" s="104" t="s">
        <v>104</v>
      </c>
      <c r="J728" s="104" t="s">
        <v>105</v>
      </c>
      <c r="K728" s="104" t="s">
        <v>112</v>
      </c>
      <c r="L728" s="104" t="s">
        <v>663</v>
      </c>
      <c r="M728" s="104" t="s">
        <v>108</v>
      </c>
      <c r="N728" s="108" t="s">
        <v>17</v>
      </c>
      <c r="O728" s="104" t="s">
        <v>17</v>
      </c>
      <c r="P728" s="108">
        <v>1.4330000000000001</v>
      </c>
      <c r="Q728" s="108">
        <v>0.86</v>
      </c>
      <c r="R728" s="104" t="s">
        <v>17</v>
      </c>
      <c r="S728" s="253">
        <f>(10^((3.334*LOG((P728))+1.27)))</f>
        <v>61.790939541531969</v>
      </c>
      <c r="T728" s="104" t="s">
        <v>1027</v>
      </c>
      <c r="U728" s="108">
        <v>0.93</v>
      </c>
      <c r="V728" s="107">
        <v>23.9</v>
      </c>
      <c r="W728" s="106" t="s">
        <v>1028</v>
      </c>
    </row>
    <row r="729" spans="1:23" ht="21" customHeight="1">
      <c r="A729" s="104" t="s">
        <v>218</v>
      </c>
      <c r="B729" s="104" t="s">
        <v>221</v>
      </c>
      <c r="C729" s="454" t="s">
        <v>222</v>
      </c>
      <c r="D729" s="105" t="s">
        <v>151</v>
      </c>
      <c r="E729" s="104">
        <v>43407</v>
      </c>
      <c r="F729" s="104">
        <v>71</v>
      </c>
      <c r="G729" s="106" t="s">
        <v>682</v>
      </c>
      <c r="H729" s="104" t="s">
        <v>135</v>
      </c>
      <c r="I729" s="104" t="s">
        <v>104</v>
      </c>
      <c r="J729" s="104" t="s">
        <v>105</v>
      </c>
      <c r="K729" s="104" t="s">
        <v>683</v>
      </c>
      <c r="L729" s="104" t="s">
        <v>728</v>
      </c>
      <c r="M729" s="104" t="s">
        <v>108</v>
      </c>
      <c r="N729" s="108" t="s">
        <v>17</v>
      </c>
      <c r="O729" s="104" t="s">
        <v>17</v>
      </c>
      <c r="P729" s="108">
        <v>1.583</v>
      </c>
      <c r="Q729" s="108">
        <v>0.93499999999999994</v>
      </c>
      <c r="R729" s="104" t="s">
        <v>17</v>
      </c>
      <c r="S729" s="253">
        <f>(((10^((3.334*LOG((P729))+1.27)))+(10^(3.106*LOG((P729))+1.119)))/2)</f>
        <v>70.444400973030071</v>
      </c>
      <c r="T729" s="104" t="s">
        <v>1084</v>
      </c>
      <c r="U729" s="108">
        <v>0.95</v>
      </c>
      <c r="V729" s="107">
        <v>23.9</v>
      </c>
      <c r="W729" s="106" t="s">
        <v>1028</v>
      </c>
    </row>
    <row r="730" spans="1:23" ht="21" customHeight="1">
      <c r="A730" s="104" t="s">
        <v>273</v>
      </c>
      <c r="B730" s="104" t="s">
        <v>74</v>
      </c>
      <c r="C730" s="454" t="s">
        <v>266</v>
      </c>
      <c r="D730" s="105" t="s">
        <v>282</v>
      </c>
      <c r="E730" s="104">
        <v>43407</v>
      </c>
      <c r="F730" s="104">
        <v>35</v>
      </c>
      <c r="G730" s="106" t="s">
        <v>682</v>
      </c>
      <c r="H730" s="111" t="s">
        <v>135</v>
      </c>
      <c r="I730" s="104" t="s">
        <v>104</v>
      </c>
      <c r="J730" s="104" t="s">
        <v>105</v>
      </c>
      <c r="K730" s="104" t="s">
        <v>112</v>
      </c>
      <c r="L730" s="104" t="s">
        <v>663</v>
      </c>
      <c r="M730" s="104" t="s">
        <v>114</v>
      </c>
      <c r="N730" s="108" t="s">
        <v>17</v>
      </c>
      <c r="O730" s="104" t="s">
        <v>17</v>
      </c>
      <c r="P730" s="108">
        <v>3.41</v>
      </c>
      <c r="Q730" s="108">
        <v>1.2789999999999999</v>
      </c>
      <c r="R730" s="104" t="s">
        <v>17</v>
      </c>
      <c r="S730" s="253">
        <v>57.67270619750996</v>
      </c>
      <c r="T730" s="104" t="s">
        <v>1167</v>
      </c>
      <c r="U730" s="108">
        <v>0.96</v>
      </c>
      <c r="V730" s="107">
        <v>12.4</v>
      </c>
      <c r="W730" s="114" t="s">
        <v>284</v>
      </c>
    </row>
    <row r="731" spans="1:23" ht="21" customHeight="1">
      <c r="A731" s="104" t="s">
        <v>273</v>
      </c>
      <c r="B731" s="104" t="s">
        <v>76</v>
      </c>
      <c r="C731" s="454" t="s">
        <v>524</v>
      </c>
      <c r="D731" s="105" t="s">
        <v>527</v>
      </c>
      <c r="E731" s="104">
        <v>43407</v>
      </c>
      <c r="F731" s="104">
        <v>31</v>
      </c>
      <c r="G731" s="106" t="s">
        <v>682</v>
      </c>
      <c r="H731" s="104" t="s">
        <v>135</v>
      </c>
      <c r="I731" s="104" t="s">
        <v>104</v>
      </c>
      <c r="J731" s="104" t="s">
        <v>105</v>
      </c>
      <c r="K731" s="104" t="s">
        <v>112</v>
      </c>
      <c r="L731" s="104" t="s">
        <v>663</v>
      </c>
      <c r="M731" s="104" t="s">
        <v>114</v>
      </c>
      <c r="N731" s="108" t="s">
        <v>17</v>
      </c>
      <c r="O731" s="104" t="s">
        <v>17</v>
      </c>
      <c r="P731" s="113">
        <v>2.2320000000000002</v>
      </c>
      <c r="Q731" s="113">
        <v>1.0390000000000001</v>
      </c>
      <c r="R731" s="104" t="s">
        <v>17</v>
      </c>
      <c r="S731" s="253">
        <f>10^(((LOG(P731*10))*3.05)+-2.15)</f>
        <v>91.94270575124078</v>
      </c>
      <c r="T731" s="104" t="s">
        <v>1271</v>
      </c>
      <c r="U731" s="108">
        <v>0.9</v>
      </c>
      <c r="V731" s="107">
        <v>28</v>
      </c>
      <c r="W731" s="114" t="s">
        <v>1272</v>
      </c>
    </row>
    <row r="732" spans="1:23" ht="21" customHeight="1">
      <c r="A732" s="104" t="s">
        <v>169</v>
      </c>
      <c r="B732" s="104" t="s">
        <v>246</v>
      </c>
      <c r="C732" s="454" t="s">
        <v>247</v>
      </c>
      <c r="D732" s="105" t="s">
        <v>248</v>
      </c>
      <c r="E732" s="104">
        <v>43407</v>
      </c>
      <c r="F732" s="104">
        <v>43</v>
      </c>
      <c r="G732" s="106" t="s">
        <v>682</v>
      </c>
      <c r="H732" s="104" t="s">
        <v>135</v>
      </c>
      <c r="I732" s="104" t="s">
        <v>104</v>
      </c>
      <c r="J732" s="104" t="s">
        <v>105</v>
      </c>
      <c r="K732" s="104" t="s">
        <v>1435</v>
      </c>
      <c r="L732" s="104" t="s">
        <v>1436</v>
      </c>
      <c r="M732" s="104" t="s">
        <v>108</v>
      </c>
      <c r="N732" s="108" t="s">
        <v>17</v>
      </c>
      <c r="O732" s="104" t="s">
        <v>17</v>
      </c>
      <c r="P732" s="113">
        <v>2.3159999999999998</v>
      </c>
      <c r="Q732" s="113">
        <v>1.5859999999999999</v>
      </c>
      <c r="R732" s="104" t="s">
        <v>17</v>
      </c>
      <c r="S732" s="253">
        <f>((10^((3.187*LOG((P732))+1.264))+(10^((3.01*LOG((P732))+1.216)))+(10^(((2.999*(LOG(P732)))+1.162)))))/3</f>
        <v>217.72763596066503</v>
      </c>
      <c r="T732" s="103" t="s">
        <v>1384</v>
      </c>
      <c r="U732" s="108">
        <v>0.98499999999999999</v>
      </c>
      <c r="V732" s="107">
        <v>16.5</v>
      </c>
      <c r="W732" s="414" t="s">
        <v>1388</v>
      </c>
    </row>
    <row r="733" spans="1:23" ht="21" customHeight="1">
      <c r="A733" s="104" t="s">
        <v>169</v>
      </c>
      <c r="B733" s="104" t="s">
        <v>246</v>
      </c>
      <c r="C733" s="454" t="s">
        <v>247</v>
      </c>
      <c r="D733" s="105" t="s">
        <v>248</v>
      </c>
      <c r="E733" s="104">
        <v>43407</v>
      </c>
      <c r="F733" s="104">
        <v>176</v>
      </c>
      <c r="G733" s="106" t="s">
        <v>682</v>
      </c>
      <c r="H733" s="104" t="s">
        <v>135</v>
      </c>
      <c r="I733" s="104" t="s">
        <v>104</v>
      </c>
      <c r="J733" s="104" t="s">
        <v>105</v>
      </c>
      <c r="K733" s="104" t="s">
        <v>126</v>
      </c>
      <c r="L733" s="104" t="s">
        <v>997</v>
      </c>
      <c r="M733" s="104" t="s">
        <v>108</v>
      </c>
      <c r="N733" s="108" t="s">
        <v>17</v>
      </c>
      <c r="O733" s="104" t="s">
        <v>17</v>
      </c>
      <c r="P733" s="113">
        <v>2.8929999999999998</v>
      </c>
      <c r="Q733" s="113">
        <v>2.1309999999999998</v>
      </c>
      <c r="R733" s="104" t="s">
        <v>17</v>
      </c>
      <c r="S733" s="253">
        <f>(10^((3.187*LOG((P733))+1.264)))</f>
        <v>542.39722387435756</v>
      </c>
      <c r="T733" s="103" t="s">
        <v>1387</v>
      </c>
      <c r="U733" s="108">
        <v>0.98499999999999999</v>
      </c>
      <c r="V733" s="107">
        <v>16.5</v>
      </c>
      <c r="W733" s="414" t="s">
        <v>1385</v>
      </c>
    </row>
    <row r="734" spans="1:23" ht="21" customHeight="1">
      <c r="A734" s="104" t="s">
        <v>218</v>
      </c>
      <c r="B734" s="104" t="s">
        <v>389</v>
      </c>
      <c r="C734" s="454" t="s">
        <v>390</v>
      </c>
      <c r="D734" s="105" t="s">
        <v>151</v>
      </c>
      <c r="E734" s="104">
        <v>43192</v>
      </c>
      <c r="F734" s="104">
        <v>26</v>
      </c>
      <c r="G734" s="106" t="s">
        <v>853</v>
      </c>
      <c r="H734" s="104" t="s">
        <v>205</v>
      </c>
      <c r="I734" s="104" t="s">
        <v>104</v>
      </c>
      <c r="J734" s="104" t="s">
        <v>105</v>
      </c>
      <c r="K734" s="104" t="s">
        <v>126</v>
      </c>
      <c r="L734" s="104" t="s">
        <v>636</v>
      </c>
      <c r="M734" s="104" t="s">
        <v>114</v>
      </c>
      <c r="N734" s="108"/>
      <c r="O734" s="104"/>
      <c r="P734" s="108">
        <v>3.8890000000000002</v>
      </c>
      <c r="Q734" s="108">
        <v>1.236</v>
      </c>
      <c r="R734" s="104" t="s">
        <v>17</v>
      </c>
      <c r="S734" s="113">
        <f>10^(((LOG(P734))*3.236)+0.745)</f>
        <v>450.52156494830444</v>
      </c>
      <c r="T734" s="104" t="s">
        <v>717</v>
      </c>
      <c r="U734" s="108">
        <v>0.92900000000000005</v>
      </c>
      <c r="V734" s="107">
        <v>33.299999999999997</v>
      </c>
      <c r="W734" s="106" t="s">
        <v>700</v>
      </c>
    </row>
    <row r="735" spans="1:23" ht="21" customHeight="1">
      <c r="A735" s="104" t="s">
        <v>218</v>
      </c>
      <c r="B735" s="104" t="s">
        <v>389</v>
      </c>
      <c r="C735" s="454" t="s">
        <v>390</v>
      </c>
      <c r="D735" s="105" t="s">
        <v>151</v>
      </c>
      <c r="E735" s="104">
        <v>43192</v>
      </c>
      <c r="F735" s="104">
        <v>4</v>
      </c>
      <c r="G735" s="106" t="s">
        <v>853</v>
      </c>
      <c r="H735" s="104" t="s">
        <v>205</v>
      </c>
      <c r="I735" s="104" t="s">
        <v>104</v>
      </c>
      <c r="J735" s="104" t="s">
        <v>105</v>
      </c>
      <c r="K735" s="104" t="s">
        <v>126</v>
      </c>
      <c r="L735" s="104" t="s">
        <v>636</v>
      </c>
      <c r="M735" s="104" t="s">
        <v>114</v>
      </c>
      <c r="N735" s="108"/>
      <c r="O735" s="104"/>
      <c r="P735" s="108">
        <v>4.3369999999999997</v>
      </c>
      <c r="Q735" s="108">
        <v>1.9</v>
      </c>
      <c r="R735" s="104" t="s">
        <v>17</v>
      </c>
      <c r="S735" s="113">
        <f>10^(((LOG(P735))*3.236)+0.745)</f>
        <v>641.12833336896256</v>
      </c>
      <c r="T735" s="104" t="s">
        <v>717</v>
      </c>
      <c r="U735" s="108">
        <v>0.92900000000000005</v>
      </c>
      <c r="V735" s="107">
        <v>33.299999999999997</v>
      </c>
      <c r="W735" s="106" t="s">
        <v>700</v>
      </c>
    </row>
    <row r="736" spans="1:23" ht="21" customHeight="1">
      <c r="A736" s="104" t="s">
        <v>218</v>
      </c>
      <c r="B736" s="104" t="s">
        <v>221</v>
      </c>
      <c r="C736" s="454" t="s">
        <v>222</v>
      </c>
      <c r="D736" s="105" t="s">
        <v>151</v>
      </c>
      <c r="E736" s="104">
        <v>43192</v>
      </c>
      <c r="F736" s="104">
        <v>1</v>
      </c>
      <c r="G736" s="106" t="s">
        <v>853</v>
      </c>
      <c r="H736" s="104"/>
      <c r="I736" s="104" t="s">
        <v>104</v>
      </c>
      <c r="J736" s="104" t="s">
        <v>105</v>
      </c>
      <c r="K736" s="104" t="s">
        <v>209</v>
      </c>
      <c r="L736" s="104" t="s">
        <v>684</v>
      </c>
      <c r="M736" s="104" t="s">
        <v>114</v>
      </c>
      <c r="N736" s="108" t="s">
        <v>17</v>
      </c>
      <c r="O736" s="104" t="s">
        <v>17</v>
      </c>
      <c r="P736" s="108">
        <v>1.6800000000000002</v>
      </c>
      <c r="Q736" s="108">
        <v>0.92100000000000004</v>
      </c>
      <c r="R736" s="104" t="s">
        <v>17</v>
      </c>
      <c r="S736" s="253">
        <f>(10^((3.106*LOG((P736))+1.119)))</f>
        <v>65.888652990375689</v>
      </c>
      <c r="T736" s="104" t="s">
        <v>1044</v>
      </c>
      <c r="U736" s="108">
        <v>0.95099999999999996</v>
      </c>
      <c r="V736" s="107">
        <v>20.399999999999999</v>
      </c>
      <c r="W736" s="106" t="s">
        <v>1028</v>
      </c>
    </row>
    <row r="737" spans="1:23" ht="21" customHeight="1">
      <c r="A737" s="104" t="s">
        <v>218</v>
      </c>
      <c r="B737" s="104" t="s">
        <v>193</v>
      </c>
      <c r="C737" s="454" t="s">
        <v>460</v>
      </c>
      <c r="D737" s="105" t="s">
        <v>461</v>
      </c>
      <c r="E737" s="104">
        <v>30967</v>
      </c>
      <c r="F737" s="104">
        <v>1323</v>
      </c>
      <c r="G737" s="106" t="s">
        <v>110</v>
      </c>
      <c r="H737" s="104" t="s">
        <v>111</v>
      </c>
      <c r="I737" s="104" t="s">
        <v>104</v>
      </c>
      <c r="J737" s="104" t="s">
        <v>256</v>
      </c>
      <c r="K737" s="104" t="s">
        <v>126</v>
      </c>
      <c r="L737" s="104" t="s">
        <v>636</v>
      </c>
      <c r="M737" s="104" t="s">
        <v>108</v>
      </c>
      <c r="N737" s="113"/>
      <c r="O737" s="104"/>
      <c r="P737" s="108">
        <v>1.5</v>
      </c>
      <c r="Q737" s="108"/>
      <c r="R737" s="104"/>
      <c r="S737" s="253">
        <f>(10^((3.35*LOG((P737*10))+0.35)))/1000</f>
        <v>19.494213486652647</v>
      </c>
      <c r="T737" s="104" t="s">
        <v>637</v>
      </c>
      <c r="U737" s="108">
        <v>0.93</v>
      </c>
      <c r="V737" s="107">
        <v>47.2</v>
      </c>
      <c r="W737" s="106" t="s">
        <v>638</v>
      </c>
    </row>
    <row r="738" spans="1:23" ht="21" customHeight="1">
      <c r="A738" s="416" t="s">
        <v>218</v>
      </c>
      <c r="B738" s="416" t="s">
        <v>193</v>
      </c>
      <c r="C738" s="455" t="s">
        <v>688</v>
      </c>
      <c r="D738" s="105" t="s">
        <v>151</v>
      </c>
      <c r="E738" s="416">
        <v>30967</v>
      </c>
      <c r="F738" s="416" t="s">
        <v>689</v>
      </c>
      <c r="G738" s="456" t="s">
        <v>110</v>
      </c>
      <c r="H738" s="416" t="s">
        <v>111</v>
      </c>
      <c r="I738" s="104" t="s">
        <v>104</v>
      </c>
      <c r="J738" s="416" t="s">
        <v>256</v>
      </c>
      <c r="K738" s="416" t="s">
        <v>155</v>
      </c>
      <c r="L738" s="416" t="s">
        <v>658</v>
      </c>
      <c r="M738" s="416" t="s">
        <v>114</v>
      </c>
      <c r="N738" s="457" t="s">
        <v>17</v>
      </c>
      <c r="O738" s="416" t="s">
        <v>17</v>
      </c>
      <c r="P738" s="458">
        <v>1.38</v>
      </c>
      <c r="Q738" s="458"/>
      <c r="R738" s="416" t="s">
        <v>17</v>
      </c>
      <c r="S738" s="459">
        <f>(10^((3.21*LOG((P738*10))+1.07)))/1000</f>
        <v>53.581129866702021</v>
      </c>
      <c r="T738" s="416" t="s">
        <v>659</v>
      </c>
      <c r="U738" s="458">
        <v>0.96</v>
      </c>
      <c r="V738" s="460">
        <v>35.1</v>
      </c>
      <c r="W738" s="456" t="s">
        <v>644</v>
      </c>
    </row>
    <row r="739" spans="1:23" ht="21" customHeight="1">
      <c r="A739" s="104" t="s">
        <v>218</v>
      </c>
      <c r="B739" s="104" t="s">
        <v>389</v>
      </c>
      <c r="C739" s="454" t="s">
        <v>390</v>
      </c>
      <c r="D739" s="105" t="s">
        <v>391</v>
      </c>
      <c r="E739" s="104">
        <v>30967</v>
      </c>
      <c r="F739" s="104">
        <v>1781</v>
      </c>
      <c r="G739" s="106" t="s">
        <v>110</v>
      </c>
      <c r="H739" s="104" t="s">
        <v>111</v>
      </c>
      <c r="I739" s="104" t="s">
        <v>104</v>
      </c>
      <c r="J739" s="104" t="s">
        <v>256</v>
      </c>
      <c r="K739" s="104" t="s">
        <v>710</v>
      </c>
      <c r="L739" s="104" t="s">
        <v>711</v>
      </c>
      <c r="M739" s="104" t="s">
        <v>114</v>
      </c>
      <c r="N739" s="108"/>
      <c r="O739" s="104"/>
      <c r="P739" s="108">
        <v>35.299999999999997</v>
      </c>
      <c r="Q739" s="108" t="s">
        <v>17</v>
      </c>
      <c r="R739" s="104" t="s">
        <v>17</v>
      </c>
      <c r="S739" s="113">
        <f>10^((LOG(P739)*3.3633)+-2.4637)</f>
        <v>551.98930937068224</v>
      </c>
      <c r="T739" s="104" t="s">
        <v>712</v>
      </c>
      <c r="U739" s="108">
        <v>0.93</v>
      </c>
      <c r="V739" s="107">
        <v>24</v>
      </c>
      <c r="W739" s="106" t="s">
        <v>713</v>
      </c>
    </row>
    <row r="740" spans="1:23" ht="21" customHeight="1">
      <c r="A740" s="104" t="s">
        <v>218</v>
      </c>
      <c r="B740" s="104" t="s">
        <v>389</v>
      </c>
      <c r="C740" s="454" t="s">
        <v>390</v>
      </c>
      <c r="D740" s="105" t="s">
        <v>391</v>
      </c>
      <c r="E740" s="104">
        <v>30967</v>
      </c>
      <c r="F740" s="104">
        <v>1230</v>
      </c>
      <c r="G740" s="106" t="s">
        <v>110</v>
      </c>
      <c r="H740" s="104" t="s">
        <v>111</v>
      </c>
      <c r="I740" s="104" t="s">
        <v>104</v>
      </c>
      <c r="J740" s="104" t="s">
        <v>105</v>
      </c>
      <c r="K740" s="106" t="s">
        <v>143</v>
      </c>
      <c r="L740" s="104" t="s">
        <v>708</v>
      </c>
      <c r="M740" s="104" t="s">
        <v>108</v>
      </c>
      <c r="N740" s="108"/>
      <c r="O740" s="104"/>
      <c r="P740" s="108">
        <v>3.2479999999999998</v>
      </c>
      <c r="Q740" s="108">
        <v>3.0579999999999998</v>
      </c>
      <c r="R740" s="104" t="s">
        <v>17</v>
      </c>
      <c r="S740" s="113">
        <f>((10^((3.395*LOG((P740))+1.061))))</f>
        <v>627.96637520858667</v>
      </c>
      <c r="T740" s="104" t="s">
        <v>709</v>
      </c>
      <c r="U740" s="108">
        <v>0.91200000000000003</v>
      </c>
      <c r="V740" s="107">
        <v>36.5</v>
      </c>
      <c r="W740" s="106" t="s">
        <v>700</v>
      </c>
    </row>
    <row r="741" spans="1:23" ht="21" customHeight="1">
      <c r="A741" s="104" t="s">
        <v>218</v>
      </c>
      <c r="B741" s="104" t="s">
        <v>389</v>
      </c>
      <c r="C741" s="454" t="s">
        <v>390</v>
      </c>
      <c r="D741" s="105" t="s">
        <v>391</v>
      </c>
      <c r="E741" s="104">
        <v>30967</v>
      </c>
      <c r="F741" s="104">
        <v>329</v>
      </c>
      <c r="G741" s="106" t="s">
        <v>110</v>
      </c>
      <c r="H741" s="104" t="s">
        <v>111</v>
      </c>
      <c r="I741" s="104" t="s">
        <v>104</v>
      </c>
      <c r="J741" s="104" t="s">
        <v>256</v>
      </c>
      <c r="K741" s="104" t="s">
        <v>710</v>
      </c>
      <c r="L741" s="104" t="s">
        <v>711</v>
      </c>
      <c r="M741" s="104" t="s">
        <v>114</v>
      </c>
      <c r="N741" s="108"/>
      <c r="O741" s="104"/>
      <c r="P741" s="108">
        <v>36.799999999999997</v>
      </c>
      <c r="Q741" s="108"/>
      <c r="R741" s="104"/>
      <c r="S741" s="113">
        <f>10^((LOG(P741)*3.3633)+-2.4637)</f>
        <v>634.91555707600162</v>
      </c>
      <c r="T741" s="104" t="s">
        <v>712</v>
      </c>
      <c r="U741" s="108">
        <v>0.93</v>
      </c>
      <c r="V741" s="107">
        <v>24</v>
      </c>
      <c r="W741" s="106" t="s">
        <v>713</v>
      </c>
    </row>
    <row r="742" spans="1:23" ht="21" customHeight="1">
      <c r="A742" s="104" t="s">
        <v>218</v>
      </c>
      <c r="B742" s="104" t="s">
        <v>389</v>
      </c>
      <c r="C742" s="454" t="s">
        <v>390</v>
      </c>
      <c r="D742" s="105" t="s">
        <v>391</v>
      </c>
      <c r="E742" s="104">
        <v>30967</v>
      </c>
      <c r="F742" s="104">
        <v>97</v>
      </c>
      <c r="G742" s="106" t="s">
        <v>110</v>
      </c>
      <c r="H742" s="104" t="s">
        <v>111</v>
      </c>
      <c r="I742" s="104" t="s">
        <v>104</v>
      </c>
      <c r="J742" s="104" t="s">
        <v>256</v>
      </c>
      <c r="K742" s="104" t="s">
        <v>710</v>
      </c>
      <c r="L742" s="104" t="s">
        <v>711</v>
      </c>
      <c r="M742" s="104" t="s">
        <v>114</v>
      </c>
      <c r="N742" s="108"/>
      <c r="O742" s="104">
        <v>21.5</v>
      </c>
      <c r="P742" s="108">
        <v>37</v>
      </c>
      <c r="Q742" s="108" t="s">
        <v>17</v>
      </c>
      <c r="R742" s="104" t="s">
        <v>17</v>
      </c>
      <c r="S742" s="113">
        <f>10^((LOG(P742)*3.3633)+-2.4637)</f>
        <v>646.59576911319061</v>
      </c>
      <c r="T742" s="104" t="s">
        <v>712</v>
      </c>
      <c r="U742" s="108">
        <v>0.93</v>
      </c>
      <c r="V742" s="107">
        <v>24</v>
      </c>
      <c r="W742" s="106" t="s">
        <v>713</v>
      </c>
    </row>
    <row r="743" spans="1:23" ht="21" customHeight="1">
      <c r="A743" s="104" t="s">
        <v>218</v>
      </c>
      <c r="B743" s="104" t="s">
        <v>389</v>
      </c>
      <c r="C743" s="454" t="s">
        <v>390</v>
      </c>
      <c r="D743" s="105" t="s">
        <v>391</v>
      </c>
      <c r="E743" s="104">
        <v>30967</v>
      </c>
      <c r="F743" s="104">
        <v>778</v>
      </c>
      <c r="G743" s="106" t="s">
        <v>110</v>
      </c>
      <c r="H743" s="104" t="s">
        <v>111</v>
      </c>
      <c r="I743" s="104" t="s">
        <v>104</v>
      </c>
      <c r="J743" s="104" t="s">
        <v>256</v>
      </c>
      <c r="K743" s="104" t="s">
        <v>126</v>
      </c>
      <c r="L743" s="104" t="s">
        <v>684</v>
      </c>
      <c r="M743" s="104" t="s">
        <v>114</v>
      </c>
      <c r="N743" s="108"/>
      <c r="O743" s="104"/>
      <c r="P743" s="108">
        <v>4.55</v>
      </c>
      <c r="Q743" s="108"/>
      <c r="R743" s="104"/>
      <c r="S743" s="113">
        <f>10^(((LOG(P743))*3.236)+0.745)</f>
        <v>748.72938773436158</v>
      </c>
      <c r="T743" s="104" t="s">
        <v>717</v>
      </c>
      <c r="U743" s="108">
        <v>0.92900000000000005</v>
      </c>
      <c r="V743" s="107">
        <v>33.299999999999997</v>
      </c>
      <c r="W743" s="106" t="s">
        <v>700</v>
      </c>
    </row>
    <row r="744" spans="1:23" ht="21" customHeight="1">
      <c r="A744" s="104" t="s">
        <v>218</v>
      </c>
      <c r="B744" s="104" t="s">
        <v>389</v>
      </c>
      <c r="C744" s="454" t="s">
        <v>390</v>
      </c>
      <c r="D744" s="105" t="s">
        <v>391</v>
      </c>
      <c r="E744" s="104">
        <v>30967</v>
      </c>
      <c r="F744" s="104">
        <v>408</v>
      </c>
      <c r="G744" s="106" t="s">
        <v>110</v>
      </c>
      <c r="H744" s="104" t="s">
        <v>111</v>
      </c>
      <c r="I744" s="104" t="s">
        <v>104</v>
      </c>
      <c r="J744" s="104" t="s">
        <v>256</v>
      </c>
      <c r="K744" s="104" t="s">
        <v>126</v>
      </c>
      <c r="L744" s="104" t="s">
        <v>636</v>
      </c>
      <c r="M744" s="104" t="s">
        <v>108</v>
      </c>
      <c r="N744" s="108"/>
      <c r="O744" s="104"/>
      <c r="P744" s="108">
        <v>4.78</v>
      </c>
      <c r="Q744" s="108"/>
      <c r="R744" s="104"/>
      <c r="S744" s="113">
        <f>10^(((LOG(P744))*3.236)+0.745)</f>
        <v>878.27126411225845</v>
      </c>
      <c r="T744" s="104" t="s">
        <v>717</v>
      </c>
      <c r="U744" s="108">
        <v>0.92900000000000005</v>
      </c>
      <c r="V744" s="107">
        <v>33.299999999999997</v>
      </c>
      <c r="W744" s="106" t="s">
        <v>726</v>
      </c>
    </row>
    <row r="745" spans="1:23" ht="21" customHeight="1">
      <c r="A745" s="104" t="s">
        <v>218</v>
      </c>
      <c r="B745" s="104" t="s">
        <v>389</v>
      </c>
      <c r="C745" s="454" t="s">
        <v>390</v>
      </c>
      <c r="D745" s="105" t="s">
        <v>391</v>
      </c>
      <c r="E745" s="104">
        <v>30967</v>
      </c>
      <c r="F745" s="104">
        <v>1055</v>
      </c>
      <c r="G745" s="106" t="s">
        <v>110</v>
      </c>
      <c r="H745" s="104" t="s">
        <v>111</v>
      </c>
      <c r="I745" s="104" t="s">
        <v>104</v>
      </c>
      <c r="J745" s="104" t="s">
        <v>256</v>
      </c>
      <c r="K745" s="104" t="s">
        <v>126</v>
      </c>
      <c r="L745" s="104" t="s">
        <v>636</v>
      </c>
      <c r="M745" s="104" t="s">
        <v>108</v>
      </c>
      <c r="N745" s="108"/>
      <c r="O745" s="104"/>
      <c r="P745" s="108">
        <v>4.9000000000000004</v>
      </c>
      <c r="Q745" s="108"/>
      <c r="R745" s="104"/>
      <c r="S745" s="113">
        <f>10^(((LOG(P745))*3.236)+0.745)</f>
        <v>951.64400262926767</v>
      </c>
      <c r="T745" s="104" t="s">
        <v>717</v>
      </c>
      <c r="U745" s="108">
        <v>0.92900000000000005</v>
      </c>
      <c r="V745" s="107">
        <v>33.299999999999997</v>
      </c>
      <c r="W745" s="106" t="s">
        <v>726</v>
      </c>
    </row>
    <row r="746" spans="1:23" ht="21" customHeight="1">
      <c r="A746" s="104" t="s">
        <v>218</v>
      </c>
      <c r="B746" s="104" t="s">
        <v>389</v>
      </c>
      <c r="C746" s="454" t="s">
        <v>390</v>
      </c>
      <c r="D746" s="105" t="s">
        <v>391</v>
      </c>
      <c r="E746" s="104">
        <v>30967</v>
      </c>
      <c r="F746" s="104">
        <v>1128</v>
      </c>
      <c r="G746" s="106" t="s">
        <v>110</v>
      </c>
      <c r="H746" s="104" t="s">
        <v>111</v>
      </c>
      <c r="I746" s="104" t="s">
        <v>104</v>
      </c>
      <c r="J746" s="104" t="s">
        <v>256</v>
      </c>
      <c r="K746" s="104" t="s">
        <v>126</v>
      </c>
      <c r="L746" s="104" t="s">
        <v>636</v>
      </c>
      <c r="M746" s="104" t="s">
        <v>108</v>
      </c>
      <c r="N746" s="108"/>
      <c r="O746" s="104"/>
      <c r="P746" s="108">
        <v>4.95</v>
      </c>
      <c r="Q746" s="108"/>
      <c r="R746" s="104"/>
      <c r="S746" s="113">
        <f>10^(((LOG(P746))*3.236)+0.745)</f>
        <v>983.42767043067386</v>
      </c>
      <c r="T746" s="104" t="s">
        <v>717</v>
      </c>
      <c r="U746" s="108">
        <v>0.92900000000000005</v>
      </c>
      <c r="V746" s="107">
        <v>33.299999999999997</v>
      </c>
      <c r="W746" s="106" t="s">
        <v>726</v>
      </c>
    </row>
    <row r="747" spans="1:23" ht="21" customHeight="1">
      <c r="A747" s="104" t="s">
        <v>218</v>
      </c>
      <c r="B747" s="104" t="s">
        <v>202</v>
      </c>
      <c r="C747" s="454" t="s">
        <v>203</v>
      </c>
      <c r="D747" s="105" t="s">
        <v>204</v>
      </c>
      <c r="E747" s="104">
        <v>30967</v>
      </c>
      <c r="F747" s="104">
        <v>1599</v>
      </c>
      <c r="G747" s="106" t="s">
        <v>110</v>
      </c>
      <c r="H747" s="104" t="s">
        <v>111</v>
      </c>
      <c r="I747" s="104" t="s">
        <v>104</v>
      </c>
      <c r="J747" s="104" t="s">
        <v>256</v>
      </c>
      <c r="K747" s="104" t="s">
        <v>290</v>
      </c>
      <c r="L747" s="104" t="s">
        <v>973</v>
      </c>
      <c r="M747" s="104" t="s">
        <v>114</v>
      </c>
      <c r="N747" s="108"/>
      <c r="O747" s="104" t="s">
        <v>17</v>
      </c>
      <c r="P747" s="113">
        <v>50.4</v>
      </c>
      <c r="Q747" s="113">
        <v>25</v>
      </c>
      <c r="R747" s="104" t="s">
        <v>17</v>
      </c>
      <c r="S747" s="253">
        <f>(10^((2.975*LOG((P747))+-2.344)))</f>
        <v>525.69136810398993</v>
      </c>
      <c r="T747" s="104" t="s">
        <v>974</v>
      </c>
      <c r="U747" s="108">
        <v>0.95</v>
      </c>
      <c r="V747" s="107">
        <v>30.5</v>
      </c>
      <c r="W747" s="106" t="s">
        <v>975</v>
      </c>
    </row>
    <row r="748" spans="1:23" ht="21" customHeight="1">
      <c r="A748" s="104" t="s">
        <v>218</v>
      </c>
      <c r="B748" s="104" t="s">
        <v>202</v>
      </c>
      <c r="C748" s="454" t="s">
        <v>203</v>
      </c>
      <c r="D748" s="105" t="s">
        <v>204</v>
      </c>
      <c r="E748" s="104">
        <v>30967</v>
      </c>
      <c r="F748" s="104">
        <v>1122</v>
      </c>
      <c r="G748" s="106" t="s">
        <v>110</v>
      </c>
      <c r="H748" s="104" t="s">
        <v>111</v>
      </c>
      <c r="I748" s="104" t="s">
        <v>104</v>
      </c>
      <c r="J748" s="104" t="s">
        <v>105</v>
      </c>
      <c r="K748" s="104" t="s">
        <v>112</v>
      </c>
      <c r="L748" s="104" t="s">
        <v>663</v>
      </c>
      <c r="M748" s="104" t="s">
        <v>108</v>
      </c>
      <c r="N748" s="108" t="s">
        <v>17</v>
      </c>
      <c r="O748" s="104" t="s">
        <v>17</v>
      </c>
      <c r="P748" s="113">
        <v>2.9170000000000003</v>
      </c>
      <c r="Q748" s="113">
        <v>1.9129999999999998</v>
      </c>
      <c r="R748" s="104" t="s">
        <v>17</v>
      </c>
      <c r="S748" s="253">
        <f>(10^((3.263*LOG((P748))+1.337)))</f>
        <v>714.64040684403756</v>
      </c>
      <c r="T748" s="104" t="s">
        <v>977</v>
      </c>
      <c r="U748" s="108">
        <v>0.93300000000000005</v>
      </c>
      <c r="V748" s="107">
        <v>34.6</v>
      </c>
      <c r="W748" s="106" t="s">
        <v>978</v>
      </c>
    </row>
    <row r="749" spans="1:23" ht="21" customHeight="1">
      <c r="A749" s="104" t="s">
        <v>218</v>
      </c>
      <c r="B749" s="104" t="s">
        <v>202</v>
      </c>
      <c r="C749" s="454" t="s">
        <v>203</v>
      </c>
      <c r="D749" s="105" t="s">
        <v>204</v>
      </c>
      <c r="E749" s="104">
        <v>30967</v>
      </c>
      <c r="F749" s="104">
        <v>915</v>
      </c>
      <c r="G749" s="106" t="s">
        <v>110</v>
      </c>
      <c r="H749" s="104" t="s">
        <v>111</v>
      </c>
      <c r="I749" s="104" t="s">
        <v>104</v>
      </c>
      <c r="J749" s="104" t="s">
        <v>105</v>
      </c>
      <c r="K749" s="104" t="s">
        <v>143</v>
      </c>
      <c r="L749" s="104" t="s">
        <v>708</v>
      </c>
      <c r="M749" s="104" t="s">
        <v>114</v>
      </c>
      <c r="N749" s="108" t="s">
        <v>17</v>
      </c>
      <c r="O749" s="104" t="s">
        <v>17</v>
      </c>
      <c r="P749" s="113">
        <v>3.6840000000000002</v>
      </c>
      <c r="Q749" s="113">
        <v>3.3299999999999996</v>
      </c>
      <c r="R749" s="104" t="s">
        <v>17</v>
      </c>
      <c r="S749" s="253">
        <f>((10^((3.184*LOG((P749))+1.091))))</f>
        <v>783.72134464322733</v>
      </c>
      <c r="T749" s="104" t="s">
        <v>976</v>
      </c>
      <c r="U749" s="108">
        <v>0.93200000000000005</v>
      </c>
      <c r="V749" s="107">
        <v>34.700000000000003</v>
      </c>
      <c r="W749" s="106" t="s">
        <v>975</v>
      </c>
    </row>
    <row r="750" spans="1:23" ht="21" customHeight="1">
      <c r="A750" s="104" t="s">
        <v>218</v>
      </c>
      <c r="B750" s="104" t="s">
        <v>202</v>
      </c>
      <c r="C750" s="454" t="s">
        <v>203</v>
      </c>
      <c r="D750" s="105" t="s">
        <v>204</v>
      </c>
      <c r="E750" s="104">
        <v>30967</v>
      </c>
      <c r="F750" s="104">
        <v>1240</v>
      </c>
      <c r="G750" s="106" t="s">
        <v>110</v>
      </c>
      <c r="H750" s="104" t="s">
        <v>111</v>
      </c>
      <c r="I750" s="104" t="s">
        <v>104</v>
      </c>
      <c r="J750" s="104" t="s">
        <v>105</v>
      </c>
      <c r="K750" s="104" t="s">
        <v>143</v>
      </c>
      <c r="L750" s="104" t="s">
        <v>708</v>
      </c>
      <c r="M750" s="104" t="s">
        <v>114</v>
      </c>
      <c r="N750" s="108" t="s">
        <v>17</v>
      </c>
      <c r="O750" s="104" t="s">
        <v>17</v>
      </c>
      <c r="P750" s="113">
        <v>3.7700000000000005</v>
      </c>
      <c r="Q750" s="113">
        <v>2.2549999999999999</v>
      </c>
      <c r="R750" s="104" t="s">
        <v>17</v>
      </c>
      <c r="S750" s="253">
        <f>((10^((3.184*LOG((P750))+1.091))))</f>
        <v>843.47236664941215</v>
      </c>
      <c r="T750" s="104" t="s">
        <v>976</v>
      </c>
      <c r="U750" s="108">
        <v>0.93200000000000005</v>
      </c>
      <c r="V750" s="107">
        <v>34.700000000000003</v>
      </c>
      <c r="W750" s="106" t="s">
        <v>975</v>
      </c>
    </row>
    <row r="751" spans="1:23" ht="21" customHeight="1">
      <c r="A751" s="104" t="s">
        <v>218</v>
      </c>
      <c r="B751" s="104" t="s">
        <v>202</v>
      </c>
      <c r="C751" s="454" t="s">
        <v>203</v>
      </c>
      <c r="D751" s="105" t="s">
        <v>204</v>
      </c>
      <c r="E751" s="104">
        <v>30967</v>
      </c>
      <c r="F751" s="104">
        <v>1599</v>
      </c>
      <c r="G751" s="106" t="s">
        <v>110</v>
      </c>
      <c r="H751" s="104" t="s">
        <v>111</v>
      </c>
      <c r="I751" s="104" t="s">
        <v>104</v>
      </c>
      <c r="J751" s="104" t="s">
        <v>105</v>
      </c>
      <c r="K751" s="104" t="s">
        <v>112</v>
      </c>
      <c r="L751" s="104" t="s">
        <v>663</v>
      </c>
      <c r="M751" s="104" t="s">
        <v>114</v>
      </c>
      <c r="N751" s="108" t="s">
        <v>17</v>
      </c>
      <c r="O751" s="104" t="s">
        <v>17</v>
      </c>
      <c r="P751" s="113">
        <v>3.2659999999999996</v>
      </c>
      <c r="Q751" s="113">
        <v>2.77</v>
      </c>
      <c r="R751" s="104" t="s">
        <v>17</v>
      </c>
      <c r="S751" s="253">
        <f>(10^((3.263*LOG((P751))+1.337)))</f>
        <v>1033.3199080841046</v>
      </c>
      <c r="T751" s="104" t="s">
        <v>977</v>
      </c>
      <c r="U751" s="108">
        <v>0.93300000000000005</v>
      </c>
      <c r="V751" s="107">
        <v>34.6</v>
      </c>
      <c r="W751" s="106" t="s">
        <v>978</v>
      </c>
    </row>
    <row r="752" spans="1:23" ht="21" customHeight="1">
      <c r="A752" s="104" t="s">
        <v>218</v>
      </c>
      <c r="B752" s="104" t="s">
        <v>202</v>
      </c>
      <c r="C752" s="454" t="s">
        <v>203</v>
      </c>
      <c r="D752" s="105" t="s">
        <v>204</v>
      </c>
      <c r="E752" s="104">
        <v>30967</v>
      </c>
      <c r="F752" s="104">
        <v>42</v>
      </c>
      <c r="G752" s="106" t="s">
        <v>110</v>
      </c>
      <c r="H752" s="104" t="s">
        <v>111</v>
      </c>
      <c r="I752" s="104" t="s">
        <v>104</v>
      </c>
      <c r="J752" s="104" t="s">
        <v>105</v>
      </c>
      <c r="K752" s="104" t="s">
        <v>185</v>
      </c>
      <c r="L752" s="104" t="s">
        <v>984</v>
      </c>
      <c r="M752" s="104"/>
      <c r="N752" s="108" t="s">
        <v>17</v>
      </c>
      <c r="O752" s="104" t="s">
        <v>17</v>
      </c>
      <c r="P752" s="113">
        <v>5.1219999999999999</v>
      </c>
      <c r="Q752" s="113">
        <v>3.1059999999999999</v>
      </c>
      <c r="R752" s="104" t="s">
        <v>17</v>
      </c>
      <c r="S752" s="253">
        <f>((((10^(3.15*LOG((P752*10))+0.94))+(10^(3.12*LOG((P752*10))+0.94))+(10^(3.21*LOG((P752*10))+0.92))+(10^(3.19*LOG((P752*10))+0.51)))/6)/1000)</f>
        <v>1243.6973540701692</v>
      </c>
      <c r="T752" s="104" t="s">
        <v>993</v>
      </c>
      <c r="U752" s="108">
        <v>0.88</v>
      </c>
      <c r="V752" s="107">
        <v>42.47</v>
      </c>
      <c r="W752" s="106" t="s">
        <v>980</v>
      </c>
    </row>
    <row r="753" spans="1:23" ht="21" customHeight="1">
      <c r="A753" s="104" t="s">
        <v>218</v>
      </c>
      <c r="B753" s="104" t="s">
        <v>202</v>
      </c>
      <c r="C753" s="454" t="s">
        <v>203</v>
      </c>
      <c r="D753" s="105" t="s">
        <v>204</v>
      </c>
      <c r="E753" s="104">
        <v>30967</v>
      </c>
      <c r="F753" s="104">
        <v>387</v>
      </c>
      <c r="G753" s="106" t="s">
        <v>110</v>
      </c>
      <c r="H753" s="104" t="s">
        <v>111</v>
      </c>
      <c r="I753" s="104" t="s">
        <v>104</v>
      </c>
      <c r="J753" s="104" t="s">
        <v>1005</v>
      </c>
      <c r="K753" s="104" t="s">
        <v>1006</v>
      </c>
      <c r="L753" s="104" t="s">
        <v>1007</v>
      </c>
      <c r="M753" s="104" t="s">
        <v>108</v>
      </c>
      <c r="N753" s="108" t="s">
        <v>17</v>
      </c>
      <c r="O753" s="104">
        <v>16.7</v>
      </c>
      <c r="P753" s="113">
        <v>58.9</v>
      </c>
      <c r="Q753" s="113">
        <v>13.9</v>
      </c>
      <c r="R753" s="104" t="s">
        <v>17</v>
      </c>
      <c r="S753" s="253">
        <f>(10^((3.4263*LOG((P753))-2.8404)))</f>
        <v>1677.0500909880245</v>
      </c>
      <c r="T753" s="104" t="s">
        <v>1008</v>
      </c>
      <c r="U753" s="108">
        <v>0.92020000000000002</v>
      </c>
      <c r="V753" s="107">
        <v>28</v>
      </c>
      <c r="W753" s="106" t="s">
        <v>1009</v>
      </c>
    </row>
    <row r="754" spans="1:23" ht="21" customHeight="1">
      <c r="A754" s="104" t="s">
        <v>218</v>
      </c>
      <c r="B754" s="104" t="s">
        <v>202</v>
      </c>
      <c r="C754" s="454" t="s">
        <v>219</v>
      </c>
      <c r="D754" s="105" t="s">
        <v>220</v>
      </c>
      <c r="E754" s="104">
        <v>30967</v>
      </c>
      <c r="F754" s="104" t="s">
        <v>1013</v>
      </c>
      <c r="G754" s="106" t="s">
        <v>110</v>
      </c>
      <c r="H754" s="104" t="s">
        <v>111</v>
      </c>
      <c r="I754" s="104" t="s">
        <v>104</v>
      </c>
      <c r="J754" s="104" t="s">
        <v>105</v>
      </c>
      <c r="K754" s="104" t="s">
        <v>143</v>
      </c>
      <c r="L754" s="104" t="s">
        <v>708</v>
      </c>
      <c r="M754" s="104" t="s">
        <v>114</v>
      </c>
      <c r="N754" s="108" t="s">
        <v>17</v>
      </c>
      <c r="O754" s="104" t="s">
        <v>17</v>
      </c>
      <c r="P754" s="113">
        <v>2.2320000000000002</v>
      </c>
      <c r="Q754" s="113">
        <v>1.7090000000000001</v>
      </c>
      <c r="R754" s="104" t="s">
        <v>17</v>
      </c>
      <c r="S754" s="253">
        <f>((10^((3.184*LOG((P754))+1.091))))</f>
        <v>158.94332787179164</v>
      </c>
      <c r="T754" s="104" t="s">
        <v>976</v>
      </c>
      <c r="U754" s="108">
        <v>0.93200000000000005</v>
      </c>
      <c r="V754" s="107">
        <v>34.700000000000003</v>
      </c>
      <c r="W754" s="106" t="s">
        <v>975</v>
      </c>
    </row>
    <row r="755" spans="1:23" ht="21" customHeight="1">
      <c r="A755" s="104" t="s">
        <v>218</v>
      </c>
      <c r="B755" s="104" t="s">
        <v>202</v>
      </c>
      <c r="C755" s="454" t="s">
        <v>219</v>
      </c>
      <c r="D755" s="105" t="s">
        <v>220</v>
      </c>
      <c r="E755" s="104">
        <v>30967</v>
      </c>
      <c r="F755" s="104" t="s">
        <v>1014</v>
      </c>
      <c r="G755" s="106" t="s">
        <v>110</v>
      </c>
      <c r="H755" s="104" t="s">
        <v>111</v>
      </c>
      <c r="I755" s="104" t="s">
        <v>104</v>
      </c>
      <c r="J755" s="104" t="s">
        <v>105</v>
      </c>
      <c r="K755" s="104" t="s">
        <v>143</v>
      </c>
      <c r="L755" s="104" t="s">
        <v>708</v>
      </c>
      <c r="M755" s="104" t="s">
        <v>114</v>
      </c>
      <c r="N755" s="108" t="s">
        <v>17</v>
      </c>
      <c r="O755" s="104" t="s">
        <v>17</v>
      </c>
      <c r="P755" s="113">
        <v>2.2350000000000003</v>
      </c>
      <c r="Q755" s="113">
        <v>1.7429999999999999</v>
      </c>
      <c r="R755" s="104" t="s">
        <v>17</v>
      </c>
      <c r="S755" s="253">
        <f>((10^((3.184*LOG((P755))+1.091))))</f>
        <v>159.62453585338858</v>
      </c>
      <c r="T755" s="104" t="s">
        <v>976</v>
      </c>
      <c r="U755" s="108">
        <v>0.93200000000000005</v>
      </c>
      <c r="V755" s="107">
        <v>34.700000000000003</v>
      </c>
      <c r="W755" s="106" t="s">
        <v>975</v>
      </c>
    </row>
    <row r="756" spans="1:23" ht="21" customHeight="1">
      <c r="A756" s="104" t="s">
        <v>218</v>
      </c>
      <c r="B756" s="104" t="s">
        <v>202</v>
      </c>
      <c r="C756" s="454" t="s">
        <v>219</v>
      </c>
      <c r="D756" s="105" t="s">
        <v>220</v>
      </c>
      <c r="E756" s="104">
        <v>30967</v>
      </c>
      <c r="F756" s="104" t="s">
        <v>1015</v>
      </c>
      <c r="G756" s="106" t="s">
        <v>110</v>
      </c>
      <c r="H756" s="104" t="s">
        <v>111</v>
      </c>
      <c r="I756" s="104" t="s">
        <v>104</v>
      </c>
      <c r="J756" s="104" t="s">
        <v>105</v>
      </c>
      <c r="K756" s="104" t="s">
        <v>962</v>
      </c>
      <c r="L756" s="104" t="s">
        <v>708</v>
      </c>
      <c r="M756" s="104" t="s">
        <v>108</v>
      </c>
      <c r="N756" s="108" t="s">
        <v>17</v>
      </c>
      <c r="O756" s="104" t="s">
        <v>17</v>
      </c>
      <c r="P756" s="113">
        <v>1.9530000000000001</v>
      </c>
      <c r="Q756" s="113">
        <v>2</v>
      </c>
      <c r="R756" s="104" t="s">
        <v>17</v>
      </c>
      <c r="S756" s="253">
        <f>(10^((3.13*LOG((P756*10))+1.17)))/1000</f>
        <v>162.14293180349648</v>
      </c>
      <c r="T756" s="104" t="s">
        <v>703</v>
      </c>
      <c r="U756" s="108">
        <v>0.9</v>
      </c>
      <c r="V756" s="107">
        <v>39.799999999999997</v>
      </c>
      <c r="W756" s="114" t="s">
        <v>704</v>
      </c>
    </row>
    <row r="757" spans="1:23" ht="21" customHeight="1">
      <c r="A757" s="104" t="s">
        <v>218</v>
      </c>
      <c r="B757" s="104" t="s">
        <v>202</v>
      </c>
      <c r="C757" s="454" t="s">
        <v>219</v>
      </c>
      <c r="D757" s="105" t="s">
        <v>220</v>
      </c>
      <c r="E757" s="104">
        <v>30967</v>
      </c>
      <c r="F757" s="104">
        <v>1682</v>
      </c>
      <c r="G757" s="106" t="s">
        <v>110</v>
      </c>
      <c r="H757" s="104" t="s">
        <v>111</v>
      </c>
      <c r="I757" s="104" t="s">
        <v>104</v>
      </c>
      <c r="J757" s="104" t="s">
        <v>105</v>
      </c>
      <c r="K757" s="104" t="s">
        <v>155</v>
      </c>
      <c r="L757" s="104" t="s">
        <v>658</v>
      </c>
      <c r="M757" s="104" t="s">
        <v>108</v>
      </c>
      <c r="N757" s="108" t="s">
        <v>17</v>
      </c>
      <c r="O757" s="104" t="s">
        <v>17</v>
      </c>
      <c r="P757" s="113">
        <v>1.9609999999999999</v>
      </c>
      <c r="Q757" s="113">
        <v>2.0049999999999999</v>
      </c>
      <c r="R757" s="104" t="s">
        <v>17</v>
      </c>
      <c r="S757" s="253">
        <f>(10^((3.13*LOG((P757*10))+1.17)))/1000</f>
        <v>164.23089822941614</v>
      </c>
      <c r="T757" s="104" t="s">
        <v>703</v>
      </c>
      <c r="U757" s="108">
        <v>0.9</v>
      </c>
      <c r="V757" s="107">
        <v>39.799999999999997</v>
      </c>
      <c r="W757" s="114" t="s">
        <v>704</v>
      </c>
    </row>
    <row r="758" spans="1:23" ht="21" customHeight="1">
      <c r="A758" s="104" t="s">
        <v>218</v>
      </c>
      <c r="B758" s="104" t="s">
        <v>202</v>
      </c>
      <c r="C758" s="454" t="s">
        <v>219</v>
      </c>
      <c r="D758" s="105" t="s">
        <v>220</v>
      </c>
      <c r="E758" s="104">
        <v>30967</v>
      </c>
      <c r="F758" s="104" t="s">
        <v>1016</v>
      </c>
      <c r="G758" s="106" t="s">
        <v>110</v>
      </c>
      <c r="H758" s="104" t="s">
        <v>111</v>
      </c>
      <c r="I758" s="104" t="s">
        <v>104</v>
      </c>
      <c r="J758" s="104" t="s">
        <v>105</v>
      </c>
      <c r="K758" s="104" t="s">
        <v>155</v>
      </c>
      <c r="L758" s="104" t="s">
        <v>686</v>
      </c>
      <c r="M758" s="104" t="s">
        <v>114</v>
      </c>
      <c r="N758" s="108" t="s">
        <v>17</v>
      </c>
      <c r="O758" s="104" t="s">
        <v>17</v>
      </c>
      <c r="P758" s="113">
        <v>2.3109999999999999</v>
      </c>
      <c r="Q758" s="113">
        <v>2.41</v>
      </c>
      <c r="R758" s="104" t="s">
        <v>17</v>
      </c>
      <c r="S758" s="253">
        <f>((10^((3.184*LOG((P758))+1.091))))</f>
        <v>177.55750198366979</v>
      </c>
      <c r="T758" s="104" t="s">
        <v>896</v>
      </c>
      <c r="U758" s="108">
        <v>0.9</v>
      </c>
      <c r="V758" s="107">
        <v>39.4</v>
      </c>
      <c r="W758" s="114" t="s">
        <v>704</v>
      </c>
    </row>
    <row r="759" spans="1:23" ht="21" customHeight="1">
      <c r="A759" s="104" t="s">
        <v>218</v>
      </c>
      <c r="B759" s="104" t="s">
        <v>202</v>
      </c>
      <c r="C759" s="454" t="s">
        <v>219</v>
      </c>
      <c r="D759" s="105" t="s">
        <v>220</v>
      </c>
      <c r="E759" s="104">
        <v>30967</v>
      </c>
      <c r="F759" s="104">
        <v>1274</v>
      </c>
      <c r="G759" s="106" t="s">
        <v>110</v>
      </c>
      <c r="H759" s="104" t="s">
        <v>111</v>
      </c>
      <c r="I759" s="104" t="s">
        <v>104</v>
      </c>
      <c r="J759" s="104" t="s">
        <v>105</v>
      </c>
      <c r="K759" s="104" t="s">
        <v>209</v>
      </c>
      <c r="L759" s="104" t="s">
        <v>684</v>
      </c>
      <c r="M759" s="104" t="s">
        <v>108</v>
      </c>
      <c r="N759" s="108" t="s">
        <v>17</v>
      </c>
      <c r="O759" s="104" t="s">
        <v>17</v>
      </c>
      <c r="P759" s="113">
        <v>2.2480000000000002</v>
      </c>
      <c r="Q759" s="113">
        <v>1.4570000000000001</v>
      </c>
      <c r="R759" s="104" t="s">
        <v>17</v>
      </c>
      <c r="S759" s="253">
        <f>(10^((3.21*LOG((P759*10))+0.92)))/1000</f>
        <v>181.66285913838348</v>
      </c>
      <c r="T759" s="104" t="s">
        <v>999</v>
      </c>
      <c r="U759" s="108">
        <v>0.9</v>
      </c>
      <c r="V759" s="107">
        <v>39.1</v>
      </c>
      <c r="W759" s="114" t="s">
        <v>704</v>
      </c>
    </row>
    <row r="760" spans="1:23" ht="21" customHeight="1">
      <c r="A760" s="104" t="s">
        <v>218</v>
      </c>
      <c r="B760" s="104" t="s">
        <v>202</v>
      </c>
      <c r="C760" s="454" t="s">
        <v>219</v>
      </c>
      <c r="D760" s="105" t="s">
        <v>220</v>
      </c>
      <c r="E760" s="104">
        <v>30967</v>
      </c>
      <c r="F760" s="104">
        <v>1589</v>
      </c>
      <c r="G760" s="106" t="s">
        <v>110</v>
      </c>
      <c r="H760" s="104" t="s">
        <v>111</v>
      </c>
      <c r="I760" s="104" t="s">
        <v>104</v>
      </c>
      <c r="J760" s="104" t="s">
        <v>105</v>
      </c>
      <c r="K760" s="104" t="s">
        <v>143</v>
      </c>
      <c r="L760" s="104" t="s">
        <v>708</v>
      </c>
      <c r="M760" s="104" t="s">
        <v>114</v>
      </c>
      <c r="N760" s="108" t="s">
        <v>17</v>
      </c>
      <c r="O760" s="104" t="s">
        <v>17</v>
      </c>
      <c r="P760" s="113">
        <v>2.363</v>
      </c>
      <c r="Q760" s="113">
        <v>2.1749999999999998</v>
      </c>
      <c r="R760" s="104" t="s">
        <v>17</v>
      </c>
      <c r="S760" s="253">
        <f>((10^((3.184*LOG((P760))+1.091))))</f>
        <v>190.59367743025527</v>
      </c>
      <c r="T760" s="104" t="s">
        <v>976</v>
      </c>
      <c r="U760" s="108">
        <v>0.93200000000000005</v>
      </c>
      <c r="V760" s="107">
        <v>34.700000000000003</v>
      </c>
      <c r="W760" s="106" t="s">
        <v>975</v>
      </c>
    </row>
    <row r="761" spans="1:23" ht="21" customHeight="1">
      <c r="A761" s="104" t="s">
        <v>218</v>
      </c>
      <c r="B761" s="104" t="s">
        <v>202</v>
      </c>
      <c r="C761" s="454" t="s">
        <v>219</v>
      </c>
      <c r="D761" s="105" t="s">
        <v>220</v>
      </c>
      <c r="E761" s="104">
        <v>30967</v>
      </c>
      <c r="F761" s="104" t="s">
        <v>1017</v>
      </c>
      <c r="G761" s="106" t="s">
        <v>110</v>
      </c>
      <c r="H761" s="104" t="s">
        <v>111</v>
      </c>
      <c r="I761" s="104" t="s">
        <v>104</v>
      </c>
      <c r="J761" s="104" t="s">
        <v>105</v>
      </c>
      <c r="K761" s="104" t="s">
        <v>962</v>
      </c>
      <c r="L761" s="104" t="s">
        <v>708</v>
      </c>
      <c r="M761" s="104" t="s">
        <v>108</v>
      </c>
      <c r="N761" s="108" t="s">
        <v>17</v>
      </c>
      <c r="O761" s="104" t="s">
        <v>17</v>
      </c>
      <c r="P761" s="113">
        <v>2.08</v>
      </c>
      <c r="Q761" s="113">
        <v>1.7250000000000001</v>
      </c>
      <c r="R761" s="104" t="s">
        <v>17</v>
      </c>
      <c r="S761" s="253">
        <f>(10^((3.13*LOG((P761*10))+1.17)))/1000</f>
        <v>197.4868753511241</v>
      </c>
      <c r="T761" s="104" t="s">
        <v>703</v>
      </c>
      <c r="U761" s="108">
        <v>0.9</v>
      </c>
      <c r="V761" s="107">
        <v>39.799999999999997</v>
      </c>
      <c r="W761" s="114" t="s">
        <v>704</v>
      </c>
    </row>
    <row r="762" spans="1:23" ht="21" customHeight="1">
      <c r="A762" s="104" t="s">
        <v>218</v>
      </c>
      <c r="B762" s="104" t="s">
        <v>202</v>
      </c>
      <c r="C762" s="454" t="s">
        <v>219</v>
      </c>
      <c r="D762" s="105" t="s">
        <v>220</v>
      </c>
      <c r="E762" s="104">
        <v>30967</v>
      </c>
      <c r="F762" s="104">
        <v>1806</v>
      </c>
      <c r="G762" s="106" t="s">
        <v>110</v>
      </c>
      <c r="H762" s="104" t="s">
        <v>111</v>
      </c>
      <c r="I762" s="104" t="s">
        <v>104</v>
      </c>
      <c r="J762" s="104" t="s">
        <v>105</v>
      </c>
      <c r="K762" s="104" t="s">
        <v>112</v>
      </c>
      <c r="L762" s="104" t="s">
        <v>663</v>
      </c>
      <c r="M762" s="104" t="s">
        <v>114</v>
      </c>
      <c r="N762" s="108" t="s">
        <v>17</v>
      </c>
      <c r="O762" s="104" t="s">
        <v>17</v>
      </c>
      <c r="P762" s="113">
        <v>1.9920000000000002</v>
      </c>
      <c r="Q762" s="113">
        <v>1.5249999999999999</v>
      </c>
      <c r="R762" s="104" t="s">
        <v>17</v>
      </c>
      <c r="S762" s="253">
        <f>(10^((3.263*LOG((P762))+1.337)))</f>
        <v>205.86432713653696</v>
      </c>
      <c r="T762" s="104" t="s">
        <v>977</v>
      </c>
      <c r="U762" s="108">
        <v>0.93300000000000005</v>
      </c>
      <c r="V762" s="107">
        <v>34.6</v>
      </c>
      <c r="W762" s="106" t="s">
        <v>975</v>
      </c>
    </row>
    <row r="763" spans="1:23" ht="21" customHeight="1">
      <c r="A763" s="104" t="s">
        <v>218</v>
      </c>
      <c r="B763" s="104" t="s">
        <v>202</v>
      </c>
      <c r="C763" s="454" t="s">
        <v>219</v>
      </c>
      <c r="D763" s="105" t="s">
        <v>220</v>
      </c>
      <c r="E763" s="104">
        <v>30967</v>
      </c>
      <c r="F763" s="104">
        <v>880</v>
      </c>
      <c r="G763" s="106" t="s">
        <v>110</v>
      </c>
      <c r="H763" s="104" t="s">
        <v>111</v>
      </c>
      <c r="I763" s="104" t="s">
        <v>104</v>
      </c>
      <c r="J763" s="104" t="s">
        <v>105</v>
      </c>
      <c r="K763" s="104" t="s">
        <v>112</v>
      </c>
      <c r="L763" s="104" t="s">
        <v>663</v>
      </c>
      <c r="M763" s="104" t="s">
        <v>108</v>
      </c>
      <c r="N763" s="108" t="s">
        <v>17</v>
      </c>
      <c r="O763" s="104" t="s">
        <v>17</v>
      </c>
      <c r="P763" s="113">
        <v>2.0089999999999999</v>
      </c>
      <c r="Q763" s="113">
        <v>1.4650000000000001</v>
      </c>
      <c r="R763" s="104" t="s">
        <v>17</v>
      </c>
      <c r="S763" s="253">
        <f>(10^((3.263*LOG((P763))+1.337)))</f>
        <v>211.65256382479188</v>
      </c>
      <c r="T763" s="104" t="s">
        <v>977</v>
      </c>
      <c r="U763" s="108">
        <v>0.93300000000000005</v>
      </c>
      <c r="V763" s="107">
        <v>34.6</v>
      </c>
      <c r="W763" s="106" t="s">
        <v>975</v>
      </c>
    </row>
    <row r="764" spans="1:23" ht="21" customHeight="1">
      <c r="A764" s="104" t="s">
        <v>218</v>
      </c>
      <c r="B764" s="104" t="s">
        <v>202</v>
      </c>
      <c r="C764" s="454" t="s">
        <v>219</v>
      </c>
      <c r="D764" s="105" t="s">
        <v>220</v>
      </c>
      <c r="E764" s="104">
        <v>30967</v>
      </c>
      <c r="F764" s="104">
        <v>92</v>
      </c>
      <c r="G764" s="106" t="s">
        <v>110</v>
      </c>
      <c r="H764" s="104" t="s">
        <v>111</v>
      </c>
      <c r="I764" s="104" t="s">
        <v>104</v>
      </c>
      <c r="J764" s="104" t="s">
        <v>105</v>
      </c>
      <c r="K764" s="104" t="s">
        <v>155</v>
      </c>
      <c r="L764" s="104" t="s">
        <v>658</v>
      </c>
      <c r="M764" s="104" t="s">
        <v>108</v>
      </c>
      <c r="N764" s="108" t="s">
        <v>17</v>
      </c>
      <c r="O764" s="104" t="s">
        <v>17</v>
      </c>
      <c r="P764" s="113">
        <v>2.1350000000000002</v>
      </c>
      <c r="Q764" s="113">
        <v>1.8120000000000001</v>
      </c>
      <c r="R764" s="104" t="s">
        <v>17</v>
      </c>
      <c r="S764" s="253">
        <f>(10^((3.13*LOG((P764*10))+1.17)))/1000</f>
        <v>214.29664034300748</v>
      </c>
      <c r="T764" s="104" t="s">
        <v>703</v>
      </c>
      <c r="U764" s="108">
        <v>0.9</v>
      </c>
      <c r="V764" s="107">
        <v>39.799999999999997</v>
      </c>
      <c r="W764" s="114" t="s">
        <v>704</v>
      </c>
    </row>
    <row r="765" spans="1:23" ht="21" customHeight="1">
      <c r="A765" s="104" t="s">
        <v>218</v>
      </c>
      <c r="B765" s="104" t="s">
        <v>202</v>
      </c>
      <c r="C765" s="454" t="s">
        <v>219</v>
      </c>
      <c r="D765" s="105" t="s">
        <v>220</v>
      </c>
      <c r="E765" s="104">
        <v>30967</v>
      </c>
      <c r="F765" s="104" t="s">
        <v>1018</v>
      </c>
      <c r="G765" s="106" t="s">
        <v>110</v>
      </c>
      <c r="H765" s="104" t="s">
        <v>111</v>
      </c>
      <c r="I765" s="104" t="s">
        <v>104</v>
      </c>
      <c r="J765" s="104" t="s">
        <v>105</v>
      </c>
      <c r="K765" s="104" t="s">
        <v>143</v>
      </c>
      <c r="L765" s="104" t="s">
        <v>708</v>
      </c>
      <c r="M765" s="104" t="s">
        <v>114</v>
      </c>
      <c r="N765" s="108" t="s">
        <v>17</v>
      </c>
      <c r="O765" s="104" t="s">
        <v>17</v>
      </c>
      <c r="P765" s="113">
        <v>2.4579999999999997</v>
      </c>
      <c r="Q765" s="113">
        <v>2.3170000000000002</v>
      </c>
      <c r="R765" s="104" t="s">
        <v>17</v>
      </c>
      <c r="S765" s="253">
        <f>((10^((3.184*LOG((P765))+1.091))))</f>
        <v>216.07906965965353</v>
      </c>
      <c r="T765" s="104" t="s">
        <v>976</v>
      </c>
      <c r="U765" s="108">
        <v>0.93200000000000005</v>
      </c>
      <c r="V765" s="107">
        <v>34.700000000000003</v>
      </c>
      <c r="W765" s="106" t="s">
        <v>975</v>
      </c>
    </row>
    <row r="766" spans="1:23" ht="21" customHeight="1">
      <c r="A766" s="104" t="s">
        <v>218</v>
      </c>
      <c r="B766" s="104" t="s">
        <v>202</v>
      </c>
      <c r="C766" s="454" t="s">
        <v>219</v>
      </c>
      <c r="D766" s="105" t="s">
        <v>220</v>
      </c>
      <c r="E766" s="104">
        <v>30967</v>
      </c>
      <c r="F766" s="104">
        <v>445</v>
      </c>
      <c r="G766" s="106" t="s">
        <v>110</v>
      </c>
      <c r="H766" s="104" t="s">
        <v>111</v>
      </c>
      <c r="I766" s="104" t="s">
        <v>104</v>
      </c>
      <c r="J766" s="104" t="s">
        <v>105</v>
      </c>
      <c r="K766" s="104" t="s">
        <v>209</v>
      </c>
      <c r="L766" s="104" t="s">
        <v>684</v>
      </c>
      <c r="M766" s="104" t="s">
        <v>114</v>
      </c>
      <c r="N766" s="108" t="s">
        <v>17</v>
      </c>
      <c r="O766" s="104" t="s">
        <v>17</v>
      </c>
      <c r="P766" s="113">
        <v>2.38</v>
      </c>
      <c r="Q766" s="113">
        <v>14.96</v>
      </c>
      <c r="R766" s="104" t="s">
        <v>17</v>
      </c>
      <c r="S766" s="253">
        <f>(10^((3.21*LOG((P766*10))+0.92)))/1000</f>
        <v>218.17854046300587</v>
      </c>
      <c r="T766" s="104" t="s">
        <v>999</v>
      </c>
      <c r="U766" s="108">
        <v>0.9</v>
      </c>
      <c r="V766" s="107">
        <v>39.1</v>
      </c>
      <c r="W766" s="114" t="s">
        <v>704</v>
      </c>
    </row>
    <row r="767" spans="1:23" ht="21" customHeight="1">
      <c r="A767" s="104" t="s">
        <v>218</v>
      </c>
      <c r="B767" s="104" t="s">
        <v>202</v>
      </c>
      <c r="C767" s="454" t="s">
        <v>219</v>
      </c>
      <c r="D767" s="105" t="s">
        <v>220</v>
      </c>
      <c r="E767" s="104">
        <v>30967</v>
      </c>
      <c r="F767" s="104">
        <v>2578</v>
      </c>
      <c r="G767" s="106" t="s">
        <v>110</v>
      </c>
      <c r="H767" s="104" t="s">
        <v>111</v>
      </c>
      <c r="I767" s="104" t="s">
        <v>104</v>
      </c>
      <c r="J767" s="104" t="s">
        <v>105</v>
      </c>
      <c r="K767" s="104" t="s">
        <v>112</v>
      </c>
      <c r="L767" s="104" t="s">
        <v>663</v>
      </c>
      <c r="M767" s="104" t="s">
        <v>114</v>
      </c>
      <c r="N767" s="108" t="s">
        <v>17</v>
      </c>
      <c r="O767" s="104" t="s">
        <v>17</v>
      </c>
      <c r="P767" s="113">
        <v>2.036</v>
      </c>
      <c r="Q767" s="113">
        <v>1.486</v>
      </c>
      <c r="R767" s="104" t="s">
        <v>17</v>
      </c>
      <c r="S767" s="253">
        <f>(10^((3.263*LOG((P767))+1.337)))</f>
        <v>221.07614116801702</v>
      </c>
      <c r="T767" s="104" t="s">
        <v>977</v>
      </c>
      <c r="U767" s="108">
        <v>0.93300000000000005</v>
      </c>
      <c r="V767" s="107">
        <v>34.6</v>
      </c>
      <c r="W767" s="106" t="s">
        <v>975</v>
      </c>
    </row>
    <row r="768" spans="1:23" ht="21" customHeight="1">
      <c r="A768" s="104" t="s">
        <v>218</v>
      </c>
      <c r="B768" s="104" t="s">
        <v>202</v>
      </c>
      <c r="C768" s="454" t="s">
        <v>219</v>
      </c>
      <c r="D768" s="105" t="s">
        <v>220</v>
      </c>
      <c r="E768" s="104">
        <v>30967</v>
      </c>
      <c r="F768" s="104">
        <v>372</v>
      </c>
      <c r="G768" s="106" t="s">
        <v>110</v>
      </c>
      <c r="H768" s="104" t="s">
        <v>111</v>
      </c>
      <c r="I768" s="104" t="s">
        <v>104</v>
      </c>
      <c r="J768" s="104" t="s">
        <v>105</v>
      </c>
      <c r="K768" s="104" t="s">
        <v>155</v>
      </c>
      <c r="L768" s="104" t="s">
        <v>658</v>
      </c>
      <c r="M768" s="104" t="s">
        <v>114</v>
      </c>
      <c r="N768" s="108" t="s">
        <v>17</v>
      </c>
      <c r="O768" s="104" t="s">
        <v>17</v>
      </c>
      <c r="P768" s="113">
        <v>2.157</v>
      </c>
      <c r="Q768" s="113">
        <v>1.7989999999999999</v>
      </c>
      <c r="R768" s="104" t="s">
        <v>17</v>
      </c>
      <c r="S768" s="253">
        <f>(10^((3.13*LOG((P768*10))+1.17)))/1000</f>
        <v>221.2844794074789</v>
      </c>
      <c r="T768" s="104" t="s">
        <v>703</v>
      </c>
      <c r="U768" s="108">
        <v>0.9</v>
      </c>
      <c r="V768" s="107">
        <v>39.799999999999997</v>
      </c>
      <c r="W768" s="114" t="s">
        <v>704</v>
      </c>
    </row>
    <row r="769" spans="1:23" ht="21" customHeight="1">
      <c r="A769" s="104" t="s">
        <v>218</v>
      </c>
      <c r="B769" s="104" t="s">
        <v>202</v>
      </c>
      <c r="C769" s="454" t="s">
        <v>219</v>
      </c>
      <c r="D769" s="105" t="s">
        <v>220</v>
      </c>
      <c r="E769" s="104">
        <v>30967</v>
      </c>
      <c r="F769" s="104" t="s">
        <v>1019</v>
      </c>
      <c r="G769" s="106" t="s">
        <v>110</v>
      </c>
      <c r="H769" s="104" t="s">
        <v>111</v>
      </c>
      <c r="I769" s="104" t="s">
        <v>104</v>
      </c>
      <c r="J769" s="104" t="s">
        <v>105</v>
      </c>
      <c r="K769" s="104" t="s">
        <v>143</v>
      </c>
      <c r="L769" s="104" t="s">
        <v>708</v>
      </c>
      <c r="M769" s="104" t="s">
        <v>114</v>
      </c>
      <c r="N769" s="108" t="s">
        <v>17</v>
      </c>
      <c r="O769" s="104" t="s">
        <v>17</v>
      </c>
      <c r="P769" s="113">
        <v>2.4829999999999997</v>
      </c>
      <c r="Q769" s="113">
        <v>2.1589999999999998</v>
      </c>
      <c r="R769" s="104" t="s">
        <v>17</v>
      </c>
      <c r="S769" s="253">
        <f>((10^((3.184*LOG((P769))+1.091))))</f>
        <v>223.15461616437221</v>
      </c>
      <c r="T769" s="104" t="s">
        <v>976</v>
      </c>
      <c r="U769" s="108">
        <v>0.93200000000000005</v>
      </c>
      <c r="V769" s="107">
        <v>34.700000000000003</v>
      </c>
      <c r="W769" s="106" t="s">
        <v>975</v>
      </c>
    </row>
    <row r="770" spans="1:23" ht="21" customHeight="1">
      <c r="A770" s="104" t="s">
        <v>218</v>
      </c>
      <c r="B770" s="104" t="s">
        <v>202</v>
      </c>
      <c r="C770" s="454" t="s">
        <v>219</v>
      </c>
      <c r="D770" s="105" t="s">
        <v>220</v>
      </c>
      <c r="E770" s="104">
        <v>30967</v>
      </c>
      <c r="F770" s="104">
        <v>485</v>
      </c>
      <c r="G770" s="106" t="s">
        <v>110</v>
      </c>
      <c r="H770" s="104" t="s">
        <v>111</v>
      </c>
      <c r="I770" s="104" t="s">
        <v>104</v>
      </c>
      <c r="J770" s="104" t="s">
        <v>105</v>
      </c>
      <c r="K770" s="104" t="s">
        <v>112</v>
      </c>
      <c r="L770" s="104" t="s">
        <v>663</v>
      </c>
      <c r="M770" s="104" t="s">
        <v>114</v>
      </c>
      <c r="N770" s="108" t="s">
        <v>17</v>
      </c>
      <c r="O770" s="104" t="s">
        <v>17</v>
      </c>
      <c r="P770" s="113">
        <v>2.0870000000000002</v>
      </c>
      <c r="Q770" s="113">
        <v>1.54</v>
      </c>
      <c r="R770" s="104" t="s">
        <v>17</v>
      </c>
      <c r="S770" s="253">
        <f>(10^((3.263*LOG((P770))+1.337)))</f>
        <v>239.66341938611185</v>
      </c>
      <c r="T770" s="104" t="s">
        <v>977</v>
      </c>
      <c r="U770" s="108">
        <v>0.93300000000000005</v>
      </c>
      <c r="V770" s="107">
        <v>34.6</v>
      </c>
      <c r="W770" s="106" t="s">
        <v>975</v>
      </c>
    </row>
    <row r="771" spans="1:23" ht="21" customHeight="1">
      <c r="A771" s="104" t="s">
        <v>218</v>
      </c>
      <c r="B771" s="104" t="s">
        <v>202</v>
      </c>
      <c r="C771" s="454" t="s">
        <v>219</v>
      </c>
      <c r="D771" s="105" t="s">
        <v>220</v>
      </c>
      <c r="E771" s="104">
        <v>30967</v>
      </c>
      <c r="F771" s="104">
        <v>2579</v>
      </c>
      <c r="G771" s="106" t="s">
        <v>110</v>
      </c>
      <c r="H771" s="104" t="s">
        <v>111</v>
      </c>
      <c r="I771" s="104" t="s">
        <v>104</v>
      </c>
      <c r="J771" s="104" t="s">
        <v>105</v>
      </c>
      <c r="K771" s="104" t="s">
        <v>112</v>
      </c>
      <c r="L771" s="104" t="s">
        <v>663</v>
      </c>
      <c r="M771" s="104" t="s">
        <v>114</v>
      </c>
      <c r="N771" s="108" t="s">
        <v>17</v>
      </c>
      <c r="O771" s="104" t="s">
        <v>17</v>
      </c>
      <c r="P771" s="113">
        <v>2.1420000000000003</v>
      </c>
      <c r="Q771" s="113">
        <v>1.3960000000000001</v>
      </c>
      <c r="R771" s="104" t="s">
        <v>17</v>
      </c>
      <c r="S771" s="253">
        <f>(10^((3.263*LOG((P771))+1.337)))</f>
        <v>260.89389655324618</v>
      </c>
      <c r="T771" s="104" t="s">
        <v>977</v>
      </c>
      <c r="U771" s="108">
        <v>0.93300000000000005</v>
      </c>
      <c r="V771" s="107">
        <v>34.6</v>
      </c>
      <c r="W771" s="106" t="s">
        <v>975</v>
      </c>
    </row>
    <row r="772" spans="1:23" ht="19">
      <c r="A772" s="104" t="s">
        <v>218</v>
      </c>
      <c r="B772" s="104" t="s">
        <v>202</v>
      </c>
      <c r="C772" s="454" t="s">
        <v>219</v>
      </c>
      <c r="D772" s="105" t="s">
        <v>220</v>
      </c>
      <c r="E772" s="104">
        <v>30967</v>
      </c>
      <c r="F772" s="104" t="s">
        <v>1020</v>
      </c>
      <c r="G772" s="106" t="s">
        <v>110</v>
      </c>
      <c r="H772" s="104" t="s">
        <v>111</v>
      </c>
      <c r="I772" s="104" t="s">
        <v>104</v>
      </c>
      <c r="J772" s="104" t="s">
        <v>105</v>
      </c>
      <c r="K772" s="104" t="s">
        <v>158</v>
      </c>
      <c r="L772" s="104" t="s">
        <v>686</v>
      </c>
      <c r="M772" s="104" t="s">
        <v>114</v>
      </c>
      <c r="N772" s="108" t="s">
        <v>17</v>
      </c>
      <c r="O772" s="104" t="s">
        <v>17</v>
      </c>
      <c r="P772" s="113">
        <v>2.7350000000000003</v>
      </c>
      <c r="Q772" s="113">
        <v>2.1719999999999997</v>
      </c>
      <c r="R772" s="104" t="s">
        <v>17</v>
      </c>
      <c r="S772" s="253">
        <f>(10^((3.12*LOG((P772*10))+0.94)))/1000</f>
        <v>265.03722253019367</v>
      </c>
      <c r="T772" s="104" t="s">
        <v>896</v>
      </c>
      <c r="U772" s="108">
        <v>0.9</v>
      </c>
      <c r="V772" s="107">
        <v>39.4</v>
      </c>
      <c r="W772" s="114" t="s">
        <v>704</v>
      </c>
    </row>
    <row r="773" spans="1:23" ht="21" customHeight="1">
      <c r="A773" s="416" t="s">
        <v>218</v>
      </c>
      <c r="B773" s="416" t="s">
        <v>202</v>
      </c>
      <c r="C773" s="455" t="s">
        <v>219</v>
      </c>
      <c r="D773" s="461" t="s">
        <v>220</v>
      </c>
      <c r="E773" s="416">
        <v>30967</v>
      </c>
      <c r="F773" s="416">
        <v>342</v>
      </c>
      <c r="G773" s="456" t="s">
        <v>110</v>
      </c>
      <c r="H773" s="416" t="s">
        <v>111</v>
      </c>
      <c r="I773" s="104" t="s">
        <v>104</v>
      </c>
      <c r="J773" s="416" t="s">
        <v>105</v>
      </c>
      <c r="K773" s="416" t="s">
        <v>112</v>
      </c>
      <c r="L773" s="416" t="s">
        <v>663</v>
      </c>
      <c r="M773" s="416" t="s">
        <v>114</v>
      </c>
      <c r="N773" s="458" t="s">
        <v>17</v>
      </c>
      <c r="O773" s="416" t="s">
        <v>17</v>
      </c>
      <c r="P773" s="457">
        <v>2.1670000000000003</v>
      </c>
      <c r="Q773" s="457">
        <v>1.226</v>
      </c>
      <c r="R773" s="416" t="s">
        <v>17</v>
      </c>
      <c r="S773" s="459">
        <f>(10^((3.263*LOG((P773))+1.337)))</f>
        <v>270.96152483655408</v>
      </c>
      <c r="T773" s="416" t="s">
        <v>977</v>
      </c>
      <c r="U773" s="458">
        <v>0.93300000000000005</v>
      </c>
      <c r="V773" s="460">
        <v>34.6</v>
      </c>
      <c r="W773" s="456" t="s">
        <v>975</v>
      </c>
    </row>
    <row r="774" spans="1:23" ht="21" customHeight="1">
      <c r="A774" s="104" t="s">
        <v>218</v>
      </c>
      <c r="B774" s="104" t="s">
        <v>202</v>
      </c>
      <c r="C774" s="454" t="s">
        <v>219</v>
      </c>
      <c r="D774" s="105" t="s">
        <v>220</v>
      </c>
      <c r="E774" s="104">
        <v>30967</v>
      </c>
      <c r="F774" s="104">
        <v>1651</v>
      </c>
      <c r="G774" s="106" t="s">
        <v>110</v>
      </c>
      <c r="H774" s="104" t="s">
        <v>111</v>
      </c>
      <c r="I774" s="104" t="s">
        <v>104</v>
      </c>
      <c r="J774" s="104" t="s">
        <v>105</v>
      </c>
      <c r="K774" s="104" t="s">
        <v>126</v>
      </c>
      <c r="L774" s="104" t="s">
        <v>636</v>
      </c>
      <c r="M774" s="104" t="s">
        <v>108</v>
      </c>
      <c r="N774" s="108" t="s">
        <v>17</v>
      </c>
      <c r="O774" s="104" t="s">
        <v>17</v>
      </c>
      <c r="P774" s="113">
        <v>3.5140000000000002</v>
      </c>
      <c r="Q774" s="113">
        <v>1.65</v>
      </c>
      <c r="R774" s="104" t="s">
        <v>17</v>
      </c>
      <c r="S774" s="253">
        <f>(10^((3.19*LOG((P774*10))+0.51)))/1000</f>
        <v>276.12619305741089</v>
      </c>
      <c r="T774" s="104" t="s">
        <v>979</v>
      </c>
      <c r="U774" s="108">
        <v>0.9</v>
      </c>
      <c r="V774" s="107">
        <v>39.4</v>
      </c>
      <c r="W774" s="114" t="s">
        <v>704</v>
      </c>
    </row>
    <row r="775" spans="1:23" ht="21" customHeight="1">
      <c r="A775" s="104" t="s">
        <v>218</v>
      </c>
      <c r="B775" s="104" t="s">
        <v>202</v>
      </c>
      <c r="C775" s="454" t="s">
        <v>219</v>
      </c>
      <c r="D775" s="105" t="s">
        <v>220</v>
      </c>
      <c r="E775" s="104">
        <v>30967</v>
      </c>
      <c r="F775" s="104">
        <v>485</v>
      </c>
      <c r="G775" s="106" t="s">
        <v>110</v>
      </c>
      <c r="H775" s="104" t="s">
        <v>111</v>
      </c>
      <c r="I775" s="104" t="s">
        <v>104</v>
      </c>
      <c r="J775" s="104" t="s">
        <v>105</v>
      </c>
      <c r="K775" s="104" t="s">
        <v>209</v>
      </c>
      <c r="L775" s="104" t="s">
        <v>684</v>
      </c>
      <c r="M775" s="104" t="s">
        <v>114</v>
      </c>
      <c r="N775" s="108" t="s">
        <v>17</v>
      </c>
      <c r="O775" s="104" t="s">
        <v>17</v>
      </c>
      <c r="P775" s="113">
        <v>2.5739999999999998</v>
      </c>
      <c r="Q775" s="113">
        <v>1.67</v>
      </c>
      <c r="R775" s="104" t="s">
        <v>17</v>
      </c>
      <c r="S775" s="253">
        <f>(10^((3.21*LOG((P775*10))+0.92)))/1000</f>
        <v>280.57787496274034</v>
      </c>
      <c r="T775" s="104" t="s">
        <v>999</v>
      </c>
      <c r="U775" s="108">
        <v>0.9</v>
      </c>
      <c r="V775" s="107">
        <v>39.1</v>
      </c>
      <c r="W775" s="114" t="s">
        <v>704</v>
      </c>
    </row>
    <row r="776" spans="1:23" ht="21" customHeight="1">
      <c r="A776" s="104" t="s">
        <v>218</v>
      </c>
      <c r="B776" s="104" t="s">
        <v>202</v>
      </c>
      <c r="C776" s="454" t="s">
        <v>219</v>
      </c>
      <c r="D776" s="105" t="s">
        <v>220</v>
      </c>
      <c r="E776" s="104">
        <v>30967</v>
      </c>
      <c r="F776" s="104">
        <v>1590</v>
      </c>
      <c r="G776" s="106" t="s">
        <v>110</v>
      </c>
      <c r="H776" s="104" t="s">
        <v>111</v>
      </c>
      <c r="I776" s="104" t="s">
        <v>104</v>
      </c>
      <c r="J776" s="104" t="s">
        <v>105</v>
      </c>
      <c r="K776" s="104" t="s">
        <v>112</v>
      </c>
      <c r="L776" s="104" t="s">
        <v>663</v>
      </c>
      <c r="M776" s="104" t="s">
        <v>108</v>
      </c>
      <c r="N776" s="108" t="s">
        <v>17</v>
      </c>
      <c r="O776" s="104" t="s">
        <v>17</v>
      </c>
      <c r="P776" s="113">
        <v>2.1970000000000001</v>
      </c>
      <c r="Q776" s="113">
        <v>1.3539999999999999</v>
      </c>
      <c r="R776" s="104" t="s">
        <v>17</v>
      </c>
      <c r="S776" s="253">
        <f>(10^((3.263*LOG((P776))+1.337)))</f>
        <v>283.39453806990417</v>
      </c>
      <c r="T776" s="104" t="s">
        <v>977</v>
      </c>
      <c r="U776" s="108">
        <v>0.93300000000000005</v>
      </c>
      <c r="V776" s="107">
        <v>34.6</v>
      </c>
      <c r="W776" s="106" t="s">
        <v>975</v>
      </c>
    </row>
    <row r="777" spans="1:23" ht="21" customHeight="1">
      <c r="A777" s="104" t="s">
        <v>218</v>
      </c>
      <c r="B777" s="104" t="s">
        <v>202</v>
      </c>
      <c r="C777" s="454" t="s">
        <v>219</v>
      </c>
      <c r="D777" s="105" t="s">
        <v>220</v>
      </c>
      <c r="E777" s="104">
        <v>30967</v>
      </c>
      <c r="F777" s="104" t="s">
        <v>1021</v>
      </c>
      <c r="G777" s="106" t="s">
        <v>110</v>
      </c>
      <c r="H777" s="104" t="s">
        <v>111</v>
      </c>
      <c r="I777" s="104" t="s">
        <v>104</v>
      </c>
      <c r="J777" s="104" t="s">
        <v>105</v>
      </c>
      <c r="K777" s="104" t="s">
        <v>155</v>
      </c>
      <c r="L777" s="104" t="s">
        <v>658</v>
      </c>
      <c r="M777" s="104" t="s">
        <v>114</v>
      </c>
      <c r="N777" s="108" t="s">
        <v>17</v>
      </c>
      <c r="O777" s="104" t="s">
        <v>17</v>
      </c>
      <c r="P777" s="113">
        <v>2.3410000000000002</v>
      </c>
      <c r="Q777" s="113">
        <v>2.2440000000000002</v>
      </c>
      <c r="R777" s="104" t="s">
        <v>17</v>
      </c>
      <c r="S777" s="253">
        <f>(10^((3.13*LOG((P777*10))+1.17)))/1000</f>
        <v>285.90807724552394</v>
      </c>
      <c r="T777" s="104" t="s">
        <v>703</v>
      </c>
      <c r="U777" s="108">
        <v>0.9</v>
      </c>
      <c r="V777" s="107">
        <v>39.799999999999997</v>
      </c>
      <c r="W777" s="114" t="s">
        <v>704</v>
      </c>
    </row>
    <row r="778" spans="1:23" ht="21" customHeight="1">
      <c r="A778" s="104" t="s">
        <v>218</v>
      </c>
      <c r="B778" s="104" t="s">
        <v>202</v>
      </c>
      <c r="C778" s="454" t="s">
        <v>219</v>
      </c>
      <c r="D778" s="105" t="s">
        <v>220</v>
      </c>
      <c r="E778" s="104">
        <v>30967</v>
      </c>
      <c r="F778" s="104" t="s">
        <v>1022</v>
      </c>
      <c r="G778" s="106" t="s">
        <v>110</v>
      </c>
      <c r="H778" s="104" t="s">
        <v>111</v>
      </c>
      <c r="I778" s="104" t="s">
        <v>104</v>
      </c>
      <c r="J778" s="104" t="s">
        <v>105</v>
      </c>
      <c r="K778" s="104" t="s">
        <v>143</v>
      </c>
      <c r="L778" s="104" t="s">
        <v>708</v>
      </c>
      <c r="M778" s="104" t="s">
        <v>114</v>
      </c>
      <c r="N778" s="108" t="s">
        <v>17</v>
      </c>
      <c r="O778" s="104" t="s">
        <v>17</v>
      </c>
      <c r="P778" s="113">
        <v>2.7</v>
      </c>
      <c r="Q778" s="113">
        <v>2.202</v>
      </c>
      <c r="R778" s="104" t="s">
        <v>17</v>
      </c>
      <c r="S778" s="253">
        <f>((10^((3.184*LOG((P778))+1.091))))</f>
        <v>291.38166800824348</v>
      </c>
      <c r="T778" s="104" t="s">
        <v>976</v>
      </c>
      <c r="U778" s="108">
        <v>0.93200000000000005</v>
      </c>
      <c r="V778" s="107">
        <v>34.700000000000003</v>
      </c>
      <c r="W778" s="106" t="s">
        <v>975</v>
      </c>
    </row>
    <row r="779" spans="1:23" ht="21" customHeight="1">
      <c r="A779" s="104" t="s">
        <v>218</v>
      </c>
      <c r="B779" s="104" t="s">
        <v>202</v>
      </c>
      <c r="C779" s="454" t="s">
        <v>219</v>
      </c>
      <c r="D779" s="105" t="s">
        <v>220</v>
      </c>
      <c r="E779" s="104">
        <v>30967</v>
      </c>
      <c r="F779" s="104" t="s">
        <v>1023</v>
      </c>
      <c r="G779" s="106" t="s">
        <v>110</v>
      </c>
      <c r="H779" s="104" t="s">
        <v>111</v>
      </c>
      <c r="I779" s="104" t="s">
        <v>104</v>
      </c>
      <c r="J779" s="104" t="s">
        <v>105</v>
      </c>
      <c r="K779" s="104" t="s">
        <v>155</v>
      </c>
      <c r="L779" s="104" t="s">
        <v>658</v>
      </c>
      <c r="M779" s="104" t="s">
        <v>114</v>
      </c>
      <c r="N779" s="108" t="s">
        <v>17</v>
      </c>
      <c r="O779" s="104" t="s">
        <v>17</v>
      </c>
      <c r="P779" s="113">
        <v>2.3959999999999999</v>
      </c>
      <c r="Q779" s="113">
        <v>2.3449999999999998</v>
      </c>
      <c r="R779" s="104" t="s">
        <v>17</v>
      </c>
      <c r="S779" s="253">
        <f>(10^((3.13*LOG((P779*10))+1.17)))/1000</f>
        <v>307.46361347573173</v>
      </c>
      <c r="T779" s="104" t="s">
        <v>703</v>
      </c>
      <c r="U779" s="108">
        <v>0.9</v>
      </c>
      <c r="V779" s="107">
        <v>39.799999999999997</v>
      </c>
      <c r="W779" s="114" t="s">
        <v>704</v>
      </c>
    </row>
    <row r="780" spans="1:23" s="333" customFormat="1" ht="53.25" customHeight="1">
      <c r="A780" s="104" t="s">
        <v>218</v>
      </c>
      <c r="B780" s="104" t="s">
        <v>202</v>
      </c>
      <c r="C780" s="454" t="s">
        <v>219</v>
      </c>
      <c r="D780" s="105" t="s">
        <v>220</v>
      </c>
      <c r="E780" s="104">
        <v>30967</v>
      </c>
      <c r="F780" s="104">
        <v>1028</v>
      </c>
      <c r="G780" s="106" t="s">
        <v>110</v>
      </c>
      <c r="H780" s="104" t="s">
        <v>111</v>
      </c>
      <c r="I780" s="104" t="s">
        <v>104</v>
      </c>
      <c r="J780" s="104" t="s">
        <v>105</v>
      </c>
      <c r="K780" s="104" t="s">
        <v>112</v>
      </c>
      <c r="L780" s="104" t="s">
        <v>663</v>
      </c>
      <c r="M780" s="104" t="s">
        <v>114</v>
      </c>
      <c r="N780" s="108" t="s">
        <v>17</v>
      </c>
      <c r="O780" s="104" t="s">
        <v>17</v>
      </c>
      <c r="P780" s="113">
        <v>2.29</v>
      </c>
      <c r="Q780" s="113">
        <v>1.214</v>
      </c>
      <c r="R780" s="104" t="s">
        <v>17</v>
      </c>
      <c r="S780" s="253">
        <f>(10^((3.263*LOG((P780))+1.337)))</f>
        <v>324.44656376312156</v>
      </c>
      <c r="T780" s="104" t="s">
        <v>977</v>
      </c>
      <c r="U780" s="108">
        <v>0.93300000000000005</v>
      </c>
      <c r="V780" s="107">
        <v>34.6</v>
      </c>
      <c r="W780" s="106" t="s">
        <v>975</v>
      </c>
    </row>
    <row r="781" spans="1:23" s="333" customFormat="1" ht="53.25" customHeight="1">
      <c r="A781" s="104" t="s">
        <v>218</v>
      </c>
      <c r="B781" s="104" t="s">
        <v>202</v>
      </c>
      <c r="C781" s="454" t="s">
        <v>219</v>
      </c>
      <c r="D781" s="105" t="s">
        <v>220</v>
      </c>
      <c r="E781" s="104">
        <v>30967</v>
      </c>
      <c r="F781" s="104" t="s">
        <v>1024</v>
      </c>
      <c r="G781" s="106" t="s">
        <v>110</v>
      </c>
      <c r="H781" s="104" t="s">
        <v>111</v>
      </c>
      <c r="I781" s="104" t="s">
        <v>104</v>
      </c>
      <c r="J781" s="104" t="s">
        <v>105</v>
      </c>
      <c r="K781" s="104" t="s">
        <v>155</v>
      </c>
      <c r="L781" s="104" t="s">
        <v>658</v>
      </c>
      <c r="M781" s="104" t="s">
        <v>114</v>
      </c>
      <c r="N781" s="108" t="s">
        <v>17</v>
      </c>
      <c r="O781" s="104" t="s">
        <v>17</v>
      </c>
      <c r="P781" s="113">
        <v>2.444</v>
      </c>
      <c r="Q781" s="113">
        <v>2.323</v>
      </c>
      <c r="R781" s="104" t="s">
        <v>17</v>
      </c>
      <c r="S781" s="253">
        <f>(10^((3.13*LOG((P781*10))+1.17)))/1000</f>
        <v>327.15740966329196</v>
      </c>
      <c r="T781" s="104" t="s">
        <v>703</v>
      </c>
      <c r="U781" s="108">
        <v>0.9</v>
      </c>
      <c r="V781" s="107">
        <v>39.799999999999997</v>
      </c>
      <c r="W781" s="114" t="s">
        <v>704</v>
      </c>
    </row>
    <row r="782" spans="1:23" s="333" customFormat="1" ht="53.25" customHeight="1">
      <c r="A782" s="104" t="s">
        <v>218</v>
      </c>
      <c r="B782" s="104" t="s">
        <v>202</v>
      </c>
      <c r="C782" s="454" t="s">
        <v>219</v>
      </c>
      <c r="D782" s="105" t="s">
        <v>220</v>
      </c>
      <c r="E782" s="104">
        <v>30967</v>
      </c>
      <c r="F782" s="104">
        <v>2576</v>
      </c>
      <c r="G782" s="106" t="s">
        <v>110</v>
      </c>
      <c r="H782" s="104" t="s">
        <v>111</v>
      </c>
      <c r="I782" s="104" t="s">
        <v>104</v>
      </c>
      <c r="J782" s="104" t="s">
        <v>105</v>
      </c>
      <c r="K782" s="104" t="s">
        <v>112</v>
      </c>
      <c r="L782" s="104" t="s">
        <v>663</v>
      </c>
      <c r="M782" s="104" t="s">
        <v>108</v>
      </c>
      <c r="N782" s="108" t="s">
        <v>17</v>
      </c>
      <c r="O782" s="104" t="s">
        <v>17</v>
      </c>
      <c r="P782" s="113">
        <v>2.3420000000000001</v>
      </c>
      <c r="Q782" s="113">
        <v>1.5489999999999999</v>
      </c>
      <c r="R782" s="104" t="s">
        <v>17</v>
      </c>
      <c r="S782" s="253">
        <f>(10^((3.263*LOG((P782))+1.337)))</f>
        <v>349.10978732668116</v>
      </c>
      <c r="T782" s="104" t="s">
        <v>977</v>
      </c>
      <c r="U782" s="108">
        <v>0.93300000000000005</v>
      </c>
      <c r="V782" s="107">
        <v>34.6</v>
      </c>
      <c r="W782" s="106" t="s">
        <v>975</v>
      </c>
    </row>
    <row r="783" spans="1:23" ht="21" customHeight="1">
      <c r="A783" s="104" t="s">
        <v>218</v>
      </c>
      <c r="B783" s="104" t="s">
        <v>202</v>
      </c>
      <c r="C783" s="454" t="s">
        <v>219</v>
      </c>
      <c r="D783" s="105" t="s">
        <v>220</v>
      </c>
      <c r="E783" s="104">
        <v>30967</v>
      </c>
      <c r="F783" s="104">
        <v>1878</v>
      </c>
      <c r="G783" s="106" t="s">
        <v>110</v>
      </c>
      <c r="H783" s="104" t="s">
        <v>111</v>
      </c>
      <c r="I783" s="104" t="s">
        <v>104</v>
      </c>
      <c r="J783" s="104" t="s">
        <v>105</v>
      </c>
      <c r="K783" s="104" t="s">
        <v>962</v>
      </c>
      <c r="L783" s="104" t="s">
        <v>658</v>
      </c>
      <c r="M783" s="104" t="s">
        <v>108</v>
      </c>
      <c r="N783" s="108" t="s">
        <v>17</v>
      </c>
      <c r="O783" s="104" t="s">
        <v>17</v>
      </c>
      <c r="P783" s="113">
        <v>2.5</v>
      </c>
      <c r="Q783" s="113">
        <v>2.4079999999999999</v>
      </c>
      <c r="R783" s="104" t="s">
        <v>17</v>
      </c>
      <c r="S783" s="253">
        <f>(10^((3.13*LOG((P783*10))+1.17)))/1000</f>
        <v>351.19815616880862</v>
      </c>
      <c r="T783" s="104" t="s">
        <v>703</v>
      </c>
      <c r="U783" s="108">
        <v>0.9</v>
      </c>
      <c r="V783" s="107">
        <v>39.799999999999997</v>
      </c>
      <c r="W783" s="114" t="s">
        <v>704</v>
      </c>
    </row>
    <row r="784" spans="1:23" ht="21" customHeight="1">
      <c r="A784" s="104" t="s">
        <v>218</v>
      </c>
      <c r="B784" s="104" t="s">
        <v>202</v>
      </c>
      <c r="C784" s="454" t="s">
        <v>219</v>
      </c>
      <c r="D784" s="105" t="s">
        <v>220</v>
      </c>
      <c r="E784" s="104">
        <v>30967</v>
      </c>
      <c r="F784" s="104">
        <v>2580</v>
      </c>
      <c r="G784" s="106" t="s">
        <v>110</v>
      </c>
      <c r="H784" s="104" t="s">
        <v>111</v>
      </c>
      <c r="I784" s="104" t="s">
        <v>104</v>
      </c>
      <c r="J784" s="104" t="s">
        <v>105</v>
      </c>
      <c r="K784" s="104" t="s">
        <v>112</v>
      </c>
      <c r="L784" s="104" t="s">
        <v>663</v>
      </c>
      <c r="M784" s="104" t="s">
        <v>114</v>
      </c>
      <c r="N784" s="108" t="s">
        <v>17</v>
      </c>
      <c r="O784" s="104" t="s">
        <v>17</v>
      </c>
      <c r="P784" s="113">
        <v>2.37</v>
      </c>
      <c r="Q784" s="113">
        <v>1.5550000000000002</v>
      </c>
      <c r="R784" s="104" t="s">
        <v>17</v>
      </c>
      <c r="S784" s="253">
        <f>(10^((3.263*LOG((P784))+1.337)))</f>
        <v>362.91410937584635</v>
      </c>
      <c r="T784" s="104" t="s">
        <v>977</v>
      </c>
      <c r="U784" s="108">
        <v>0.93300000000000005</v>
      </c>
      <c r="V784" s="107">
        <v>34.6</v>
      </c>
      <c r="W784" s="106" t="s">
        <v>975</v>
      </c>
    </row>
    <row r="785" spans="1:23" ht="21" customHeight="1">
      <c r="A785" s="104" t="s">
        <v>218</v>
      </c>
      <c r="B785" s="104" t="s">
        <v>202</v>
      </c>
      <c r="C785" s="454" t="s">
        <v>219</v>
      </c>
      <c r="D785" s="105" t="s">
        <v>220</v>
      </c>
      <c r="E785" s="104">
        <v>30967</v>
      </c>
      <c r="F785" s="104">
        <v>916</v>
      </c>
      <c r="G785" s="106" t="s">
        <v>110</v>
      </c>
      <c r="H785" s="104" t="s">
        <v>111</v>
      </c>
      <c r="I785" s="104" t="s">
        <v>104</v>
      </c>
      <c r="J785" s="104" t="s">
        <v>105</v>
      </c>
      <c r="K785" s="104" t="s">
        <v>112</v>
      </c>
      <c r="L785" s="104" t="s">
        <v>663</v>
      </c>
      <c r="M785" s="104" t="s">
        <v>108</v>
      </c>
      <c r="N785" s="108" t="s">
        <v>17</v>
      </c>
      <c r="O785" s="104" t="s">
        <v>17</v>
      </c>
      <c r="P785" s="113">
        <v>2.4</v>
      </c>
      <c r="Q785" s="113">
        <v>1.3069999999999999</v>
      </c>
      <c r="R785" s="104" t="s">
        <v>17</v>
      </c>
      <c r="S785" s="253">
        <f>(10^((3.263*LOG((P785))+1.337)))</f>
        <v>378.11968002048332</v>
      </c>
      <c r="T785" s="104" t="s">
        <v>977</v>
      </c>
      <c r="U785" s="108">
        <v>0.93300000000000005</v>
      </c>
      <c r="V785" s="107">
        <v>34.6</v>
      </c>
      <c r="W785" s="106" t="s">
        <v>975</v>
      </c>
    </row>
    <row r="786" spans="1:23" ht="21" customHeight="1">
      <c r="A786" s="104" t="s">
        <v>218</v>
      </c>
      <c r="B786" s="104" t="s">
        <v>202</v>
      </c>
      <c r="C786" s="454" t="s">
        <v>219</v>
      </c>
      <c r="D786" s="105" t="s">
        <v>220</v>
      </c>
      <c r="E786" s="104">
        <v>30967</v>
      </c>
      <c r="F786" s="104">
        <v>874</v>
      </c>
      <c r="G786" s="106" t="s">
        <v>110</v>
      </c>
      <c r="H786" s="104" t="s">
        <v>111</v>
      </c>
      <c r="I786" s="104" t="s">
        <v>104</v>
      </c>
      <c r="J786" s="104" t="s">
        <v>105</v>
      </c>
      <c r="K786" s="104" t="s">
        <v>112</v>
      </c>
      <c r="L786" s="104" t="s">
        <v>663</v>
      </c>
      <c r="M786" s="104" t="s">
        <v>114</v>
      </c>
      <c r="N786" s="108" t="s">
        <v>17</v>
      </c>
      <c r="O786" s="104" t="s">
        <v>17</v>
      </c>
      <c r="P786" s="113">
        <v>2.411</v>
      </c>
      <c r="Q786" s="113">
        <v>1.3800000000000001</v>
      </c>
      <c r="R786" s="104" t="s">
        <v>17</v>
      </c>
      <c r="S786" s="253">
        <f>(10^((3.263*LOG((P786))+1.337)))</f>
        <v>383.80400073128334</v>
      </c>
      <c r="T786" s="104" t="s">
        <v>977</v>
      </c>
      <c r="U786" s="108">
        <v>0.93300000000000005</v>
      </c>
      <c r="V786" s="107">
        <v>34.6</v>
      </c>
      <c r="W786" s="106" t="s">
        <v>975</v>
      </c>
    </row>
    <row r="787" spans="1:23" ht="21" customHeight="1">
      <c r="A787" s="104" t="s">
        <v>218</v>
      </c>
      <c r="B787" s="104" t="s">
        <v>221</v>
      </c>
      <c r="C787" s="454" t="s">
        <v>222</v>
      </c>
      <c r="D787" s="105" t="s">
        <v>151</v>
      </c>
      <c r="E787" s="104">
        <v>30967</v>
      </c>
      <c r="F787" s="104">
        <v>283</v>
      </c>
      <c r="G787" s="106" t="s">
        <v>110</v>
      </c>
      <c r="H787" s="104" t="s">
        <v>111</v>
      </c>
      <c r="I787" s="104" t="s">
        <v>104</v>
      </c>
      <c r="J787" s="104" t="s">
        <v>256</v>
      </c>
      <c r="K787" s="104" t="s">
        <v>112</v>
      </c>
      <c r="L787" s="104" t="s">
        <v>663</v>
      </c>
      <c r="M787" s="104" t="s">
        <v>108</v>
      </c>
      <c r="N787" s="108"/>
      <c r="O787" s="104"/>
      <c r="P787" s="108">
        <v>1.1399999999999999</v>
      </c>
      <c r="Q787" s="108">
        <v>1.02</v>
      </c>
      <c r="R787" s="104"/>
      <c r="S787" s="253">
        <f>(10^((3.334*LOG((P787))+1.27)))</f>
        <v>28.821778375501705</v>
      </c>
      <c r="T787" s="104" t="s">
        <v>1027</v>
      </c>
      <c r="U787" s="108">
        <v>0.93</v>
      </c>
      <c r="V787" s="107">
        <v>23.9</v>
      </c>
      <c r="W787" s="106" t="s">
        <v>1028</v>
      </c>
    </row>
    <row r="788" spans="1:23" ht="21" customHeight="1">
      <c r="A788" s="104" t="s">
        <v>218</v>
      </c>
      <c r="B788" s="104" t="s">
        <v>221</v>
      </c>
      <c r="C788" s="454" t="s">
        <v>222</v>
      </c>
      <c r="D788" s="105" t="s">
        <v>151</v>
      </c>
      <c r="E788" s="104">
        <v>30967</v>
      </c>
      <c r="F788" s="104">
        <v>1628</v>
      </c>
      <c r="G788" s="106" t="s">
        <v>110</v>
      </c>
      <c r="H788" s="104" t="s">
        <v>111</v>
      </c>
      <c r="I788" s="104" t="s">
        <v>104</v>
      </c>
      <c r="J788" s="104" t="s">
        <v>256</v>
      </c>
      <c r="K788" s="104" t="s">
        <v>126</v>
      </c>
      <c r="L788" s="104" t="s">
        <v>636</v>
      </c>
      <c r="M788" s="104" t="s">
        <v>108</v>
      </c>
      <c r="N788" s="108"/>
      <c r="O788" s="104"/>
      <c r="P788" s="108">
        <v>1.88</v>
      </c>
      <c r="Q788" s="108">
        <v>0.95</v>
      </c>
      <c r="R788" s="104"/>
      <c r="S788" s="253">
        <f>(10^((3.143*LOG((P788))+0.799)))</f>
        <v>45.780245811415675</v>
      </c>
      <c r="T788" s="104" t="s">
        <v>1049</v>
      </c>
      <c r="U788" s="108">
        <v>0.96</v>
      </c>
      <c r="V788" s="107">
        <v>19.100000000000001</v>
      </c>
      <c r="W788" s="106" t="s">
        <v>1050</v>
      </c>
    </row>
    <row r="789" spans="1:23" ht="30" customHeight="1">
      <c r="A789" s="104" t="s">
        <v>218</v>
      </c>
      <c r="B789" s="104" t="s">
        <v>221</v>
      </c>
      <c r="C789" s="454" t="s">
        <v>222</v>
      </c>
      <c r="D789" s="105" t="s">
        <v>151</v>
      </c>
      <c r="E789" s="104">
        <v>30967</v>
      </c>
      <c r="F789" s="104">
        <v>305</v>
      </c>
      <c r="G789" s="106" t="s">
        <v>110</v>
      </c>
      <c r="H789" s="104" t="s">
        <v>111</v>
      </c>
      <c r="I789" s="104" t="s">
        <v>104</v>
      </c>
      <c r="J789" s="104" t="s">
        <v>256</v>
      </c>
      <c r="K789" s="104" t="s">
        <v>155</v>
      </c>
      <c r="L789" s="104" t="s">
        <v>658</v>
      </c>
      <c r="M789" s="104" t="s">
        <v>108</v>
      </c>
      <c r="N789" s="108"/>
      <c r="O789" s="104"/>
      <c r="P789" s="108">
        <v>1.36</v>
      </c>
      <c r="Q789" s="108">
        <v>1.42</v>
      </c>
      <c r="R789" s="104"/>
      <c r="S789" s="253">
        <f>(10^((3.21*LOG((P789*10))+1.07)))/1000</f>
        <v>51.128128478452524</v>
      </c>
      <c r="T789" s="104" t="s">
        <v>659</v>
      </c>
      <c r="U789" s="108">
        <v>0.96</v>
      </c>
      <c r="V789" s="107">
        <v>35.1</v>
      </c>
      <c r="W789" s="106" t="s">
        <v>644</v>
      </c>
    </row>
    <row r="790" spans="1:23" ht="21" customHeight="1">
      <c r="A790" s="104" t="s">
        <v>218</v>
      </c>
      <c r="B790" s="104" t="s">
        <v>221</v>
      </c>
      <c r="C790" s="454" t="s">
        <v>222</v>
      </c>
      <c r="D790" s="105" t="s">
        <v>151</v>
      </c>
      <c r="E790" s="104">
        <v>30967</v>
      </c>
      <c r="F790" s="104">
        <v>1822</v>
      </c>
      <c r="G790" s="106" t="s">
        <v>110</v>
      </c>
      <c r="H790" s="104" t="s">
        <v>111</v>
      </c>
      <c r="I790" s="104" t="s">
        <v>104</v>
      </c>
      <c r="J790" s="104" t="s">
        <v>105</v>
      </c>
      <c r="K790" s="104" t="s">
        <v>112</v>
      </c>
      <c r="L790" s="104" t="s">
        <v>663</v>
      </c>
      <c r="M790" s="104" t="s">
        <v>114</v>
      </c>
      <c r="N790" s="108" t="s">
        <v>17</v>
      </c>
      <c r="O790" s="104" t="s">
        <v>17</v>
      </c>
      <c r="P790" s="108">
        <v>1.3720000000000001</v>
      </c>
      <c r="Q790" s="108"/>
      <c r="R790" s="104" t="s">
        <v>17</v>
      </c>
      <c r="S790" s="253">
        <f>(10^((3.334*LOG((P790))+1.27)))</f>
        <v>53.448879770822366</v>
      </c>
      <c r="T790" s="104" t="s">
        <v>1027</v>
      </c>
      <c r="U790" s="108">
        <v>0.93</v>
      </c>
      <c r="V790" s="107">
        <v>23.9</v>
      </c>
      <c r="W790" s="106" t="s">
        <v>1028</v>
      </c>
    </row>
    <row r="791" spans="1:23" ht="21" customHeight="1">
      <c r="A791" s="104" t="s">
        <v>218</v>
      </c>
      <c r="B791" s="104" t="s">
        <v>221</v>
      </c>
      <c r="C791" s="454" t="s">
        <v>222</v>
      </c>
      <c r="D791" s="105" t="s">
        <v>151</v>
      </c>
      <c r="E791" s="104">
        <v>30967</v>
      </c>
      <c r="F791" s="104">
        <v>1822</v>
      </c>
      <c r="G791" s="106" t="s">
        <v>110</v>
      </c>
      <c r="H791" s="104" t="s">
        <v>111</v>
      </c>
      <c r="I791" s="104" t="s">
        <v>104</v>
      </c>
      <c r="J791" s="104" t="s">
        <v>256</v>
      </c>
      <c r="K791" s="104" t="s">
        <v>155</v>
      </c>
      <c r="L791" s="104" t="s">
        <v>658</v>
      </c>
      <c r="M791" s="104" t="s">
        <v>108</v>
      </c>
      <c r="N791" s="108"/>
      <c r="O791" s="104"/>
      <c r="P791" s="108">
        <v>1.49</v>
      </c>
      <c r="Q791" s="108">
        <v>1.44</v>
      </c>
      <c r="R791" s="104"/>
      <c r="S791" s="253">
        <f>(10^((3.21*LOG((P791*10))+1.07)))/1000</f>
        <v>68.5374467714242</v>
      </c>
      <c r="T791" s="104" t="s">
        <v>659</v>
      </c>
      <c r="U791" s="108">
        <v>0.96</v>
      </c>
      <c r="V791" s="107">
        <v>35.1</v>
      </c>
      <c r="W791" s="106" t="s">
        <v>644</v>
      </c>
    </row>
    <row r="792" spans="1:23" ht="21" customHeight="1">
      <c r="A792" s="104" t="s">
        <v>218</v>
      </c>
      <c r="B792" s="104" t="s">
        <v>187</v>
      </c>
      <c r="C792" s="454" t="s">
        <v>188</v>
      </c>
      <c r="D792" s="105" t="s">
        <v>189</v>
      </c>
      <c r="E792" s="104">
        <v>30967</v>
      </c>
      <c r="F792" s="104">
        <v>1036</v>
      </c>
      <c r="G792" s="106" t="s">
        <v>110</v>
      </c>
      <c r="H792" s="104" t="s">
        <v>111</v>
      </c>
      <c r="I792" s="104" t="s">
        <v>104</v>
      </c>
      <c r="J792" s="104" t="s">
        <v>105</v>
      </c>
      <c r="K792" s="104" t="s">
        <v>155</v>
      </c>
      <c r="L792" s="104" t="s">
        <v>658</v>
      </c>
      <c r="M792" s="104" t="s">
        <v>114</v>
      </c>
      <c r="N792" s="108" t="s">
        <v>17</v>
      </c>
      <c r="O792" s="104" t="s">
        <v>17</v>
      </c>
      <c r="P792" s="113">
        <v>1.484</v>
      </c>
      <c r="Q792" s="113">
        <v>1.4570000000000001</v>
      </c>
      <c r="R792" s="104" t="s">
        <v>17</v>
      </c>
      <c r="S792" s="253">
        <f>(10^((3.11*LOG((P792*10))+1.11)))/1000</f>
        <v>56.644719680722432</v>
      </c>
      <c r="T792" s="104" t="s">
        <v>1124</v>
      </c>
      <c r="U792" s="108">
        <v>0.97</v>
      </c>
      <c r="V792" s="107">
        <v>34.6</v>
      </c>
      <c r="W792" s="106" t="s">
        <v>1125</v>
      </c>
    </row>
    <row r="793" spans="1:23" ht="21" customHeight="1">
      <c r="A793" s="104" t="s">
        <v>218</v>
      </c>
      <c r="B793" s="104" t="s">
        <v>187</v>
      </c>
      <c r="C793" s="454" t="s">
        <v>188</v>
      </c>
      <c r="D793" s="105" t="s">
        <v>189</v>
      </c>
      <c r="E793" s="104">
        <v>30967</v>
      </c>
      <c r="F793" s="104">
        <v>1646</v>
      </c>
      <c r="G793" s="106" t="s">
        <v>110</v>
      </c>
      <c r="H793" s="104" t="s">
        <v>111</v>
      </c>
      <c r="I793" s="104" t="s">
        <v>104</v>
      </c>
      <c r="J793" s="104" t="s">
        <v>256</v>
      </c>
      <c r="K793" s="104" t="s">
        <v>143</v>
      </c>
      <c r="L793" s="104" t="s">
        <v>1141</v>
      </c>
      <c r="M793" s="104" t="s">
        <v>114</v>
      </c>
      <c r="N793" s="108" t="s">
        <v>17</v>
      </c>
      <c r="O793" s="104" t="s">
        <v>17</v>
      </c>
      <c r="P793" s="113">
        <v>1.83</v>
      </c>
      <c r="Q793" s="113">
        <v>1.39</v>
      </c>
      <c r="R793" s="104" t="s">
        <v>17</v>
      </c>
      <c r="S793" s="253">
        <f>(10^((3.201*LOG((P793))+1.13)))</f>
        <v>93.348197894995934</v>
      </c>
      <c r="T793" s="104" t="s">
        <v>1139</v>
      </c>
      <c r="U793" s="108">
        <v>0.94399999999999995</v>
      </c>
      <c r="V793" s="107">
        <v>31.1</v>
      </c>
      <c r="W793" s="106" t="s">
        <v>975</v>
      </c>
    </row>
    <row r="794" spans="1:23" ht="21" customHeight="1">
      <c r="A794" s="104" t="s">
        <v>218</v>
      </c>
      <c r="B794" s="104" t="s">
        <v>187</v>
      </c>
      <c r="C794" s="454" t="s">
        <v>188</v>
      </c>
      <c r="D794" s="105" t="s">
        <v>189</v>
      </c>
      <c r="E794" s="104">
        <v>30967</v>
      </c>
      <c r="F794" s="104">
        <v>707</v>
      </c>
      <c r="G794" s="106" t="s">
        <v>110</v>
      </c>
      <c r="H794" s="104" t="s">
        <v>111</v>
      </c>
      <c r="I794" s="104" t="s">
        <v>104</v>
      </c>
      <c r="J794" s="104" t="s">
        <v>105</v>
      </c>
      <c r="K794" s="104" t="s">
        <v>158</v>
      </c>
      <c r="L794" s="104" t="s">
        <v>686</v>
      </c>
      <c r="M794" s="104" t="s">
        <v>292</v>
      </c>
      <c r="N794" s="108" t="s">
        <v>17</v>
      </c>
      <c r="O794" s="104" t="s">
        <v>17</v>
      </c>
      <c r="P794" s="113">
        <v>2.194</v>
      </c>
      <c r="Q794" s="113">
        <v>1.8</v>
      </c>
      <c r="R794" s="104" t="s">
        <v>17</v>
      </c>
      <c r="S794" s="253">
        <f>(10^((2.63*LOG((P794*10))+1.49)))/1000</f>
        <v>104.10038102813142</v>
      </c>
      <c r="T794" s="104" t="s">
        <v>1131</v>
      </c>
      <c r="U794" s="108">
        <v>0.88</v>
      </c>
      <c r="V794" s="107">
        <v>64.05</v>
      </c>
      <c r="W794" s="106" t="s">
        <v>1130</v>
      </c>
    </row>
    <row r="795" spans="1:23" ht="21" customHeight="1">
      <c r="A795" s="104" t="s">
        <v>273</v>
      </c>
      <c r="B795" s="104" t="s">
        <v>74</v>
      </c>
      <c r="C795" s="454" t="s">
        <v>266</v>
      </c>
      <c r="D795" s="105" t="s">
        <v>282</v>
      </c>
      <c r="E795" s="104">
        <v>977</v>
      </c>
      <c r="F795" s="104">
        <v>4</v>
      </c>
      <c r="G795" s="106" t="s">
        <v>110</v>
      </c>
      <c r="H795" s="104" t="s">
        <v>111</v>
      </c>
      <c r="I795" s="104" t="s">
        <v>104</v>
      </c>
      <c r="J795" s="104" t="s">
        <v>256</v>
      </c>
      <c r="K795" s="104" t="s">
        <v>112</v>
      </c>
      <c r="L795" s="104" t="s">
        <v>663</v>
      </c>
      <c r="M795" s="104" t="s">
        <v>108</v>
      </c>
      <c r="N795" s="108"/>
      <c r="O795" s="104"/>
      <c r="P795" s="108">
        <v>3.65</v>
      </c>
      <c r="Q795" s="108"/>
      <c r="R795" s="104"/>
      <c r="S795" s="253">
        <f>(10^((2.93*LOG((P795))+0.27)))</f>
        <v>82.702396195292778</v>
      </c>
      <c r="T795" s="104" t="s">
        <v>1167</v>
      </c>
      <c r="U795" s="108">
        <v>0.96</v>
      </c>
      <c r="V795" s="107">
        <v>12.4</v>
      </c>
      <c r="W795" s="114" t="s">
        <v>279</v>
      </c>
    </row>
    <row r="796" spans="1:23" ht="21" customHeight="1">
      <c r="A796" s="104" t="s">
        <v>273</v>
      </c>
      <c r="B796" s="104" t="s">
        <v>74</v>
      </c>
      <c r="C796" s="454" t="s">
        <v>266</v>
      </c>
      <c r="D796" s="105" t="s">
        <v>282</v>
      </c>
      <c r="E796" s="104">
        <v>30967</v>
      </c>
      <c r="F796" s="104" t="s">
        <v>1150</v>
      </c>
      <c r="G796" s="106" t="s">
        <v>110</v>
      </c>
      <c r="H796" s="104" t="s">
        <v>111</v>
      </c>
      <c r="I796" s="104" t="s">
        <v>104</v>
      </c>
      <c r="J796" s="104" t="s">
        <v>105</v>
      </c>
      <c r="K796" s="104" t="s">
        <v>401</v>
      </c>
      <c r="L796" s="104" t="s">
        <v>402</v>
      </c>
      <c r="M796" s="104" t="s">
        <v>108</v>
      </c>
      <c r="N796" s="254"/>
      <c r="O796" s="103"/>
      <c r="P796" s="113">
        <v>3.2369999999999997</v>
      </c>
      <c r="Q796" s="113">
        <v>2.5640000000000001</v>
      </c>
      <c r="R796" s="104" t="s">
        <v>17</v>
      </c>
      <c r="S796" s="253">
        <f>(10^((3.16*LOG((P796*10))+-0.36)))/1000</f>
        <v>25.825630324119498</v>
      </c>
      <c r="T796" s="104" t="s">
        <v>1151</v>
      </c>
      <c r="U796" s="108">
        <v>0.98994949366116658</v>
      </c>
      <c r="V796" s="107">
        <v>12</v>
      </c>
      <c r="W796" s="114" t="s">
        <v>284</v>
      </c>
    </row>
    <row r="797" spans="1:23" ht="21" customHeight="1">
      <c r="A797" s="104" t="s">
        <v>273</v>
      </c>
      <c r="B797" s="104" t="s">
        <v>74</v>
      </c>
      <c r="C797" s="454" t="s">
        <v>266</v>
      </c>
      <c r="D797" s="105" t="s">
        <v>282</v>
      </c>
      <c r="E797" s="104">
        <v>30967</v>
      </c>
      <c r="F797" s="104">
        <v>955</v>
      </c>
      <c r="G797" s="106" t="s">
        <v>110</v>
      </c>
      <c r="H797" s="104" t="s">
        <v>111</v>
      </c>
      <c r="I797" s="104" t="s">
        <v>104</v>
      </c>
      <c r="J797" s="104" t="s">
        <v>105</v>
      </c>
      <c r="K797" s="104" t="s">
        <v>394</v>
      </c>
      <c r="L797" s="104" t="s">
        <v>671</v>
      </c>
      <c r="M797" s="104" t="s">
        <v>114</v>
      </c>
      <c r="N797" s="108" t="s">
        <v>17</v>
      </c>
      <c r="O797" s="104" t="s">
        <v>17</v>
      </c>
      <c r="P797" s="108">
        <v>6.6819999999999995</v>
      </c>
      <c r="Q797" s="108" t="s">
        <v>17</v>
      </c>
      <c r="R797" s="104" t="s">
        <v>17</v>
      </c>
      <c r="S797" s="253">
        <v>45.652714747704785</v>
      </c>
      <c r="T797" s="104" t="s">
        <v>1166</v>
      </c>
      <c r="U797" s="108">
        <v>0.98994949366116658</v>
      </c>
      <c r="V797" s="107">
        <v>11.1</v>
      </c>
      <c r="W797" s="114" t="s">
        <v>284</v>
      </c>
    </row>
    <row r="798" spans="1:23" ht="21" customHeight="1">
      <c r="A798" s="104" t="s">
        <v>273</v>
      </c>
      <c r="B798" s="104" t="s">
        <v>74</v>
      </c>
      <c r="C798" s="454" t="s">
        <v>266</v>
      </c>
      <c r="D798" s="105" t="s">
        <v>282</v>
      </c>
      <c r="E798" s="104">
        <v>30967</v>
      </c>
      <c r="F798" s="104" t="s">
        <v>1168</v>
      </c>
      <c r="G798" s="106" t="s">
        <v>110</v>
      </c>
      <c r="H798" s="104" t="s">
        <v>111</v>
      </c>
      <c r="I798" s="104" t="s">
        <v>104</v>
      </c>
      <c r="J798" s="104" t="s">
        <v>105</v>
      </c>
      <c r="K798" s="104" t="s">
        <v>394</v>
      </c>
      <c r="L798" s="104" t="s">
        <v>671</v>
      </c>
      <c r="M798" s="104" t="s">
        <v>108</v>
      </c>
      <c r="N798" s="108" t="s">
        <v>17</v>
      </c>
      <c r="O798" s="104" t="s">
        <v>17</v>
      </c>
      <c r="P798" s="108">
        <v>6.8430000000000009</v>
      </c>
      <c r="Q798" s="108" t="s">
        <v>17</v>
      </c>
      <c r="R798" s="104" t="s">
        <v>17</v>
      </c>
      <c r="S798" s="253">
        <v>49.067848556007291</v>
      </c>
      <c r="T798" s="104" t="s">
        <v>1166</v>
      </c>
      <c r="U798" s="108">
        <v>0.98994949366116658</v>
      </c>
      <c r="V798" s="107">
        <v>11.1</v>
      </c>
      <c r="W798" s="114" t="s">
        <v>284</v>
      </c>
    </row>
    <row r="799" spans="1:23" ht="21" customHeight="1">
      <c r="A799" s="104" t="s">
        <v>273</v>
      </c>
      <c r="B799" s="104" t="s">
        <v>74</v>
      </c>
      <c r="C799" s="454" t="s">
        <v>266</v>
      </c>
      <c r="D799" s="105" t="s">
        <v>282</v>
      </c>
      <c r="E799" s="104">
        <v>30967</v>
      </c>
      <c r="F799" s="104" t="s">
        <v>1169</v>
      </c>
      <c r="G799" s="106" t="s">
        <v>110</v>
      </c>
      <c r="H799" s="104" t="s">
        <v>111</v>
      </c>
      <c r="I799" s="104" t="s">
        <v>104</v>
      </c>
      <c r="J799" s="104" t="s">
        <v>105</v>
      </c>
      <c r="K799" s="104" t="s">
        <v>143</v>
      </c>
      <c r="L799" s="104" t="s">
        <v>408</v>
      </c>
      <c r="M799" s="104" t="s">
        <v>114</v>
      </c>
      <c r="N799" s="108" t="s">
        <v>17</v>
      </c>
      <c r="O799" s="104" t="s">
        <v>17</v>
      </c>
      <c r="P799" s="113">
        <v>1.4449999999999998</v>
      </c>
      <c r="Q799" s="113">
        <v>0.97399999999999998</v>
      </c>
      <c r="R799" s="104" t="s">
        <v>17</v>
      </c>
      <c r="S799" s="253">
        <f>((10^(((LOG((P799*10)))*1.99229)+2.38459)))/1000</f>
        <v>49.588744526033246</v>
      </c>
      <c r="T799" s="104" t="s">
        <v>1170</v>
      </c>
      <c r="U799" s="108">
        <v>0.9</v>
      </c>
      <c r="V799" s="107" t="s">
        <v>287</v>
      </c>
      <c r="W799" s="114" t="s">
        <v>269</v>
      </c>
    </row>
    <row r="800" spans="1:23" ht="21" customHeight="1">
      <c r="A800" s="104" t="s">
        <v>273</v>
      </c>
      <c r="B800" s="104" t="s">
        <v>74</v>
      </c>
      <c r="C800" s="454" t="s">
        <v>266</v>
      </c>
      <c r="D800" s="105" t="s">
        <v>282</v>
      </c>
      <c r="E800" s="104">
        <v>30967</v>
      </c>
      <c r="F800" s="104" t="s">
        <v>1172</v>
      </c>
      <c r="G800" s="106" t="s">
        <v>110</v>
      </c>
      <c r="H800" s="104" t="s">
        <v>111</v>
      </c>
      <c r="I800" s="104" t="s">
        <v>104</v>
      </c>
      <c r="J800" s="104" t="s">
        <v>105</v>
      </c>
      <c r="K800" s="104" t="s">
        <v>143</v>
      </c>
      <c r="L800" s="104" t="s">
        <v>408</v>
      </c>
      <c r="M800" s="104" t="s">
        <v>114</v>
      </c>
      <c r="N800" s="108" t="s">
        <v>17</v>
      </c>
      <c r="O800" s="104" t="s">
        <v>17</v>
      </c>
      <c r="P800" s="113">
        <v>1.48</v>
      </c>
      <c r="Q800" s="113">
        <v>1.4929999999999999</v>
      </c>
      <c r="R800" s="104" t="s">
        <v>17</v>
      </c>
      <c r="S800" s="253">
        <f>((10^(((LOG((P800*10)))*1.99229)+2.38459)))/1000</f>
        <v>52.01046216873636</v>
      </c>
      <c r="T800" s="104" t="s">
        <v>1170</v>
      </c>
      <c r="U800" s="108">
        <v>0.9</v>
      </c>
      <c r="V800" s="107" t="s">
        <v>287</v>
      </c>
      <c r="W800" s="114" t="s">
        <v>269</v>
      </c>
    </row>
    <row r="801" spans="1:23" ht="21" customHeight="1">
      <c r="A801" s="104" t="s">
        <v>273</v>
      </c>
      <c r="B801" s="104" t="s">
        <v>74</v>
      </c>
      <c r="C801" s="454" t="s">
        <v>266</v>
      </c>
      <c r="D801" s="105" t="s">
        <v>282</v>
      </c>
      <c r="E801" s="104">
        <v>30967</v>
      </c>
      <c r="F801" s="104" t="s">
        <v>1173</v>
      </c>
      <c r="G801" s="106" t="s">
        <v>110</v>
      </c>
      <c r="H801" s="104" t="s">
        <v>111</v>
      </c>
      <c r="I801" s="104" t="s">
        <v>104</v>
      </c>
      <c r="J801" s="104" t="s">
        <v>105</v>
      </c>
      <c r="K801" s="104" t="s">
        <v>121</v>
      </c>
      <c r="L801" s="104" t="s">
        <v>1041</v>
      </c>
      <c r="M801" s="104"/>
      <c r="N801" s="108" t="s">
        <v>17</v>
      </c>
      <c r="O801" s="104" t="s">
        <v>17</v>
      </c>
      <c r="P801" s="108">
        <v>5.556</v>
      </c>
      <c r="Q801" s="113">
        <v>4.3479999999999999</v>
      </c>
      <c r="R801" s="104" t="s">
        <v>17</v>
      </c>
      <c r="S801" s="253">
        <f>(10^(((LOG(P801*10))*2.5861)+0.2138))/1000</f>
        <v>53.202203651230718</v>
      </c>
      <c r="T801" s="104" t="s">
        <v>1174</v>
      </c>
      <c r="U801" s="108">
        <v>0.94</v>
      </c>
      <c r="V801" s="107" t="s">
        <v>287</v>
      </c>
      <c r="W801" s="114" t="s">
        <v>269</v>
      </c>
    </row>
    <row r="802" spans="1:23" ht="21" customHeight="1">
      <c r="A802" s="104" t="s">
        <v>273</v>
      </c>
      <c r="B802" s="104" t="s">
        <v>74</v>
      </c>
      <c r="C802" s="454" t="s">
        <v>266</v>
      </c>
      <c r="D802" s="105" t="s">
        <v>282</v>
      </c>
      <c r="E802" s="104">
        <v>30967</v>
      </c>
      <c r="F802" s="104">
        <v>300</v>
      </c>
      <c r="G802" s="106" t="s">
        <v>110</v>
      </c>
      <c r="H802" s="104" t="s">
        <v>111</v>
      </c>
      <c r="I802" s="104" t="s">
        <v>104</v>
      </c>
      <c r="J802" s="104" t="s">
        <v>105</v>
      </c>
      <c r="K802" s="104" t="s">
        <v>112</v>
      </c>
      <c r="L802" s="104" t="s">
        <v>663</v>
      </c>
      <c r="M802" s="104" t="s">
        <v>108</v>
      </c>
      <c r="N802" s="108" t="s">
        <v>17</v>
      </c>
      <c r="O802" s="104" t="s">
        <v>17</v>
      </c>
      <c r="P802" s="108">
        <v>3.4470000000000001</v>
      </c>
      <c r="Q802" s="108">
        <v>1.35</v>
      </c>
      <c r="R802" s="104" t="s">
        <v>17</v>
      </c>
      <c r="S802" s="253">
        <v>59.525487434520343</v>
      </c>
      <c r="T802" s="104" t="s">
        <v>1167</v>
      </c>
      <c r="U802" s="108">
        <v>0.96</v>
      </c>
      <c r="V802" s="107">
        <v>12.4</v>
      </c>
      <c r="W802" s="114" t="s">
        <v>279</v>
      </c>
    </row>
    <row r="803" spans="1:23" ht="21" customHeight="1">
      <c r="A803" s="104" t="s">
        <v>273</v>
      </c>
      <c r="B803" s="104" t="s">
        <v>74</v>
      </c>
      <c r="C803" s="454" t="s">
        <v>266</v>
      </c>
      <c r="D803" s="105" t="s">
        <v>282</v>
      </c>
      <c r="E803" s="104">
        <v>30967</v>
      </c>
      <c r="F803" s="104">
        <v>1937</v>
      </c>
      <c r="G803" s="106" t="s">
        <v>110</v>
      </c>
      <c r="H803" s="104" t="s">
        <v>111</v>
      </c>
      <c r="I803" s="104" t="s">
        <v>104</v>
      </c>
      <c r="J803" s="104" t="s">
        <v>105</v>
      </c>
      <c r="K803" s="104" t="s">
        <v>155</v>
      </c>
      <c r="L803" s="104" t="s">
        <v>658</v>
      </c>
      <c r="M803" s="104"/>
      <c r="N803" s="108" t="s">
        <v>17</v>
      </c>
      <c r="O803" s="104" t="s">
        <v>17</v>
      </c>
      <c r="P803" s="108">
        <v>2.06</v>
      </c>
      <c r="Q803" s="108">
        <v>2.7600000000000002</v>
      </c>
      <c r="R803" s="104" t="s">
        <v>17</v>
      </c>
      <c r="S803" s="253">
        <f>((10^(((LOG((P803*10)))*2.5447)+1.4669)))/1000</f>
        <v>64.609728440712615</v>
      </c>
      <c r="T803" s="104" t="s">
        <v>1152</v>
      </c>
      <c r="U803" s="108">
        <v>0.88</v>
      </c>
      <c r="V803" s="107" t="s">
        <v>287</v>
      </c>
      <c r="W803" s="114" t="s">
        <v>410</v>
      </c>
    </row>
    <row r="804" spans="1:23" ht="21" customHeight="1">
      <c r="A804" s="104" t="s">
        <v>273</v>
      </c>
      <c r="B804" s="104" t="s">
        <v>74</v>
      </c>
      <c r="C804" s="454" t="s">
        <v>266</v>
      </c>
      <c r="D804" s="105" t="s">
        <v>282</v>
      </c>
      <c r="E804" s="104">
        <v>30967</v>
      </c>
      <c r="F804" s="104" t="s">
        <v>1168</v>
      </c>
      <c r="G804" s="106" t="s">
        <v>110</v>
      </c>
      <c r="H804" s="104" t="s">
        <v>111</v>
      </c>
      <c r="I804" s="104" t="s">
        <v>104</v>
      </c>
      <c r="J804" s="104" t="s">
        <v>105</v>
      </c>
      <c r="K804" s="104" t="s">
        <v>394</v>
      </c>
      <c r="L804" s="104" t="s">
        <v>671</v>
      </c>
      <c r="M804" s="104" t="s">
        <v>108</v>
      </c>
      <c r="N804" s="108" t="s">
        <v>17</v>
      </c>
      <c r="O804" s="104" t="s">
        <v>17</v>
      </c>
      <c r="P804" s="108">
        <v>7.5030000000000001</v>
      </c>
      <c r="Q804" s="108" t="s">
        <v>17</v>
      </c>
      <c r="R804" s="104" t="s">
        <v>17</v>
      </c>
      <c r="S804" s="253">
        <v>64.857751402029066</v>
      </c>
      <c r="T804" s="104" t="s">
        <v>1166</v>
      </c>
      <c r="U804" s="108">
        <v>0.98994949366116658</v>
      </c>
      <c r="V804" s="107">
        <v>11.1</v>
      </c>
      <c r="W804" s="114" t="s">
        <v>284</v>
      </c>
    </row>
    <row r="805" spans="1:23" ht="21" customHeight="1">
      <c r="A805" s="104" t="s">
        <v>273</v>
      </c>
      <c r="B805" s="104" t="s">
        <v>74</v>
      </c>
      <c r="C805" s="454" t="s">
        <v>266</v>
      </c>
      <c r="D805" s="105" t="s">
        <v>282</v>
      </c>
      <c r="E805" s="104">
        <v>30967</v>
      </c>
      <c r="F805" s="104">
        <v>299</v>
      </c>
      <c r="G805" s="106" t="s">
        <v>110</v>
      </c>
      <c r="H805" s="104" t="s">
        <v>111</v>
      </c>
      <c r="I805" s="104" t="s">
        <v>104</v>
      </c>
      <c r="J805" s="104" t="s">
        <v>105</v>
      </c>
      <c r="K805" s="104" t="s">
        <v>112</v>
      </c>
      <c r="L805" s="104" t="s">
        <v>663</v>
      </c>
      <c r="M805" s="104"/>
      <c r="N805" s="108" t="s">
        <v>17</v>
      </c>
      <c r="O805" s="104" t="s">
        <v>17</v>
      </c>
      <c r="P805" s="108">
        <v>3.65</v>
      </c>
      <c r="Q805" s="108" t="s">
        <v>17</v>
      </c>
      <c r="R805" s="104" t="s">
        <v>17</v>
      </c>
      <c r="S805" s="253">
        <v>70.391155252297082</v>
      </c>
      <c r="T805" s="104" t="s">
        <v>1167</v>
      </c>
      <c r="U805" s="108">
        <v>0.96</v>
      </c>
      <c r="V805" s="107">
        <v>12.4</v>
      </c>
      <c r="W805" s="114" t="s">
        <v>284</v>
      </c>
    </row>
    <row r="806" spans="1:23" ht="21" customHeight="1">
      <c r="A806" s="104" t="s">
        <v>273</v>
      </c>
      <c r="B806" s="104" t="s">
        <v>74</v>
      </c>
      <c r="C806" s="454" t="s">
        <v>266</v>
      </c>
      <c r="D806" s="105" t="s">
        <v>282</v>
      </c>
      <c r="E806" s="104">
        <v>30967</v>
      </c>
      <c r="F806" s="104">
        <v>1030</v>
      </c>
      <c r="G806" s="106" t="s">
        <v>110</v>
      </c>
      <c r="H806" s="104" t="s">
        <v>111</v>
      </c>
      <c r="I806" s="104" t="s">
        <v>104</v>
      </c>
      <c r="J806" s="104" t="s">
        <v>105</v>
      </c>
      <c r="K806" s="104" t="s">
        <v>155</v>
      </c>
      <c r="L806" s="104" t="s">
        <v>658</v>
      </c>
      <c r="M806" s="104" t="s">
        <v>114</v>
      </c>
      <c r="N806" s="108" t="s">
        <v>17</v>
      </c>
      <c r="O806" s="104" t="s">
        <v>17</v>
      </c>
      <c r="P806" s="108">
        <v>2.198</v>
      </c>
      <c r="Q806" s="108">
        <v>1.8539999999999999</v>
      </c>
      <c r="R806" s="104" t="s">
        <v>17</v>
      </c>
      <c r="S806" s="253">
        <f>((10^(((LOG((P806*10)))*2.5447)+1.4669)))/1000</f>
        <v>76.20050646468755</v>
      </c>
      <c r="T806" s="104" t="s">
        <v>1152</v>
      </c>
      <c r="U806" s="108">
        <v>0.88</v>
      </c>
      <c r="V806" s="107" t="s">
        <v>287</v>
      </c>
      <c r="W806" s="114" t="s">
        <v>410</v>
      </c>
    </row>
    <row r="807" spans="1:23" ht="21" customHeight="1">
      <c r="A807" s="104" t="s">
        <v>273</v>
      </c>
      <c r="B807" s="104" t="s">
        <v>74</v>
      </c>
      <c r="C807" s="454" t="s">
        <v>266</v>
      </c>
      <c r="D807" s="105" t="s">
        <v>406</v>
      </c>
      <c r="E807" s="104">
        <v>30967</v>
      </c>
      <c r="F807" s="104">
        <v>1105</v>
      </c>
      <c r="G807" s="106" t="s">
        <v>110</v>
      </c>
      <c r="H807" s="104" t="s">
        <v>111</v>
      </c>
      <c r="I807" s="104" t="s">
        <v>104</v>
      </c>
      <c r="J807" s="104" t="s">
        <v>105</v>
      </c>
      <c r="K807" s="104" t="s">
        <v>155</v>
      </c>
      <c r="L807" s="104" t="s">
        <v>658</v>
      </c>
      <c r="M807" s="104" t="s">
        <v>114</v>
      </c>
      <c r="N807" s="108" t="s">
        <v>17</v>
      </c>
      <c r="O807" s="104" t="s">
        <v>17</v>
      </c>
      <c r="P807" s="108">
        <v>1.895</v>
      </c>
      <c r="Q807" s="108">
        <v>0.70899999999999996</v>
      </c>
      <c r="R807" s="104" t="s">
        <v>17</v>
      </c>
      <c r="S807" s="253">
        <f>((10^(((LOG((P807*10)))*2.5447)+1.4669)))/1000</f>
        <v>52.243488365308799</v>
      </c>
      <c r="T807" s="104" t="s">
        <v>1152</v>
      </c>
      <c r="U807" s="108">
        <v>0.88</v>
      </c>
      <c r="V807" s="107" t="s">
        <v>287</v>
      </c>
      <c r="W807" s="114" t="s">
        <v>410</v>
      </c>
    </row>
    <row r="808" spans="1:23" ht="21" customHeight="1">
      <c r="A808" s="104" t="s">
        <v>273</v>
      </c>
      <c r="B808" s="104" t="s">
        <v>74</v>
      </c>
      <c r="C808" s="454" t="s">
        <v>266</v>
      </c>
      <c r="D808" s="105" t="s">
        <v>267</v>
      </c>
      <c r="E808" s="104">
        <v>30967</v>
      </c>
      <c r="F808" s="104">
        <v>1563</v>
      </c>
      <c r="G808" s="106" t="s">
        <v>110</v>
      </c>
      <c r="H808" s="104" t="s">
        <v>111</v>
      </c>
      <c r="I808" s="104" t="s">
        <v>104</v>
      </c>
      <c r="J808" s="104" t="s">
        <v>105</v>
      </c>
      <c r="K808" s="104" t="s">
        <v>136</v>
      </c>
      <c r="L808" s="104" t="s">
        <v>1032</v>
      </c>
      <c r="M808" s="104" t="s">
        <v>114</v>
      </c>
      <c r="N808" s="108">
        <v>1.206</v>
      </c>
      <c r="O808" s="104">
        <v>4.0759999999999996</v>
      </c>
      <c r="P808" s="108">
        <v>2.6789999999999998</v>
      </c>
      <c r="Q808" s="108">
        <v>2.9</v>
      </c>
      <c r="R808" s="104" t="s">
        <v>17</v>
      </c>
      <c r="S808" s="253">
        <v>6.2838619340935198</v>
      </c>
      <c r="T808" s="104" t="s">
        <v>1204</v>
      </c>
      <c r="U808" s="108">
        <v>0.98994949366116658</v>
      </c>
      <c r="V808" s="107">
        <v>9.1999999999999993</v>
      </c>
      <c r="W808" s="114" t="s">
        <v>279</v>
      </c>
    </row>
    <row r="809" spans="1:23" ht="21" customHeight="1">
      <c r="A809" s="104" t="s">
        <v>273</v>
      </c>
      <c r="B809" s="104" t="s">
        <v>74</v>
      </c>
      <c r="C809" s="454" t="s">
        <v>266</v>
      </c>
      <c r="D809" s="105" t="s">
        <v>267</v>
      </c>
      <c r="E809" s="104">
        <v>30967</v>
      </c>
      <c r="F809" s="104">
        <v>52</v>
      </c>
      <c r="G809" s="106" t="s">
        <v>110</v>
      </c>
      <c r="H809" s="104" t="s">
        <v>111</v>
      </c>
      <c r="I809" s="104" t="s">
        <v>104</v>
      </c>
      <c r="J809" s="104" t="s">
        <v>105</v>
      </c>
      <c r="K809" s="104" t="s">
        <v>136</v>
      </c>
      <c r="L809" s="104" t="s">
        <v>1032</v>
      </c>
      <c r="M809" s="104" t="s">
        <v>108</v>
      </c>
      <c r="N809" s="108">
        <v>1.139</v>
      </c>
      <c r="O809" s="104">
        <v>3.5609999999999999</v>
      </c>
      <c r="P809" s="108">
        <v>2.3340000000000001</v>
      </c>
      <c r="Q809" s="108">
        <v>3.0289999999999999</v>
      </c>
      <c r="R809" s="104" t="s">
        <v>17</v>
      </c>
      <c r="S809" s="253">
        <v>7.0612575570467344</v>
      </c>
      <c r="T809" s="104" t="s">
        <v>1204</v>
      </c>
      <c r="U809" s="108">
        <v>0.98994949366116658</v>
      </c>
      <c r="V809" s="107">
        <v>9.1999999999999993</v>
      </c>
      <c r="W809" s="114" t="s">
        <v>279</v>
      </c>
    </row>
    <row r="810" spans="1:23" ht="21" customHeight="1">
      <c r="A810" s="104" t="s">
        <v>273</v>
      </c>
      <c r="B810" s="104" t="s">
        <v>74</v>
      </c>
      <c r="C810" s="454" t="s">
        <v>266</v>
      </c>
      <c r="D810" s="105" t="s">
        <v>267</v>
      </c>
      <c r="E810" s="104">
        <v>30967</v>
      </c>
      <c r="F810" s="104">
        <v>1348</v>
      </c>
      <c r="G810" s="106" t="s">
        <v>110</v>
      </c>
      <c r="H810" s="104" t="s">
        <v>111</v>
      </c>
      <c r="I810" s="104" t="s">
        <v>104</v>
      </c>
      <c r="J810" s="104" t="s">
        <v>105</v>
      </c>
      <c r="K810" s="104" t="s">
        <v>121</v>
      </c>
      <c r="L810" s="104" t="s">
        <v>1041</v>
      </c>
      <c r="M810" s="104" t="s">
        <v>114</v>
      </c>
      <c r="N810" s="108" t="s">
        <v>17</v>
      </c>
      <c r="O810" s="104" t="s">
        <v>17</v>
      </c>
      <c r="P810" s="108">
        <v>2.57</v>
      </c>
      <c r="Q810" s="108">
        <v>2.0590000000000002</v>
      </c>
      <c r="R810" s="104" t="s">
        <v>17</v>
      </c>
      <c r="S810" s="253">
        <f>(10^(((LOG(P810*10))*2.5861)+0.2138))/1000</f>
        <v>7.2448275151433759</v>
      </c>
      <c r="T810" s="104" t="s">
        <v>1201</v>
      </c>
      <c r="U810" s="108">
        <v>0.94</v>
      </c>
      <c r="V810" s="107" t="s">
        <v>287</v>
      </c>
      <c r="W810" s="114" t="s">
        <v>269</v>
      </c>
    </row>
    <row r="811" spans="1:23" ht="21" customHeight="1">
      <c r="A811" s="104" t="s">
        <v>273</v>
      </c>
      <c r="B811" s="104" t="s">
        <v>74</v>
      </c>
      <c r="C811" s="454" t="s">
        <v>266</v>
      </c>
      <c r="D811" s="105" t="s">
        <v>267</v>
      </c>
      <c r="E811" s="104">
        <v>30967</v>
      </c>
      <c r="F811" s="104">
        <v>1616</v>
      </c>
      <c r="G811" s="106" t="s">
        <v>110</v>
      </c>
      <c r="H811" s="104" t="s">
        <v>111</v>
      </c>
      <c r="I811" s="104" t="s">
        <v>104</v>
      </c>
      <c r="J811" s="104" t="s">
        <v>105</v>
      </c>
      <c r="K811" s="104" t="s">
        <v>233</v>
      </c>
      <c r="L811" s="104" t="s">
        <v>653</v>
      </c>
      <c r="M811" s="104" t="s">
        <v>108</v>
      </c>
      <c r="N811" s="108" t="s">
        <v>17</v>
      </c>
      <c r="O811" s="104" t="s">
        <v>17</v>
      </c>
      <c r="P811" s="108">
        <v>1.028</v>
      </c>
      <c r="Q811" s="108">
        <v>0.43200000000000005</v>
      </c>
      <c r="R811" s="104" t="s">
        <v>17</v>
      </c>
      <c r="S811" s="253">
        <f>(10^(((LOG(P811*10))*3.3177)+0.5544))/1000</f>
        <v>8.163747363359585</v>
      </c>
      <c r="T811" s="104" t="s">
        <v>1162</v>
      </c>
      <c r="U811" s="108">
        <v>0.84909999999999997</v>
      </c>
      <c r="V811" s="107"/>
      <c r="W811" s="114" t="s">
        <v>1163</v>
      </c>
    </row>
    <row r="812" spans="1:23" ht="21" customHeight="1">
      <c r="A812" s="104" t="s">
        <v>273</v>
      </c>
      <c r="B812" s="104" t="s">
        <v>74</v>
      </c>
      <c r="C812" s="454" t="s">
        <v>266</v>
      </c>
      <c r="D812" s="105" t="s">
        <v>267</v>
      </c>
      <c r="E812" s="104">
        <v>30967</v>
      </c>
      <c r="F812" s="104">
        <v>1067</v>
      </c>
      <c r="G812" s="106" t="s">
        <v>110</v>
      </c>
      <c r="H812" s="104" t="s">
        <v>111</v>
      </c>
      <c r="I812" s="104" t="s">
        <v>104</v>
      </c>
      <c r="J812" s="104" t="s">
        <v>105</v>
      </c>
      <c r="K812" s="104" t="s">
        <v>1213</v>
      </c>
      <c r="L812" s="104" t="s">
        <v>1214</v>
      </c>
      <c r="M812" s="104" t="s">
        <v>108</v>
      </c>
      <c r="N812" s="108">
        <v>1.157</v>
      </c>
      <c r="O812" s="104" t="s">
        <v>17</v>
      </c>
      <c r="P812" s="108" t="s">
        <v>17</v>
      </c>
      <c r="Q812" s="108" t="s">
        <v>17</v>
      </c>
      <c r="R812" s="104" t="s">
        <v>17</v>
      </c>
      <c r="S812" s="253">
        <f>(10^(((LOG(N812*10))*2.68)+1.23))/1000</f>
        <v>12.015266335168434</v>
      </c>
      <c r="T812" s="104" t="s">
        <v>1215</v>
      </c>
      <c r="U812" s="108">
        <v>0.98994949366116658</v>
      </c>
      <c r="V812" s="107">
        <v>8.3000000000000007</v>
      </c>
      <c r="W812" s="114" t="s">
        <v>284</v>
      </c>
    </row>
    <row r="813" spans="1:23" ht="21" customHeight="1">
      <c r="A813" s="104" t="s">
        <v>273</v>
      </c>
      <c r="B813" s="104" t="s">
        <v>76</v>
      </c>
      <c r="C813" s="454" t="s">
        <v>344</v>
      </c>
      <c r="D813" s="105" t="s">
        <v>345</v>
      </c>
      <c r="E813" s="104">
        <v>30967</v>
      </c>
      <c r="F813" s="104">
        <v>556</v>
      </c>
      <c r="G813" s="106" t="s">
        <v>110</v>
      </c>
      <c r="H813" s="104" t="s">
        <v>111</v>
      </c>
      <c r="I813" s="104" t="s">
        <v>104</v>
      </c>
      <c r="J813" s="104" t="s">
        <v>105</v>
      </c>
      <c r="K813" s="104" t="s">
        <v>1159</v>
      </c>
      <c r="L813" s="104" t="s">
        <v>1160</v>
      </c>
      <c r="M813" s="104" t="s">
        <v>108</v>
      </c>
      <c r="N813" s="108">
        <v>1.022</v>
      </c>
      <c r="O813" s="104" t="s">
        <v>17</v>
      </c>
      <c r="P813" s="113" t="s">
        <v>17</v>
      </c>
      <c r="Q813" s="113" t="s">
        <v>17</v>
      </c>
      <c r="R813" s="104"/>
      <c r="S813" s="253">
        <f>(10^(((LOG(N813*10))*2.5908)+1.2234))/1000</f>
        <v>6.8973994939075283</v>
      </c>
      <c r="T813" s="104" t="s">
        <v>1273</v>
      </c>
      <c r="U813" s="108">
        <v>0.94</v>
      </c>
      <c r="V813" s="107" t="s">
        <v>287</v>
      </c>
      <c r="W813" s="114" t="s">
        <v>269</v>
      </c>
    </row>
    <row r="814" spans="1:23" ht="21" customHeight="1">
      <c r="A814" s="104" t="s">
        <v>273</v>
      </c>
      <c r="B814" s="104" t="s">
        <v>76</v>
      </c>
      <c r="C814" s="454" t="s">
        <v>524</v>
      </c>
      <c r="D814" s="105" t="s">
        <v>525</v>
      </c>
      <c r="E814" s="104">
        <v>30967</v>
      </c>
      <c r="F814" s="104">
        <v>1697</v>
      </c>
      <c r="G814" s="106" t="s">
        <v>110</v>
      </c>
      <c r="H814" s="104" t="s">
        <v>111</v>
      </c>
      <c r="I814" s="104" t="s">
        <v>104</v>
      </c>
      <c r="J814" s="104" t="s">
        <v>105</v>
      </c>
      <c r="K814" s="104" t="s">
        <v>162</v>
      </c>
      <c r="L814" s="104" t="s">
        <v>163</v>
      </c>
      <c r="M814" s="104" t="s">
        <v>114</v>
      </c>
      <c r="N814" s="108" t="s">
        <v>17</v>
      </c>
      <c r="O814" s="104" t="s">
        <v>17</v>
      </c>
      <c r="P814" s="113">
        <v>2.8890000000000002</v>
      </c>
      <c r="Q814" s="113">
        <v>1.3</v>
      </c>
      <c r="R814" s="104" t="s">
        <v>17</v>
      </c>
      <c r="S814" s="253">
        <f>(10^(((LOG(P814*10))*3.0129)+0.9356))/1000</f>
        <v>217.11322020985395</v>
      </c>
      <c r="T814" s="104" t="s">
        <v>426</v>
      </c>
      <c r="U814" s="108">
        <v>0.94</v>
      </c>
      <c r="V814" s="107" t="s">
        <v>287</v>
      </c>
      <c r="W814" s="114" t="s">
        <v>427</v>
      </c>
    </row>
    <row r="815" spans="1:23" ht="21" customHeight="1">
      <c r="A815" s="104" t="s">
        <v>273</v>
      </c>
      <c r="B815" s="104" t="s">
        <v>76</v>
      </c>
      <c r="C815" s="454" t="s">
        <v>95</v>
      </c>
      <c r="D815" s="105" t="s">
        <v>96</v>
      </c>
      <c r="E815" s="104">
        <v>30967</v>
      </c>
      <c r="F815" s="104">
        <v>751</v>
      </c>
      <c r="G815" s="106" t="s">
        <v>110</v>
      </c>
      <c r="H815" s="104" t="s">
        <v>111</v>
      </c>
      <c r="I815" s="104" t="s">
        <v>104</v>
      </c>
      <c r="J815" s="104" t="s">
        <v>105</v>
      </c>
      <c r="K815" s="104" t="s">
        <v>252</v>
      </c>
      <c r="L815" s="104" t="s">
        <v>415</v>
      </c>
      <c r="M815" s="104" t="s">
        <v>114</v>
      </c>
      <c r="N815" s="108" t="s">
        <v>17</v>
      </c>
      <c r="O815" s="104" t="s">
        <v>17</v>
      </c>
      <c r="P815" s="113">
        <v>1.4079999999999999</v>
      </c>
      <c r="Q815" s="113">
        <v>0.78300000000000003</v>
      </c>
      <c r="R815" s="104" t="s">
        <v>17</v>
      </c>
      <c r="S815" s="253">
        <f>(10^(((LOG(P815*10))*3.0129)+0.9356))/1000</f>
        <v>24.901467319718545</v>
      </c>
      <c r="T815" s="104" t="s">
        <v>423</v>
      </c>
      <c r="U815" s="108">
        <v>0.94</v>
      </c>
      <c r="V815" s="107" t="s">
        <v>287</v>
      </c>
      <c r="W815" s="114" t="s">
        <v>424</v>
      </c>
    </row>
    <row r="816" spans="1:23" ht="21" customHeight="1">
      <c r="A816" s="104" t="s">
        <v>273</v>
      </c>
      <c r="B816" s="104" t="s">
        <v>76</v>
      </c>
      <c r="C816" s="454" t="s">
        <v>95</v>
      </c>
      <c r="D816" s="105" t="s">
        <v>96</v>
      </c>
      <c r="E816" s="104">
        <v>30967</v>
      </c>
      <c r="F816" s="104">
        <v>347</v>
      </c>
      <c r="G816" s="106" t="s">
        <v>110</v>
      </c>
      <c r="H816" s="104" t="s">
        <v>111</v>
      </c>
      <c r="I816" s="104" t="s">
        <v>104</v>
      </c>
      <c r="J816" s="104" t="s">
        <v>105</v>
      </c>
      <c r="K816" s="104" t="s">
        <v>1114</v>
      </c>
      <c r="L816" s="104" t="s">
        <v>1115</v>
      </c>
      <c r="M816" s="104" t="s">
        <v>108</v>
      </c>
      <c r="N816" s="108" t="s">
        <v>17</v>
      </c>
      <c r="O816" s="104" t="s">
        <v>17</v>
      </c>
      <c r="P816" s="113">
        <v>2.5989999999999998</v>
      </c>
      <c r="Q816" s="113">
        <v>1.17</v>
      </c>
      <c r="R816" s="104" t="s">
        <v>17</v>
      </c>
      <c r="S816" s="253">
        <f>(10^(((LOG(P816*10))*3.0129)+0.9356))/1000</f>
        <v>157.85917890134297</v>
      </c>
      <c r="T816" s="104" t="s">
        <v>1285</v>
      </c>
      <c r="U816" s="108">
        <v>0.94</v>
      </c>
      <c r="V816" s="107" t="s">
        <v>287</v>
      </c>
      <c r="W816" s="114" t="s">
        <v>424</v>
      </c>
    </row>
    <row r="817" spans="1:23" ht="21" customHeight="1">
      <c r="A817" s="104" t="s">
        <v>273</v>
      </c>
      <c r="B817" s="104" t="s">
        <v>76</v>
      </c>
      <c r="C817" s="454" t="s">
        <v>95</v>
      </c>
      <c r="D817" s="105" t="s">
        <v>96</v>
      </c>
      <c r="E817" s="104">
        <v>30967</v>
      </c>
      <c r="F817" s="104">
        <v>198</v>
      </c>
      <c r="G817" s="106" t="s">
        <v>110</v>
      </c>
      <c r="H817" s="104" t="s">
        <v>111</v>
      </c>
      <c r="I817" s="104" t="s">
        <v>104</v>
      </c>
      <c r="J817" s="104" t="s">
        <v>105</v>
      </c>
      <c r="K817" s="104" t="s">
        <v>112</v>
      </c>
      <c r="L817" s="104" t="s">
        <v>663</v>
      </c>
      <c r="M817" s="104" t="s">
        <v>114</v>
      </c>
      <c r="N817" s="108" t="s">
        <v>17</v>
      </c>
      <c r="O817" s="104" t="s">
        <v>17</v>
      </c>
      <c r="P817" s="108">
        <v>2.7290000000000001</v>
      </c>
      <c r="Q817" s="108">
        <v>1.151</v>
      </c>
      <c r="R817" s="104" t="s">
        <v>17</v>
      </c>
      <c r="S817" s="253">
        <f>10^(((LOG(P817*10))*3.05)+-2.15)</f>
        <v>169.7503911928481</v>
      </c>
      <c r="T817" s="104" t="s">
        <v>1271</v>
      </c>
      <c r="U817" s="108">
        <v>0.9</v>
      </c>
      <c r="V817" s="107">
        <v>28</v>
      </c>
      <c r="W817" s="114" t="s">
        <v>1272</v>
      </c>
    </row>
    <row r="818" spans="1:23" ht="21" customHeight="1">
      <c r="A818" s="104" t="s">
        <v>273</v>
      </c>
      <c r="B818" s="104" t="s">
        <v>76</v>
      </c>
      <c r="C818" s="454" t="s">
        <v>95</v>
      </c>
      <c r="D818" s="105" t="s">
        <v>96</v>
      </c>
      <c r="E818" s="104">
        <v>30967</v>
      </c>
      <c r="F818" s="104">
        <v>1713</v>
      </c>
      <c r="G818" s="106" t="s">
        <v>110</v>
      </c>
      <c r="H818" s="104" t="s">
        <v>111</v>
      </c>
      <c r="I818" s="104" t="s">
        <v>104</v>
      </c>
      <c r="J818" s="104" t="s">
        <v>256</v>
      </c>
      <c r="K818" s="104" t="s">
        <v>660</v>
      </c>
      <c r="L818" s="104" t="s">
        <v>1289</v>
      </c>
      <c r="M818" s="104" t="s">
        <v>108</v>
      </c>
      <c r="N818" s="108">
        <v>3.8</v>
      </c>
      <c r="O818" s="104" t="s">
        <v>17</v>
      </c>
      <c r="P818" s="113">
        <v>26.7</v>
      </c>
      <c r="Q818" s="113">
        <v>6.1</v>
      </c>
      <c r="R818" s="104"/>
      <c r="S818" s="253"/>
      <c r="T818" s="104"/>
      <c r="U818" s="108"/>
      <c r="V818" s="107"/>
      <c r="W818" s="114"/>
    </row>
    <row r="819" spans="1:23" ht="21" customHeight="1">
      <c r="A819" s="416" t="s">
        <v>273</v>
      </c>
      <c r="B819" s="416" t="s">
        <v>80</v>
      </c>
      <c r="C819" s="455" t="s">
        <v>124</v>
      </c>
      <c r="D819" s="461" t="s">
        <v>125</v>
      </c>
      <c r="E819" s="416">
        <v>30967</v>
      </c>
      <c r="F819" s="416">
        <v>1031</v>
      </c>
      <c r="G819" s="456" t="s">
        <v>110</v>
      </c>
      <c r="H819" s="416" t="s">
        <v>111</v>
      </c>
      <c r="I819" s="104" t="s">
        <v>104</v>
      </c>
      <c r="J819" s="416" t="s">
        <v>105</v>
      </c>
      <c r="K819" s="416" t="s">
        <v>129</v>
      </c>
      <c r="L819" s="416" t="s">
        <v>1080</v>
      </c>
      <c r="M819" s="416" t="s">
        <v>292</v>
      </c>
      <c r="N819" s="458" t="s">
        <v>17</v>
      </c>
      <c r="O819" s="416" t="s">
        <v>17</v>
      </c>
      <c r="P819" s="458">
        <v>1.6339999999999999</v>
      </c>
      <c r="Q819" s="458">
        <v>1.175</v>
      </c>
      <c r="R819" s="416" t="s">
        <v>17</v>
      </c>
      <c r="S819" s="459">
        <f>(((10^((LOG(P819*10)*1.9336)+2.6699)) + (10^((LOG(P819*10)*1.5878)+3.1043)) + (10^((LOG(P819*10)*1.0682)+3.9347)))/3)/1000</f>
        <v>127.0458259570008</v>
      </c>
      <c r="T819" s="416" t="s">
        <v>1321</v>
      </c>
      <c r="U819" s="458">
        <v>0.25</v>
      </c>
      <c r="V819" s="460" t="s">
        <v>287</v>
      </c>
      <c r="W819" s="466" t="s">
        <v>105</v>
      </c>
    </row>
    <row r="820" spans="1:23" ht="21" customHeight="1">
      <c r="A820" s="416" t="s">
        <v>273</v>
      </c>
      <c r="B820" s="416" t="s">
        <v>80</v>
      </c>
      <c r="C820" s="455" t="s">
        <v>124</v>
      </c>
      <c r="D820" s="461" t="s">
        <v>125</v>
      </c>
      <c r="E820" s="416">
        <v>30967</v>
      </c>
      <c r="F820" s="416">
        <v>1880</v>
      </c>
      <c r="G820" s="456" t="s">
        <v>110</v>
      </c>
      <c r="H820" s="416" t="s">
        <v>111</v>
      </c>
      <c r="I820" s="104" t="s">
        <v>104</v>
      </c>
      <c r="J820" s="416" t="s">
        <v>105</v>
      </c>
      <c r="K820" s="416" t="s">
        <v>126</v>
      </c>
      <c r="L820" s="416" t="s">
        <v>636</v>
      </c>
      <c r="M820" s="416" t="s">
        <v>292</v>
      </c>
      <c r="N820" s="458" t="s">
        <v>17</v>
      </c>
      <c r="O820" s="416" t="s">
        <v>17</v>
      </c>
      <c r="P820" s="458">
        <v>2.1589999999999998</v>
      </c>
      <c r="Q820" s="458">
        <v>1.264</v>
      </c>
      <c r="R820" s="416" t="s">
        <v>17</v>
      </c>
      <c r="S820" s="459">
        <f>(10^((2.20156*LOG((P820*10))+2.58945)))/1000</f>
        <v>336.42421464498943</v>
      </c>
      <c r="T820" s="416" t="s">
        <v>1320</v>
      </c>
      <c r="U820" s="458">
        <v>0.88</v>
      </c>
      <c r="V820" s="460"/>
      <c r="W820" s="466" t="s">
        <v>1293</v>
      </c>
    </row>
    <row r="821" spans="1:23" ht="21" customHeight="1">
      <c r="A821" s="104" t="s">
        <v>562</v>
      </c>
      <c r="B821" s="104" t="s">
        <v>180</v>
      </c>
      <c r="C821" s="454" t="s">
        <v>181</v>
      </c>
      <c r="D821" s="105" t="s">
        <v>182</v>
      </c>
      <c r="E821" s="104">
        <v>30967</v>
      </c>
      <c r="F821" s="104">
        <v>1814</v>
      </c>
      <c r="G821" s="106" t="s">
        <v>110</v>
      </c>
      <c r="H821" s="104" t="s">
        <v>111</v>
      </c>
      <c r="I821" s="104" t="s">
        <v>104</v>
      </c>
      <c r="J821" s="104" t="s">
        <v>256</v>
      </c>
      <c r="K821" s="104" t="s">
        <v>129</v>
      </c>
      <c r="L821" s="104" t="s">
        <v>1337</v>
      </c>
      <c r="M821" s="104" t="s">
        <v>108</v>
      </c>
      <c r="N821" s="108" t="s">
        <v>17</v>
      </c>
      <c r="O821" s="104" t="s">
        <v>17</v>
      </c>
      <c r="P821" s="113">
        <v>2.2000000000000002</v>
      </c>
      <c r="Q821" s="113">
        <v>1.1000000000000001</v>
      </c>
      <c r="R821" s="104" t="s">
        <v>17</v>
      </c>
      <c r="S821" s="253"/>
      <c r="T821" s="104"/>
      <c r="U821" s="108"/>
      <c r="V821" s="107"/>
      <c r="W821" s="114"/>
    </row>
    <row r="822" spans="1:23" ht="21" customHeight="1">
      <c r="A822" s="416" t="s">
        <v>562</v>
      </c>
      <c r="B822" s="416" t="s">
        <v>571</v>
      </c>
      <c r="C822" s="455" t="s">
        <v>1344</v>
      </c>
      <c r="D822" s="461" t="s">
        <v>573</v>
      </c>
      <c r="E822" s="416">
        <v>30967</v>
      </c>
      <c r="F822" s="416">
        <v>870</v>
      </c>
      <c r="G822" s="456" t="s">
        <v>110</v>
      </c>
      <c r="H822" s="416" t="s">
        <v>111</v>
      </c>
      <c r="I822" s="104" t="s">
        <v>104</v>
      </c>
      <c r="J822" s="416" t="s">
        <v>105</v>
      </c>
      <c r="K822" s="416" t="s">
        <v>710</v>
      </c>
      <c r="L822" s="416" t="s">
        <v>711</v>
      </c>
      <c r="M822" s="416" t="s">
        <v>114</v>
      </c>
      <c r="N822" s="458" t="s">
        <v>17</v>
      </c>
      <c r="O822" s="416" t="s">
        <v>17</v>
      </c>
      <c r="P822" s="457">
        <v>28.6</v>
      </c>
      <c r="Q822" s="457" t="s">
        <v>17</v>
      </c>
      <c r="R822" s="416" t="s">
        <v>17</v>
      </c>
      <c r="S822" s="459">
        <f>(10^(2.79712*LOG(P822*10)-1.72502))/1000</f>
        <v>139.87192714080587</v>
      </c>
      <c r="T822" s="458" t="s">
        <v>1345</v>
      </c>
      <c r="U822" s="458">
        <v>0.95499999999999996</v>
      </c>
      <c r="V822" s="460"/>
      <c r="W822" s="466" t="s">
        <v>989</v>
      </c>
    </row>
    <row r="823" spans="1:23" ht="21" customHeight="1">
      <c r="A823" s="104" t="s">
        <v>169</v>
      </c>
      <c r="B823" s="104" t="s">
        <v>149</v>
      </c>
      <c r="C823" s="454" t="s">
        <v>150</v>
      </c>
      <c r="D823" s="105" t="s">
        <v>151</v>
      </c>
      <c r="E823" s="104">
        <v>30967</v>
      </c>
      <c r="F823" s="104">
        <v>1622</v>
      </c>
      <c r="G823" s="106" t="s">
        <v>110</v>
      </c>
      <c r="H823" s="104" t="s">
        <v>111</v>
      </c>
      <c r="I823" s="104" t="s">
        <v>104</v>
      </c>
      <c r="J823" s="104" t="s">
        <v>256</v>
      </c>
      <c r="K823" s="104" t="s">
        <v>883</v>
      </c>
      <c r="L823" s="104" t="s">
        <v>884</v>
      </c>
      <c r="M823" s="104" t="s">
        <v>114</v>
      </c>
      <c r="N823" s="108" t="s">
        <v>17</v>
      </c>
      <c r="O823" s="104" t="s">
        <v>17</v>
      </c>
      <c r="P823" s="113">
        <v>2.38</v>
      </c>
      <c r="Q823" s="113">
        <v>2.4700000000000002</v>
      </c>
      <c r="R823" s="104" t="s">
        <v>17</v>
      </c>
      <c r="S823" s="253">
        <f>(10^((2.9*LOG((P823))+1.209)))</f>
        <v>200.01988602128455</v>
      </c>
      <c r="T823" s="103" t="s">
        <v>1386</v>
      </c>
      <c r="U823" s="108">
        <v>0.96399999999999997</v>
      </c>
      <c r="V823" s="107">
        <v>30.5</v>
      </c>
      <c r="W823" s="414" t="s">
        <v>1388</v>
      </c>
    </row>
    <row r="824" spans="1:23" ht="19">
      <c r="A824" s="104" t="s">
        <v>169</v>
      </c>
      <c r="B824" s="104" t="s">
        <v>149</v>
      </c>
      <c r="C824" s="454" t="s">
        <v>150</v>
      </c>
      <c r="D824" s="105" t="s">
        <v>151</v>
      </c>
      <c r="E824" s="104">
        <v>30967</v>
      </c>
      <c r="F824" s="104">
        <v>974</v>
      </c>
      <c r="G824" s="106" t="s">
        <v>110</v>
      </c>
      <c r="H824" s="104" t="s">
        <v>111</v>
      </c>
      <c r="I824" s="104" t="s">
        <v>104</v>
      </c>
      <c r="J824" s="104" t="s">
        <v>256</v>
      </c>
      <c r="K824" s="104" t="s">
        <v>883</v>
      </c>
      <c r="L824" s="104" t="s">
        <v>884</v>
      </c>
      <c r="M824" s="104" t="s">
        <v>114</v>
      </c>
      <c r="N824" s="108" t="s">
        <v>17</v>
      </c>
      <c r="O824" s="104" t="s">
        <v>17</v>
      </c>
      <c r="P824" s="113">
        <v>2.5299999999999998</v>
      </c>
      <c r="Q824" s="113">
        <v>2.61</v>
      </c>
      <c r="R824" s="104" t="s">
        <v>17</v>
      </c>
      <c r="S824" s="253">
        <f>(10^((2.9*LOG((P824))+1.209)))</f>
        <v>238.80835190278893</v>
      </c>
      <c r="T824" s="103" t="s">
        <v>1386</v>
      </c>
      <c r="U824" s="108">
        <v>0.96399999999999997</v>
      </c>
      <c r="V824" s="107">
        <v>30.5</v>
      </c>
      <c r="W824" s="414" t="s">
        <v>1388</v>
      </c>
    </row>
    <row r="825" spans="1:23" ht="21" customHeight="1">
      <c r="A825" s="104" t="s">
        <v>169</v>
      </c>
      <c r="B825" s="104" t="s">
        <v>149</v>
      </c>
      <c r="C825" s="454" t="s">
        <v>150</v>
      </c>
      <c r="D825" s="105" t="s">
        <v>151</v>
      </c>
      <c r="E825" s="104">
        <v>30967</v>
      </c>
      <c r="F825" s="104">
        <v>947</v>
      </c>
      <c r="G825" s="106" t="s">
        <v>110</v>
      </c>
      <c r="H825" s="104" t="s">
        <v>111</v>
      </c>
      <c r="I825" s="104" t="s">
        <v>104</v>
      </c>
      <c r="J825" s="104" t="s">
        <v>256</v>
      </c>
      <c r="K825" s="104" t="s">
        <v>158</v>
      </c>
      <c r="L825" s="104" t="s">
        <v>686</v>
      </c>
      <c r="M825" s="104"/>
      <c r="N825" s="108" t="s">
        <v>17</v>
      </c>
      <c r="O825" s="104" t="s">
        <v>17</v>
      </c>
      <c r="P825" s="113">
        <v>2.5299999999999998</v>
      </c>
      <c r="Q825" s="113">
        <v>2.08</v>
      </c>
      <c r="R825" s="104"/>
      <c r="S825" s="253">
        <f>(10^((2.9*LOG((P825))+1.209)))</f>
        <v>238.80835190278893</v>
      </c>
      <c r="T825" s="103" t="s">
        <v>1386</v>
      </c>
      <c r="U825" s="108">
        <v>0.96399999999999997</v>
      </c>
      <c r="V825" s="107">
        <v>30.5</v>
      </c>
      <c r="W825" s="414" t="s">
        <v>1385</v>
      </c>
    </row>
    <row r="826" spans="1:23" ht="21" customHeight="1">
      <c r="A826" s="104" t="s">
        <v>169</v>
      </c>
      <c r="B826" s="104" t="s">
        <v>149</v>
      </c>
      <c r="C826" s="454" t="s">
        <v>150</v>
      </c>
      <c r="D826" s="105" t="s">
        <v>151</v>
      </c>
      <c r="E826" s="104">
        <v>30967</v>
      </c>
      <c r="F826" s="104" t="s">
        <v>1397</v>
      </c>
      <c r="G826" s="106" t="s">
        <v>110</v>
      </c>
      <c r="H826" s="104" t="s">
        <v>111</v>
      </c>
      <c r="I826" s="104" t="s">
        <v>104</v>
      </c>
      <c r="J826" s="104" t="s">
        <v>256</v>
      </c>
      <c r="K826" s="104" t="s">
        <v>883</v>
      </c>
      <c r="L826" s="104" t="s">
        <v>884</v>
      </c>
      <c r="M826" s="104" t="s">
        <v>114</v>
      </c>
      <c r="N826" s="108" t="s">
        <v>17</v>
      </c>
      <c r="O826" s="104" t="s">
        <v>17</v>
      </c>
      <c r="P826" s="113">
        <v>2.63</v>
      </c>
      <c r="Q826" s="113">
        <v>2.62</v>
      </c>
      <c r="R826" s="104" t="s">
        <v>17</v>
      </c>
      <c r="S826" s="253">
        <f>(10^((2.9*LOG((P826))+1.209)))</f>
        <v>267.22166805099573</v>
      </c>
      <c r="T826" s="103" t="s">
        <v>1386</v>
      </c>
      <c r="U826" s="108">
        <v>0.96399999999999997</v>
      </c>
      <c r="V826" s="107">
        <v>30.5</v>
      </c>
      <c r="W826" s="414" t="s">
        <v>1388</v>
      </c>
    </row>
    <row r="827" spans="1:23" ht="21" customHeight="1">
      <c r="A827" s="104" t="s">
        <v>169</v>
      </c>
      <c r="B827" s="104" t="s">
        <v>149</v>
      </c>
      <c r="C827" s="454" t="s">
        <v>150</v>
      </c>
      <c r="D827" s="105" t="s">
        <v>151</v>
      </c>
      <c r="E827" s="104">
        <v>30967</v>
      </c>
      <c r="F827" s="104">
        <v>1770</v>
      </c>
      <c r="G827" s="106" t="s">
        <v>110</v>
      </c>
      <c r="H827" s="104" t="s">
        <v>111</v>
      </c>
      <c r="I827" s="104" t="s">
        <v>104</v>
      </c>
      <c r="J827" s="104" t="s">
        <v>256</v>
      </c>
      <c r="K827" s="104" t="s">
        <v>112</v>
      </c>
      <c r="L827" s="104" t="s">
        <v>663</v>
      </c>
      <c r="M827" s="104"/>
      <c r="N827" s="108"/>
      <c r="O827" s="104"/>
      <c r="P827" s="113">
        <v>2.54</v>
      </c>
      <c r="Q827" s="113">
        <v>1.41</v>
      </c>
      <c r="R827" s="104"/>
      <c r="S827" s="253">
        <f>(10^((3.187*LOG((P827))+1.264)))</f>
        <v>358.2655545066529</v>
      </c>
      <c r="T827" s="103" t="s">
        <v>1387</v>
      </c>
      <c r="U827" s="108">
        <v>0.98499999999999999</v>
      </c>
      <c r="V827" s="107">
        <v>16.5</v>
      </c>
      <c r="W827" s="414" t="s">
        <v>1385</v>
      </c>
    </row>
    <row r="828" spans="1:23" ht="21" customHeight="1">
      <c r="A828" s="104" t="s">
        <v>169</v>
      </c>
      <c r="B828" s="104" t="s">
        <v>149</v>
      </c>
      <c r="C828" s="454" t="s">
        <v>150</v>
      </c>
      <c r="D828" s="105" t="s">
        <v>151</v>
      </c>
      <c r="E828" s="104">
        <v>30967</v>
      </c>
      <c r="F828" s="104">
        <v>78</v>
      </c>
      <c r="G828" s="106" t="s">
        <v>110</v>
      </c>
      <c r="H828" s="104" t="s">
        <v>111</v>
      </c>
      <c r="I828" s="104" t="s">
        <v>104</v>
      </c>
      <c r="J828" s="104" t="s">
        <v>256</v>
      </c>
      <c r="K828" s="104" t="s">
        <v>158</v>
      </c>
      <c r="L828" s="104" t="s">
        <v>686</v>
      </c>
      <c r="M828" s="104" t="s">
        <v>108</v>
      </c>
      <c r="N828" s="108" t="s">
        <v>17</v>
      </c>
      <c r="O828" s="104" t="s">
        <v>17</v>
      </c>
      <c r="P828" s="113">
        <v>3.08</v>
      </c>
      <c r="Q828" s="113">
        <v>2.31</v>
      </c>
      <c r="R828" s="104" t="s">
        <v>17</v>
      </c>
      <c r="S828" s="253">
        <f>(10^((2.9*LOG((P828))+1.209)))</f>
        <v>422.47117038237593</v>
      </c>
      <c r="T828" s="103" t="s">
        <v>1386</v>
      </c>
      <c r="U828" s="108">
        <v>0.96399999999999997</v>
      </c>
      <c r="V828" s="107">
        <v>30.5</v>
      </c>
      <c r="W828" s="414" t="s">
        <v>1385</v>
      </c>
    </row>
    <row r="829" spans="1:23" ht="21" customHeight="1">
      <c r="A829" s="104" t="s">
        <v>169</v>
      </c>
      <c r="B829" s="104" t="s">
        <v>149</v>
      </c>
      <c r="C829" s="454" t="s">
        <v>150</v>
      </c>
      <c r="D829" s="105" t="s">
        <v>151</v>
      </c>
      <c r="E829" s="104">
        <v>30967</v>
      </c>
      <c r="F829" s="104">
        <v>879</v>
      </c>
      <c r="G829" s="106" t="s">
        <v>110</v>
      </c>
      <c r="H829" s="104" t="s">
        <v>111</v>
      </c>
      <c r="I829" s="104" t="s">
        <v>104</v>
      </c>
      <c r="J829" s="104" t="s">
        <v>256</v>
      </c>
      <c r="K829" s="104" t="s">
        <v>112</v>
      </c>
      <c r="L829" s="104" t="s">
        <v>663</v>
      </c>
      <c r="M829" s="104"/>
      <c r="N829" s="108"/>
      <c r="O829" s="104"/>
      <c r="P829" s="113">
        <v>2.71</v>
      </c>
      <c r="Q829" s="113">
        <v>1.39</v>
      </c>
      <c r="R829" s="104"/>
      <c r="S829" s="253">
        <f>(10^((3.187*LOG((P829))+1.264)))</f>
        <v>440.42618348118566</v>
      </c>
      <c r="T829" s="103" t="s">
        <v>1387</v>
      </c>
      <c r="U829" s="108">
        <v>0.98499999999999999</v>
      </c>
      <c r="V829" s="107">
        <v>16.5</v>
      </c>
      <c r="W829" s="414" t="s">
        <v>1385</v>
      </c>
    </row>
    <row r="830" spans="1:23" ht="21" customHeight="1">
      <c r="A830" s="104" t="s">
        <v>169</v>
      </c>
      <c r="B830" s="104" t="s">
        <v>149</v>
      </c>
      <c r="C830" s="454" t="s">
        <v>150</v>
      </c>
      <c r="D830" s="105" t="s">
        <v>151</v>
      </c>
      <c r="E830" s="104">
        <v>30967</v>
      </c>
      <c r="F830" s="104">
        <v>390</v>
      </c>
      <c r="G830" s="106" t="s">
        <v>110</v>
      </c>
      <c r="H830" s="104" t="s">
        <v>111</v>
      </c>
      <c r="I830" s="104" t="s">
        <v>104</v>
      </c>
      <c r="J830" s="104" t="s">
        <v>256</v>
      </c>
      <c r="K830" s="104" t="s">
        <v>112</v>
      </c>
      <c r="L830" s="104" t="s">
        <v>663</v>
      </c>
      <c r="M830" s="104" t="s">
        <v>114</v>
      </c>
      <c r="N830" s="108"/>
      <c r="O830" s="104"/>
      <c r="P830" s="113">
        <v>2.72</v>
      </c>
      <c r="Q830" s="113">
        <v>1.64</v>
      </c>
      <c r="R830" s="104"/>
      <c r="S830" s="253">
        <f>(10^((3.187*LOG((P830))+1.264)))</f>
        <v>445.62659040156996</v>
      </c>
      <c r="T830" s="103" t="s">
        <v>1387</v>
      </c>
      <c r="U830" s="108">
        <v>0.98499999999999999</v>
      </c>
      <c r="V830" s="107">
        <v>16.5</v>
      </c>
      <c r="W830" s="414" t="s">
        <v>1385</v>
      </c>
    </row>
    <row r="831" spans="1:23" ht="21" customHeight="1">
      <c r="A831" s="104" t="s">
        <v>169</v>
      </c>
      <c r="B831" s="104" t="s">
        <v>149</v>
      </c>
      <c r="C831" s="454" t="s">
        <v>150</v>
      </c>
      <c r="D831" s="105" t="s">
        <v>151</v>
      </c>
      <c r="E831" s="104">
        <v>30967</v>
      </c>
      <c r="F831" s="104">
        <v>401</v>
      </c>
      <c r="G831" s="106" t="s">
        <v>110</v>
      </c>
      <c r="H831" s="104" t="s">
        <v>111</v>
      </c>
      <c r="I831" s="104" t="s">
        <v>104</v>
      </c>
      <c r="J831" s="104" t="s">
        <v>256</v>
      </c>
      <c r="K831" s="104" t="s">
        <v>158</v>
      </c>
      <c r="L831" s="104" t="s">
        <v>686</v>
      </c>
      <c r="M831" s="104" t="s">
        <v>114</v>
      </c>
      <c r="N831" s="108" t="s">
        <v>17</v>
      </c>
      <c r="O831" s="104" t="s">
        <v>17</v>
      </c>
      <c r="P831" s="113">
        <v>3.41</v>
      </c>
      <c r="Q831" s="113">
        <v>2.37</v>
      </c>
      <c r="R831" s="104" t="s">
        <v>17</v>
      </c>
      <c r="S831" s="253">
        <f>(10^((2.9*LOG((P831))+1.209)))</f>
        <v>567.52853054873003</v>
      </c>
      <c r="T831" s="103" t="s">
        <v>1386</v>
      </c>
      <c r="U831" s="108">
        <v>0.96399999999999997</v>
      </c>
      <c r="V831" s="107">
        <v>30.5</v>
      </c>
      <c r="W831" s="414" t="s">
        <v>1385</v>
      </c>
    </row>
    <row r="832" spans="1:23" ht="21" customHeight="1">
      <c r="A832" s="104" t="s">
        <v>169</v>
      </c>
      <c r="B832" s="104" t="s">
        <v>149</v>
      </c>
      <c r="C832" s="454" t="s">
        <v>150</v>
      </c>
      <c r="D832" s="105" t="s">
        <v>151</v>
      </c>
      <c r="E832" s="104">
        <v>30967</v>
      </c>
      <c r="F832" s="104">
        <v>312</v>
      </c>
      <c r="G832" s="106" t="s">
        <v>110</v>
      </c>
      <c r="H832" s="104" t="s">
        <v>111</v>
      </c>
      <c r="I832" s="104" t="s">
        <v>104</v>
      </c>
      <c r="J832" s="104" t="s">
        <v>256</v>
      </c>
      <c r="K832" s="104" t="s">
        <v>158</v>
      </c>
      <c r="L832" s="104" t="s">
        <v>686</v>
      </c>
      <c r="M832" s="104" t="s">
        <v>114</v>
      </c>
      <c r="N832" s="108" t="s">
        <v>17</v>
      </c>
      <c r="O832" s="104" t="s">
        <v>17</v>
      </c>
      <c r="P832" s="113">
        <v>3.45</v>
      </c>
      <c r="Q832" s="113">
        <v>2.41</v>
      </c>
      <c r="R832" s="104" t="s">
        <v>17</v>
      </c>
      <c r="S832" s="253">
        <f>(10^((2.9*LOG((P832))+1.209)))</f>
        <v>587.05038297925148</v>
      </c>
      <c r="T832" s="103" t="s">
        <v>1386</v>
      </c>
      <c r="U832" s="108">
        <v>0.96399999999999997</v>
      </c>
      <c r="V832" s="107">
        <v>30.5</v>
      </c>
      <c r="W832" s="414" t="s">
        <v>1385</v>
      </c>
    </row>
    <row r="833" spans="1:23" ht="21" customHeight="1">
      <c r="A833" s="104" t="s">
        <v>169</v>
      </c>
      <c r="B833" s="104" t="s">
        <v>149</v>
      </c>
      <c r="C833" s="454" t="s">
        <v>150</v>
      </c>
      <c r="D833" s="105" t="s">
        <v>151</v>
      </c>
      <c r="E833" s="104">
        <v>30967</v>
      </c>
      <c r="F833" s="104">
        <v>410</v>
      </c>
      <c r="G833" s="106" t="s">
        <v>110</v>
      </c>
      <c r="H833" s="104" t="s">
        <v>111</v>
      </c>
      <c r="I833" s="104" t="s">
        <v>104</v>
      </c>
      <c r="J833" s="104" t="s">
        <v>105</v>
      </c>
      <c r="K833" s="104" t="s">
        <v>126</v>
      </c>
      <c r="L833" s="104" t="s">
        <v>340</v>
      </c>
      <c r="M833" s="104" t="s">
        <v>108</v>
      </c>
      <c r="N833" s="108" t="s">
        <v>17</v>
      </c>
      <c r="O833" s="104" t="s">
        <v>17</v>
      </c>
      <c r="P833" s="113">
        <v>3.7159999999999997</v>
      </c>
      <c r="Q833" s="113">
        <v>1.6800000000000002</v>
      </c>
      <c r="R833" s="104" t="s">
        <v>17</v>
      </c>
      <c r="S833" s="253">
        <f xml:space="preserve"> (10^((2.999*LOG((P833))+1.162)))</f>
        <v>744.14409569751285</v>
      </c>
      <c r="T833" s="103" t="s">
        <v>1392</v>
      </c>
      <c r="U833" s="108">
        <v>0.98699999999999999</v>
      </c>
      <c r="V833" s="107">
        <v>18</v>
      </c>
      <c r="W833" s="414" t="s">
        <v>1388</v>
      </c>
    </row>
    <row r="834" spans="1:23" ht="21" customHeight="1">
      <c r="A834" s="104" t="s">
        <v>169</v>
      </c>
      <c r="B834" s="104" t="s">
        <v>149</v>
      </c>
      <c r="C834" s="454" t="s">
        <v>150</v>
      </c>
      <c r="D834" s="105" t="s">
        <v>151</v>
      </c>
      <c r="E834" s="104">
        <v>30967</v>
      </c>
      <c r="F834" s="104">
        <v>1328</v>
      </c>
      <c r="G834" s="106" t="s">
        <v>110</v>
      </c>
      <c r="H834" s="104" t="s">
        <v>111</v>
      </c>
      <c r="I834" s="104" t="s">
        <v>104</v>
      </c>
      <c r="J834" s="104" t="s">
        <v>256</v>
      </c>
      <c r="K834" s="104" t="s">
        <v>158</v>
      </c>
      <c r="L834" s="104" t="s">
        <v>686</v>
      </c>
      <c r="M834" s="104"/>
      <c r="N834" s="108" t="s">
        <v>17</v>
      </c>
      <c r="O834" s="104" t="s">
        <v>17</v>
      </c>
      <c r="P834" s="113">
        <v>3.75</v>
      </c>
      <c r="Q834" s="113">
        <v>2.67</v>
      </c>
      <c r="R834" s="104" t="s">
        <v>17</v>
      </c>
      <c r="S834" s="253">
        <f>(10^((2.9*LOG((P834))+1.209)))</f>
        <v>747.63681108336766</v>
      </c>
      <c r="T834" s="103" t="s">
        <v>1386</v>
      </c>
      <c r="U834" s="108">
        <v>0.96399999999999997</v>
      </c>
      <c r="V834" s="107">
        <v>30.5</v>
      </c>
      <c r="W834" s="414" t="s">
        <v>1385</v>
      </c>
    </row>
    <row r="835" spans="1:23" ht="21" customHeight="1">
      <c r="A835" s="104" t="s">
        <v>169</v>
      </c>
      <c r="B835" s="104" t="s">
        <v>149</v>
      </c>
      <c r="C835" s="454" t="s">
        <v>150</v>
      </c>
      <c r="D835" s="105" t="s">
        <v>151</v>
      </c>
      <c r="E835" s="104">
        <v>30967</v>
      </c>
      <c r="F835" s="104">
        <v>1770</v>
      </c>
      <c r="G835" s="106" t="s">
        <v>110</v>
      </c>
      <c r="H835" s="104" t="s">
        <v>111</v>
      </c>
      <c r="I835" s="104" t="s">
        <v>104</v>
      </c>
      <c r="J835" s="104" t="s">
        <v>256</v>
      </c>
      <c r="K835" s="104" t="s">
        <v>126</v>
      </c>
      <c r="L835" s="104" t="s">
        <v>636</v>
      </c>
      <c r="M835" s="104"/>
      <c r="N835" s="108" t="s">
        <v>17</v>
      </c>
      <c r="O835" s="104" t="s">
        <v>17</v>
      </c>
      <c r="P835" s="113">
        <v>3.96</v>
      </c>
      <c r="Q835" s="113">
        <v>1.32</v>
      </c>
      <c r="R835" s="104" t="s">
        <v>17</v>
      </c>
      <c r="S835" s="253">
        <f xml:space="preserve"> (10^((2.999*LOG((P835))+1.162)))</f>
        <v>900.50859550890721</v>
      </c>
      <c r="T835" s="104" t="s">
        <v>1418</v>
      </c>
      <c r="U835" s="108">
        <v>0.98699999999999999</v>
      </c>
      <c r="V835" s="107">
        <v>18</v>
      </c>
      <c r="W835" s="414" t="s">
        <v>1385</v>
      </c>
    </row>
    <row r="836" spans="1:23" ht="21" customHeight="1">
      <c r="A836" s="104" t="s">
        <v>169</v>
      </c>
      <c r="B836" s="104" t="s">
        <v>246</v>
      </c>
      <c r="C836" s="454" t="s">
        <v>247</v>
      </c>
      <c r="D836" s="105" t="s">
        <v>248</v>
      </c>
      <c r="E836" s="104">
        <v>30967</v>
      </c>
      <c r="F836" s="104">
        <v>1237</v>
      </c>
      <c r="G836" s="106" t="s">
        <v>110</v>
      </c>
      <c r="H836" s="104" t="s">
        <v>111</v>
      </c>
      <c r="I836" s="104" t="s">
        <v>104</v>
      </c>
      <c r="J836" s="104" t="s">
        <v>256</v>
      </c>
      <c r="K836" s="104" t="s">
        <v>112</v>
      </c>
      <c r="L836" s="104" t="s">
        <v>663</v>
      </c>
      <c r="M836" s="104" t="s">
        <v>108</v>
      </c>
      <c r="N836" s="108"/>
      <c r="O836" s="104"/>
      <c r="P836" s="113">
        <v>2.42</v>
      </c>
      <c r="Q836" s="113"/>
      <c r="R836" s="104"/>
      <c r="S836" s="253">
        <f>(10^((3.187*LOG((P836))+1.264)))</f>
        <v>307.05740223150599</v>
      </c>
      <c r="T836" s="103" t="s">
        <v>1387</v>
      </c>
      <c r="U836" s="108">
        <v>0.98499999999999999</v>
      </c>
      <c r="V836" s="107">
        <v>16.5</v>
      </c>
      <c r="W836" s="414" t="s">
        <v>1385</v>
      </c>
    </row>
    <row r="837" spans="1:23" ht="21" customHeight="1">
      <c r="A837" s="104" t="s">
        <v>592</v>
      </c>
      <c r="B837" s="104" t="s">
        <v>593</v>
      </c>
      <c r="C837" s="454" t="s">
        <v>594</v>
      </c>
      <c r="D837" s="105" t="s">
        <v>1444</v>
      </c>
      <c r="E837" s="104">
        <v>30967</v>
      </c>
      <c r="F837" s="104">
        <v>1407</v>
      </c>
      <c r="G837" s="106" t="s">
        <v>110</v>
      </c>
      <c r="H837" s="104" t="s">
        <v>111</v>
      </c>
      <c r="I837" s="104" t="s">
        <v>104</v>
      </c>
      <c r="J837" s="104" t="s">
        <v>256</v>
      </c>
      <c r="K837" s="104" t="s">
        <v>710</v>
      </c>
      <c r="L837" s="104" t="s">
        <v>711</v>
      </c>
      <c r="M837" s="104" t="s">
        <v>114</v>
      </c>
      <c r="N837" s="108" t="s">
        <v>17</v>
      </c>
      <c r="O837" s="104" t="s">
        <v>17</v>
      </c>
      <c r="P837" s="113">
        <v>47.2</v>
      </c>
      <c r="Q837" s="113" t="s">
        <v>17</v>
      </c>
      <c r="R837" s="104" t="s">
        <v>17</v>
      </c>
      <c r="S837" s="253">
        <f>(10^(2.79712*LOG(P837*10)-1.72502))/1000</f>
        <v>567.95855190614714</v>
      </c>
      <c r="T837" s="108" t="s">
        <v>1345</v>
      </c>
      <c r="U837" s="108">
        <v>0.95499999999999996</v>
      </c>
      <c r="V837" s="107"/>
      <c r="W837" s="114" t="s">
        <v>989</v>
      </c>
    </row>
    <row r="838" spans="1:23" ht="21" customHeight="1">
      <c r="A838" s="104" t="s">
        <v>592</v>
      </c>
      <c r="B838" s="104" t="s">
        <v>593</v>
      </c>
      <c r="C838" s="454" t="s">
        <v>594</v>
      </c>
      <c r="D838" s="105" t="s">
        <v>1444</v>
      </c>
      <c r="E838" s="104">
        <v>30967</v>
      </c>
      <c r="F838" s="104">
        <v>1290</v>
      </c>
      <c r="G838" s="106" t="s">
        <v>110</v>
      </c>
      <c r="H838" s="104" t="s">
        <v>111</v>
      </c>
      <c r="I838" s="104" t="s">
        <v>104</v>
      </c>
      <c r="J838" s="104" t="s">
        <v>256</v>
      </c>
      <c r="K838" s="104" t="s">
        <v>710</v>
      </c>
      <c r="L838" s="104" t="s">
        <v>711</v>
      </c>
      <c r="M838" s="104"/>
      <c r="N838" s="108" t="s">
        <v>17</v>
      </c>
      <c r="O838" s="104" t="s">
        <v>17</v>
      </c>
      <c r="P838" s="113">
        <v>47.6</v>
      </c>
      <c r="Q838" s="113" t="s">
        <v>17</v>
      </c>
      <c r="R838" s="104" t="s">
        <v>17</v>
      </c>
      <c r="S838" s="253">
        <f>(10^(2.79712*LOG(P838*10)-1.72502))/1000</f>
        <v>581.52442372825578</v>
      </c>
      <c r="T838" s="108" t="s">
        <v>1345</v>
      </c>
      <c r="U838" s="108">
        <v>0.95499999999999996</v>
      </c>
      <c r="V838" s="107"/>
      <c r="W838" s="114" t="s">
        <v>989</v>
      </c>
    </row>
    <row r="839" spans="1:23" ht="21" customHeight="1">
      <c r="A839" s="104" t="s">
        <v>592</v>
      </c>
      <c r="B839" s="104" t="s">
        <v>593</v>
      </c>
      <c r="C839" s="454" t="s">
        <v>594</v>
      </c>
      <c r="D839" s="105" t="s">
        <v>1444</v>
      </c>
      <c r="E839" s="104">
        <v>30967</v>
      </c>
      <c r="F839" s="104">
        <v>1231</v>
      </c>
      <c r="G839" s="106" t="s">
        <v>110</v>
      </c>
      <c r="H839" s="104" t="s">
        <v>111</v>
      </c>
      <c r="I839" s="104" t="s">
        <v>104</v>
      </c>
      <c r="J839" s="104" t="s">
        <v>256</v>
      </c>
      <c r="K839" s="104" t="s">
        <v>691</v>
      </c>
      <c r="L839" s="104" t="s">
        <v>692</v>
      </c>
      <c r="M839" s="104"/>
      <c r="N839" s="108" t="s">
        <v>17</v>
      </c>
      <c r="O839" s="104" t="s">
        <v>17</v>
      </c>
      <c r="P839" s="113">
        <v>31</v>
      </c>
      <c r="Q839" s="113" t="s">
        <v>17</v>
      </c>
      <c r="R839" s="104" t="s">
        <v>17</v>
      </c>
      <c r="S839" s="253"/>
      <c r="T839" s="104"/>
      <c r="U839" s="108"/>
      <c r="V839" s="107"/>
      <c r="W839" s="114"/>
    </row>
    <row r="840" spans="1:23" ht="21" customHeight="1">
      <c r="A840" s="104" t="s">
        <v>592</v>
      </c>
      <c r="B840" s="104" t="s">
        <v>1452</v>
      </c>
      <c r="C840" s="454" t="s">
        <v>598</v>
      </c>
      <c r="D840" s="105" t="s">
        <v>599</v>
      </c>
      <c r="E840" s="104">
        <v>30967</v>
      </c>
      <c r="F840" s="104">
        <v>1428</v>
      </c>
      <c r="G840" s="106" t="s">
        <v>110</v>
      </c>
      <c r="H840" s="104" t="s">
        <v>111</v>
      </c>
      <c r="I840" s="104" t="s">
        <v>104</v>
      </c>
      <c r="J840" s="104" t="s">
        <v>256</v>
      </c>
      <c r="K840" s="104" t="s">
        <v>714</v>
      </c>
      <c r="L840" s="104" t="s">
        <v>715</v>
      </c>
      <c r="M840" s="104" t="s">
        <v>108</v>
      </c>
      <c r="N840" s="108" t="s">
        <v>17</v>
      </c>
      <c r="O840" s="104" t="s">
        <v>17</v>
      </c>
      <c r="P840" s="113">
        <v>47.6</v>
      </c>
      <c r="Q840" s="113" t="s">
        <v>17</v>
      </c>
      <c r="R840" s="104" t="s">
        <v>17</v>
      </c>
      <c r="S840" s="253">
        <f>(10^(2.90786*LOG(P840*10)-2.17447))/1000</f>
        <v>408.91792987704457</v>
      </c>
      <c r="T840" s="104" t="s">
        <v>1453</v>
      </c>
      <c r="U840" s="108">
        <v>0.94</v>
      </c>
      <c r="V840" s="107" t="s">
        <v>287</v>
      </c>
      <c r="W840" s="114" t="s">
        <v>989</v>
      </c>
    </row>
    <row r="841" spans="1:23" ht="21" customHeight="1">
      <c r="A841" s="104" t="s">
        <v>592</v>
      </c>
      <c r="B841" s="104" t="s">
        <v>1452</v>
      </c>
      <c r="C841" s="454" t="s">
        <v>598</v>
      </c>
      <c r="D841" s="105" t="s">
        <v>599</v>
      </c>
      <c r="E841" s="104">
        <v>30967</v>
      </c>
      <c r="F841" s="104">
        <v>666</v>
      </c>
      <c r="G841" s="106" t="s">
        <v>110</v>
      </c>
      <c r="H841" s="104" t="s">
        <v>111</v>
      </c>
      <c r="I841" s="104" t="s">
        <v>104</v>
      </c>
      <c r="J841" s="104" t="s">
        <v>105</v>
      </c>
      <c r="K841" s="104" t="s">
        <v>710</v>
      </c>
      <c r="L841" s="104" t="s">
        <v>711</v>
      </c>
      <c r="M841" s="104" t="s">
        <v>114</v>
      </c>
      <c r="N841" s="108" t="s">
        <v>17</v>
      </c>
      <c r="O841" s="104" t="s">
        <v>17</v>
      </c>
      <c r="P841" s="113">
        <v>44.2</v>
      </c>
      <c r="Q841" s="113" t="s">
        <v>17</v>
      </c>
      <c r="R841" s="104" t="s">
        <v>17</v>
      </c>
      <c r="S841" s="253">
        <f>(10^(2.79712*LOG(P841*10)-1.72502))/1000</f>
        <v>472.65421813036238</v>
      </c>
      <c r="T841" s="108" t="s">
        <v>1345</v>
      </c>
      <c r="U841" s="108">
        <v>0.95499999999999996</v>
      </c>
      <c r="V841" s="107"/>
      <c r="W841" s="114" t="s">
        <v>989</v>
      </c>
    </row>
    <row r="842" spans="1:23" ht="21" customHeight="1">
      <c r="A842" s="104" t="s">
        <v>592</v>
      </c>
      <c r="B842" s="104" t="s">
        <v>1452</v>
      </c>
      <c r="C842" s="454" t="s">
        <v>598</v>
      </c>
      <c r="D842" s="105" t="s">
        <v>599</v>
      </c>
      <c r="E842" s="104">
        <v>30967</v>
      </c>
      <c r="F842" s="104">
        <v>1414</v>
      </c>
      <c r="G842" s="106" t="s">
        <v>110</v>
      </c>
      <c r="H842" s="104" t="s">
        <v>111</v>
      </c>
      <c r="I842" s="104" t="s">
        <v>104</v>
      </c>
      <c r="J842" s="104" t="s">
        <v>105</v>
      </c>
      <c r="K842" s="104" t="s">
        <v>710</v>
      </c>
      <c r="L842" s="104" t="s">
        <v>711</v>
      </c>
      <c r="M842" s="104" t="s">
        <v>114</v>
      </c>
      <c r="N842" s="108" t="s">
        <v>17</v>
      </c>
      <c r="O842" s="104" t="s">
        <v>17</v>
      </c>
      <c r="P842" s="113">
        <v>45.2</v>
      </c>
      <c r="Q842" s="113" t="s">
        <v>17</v>
      </c>
      <c r="R842" s="104" t="s">
        <v>17</v>
      </c>
      <c r="S842" s="253">
        <f>(10^(2.79712*LOG(P842*10)-1.72502))/1000</f>
        <v>503.17704321494142</v>
      </c>
      <c r="T842" s="108" t="s">
        <v>1345</v>
      </c>
      <c r="U842" s="108">
        <v>0.95499999999999996</v>
      </c>
      <c r="V842" s="107"/>
      <c r="W842" s="114" t="s">
        <v>989</v>
      </c>
    </row>
    <row r="843" spans="1:23" ht="21" customHeight="1">
      <c r="A843" s="104" t="s">
        <v>592</v>
      </c>
      <c r="B843" s="104" t="s">
        <v>1452</v>
      </c>
      <c r="C843" s="454" t="s">
        <v>598</v>
      </c>
      <c r="D843" s="105" t="s">
        <v>599</v>
      </c>
      <c r="E843" s="104">
        <v>30967</v>
      </c>
      <c r="F843" s="104">
        <v>1845</v>
      </c>
      <c r="G843" s="106" t="s">
        <v>110</v>
      </c>
      <c r="H843" s="104" t="s">
        <v>111</v>
      </c>
      <c r="I843" s="104" t="s">
        <v>104</v>
      </c>
      <c r="J843" s="104" t="s">
        <v>256</v>
      </c>
      <c r="K843" s="104" t="s">
        <v>714</v>
      </c>
      <c r="L843" s="104" t="s">
        <v>715</v>
      </c>
      <c r="M843" s="104" t="s">
        <v>108</v>
      </c>
      <c r="N843" s="108" t="s">
        <v>17</v>
      </c>
      <c r="O843" s="104" t="s">
        <v>17</v>
      </c>
      <c r="P843" s="113">
        <v>52</v>
      </c>
      <c r="Q843" s="113" t="s">
        <v>17</v>
      </c>
      <c r="R843" s="104" t="s">
        <v>17</v>
      </c>
      <c r="S843" s="253">
        <f>(10^(2.90786*LOG(P843*10)-2.17447))/1000</f>
        <v>528.79517384711278</v>
      </c>
      <c r="T843" s="104" t="s">
        <v>1453</v>
      </c>
      <c r="U843" s="108">
        <v>0.94</v>
      </c>
      <c r="V843" s="107" t="s">
        <v>287</v>
      </c>
      <c r="W843" s="114" t="s">
        <v>989</v>
      </c>
    </row>
    <row r="844" spans="1:23" ht="21" customHeight="1">
      <c r="A844" s="104" t="s">
        <v>592</v>
      </c>
      <c r="B844" s="104" t="s">
        <v>1452</v>
      </c>
      <c r="C844" s="454" t="s">
        <v>598</v>
      </c>
      <c r="D844" s="105" t="s">
        <v>599</v>
      </c>
      <c r="E844" s="104">
        <v>30967</v>
      </c>
      <c r="F844" s="104">
        <v>1421</v>
      </c>
      <c r="G844" s="106" t="s">
        <v>110</v>
      </c>
      <c r="H844" s="104" t="s">
        <v>111</v>
      </c>
      <c r="I844" s="104" t="s">
        <v>104</v>
      </c>
      <c r="J844" s="104" t="s">
        <v>256</v>
      </c>
      <c r="K844" s="104" t="s">
        <v>1454</v>
      </c>
      <c r="L844" s="104" t="s">
        <v>1455</v>
      </c>
      <c r="M844" s="104" t="s">
        <v>114</v>
      </c>
      <c r="N844" s="108">
        <v>15.9</v>
      </c>
      <c r="O844" s="104" t="s">
        <v>17</v>
      </c>
      <c r="P844" s="113"/>
      <c r="Q844" s="113">
        <v>17.600000000000001</v>
      </c>
      <c r="R844" s="104" t="s">
        <v>17</v>
      </c>
      <c r="S844" s="253">
        <f>(10^(2.87355*LOG(Q844*10)-0.52682))/1000</f>
        <v>842.89393052247726</v>
      </c>
      <c r="T844" s="103" t="s">
        <v>1456</v>
      </c>
      <c r="U844" s="103">
        <v>0.98</v>
      </c>
      <c r="V844" s="103" t="s">
        <v>287</v>
      </c>
      <c r="W844" s="414" t="s">
        <v>989</v>
      </c>
    </row>
    <row r="845" spans="1:23" ht="21" customHeight="1">
      <c r="A845" s="104" t="s">
        <v>592</v>
      </c>
      <c r="B845" s="104" t="s">
        <v>1452</v>
      </c>
      <c r="C845" s="454" t="s">
        <v>598</v>
      </c>
      <c r="D845" s="105" t="s">
        <v>599</v>
      </c>
      <c r="E845" s="104">
        <v>30967</v>
      </c>
      <c r="F845" s="104">
        <v>420</v>
      </c>
      <c r="G845" s="106" t="s">
        <v>110</v>
      </c>
      <c r="H845" s="104" t="s">
        <v>111</v>
      </c>
      <c r="I845" s="104" t="s">
        <v>104</v>
      </c>
      <c r="J845" s="104" t="s">
        <v>256</v>
      </c>
      <c r="K845" s="104" t="s">
        <v>1454</v>
      </c>
      <c r="L845" s="104" t="s">
        <v>1455</v>
      </c>
      <c r="M845" s="104" t="s">
        <v>108</v>
      </c>
      <c r="N845" s="108">
        <v>16.2</v>
      </c>
      <c r="O845" s="104" t="s">
        <v>17</v>
      </c>
      <c r="P845" s="113"/>
      <c r="Q845" s="113">
        <v>18</v>
      </c>
      <c r="R845" s="104" t="s">
        <v>17</v>
      </c>
      <c r="S845" s="253">
        <f>(10^(2.87355*LOG(Q845*10)-0.52682))/1000</f>
        <v>899.12134327935314</v>
      </c>
      <c r="T845" s="103" t="s">
        <v>1443</v>
      </c>
      <c r="U845" s="103">
        <v>0.98</v>
      </c>
      <c r="V845" s="103" t="s">
        <v>287</v>
      </c>
      <c r="W845" s="414" t="s">
        <v>989</v>
      </c>
    </row>
    <row r="846" spans="1:23" ht="21" customHeight="1">
      <c r="A846" s="104" t="s">
        <v>592</v>
      </c>
      <c r="B846" s="104" t="s">
        <v>1452</v>
      </c>
      <c r="C846" s="454" t="s">
        <v>598</v>
      </c>
      <c r="D846" s="105" t="s">
        <v>599</v>
      </c>
      <c r="E846" s="104">
        <v>30967</v>
      </c>
      <c r="F846" s="104">
        <v>504</v>
      </c>
      <c r="G846" s="106" t="s">
        <v>110</v>
      </c>
      <c r="H846" s="104" t="s">
        <v>111</v>
      </c>
      <c r="I846" s="104" t="s">
        <v>104</v>
      </c>
      <c r="J846" s="104" t="s">
        <v>256</v>
      </c>
      <c r="K846" s="104" t="s">
        <v>290</v>
      </c>
      <c r="L846" s="104" t="s">
        <v>973</v>
      </c>
      <c r="M846" s="475" t="s">
        <v>1457</v>
      </c>
      <c r="N846" s="108" t="s">
        <v>17</v>
      </c>
      <c r="O846" s="104" t="s">
        <v>17</v>
      </c>
      <c r="P846" s="113">
        <v>50.2</v>
      </c>
      <c r="Q846" s="113" t="s">
        <v>17</v>
      </c>
      <c r="R846" s="104" t="s">
        <v>17</v>
      </c>
      <c r="S846" s="253"/>
      <c r="T846" s="104"/>
      <c r="U846" s="108"/>
      <c r="V846" s="107"/>
      <c r="W846" s="114"/>
    </row>
    <row r="847" spans="1:23" ht="21" customHeight="1">
      <c r="A847" s="104" t="s">
        <v>592</v>
      </c>
      <c r="B847" s="104" t="s">
        <v>1452</v>
      </c>
      <c r="C847" s="454" t="s">
        <v>598</v>
      </c>
      <c r="D847" s="105" t="s">
        <v>599</v>
      </c>
      <c r="E847" s="104">
        <v>30967</v>
      </c>
      <c r="F847" s="104">
        <v>521</v>
      </c>
      <c r="G847" s="106" t="s">
        <v>110</v>
      </c>
      <c r="H847" s="104" t="s">
        <v>111</v>
      </c>
      <c r="I847" s="104" t="s">
        <v>104</v>
      </c>
      <c r="J847" s="104" t="s">
        <v>256</v>
      </c>
      <c r="K847" s="104" t="s">
        <v>290</v>
      </c>
      <c r="L847" s="104" t="s">
        <v>973</v>
      </c>
      <c r="M847" s="475" t="s">
        <v>1457</v>
      </c>
      <c r="N847" s="108" t="s">
        <v>17</v>
      </c>
      <c r="O847" s="104" t="s">
        <v>17</v>
      </c>
      <c r="P847" s="113">
        <v>50</v>
      </c>
      <c r="Q847" s="113" t="s">
        <v>17</v>
      </c>
      <c r="R847" s="104" t="s">
        <v>17</v>
      </c>
      <c r="S847" s="253"/>
      <c r="T847" s="104"/>
      <c r="U847" s="108"/>
      <c r="V847" s="107"/>
      <c r="W847" s="114"/>
    </row>
    <row r="848" spans="1:23" ht="21" customHeight="1">
      <c r="A848" s="104" t="s">
        <v>592</v>
      </c>
      <c r="B848" s="104" t="s">
        <v>1452</v>
      </c>
      <c r="C848" s="454" t="s">
        <v>598</v>
      </c>
      <c r="D848" s="105" t="s">
        <v>599</v>
      </c>
      <c r="E848" s="104">
        <v>30967</v>
      </c>
      <c r="F848" s="104">
        <v>1813</v>
      </c>
      <c r="G848" s="106" t="s">
        <v>110</v>
      </c>
      <c r="H848" s="104" t="s">
        <v>111</v>
      </c>
      <c r="I848" s="104" t="s">
        <v>104</v>
      </c>
      <c r="J848" s="104" t="s">
        <v>256</v>
      </c>
      <c r="K848" s="104" t="s">
        <v>290</v>
      </c>
      <c r="L848" s="104" t="s">
        <v>973</v>
      </c>
      <c r="M848" s="104"/>
      <c r="N848" s="108" t="s">
        <v>17</v>
      </c>
      <c r="O848" s="104" t="s">
        <v>17</v>
      </c>
      <c r="P848" s="113">
        <v>49.4</v>
      </c>
      <c r="Q848" s="113" t="s">
        <v>17</v>
      </c>
      <c r="R848" s="104" t="s">
        <v>17</v>
      </c>
      <c r="S848" s="253"/>
      <c r="T848" s="104"/>
      <c r="U848" s="108"/>
      <c r="V848" s="107"/>
      <c r="W848" s="114"/>
    </row>
    <row r="849" spans="1:23" ht="21" customHeight="1">
      <c r="A849" s="103" t="s">
        <v>601</v>
      </c>
      <c r="B849" s="103" t="s">
        <v>602</v>
      </c>
      <c r="C849" s="421" t="s">
        <v>1120</v>
      </c>
      <c r="D849" s="105" t="s">
        <v>151</v>
      </c>
      <c r="E849" s="103">
        <v>30967</v>
      </c>
      <c r="F849" s="103">
        <v>545</v>
      </c>
      <c r="G849" s="103" t="s">
        <v>110</v>
      </c>
      <c r="H849" s="103" t="s">
        <v>111</v>
      </c>
      <c r="I849" s="104" t="s">
        <v>104</v>
      </c>
      <c r="J849" s="103" t="s">
        <v>105</v>
      </c>
      <c r="K849" s="103" t="s">
        <v>121</v>
      </c>
      <c r="L849" s="103" t="s">
        <v>1041</v>
      </c>
      <c r="M849" s="103">
        <v>14.2</v>
      </c>
      <c r="N849" s="103"/>
      <c r="O849" s="103">
        <v>20.6</v>
      </c>
      <c r="P849" s="103">
        <v>18.899999999999999</v>
      </c>
      <c r="Q849" s="103"/>
      <c r="R849" s="103"/>
      <c r="S849" s="253">
        <f>(10^(((LOG(P849))*2.6454)+0.2538))</f>
        <v>4271.2211341559369</v>
      </c>
      <c r="T849" s="104" t="s">
        <v>1143</v>
      </c>
      <c r="U849" s="108">
        <v>0.96</v>
      </c>
      <c r="V849" s="107">
        <v>19</v>
      </c>
      <c r="W849" s="106" t="s">
        <v>1144</v>
      </c>
    </row>
    <row r="850" spans="1:23" ht="21" customHeight="1">
      <c r="A850" s="103" t="s">
        <v>601</v>
      </c>
      <c r="B850" s="103" t="s">
        <v>602</v>
      </c>
      <c r="C850" s="421" t="s">
        <v>609</v>
      </c>
      <c r="D850" s="396" t="s">
        <v>610</v>
      </c>
      <c r="E850" s="103">
        <v>30967</v>
      </c>
      <c r="F850" s="103">
        <v>668</v>
      </c>
      <c r="G850" s="103" t="s">
        <v>110</v>
      </c>
      <c r="H850" s="103" t="s">
        <v>111</v>
      </c>
      <c r="I850" s="104" t="s">
        <v>104</v>
      </c>
      <c r="J850" s="103" t="s">
        <v>105</v>
      </c>
      <c r="K850" s="104" t="s">
        <v>1441</v>
      </c>
      <c r="L850" s="104" t="s">
        <v>1442</v>
      </c>
      <c r="M850" s="103"/>
      <c r="N850" s="103"/>
      <c r="O850" s="103">
        <v>45.5</v>
      </c>
      <c r="P850" s="103"/>
      <c r="Q850" s="103"/>
      <c r="R850" s="103"/>
      <c r="S850" s="476">
        <v>7799.8</v>
      </c>
      <c r="T850" s="103" t="s">
        <v>1472</v>
      </c>
      <c r="U850" s="103">
        <v>0.95</v>
      </c>
      <c r="V850" s="103" t="s">
        <v>287</v>
      </c>
      <c r="W850" s="414" t="s">
        <v>1471</v>
      </c>
    </row>
    <row r="851" spans="1:23" ht="21" customHeight="1">
      <c r="A851" s="103" t="s">
        <v>601</v>
      </c>
      <c r="B851" s="103" t="s">
        <v>602</v>
      </c>
      <c r="C851" s="421" t="s">
        <v>609</v>
      </c>
      <c r="D851" s="396" t="s">
        <v>610</v>
      </c>
      <c r="E851" s="103">
        <v>30967</v>
      </c>
      <c r="F851" s="103">
        <v>338</v>
      </c>
      <c r="G851" s="103" t="s">
        <v>110</v>
      </c>
      <c r="H851" s="103" t="s">
        <v>111</v>
      </c>
      <c r="I851" s="104" t="s">
        <v>104</v>
      </c>
      <c r="J851" s="103" t="s">
        <v>105</v>
      </c>
      <c r="K851" s="103" t="s">
        <v>126</v>
      </c>
      <c r="L851" s="103" t="s">
        <v>175</v>
      </c>
      <c r="M851" s="103" t="s">
        <v>108</v>
      </c>
      <c r="N851" s="103"/>
      <c r="O851" s="103"/>
      <c r="P851" s="103">
        <v>16.690000000000001</v>
      </c>
      <c r="Q851" s="103">
        <v>10.69</v>
      </c>
      <c r="R851" s="103"/>
      <c r="S851" s="476"/>
      <c r="T851" s="103"/>
      <c r="U851" s="103"/>
      <c r="V851" s="103"/>
      <c r="W851" s="414"/>
    </row>
    <row r="852" spans="1:23" ht="21" customHeight="1">
      <c r="A852" s="103" t="s">
        <v>601</v>
      </c>
      <c r="B852" s="103" t="s">
        <v>602</v>
      </c>
      <c r="C852" s="421" t="s">
        <v>609</v>
      </c>
      <c r="D852" s="396" t="s">
        <v>610</v>
      </c>
      <c r="E852" s="103">
        <v>30967</v>
      </c>
      <c r="F852" s="103">
        <v>591</v>
      </c>
      <c r="G852" s="103" t="s">
        <v>110</v>
      </c>
      <c r="H852" s="103" t="s">
        <v>111</v>
      </c>
      <c r="I852" s="104" t="s">
        <v>104</v>
      </c>
      <c r="J852" s="103" t="s">
        <v>105</v>
      </c>
      <c r="K852" s="103" t="s">
        <v>126</v>
      </c>
      <c r="L852" s="103" t="s">
        <v>175</v>
      </c>
      <c r="M852" s="103" t="s">
        <v>108</v>
      </c>
      <c r="N852" s="103"/>
      <c r="O852" s="103"/>
      <c r="P852" s="103">
        <v>20</v>
      </c>
      <c r="Q852" s="103">
        <v>11</v>
      </c>
      <c r="R852" s="103"/>
      <c r="S852" s="476"/>
      <c r="T852" s="103"/>
      <c r="U852" s="103"/>
      <c r="V852" s="103"/>
      <c r="W852" s="414"/>
    </row>
    <row r="853" spans="1:23" ht="21" customHeight="1">
      <c r="A853" s="103" t="s">
        <v>601</v>
      </c>
      <c r="B853" s="103" t="s">
        <v>602</v>
      </c>
      <c r="C853" s="421" t="s">
        <v>609</v>
      </c>
      <c r="D853" s="396" t="s">
        <v>610</v>
      </c>
      <c r="E853" s="103">
        <v>30967</v>
      </c>
      <c r="F853" s="103">
        <v>728</v>
      </c>
      <c r="G853" s="103" t="s">
        <v>110</v>
      </c>
      <c r="H853" s="103" t="s">
        <v>111</v>
      </c>
      <c r="I853" s="104" t="s">
        <v>104</v>
      </c>
      <c r="J853" s="103" t="s">
        <v>105</v>
      </c>
      <c r="K853" s="103" t="s">
        <v>126</v>
      </c>
      <c r="L853" s="103" t="s">
        <v>175</v>
      </c>
      <c r="M853" s="103" t="s">
        <v>108</v>
      </c>
      <c r="N853" s="103"/>
      <c r="O853" s="103"/>
      <c r="P853" s="103">
        <v>19.09</v>
      </c>
      <c r="Q853" s="103">
        <v>10</v>
      </c>
      <c r="R853" s="103"/>
      <c r="S853" s="476"/>
      <c r="T853" s="103"/>
      <c r="U853" s="103"/>
      <c r="V853" s="103"/>
      <c r="W853" s="414"/>
    </row>
    <row r="854" spans="1:23" ht="21" customHeight="1">
      <c r="A854" s="103" t="s">
        <v>601</v>
      </c>
      <c r="B854" s="103" t="s">
        <v>602</v>
      </c>
      <c r="C854" s="421" t="s">
        <v>609</v>
      </c>
      <c r="D854" s="396" t="s">
        <v>610</v>
      </c>
      <c r="E854" s="103">
        <v>30967</v>
      </c>
      <c r="F854" s="103">
        <v>793</v>
      </c>
      <c r="G854" s="103" t="s">
        <v>110</v>
      </c>
      <c r="H854" s="103" t="s">
        <v>111</v>
      </c>
      <c r="I854" s="104" t="s">
        <v>104</v>
      </c>
      <c r="J854" s="103" t="s">
        <v>105</v>
      </c>
      <c r="K854" s="103" t="s">
        <v>185</v>
      </c>
      <c r="L854" s="103" t="s">
        <v>186</v>
      </c>
      <c r="M854" s="103"/>
      <c r="N854" s="103"/>
      <c r="O854" s="103"/>
      <c r="P854" s="103">
        <v>15.8</v>
      </c>
      <c r="Q854" s="103">
        <v>8.6999999999999993</v>
      </c>
      <c r="R854" s="103"/>
      <c r="S854" s="476"/>
      <c r="T854" s="103"/>
      <c r="U854" s="103"/>
      <c r="V854" s="103"/>
      <c r="W854" s="414"/>
    </row>
    <row r="855" spans="1:23" ht="21" customHeight="1">
      <c r="A855" s="103" t="s">
        <v>601</v>
      </c>
      <c r="B855" s="103" t="s">
        <v>602</v>
      </c>
      <c r="C855" s="421" t="s">
        <v>609</v>
      </c>
      <c r="D855" s="396" t="s">
        <v>610</v>
      </c>
      <c r="E855" s="103">
        <v>30968</v>
      </c>
      <c r="F855" s="103">
        <v>50</v>
      </c>
      <c r="G855" s="103" t="s">
        <v>110</v>
      </c>
      <c r="H855" s="103" t="s">
        <v>111</v>
      </c>
      <c r="I855" s="104" t="s">
        <v>104</v>
      </c>
      <c r="J855" s="103" t="s">
        <v>256</v>
      </c>
      <c r="K855" s="103" t="s">
        <v>126</v>
      </c>
      <c r="L855" s="103" t="s">
        <v>1483</v>
      </c>
      <c r="M855" s="103" t="s">
        <v>108</v>
      </c>
      <c r="N855" s="103"/>
      <c r="O855" s="103"/>
      <c r="P855" s="103">
        <v>18.5</v>
      </c>
      <c r="Q855" s="103">
        <v>10.4</v>
      </c>
      <c r="R855" s="103"/>
      <c r="S855" s="476"/>
      <c r="T855" s="103"/>
      <c r="U855" s="103"/>
      <c r="V855" s="103"/>
      <c r="W855" s="414"/>
    </row>
    <row r="856" spans="1:23" ht="21" customHeight="1">
      <c r="A856" s="103" t="s">
        <v>601</v>
      </c>
      <c r="B856" s="103" t="s">
        <v>602</v>
      </c>
      <c r="C856" s="421" t="s">
        <v>609</v>
      </c>
      <c r="D856" s="396" t="s">
        <v>610</v>
      </c>
      <c r="E856" s="103">
        <v>30968</v>
      </c>
      <c r="F856" s="103">
        <v>339</v>
      </c>
      <c r="G856" s="103" t="s">
        <v>110</v>
      </c>
      <c r="H856" s="103" t="s">
        <v>111</v>
      </c>
      <c r="I856" s="104" t="s">
        <v>104</v>
      </c>
      <c r="J856" s="103" t="s">
        <v>256</v>
      </c>
      <c r="K856" s="103" t="s">
        <v>126</v>
      </c>
      <c r="L856" s="103" t="s">
        <v>1483</v>
      </c>
      <c r="M856" s="103" t="s">
        <v>114</v>
      </c>
      <c r="N856" s="103"/>
      <c r="O856" s="103"/>
      <c r="P856" s="103">
        <v>16.8</v>
      </c>
      <c r="Q856" s="103">
        <v>9.3000000000000007</v>
      </c>
      <c r="R856" s="103"/>
      <c r="S856" s="476"/>
      <c r="T856" s="103"/>
      <c r="U856" s="103"/>
      <c r="V856" s="103"/>
      <c r="W856" s="414"/>
    </row>
    <row r="857" spans="1:23" ht="21" customHeight="1">
      <c r="A857" s="103" t="s">
        <v>601</v>
      </c>
      <c r="B857" s="103" t="s">
        <v>602</v>
      </c>
      <c r="C857" s="421" t="s">
        <v>609</v>
      </c>
      <c r="D857" s="396" t="s">
        <v>610</v>
      </c>
      <c r="E857" s="103">
        <v>30968</v>
      </c>
      <c r="F857" s="103">
        <v>352</v>
      </c>
      <c r="G857" s="103" t="s">
        <v>110</v>
      </c>
      <c r="H857" s="103" t="s">
        <v>111</v>
      </c>
      <c r="I857" s="104" t="s">
        <v>104</v>
      </c>
      <c r="J857" s="103" t="s">
        <v>256</v>
      </c>
      <c r="K857" s="103" t="s">
        <v>126</v>
      </c>
      <c r="L857" s="103" t="s">
        <v>1483</v>
      </c>
      <c r="M857" s="103" t="s">
        <v>114</v>
      </c>
      <c r="N857" s="103"/>
      <c r="O857" s="103"/>
      <c r="P857" s="103">
        <v>20</v>
      </c>
      <c r="Q857" s="103">
        <v>10.6</v>
      </c>
      <c r="R857" s="103"/>
      <c r="S857" s="476"/>
      <c r="T857" s="103"/>
      <c r="U857" s="103"/>
      <c r="V857" s="103"/>
      <c r="W857" s="414"/>
    </row>
    <row r="858" spans="1:23" ht="21" customHeight="1">
      <c r="A858" s="103" t="s">
        <v>601</v>
      </c>
      <c r="B858" s="103" t="s">
        <v>602</v>
      </c>
      <c r="C858" s="421" t="s">
        <v>609</v>
      </c>
      <c r="D858" s="396" t="s">
        <v>610</v>
      </c>
      <c r="E858" s="103">
        <v>30968</v>
      </c>
      <c r="F858" s="103">
        <v>414</v>
      </c>
      <c r="G858" s="103" t="s">
        <v>110</v>
      </c>
      <c r="H858" s="103" t="s">
        <v>111</v>
      </c>
      <c r="I858" s="104" t="s">
        <v>104</v>
      </c>
      <c r="J858" s="103" t="s">
        <v>256</v>
      </c>
      <c r="K858" s="103" t="s">
        <v>126</v>
      </c>
      <c r="L858" s="103" t="s">
        <v>1483</v>
      </c>
      <c r="M858" s="103" t="s">
        <v>114</v>
      </c>
      <c r="N858" s="103"/>
      <c r="O858" s="103"/>
      <c r="P858" s="103">
        <v>19.8</v>
      </c>
      <c r="Q858" s="103">
        <v>10.199999999999999</v>
      </c>
      <c r="R858" s="103"/>
      <c r="S858" s="476"/>
      <c r="T858" s="103"/>
      <c r="U858" s="103"/>
      <c r="V858" s="103"/>
      <c r="W858" s="414"/>
    </row>
    <row r="859" spans="1:23" ht="21" customHeight="1">
      <c r="A859" s="103" t="s">
        <v>601</v>
      </c>
      <c r="B859" s="103" t="s">
        <v>602</v>
      </c>
      <c r="C859" s="421" t="s">
        <v>609</v>
      </c>
      <c r="D859" s="396" t="s">
        <v>610</v>
      </c>
      <c r="E859" s="103">
        <v>30968</v>
      </c>
      <c r="F859" s="103">
        <v>904</v>
      </c>
      <c r="G859" s="103" t="s">
        <v>110</v>
      </c>
      <c r="H859" s="103" t="s">
        <v>111</v>
      </c>
      <c r="I859" s="104" t="s">
        <v>104</v>
      </c>
      <c r="J859" s="103" t="s">
        <v>256</v>
      </c>
      <c r="K859" s="103" t="s">
        <v>126</v>
      </c>
      <c r="L859" s="103" t="s">
        <v>1483</v>
      </c>
      <c r="M859" s="103" t="s">
        <v>114</v>
      </c>
      <c r="N859" s="103"/>
      <c r="O859" s="103"/>
      <c r="P859" s="103">
        <v>18.3</v>
      </c>
      <c r="Q859" s="103">
        <v>9.6</v>
      </c>
      <c r="R859" s="103"/>
      <c r="S859" s="476"/>
      <c r="T859" s="103"/>
      <c r="U859" s="103"/>
      <c r="V859" s="103"/>
      <c r="W859" s="414"/>
    </row>
    <row r="860" spans="1:23" ht="21" customHeight="1">
      <c r="A860" s="103" t="s">
        <v>601</v>
      </c>
      <c r="B860" s="103" t="s">
        <v>602</v>
      </c>
      <c r="C860" s="421" t="s">
        <v>609</v>
      </c>
      <c r="D860" s="396" t="s">
        <v>610</v>
      </c>
      <c r="E860" s="103">
        <v>30968</v>
      </c>
      <c r="F860" s="103">
        <v>1650</v>
      </c>
      <c r="G860" s="103" t="s">
        <v>110</v>
      </c>
      <c r="H860" s="103" t="s">
        <v>111</v>
      </c>
      <c r="I860" s="104" t="s">
        <v>104</v>
      </c>
      <c r="J860" s="103" t="s">
        <v>256</v>
      </c>
      <c r="K860" s="103" t="s">
        <v>126</v>
      </c>
      <c r="L860" s="103" t="s">
        <v>1483</v>
      </c>
      <c r="M860" s="103" t="s">
        <v>114</v>
      </c>
      <c r="N860" s="103"/>
      <c r="O860" s="103"/>
      <c r="P860" s="103">
        <v>19.5</v>
      </c>
      <c r="Q860" s="103">
        <v>10</v>
      </c>
      <c r="R860" s="103"/>
      <c r="S860" s="476"/>
      <c r="T860" s="103"/>
      <c r="U860" s="103"/>
      <c r="V860" s="103"/>
      <c r="W860" s="414"/>
    </row>
    <row r="861" spans="1:23" ht="21" customHeight="1">
      <c r="A861" s="103" t="s">
        <v>601</v>
      </c>
      <c r="B861" s="103" t="s">
        <v>602</v>
      </c>
      <c r="C861" s="421" t="s">
        <v>609</v>
      </c>
      <c r="D861" s="396" t="s">
        <v>610</v>
      </c>
      <c r="E861" s="103">
        <v>30968</v>
      </c>
      <c r="F861" s="103">
        <v>899</v>
      </c>
      <c r="G861" s="103" t="s">
        <v>110</v>
      </c>
      <c r="H861" s="103" t="s">
        <v>111</v>
      </c>
      <c r="I861" s="104" t="s">
        <v>104</v>
      </c>
      <c r="J861" s="103" t="s">
        <v>256</v>
      </c>
      <c r="K861" s="103" t="s">
        <v>172</v>
      </c>
      <c r="L861" s="103" t="s">
        <v>173</v>
      </c>
      <c r="M861" s="103"/>
      <c r="N861" s="103"/>
      <c r="O861" s="103"/>
      <c r="P861" s="103">
        <v>8.4</v>
      </c>
      <c r="Q861" s="103">
        <v>7.4</v>
      </c>
      <c r="R861" s="103"/>
      <c r="S861" s="476"/>
      <c r="T861" s="103"/>
      <c r="U861" s="103"/>
      <c r="V861" s="103"/>
      <c r="W861" s="414"/>
    </row>
    <row r="862" spans="1:23" ht="21" customHeight="1">
      <c r="A862" s="103" t="s">
        <v>601</v>
      </c>
      <c r="B862" s="103" t="s">
        <v>602</v>
      </c>
      <c r="C862" s="421" t="s">
        <v>609</v>
      </c>
      <c r="D862" s="396" t="s">
        <v>610</v>
      </c>
      <c r="E862" s="103">
        <v>30968</v>
      </c>
      <c r="F862" s="103">
        <v>1611</v>
      </c>
      <c r="G862" s="103" t="s">
        <v>110</v>
      </c>
      <c r="H862" s="103" t="s">
        <v>111</v>
      </c>
      <c r="I862" s="104" t="s">
        <v>104</v>
      </c>
      <c r="J862" s="103" t="s">
        <v>256</v>
      </c>
      <c r="K862" s="103" t="s">
        <v>172</v>
      </c>
      <c r="L862" s="103" t="s">
        <v>173</v>
      </c>
      <c r="M862" s="103"/>
      <c r="N862" s="103"/>
      <c r="O862" s="103"/>
      <c r="P862" s="103">
        <v>7.7</v>
      </c>
      <c r="Q862" s="103">
        <v>6.5</v>
      </c>
      <c r="R862" s="103"/>
      <c r="S862" s="476"/>
      <c r="T862" s="103"/>
      <c r="U862" s="103"/>
      <c r="V862" s="103"/>
      <c r="W862" s="414"/>
    </row>
    <row r="863" spans="1:23" ht="21" customHeight="1">
      <c r="A863" s="103" t="s">
        <v>601</v>
      </c>
      <c r="B863" s="103" t="s">
        <v>602</v>
      </c>
      <c r="C863" s="421" t="s">
        <v>609</v>
      </c>
      <c r="D863" s="396" t="s">
        <v>610</v>
      </c>
      <c r="E863" s="103">
        <v>30968</v>
      </c>
      <c r="F863" s="103">
        <v>159</v>
      </c>
      <c r="G863" s="103" t="s">
        <v>110</v>
      </c>
      <c r="H863" s="103" t="s">
        <v>111</v>
      </c>
      <c r="I863" s="104" t="s">
        <v>104</v>
      </c>
      <c r="J863" s="103" t="s">
        <v>256</v>
      </c>
      <c r="K863" s="103" t="s">
        <v>166</v>
      </c>
      <c r="L863" s="103" t="s">
        <v>167</v>
      </c>
      <c r="M863" s="103"/>
      <c r="N863" s="103"/>
      <c r="O863" s="103"/>
      <c r="P863" s="103">
        <v>10.6</v>
      </c>
      <c r="Q863" s="103">
        <v>8.1999999999999993</v>
      </c>
      <c r="R863" s="103"/>
      <c r="S863" s="476"/>
      <c r="T863" s="103"/>
      <c r="U863" s="103"/>
      <c r="V863" s="103"/>
      <c r="W863" s="414"/>
    </row>
    <row r="864" spans="1:23" ht="21" customHeight="1">
      <c r="A864" s="103" t="s">
        <v>601</v>
      </c>
      <c r="B864" s="103" t="s">
        <v>602</v>
      </c>
      <c r="C864" s="421" t="s">
        <v>609</v>
      </c>
      <c r="D864" s="396" t="s">
        <v>610</v>
      </c>
      <c r="E864" s="103">
        <v>30968</v>
      </c>
      <c r="F864" s="103">
        <v>247</v>
      </c>
      <c r="G864" s="103" t="s">
        <v>110</v>
      </c>
      <c r="H864" s="103" t="s">
        <v>111</v>
      </c>
      <c r="I864" s="104" t="s">
        <v>104</v>
      </c>
      <c r="J864" s="103" t="s">
        <v>256</v>
      </c>
      <c r="K864" s="103" t="s">
        <v>166</v>
      </c>
      <c r="L864" s="103" t="s">
        <v>167</v>
      </c>
      <c r="M864" s="103"/>
      <c r="N864" s="103"/>
      <c r="O864" s="103"/>
      <c r="P864" s="103">
        <v>12.5</v>
      </c>
      <c r="Q864" s="103">
        <v>9.5</v>
      </c>
      <c r="R864" s="103"/>
      <c r="S864" s="476"/>
      <c r="T864" s="103"/>
      <c r="U864" s="103"/>
      <c r="V864" s="103"/>
      <c r="W864" s="414"/>
    </row>
    <row r="865" spans="1:23" ht="21" customHeight="1">
      <c r="A865" s="103" t="s">
        <v>601</v>
      </c>
      <c r="B865" s="103" t="s">
        <v>602</v>
      </c>
      <c r="C865" s="421" t="s">
        <v>609</v>
      </c>
      <c r="D865" s="396" t="s">
        <v>610</v>
      </c>
      <c r="E865" s="103">
        <v>30968</v>
      </c>
      <c r="F865" s="103">
        <v>470</v>
      </c>
      <c r="G865" s="103" t="s">
        <v>110</v>
      </c>
      <c r="H865" s="103" t="s">
        <v>111</v>
      </c>
      <c r="I865" s="104" t="s">
        <v>104</v>
      </c>
      <c r="J865" s="103" t="s">
        <v>256</v>
      </c>
      <c r="K865" s="103" t="s">
        <v>166</v>
      </c>
      <c r="L865" s="103" t="s">
        <v>167</v>
      </c>
      <c r="M865" s="103"/>
      <c r="N865" s="103"/>
      <c r="O865" s="103"/>
      <c r="P865" s="103">
        <v>11.5</v>
      </c>
      <c r="Q865" s="103">
        <v>9.3000000000000007</v>
      </c>
      <c r="R865" s="103"/>
      <c r="S865" s="476"/>
      <c r="T865" s="103"/>
      <c r="U865" s="103"/>
      <c r="V865" s="103"/>
      <c r="W865" s="414"/>
    </row>
    <row r="866" spans="1:23" ht="21" customHeight="1">
      <c r="A866" s="103" t="s">
        <v>601</v>
      </c>
      <c r="B866" s="103" t="s">
        <v>602</v>
      </c>
      <c r="C866" s="421" t="s">
        <v>609</v>
      </c>
      <c r="D866" s="396" t="s">
        <v>610</v>
      </c>
      <c r="E866" s="103">
        <v>30968</v>
      </c>
      <c r="F866" s="103">
        <v>525</v>
      </c>
      <c r="G866" s="103" t="s">
        <v>110</v>
      </c>
      <c r="H866" s="103" t="s">
        <v>111</v>
      </c>
      <c r="I866" s="104" t="s">
        <v>104</v>
      </c>
      <c r="J866" s="103" t="s">
        <v>256</v>
      </c>
      <c r="K866" s="103" t="s">
        <v>166</v>
      </c>
      <c r="L866" s="103" t="s">
        <v>167</v>
      </c>
      <c r="M866" s="103"/>
      <c r="N866" s="103"/>
      <c r="O866" s="103"/>
      <c r="P866" s="103">
        <v>11.2</v>
      </c>
      <c r="Q866" s="103">
        <v>8.5</v>
      </c>
      <c r="R866" s="103"/>
      <c r="S866" s="476"/>
      <c r="T866" s="103"/>
      <c r="U866" s="103"/>
      <c r="V866" s="103"/>
      <c r="W866" s="414"/>
    </row>
    <row r="867" spans="1:23" ht="21" customHeight="1">
      <c r="A867" s="103" t="s">
        <v>601</v>
      </c>
      <c r="B867" s="103" t="s">
        <v>602</v>
      </c>
      <c r="C867" s="421" t="s">
        <v>609</v>
      </c>
      <c r="D867" s="396" t="s">
        <v>610</v>
      </c>
      <c r="E867" s="103">
        <v>30968</v>
      </c>
      <c r="F867" s="103">
        <v>727</v>
      </c>
      <c r="G867" s="103" t="s">
        <v>110</v>
      </c>
      <c r="H867" s="103" t="s">
        <v>111</v>
      </c>
      <c r="I867" s="104" t="s">
        <v>104</v>
      </c>
      <c r="J867" s="103" t="s">
        <v>256</v>
      </c>
      <c r="K867" s="103" t="s">
        <v>166</v>
      </c>
      <c r="L867" s="103" t="s">
        <v>167</v>
      </c>
      <c r="M867" s="103"/>
      <c r="N867" s="103"/>
      <c r="O867" s="103"/>
      <c r="P867" s="103">
        <v>11.3</v>
      </c>
      <c r="Q867" s="103">
        <v>8.9</v>
      </c>
      <c r="R867" s="103"/>
      <c r="S867" s="476"/>
      <c r="T867" s="103"/>
      <c r="U867" s="103"/>
      <c r="V867" s="103"/>
      <c r="W867" s="414"/>
    </row>
    <row r="868" spans="1:23" ht="21" customHeight="1">
      <c r="A868" s="103" t="s">
        <v>601</v>
      </c>
      <c r="B868" s="103" t="s">
        <v>602</v>
      </c>
      <c r="C868" s="421" t="s">
        <v>609</v>
      </c>
      <c r="D868" s="396" t="s">
        <v>610</v>
      </c>
      <c r="E868" s="103">
        <v>30968</v>
      </c>
      <c r="F868" s="103">
        <v>980</v>
      </c>
      <c r="G868" s="103" t="s">
        <v>110</v>
      </c>
      <c r="H868" s="103" t="s">
        <v>111</v>
      </c>
      <c r="I868" s="104" t="s">
        <v>104</v>
      </c>
      <c r="J868" s="103" t="s">
        <v>256</v>
      </c>
      <c r="K868" s="103" t="s">
        <v>166</v>
      </c>
      <c r="L868" s="103" t="s">
        <v>167</v>
      </c>
      <c r="M868" s="103"/>
      <c r="N868" s="103"/>
      <c r="O868" s="103"/>
      <c r="P868" s="103">
        <v>11.1</v>
      </c>
      <c r="Q868" s="103">
        <v>8.8000000000000007</v>
      </c>
      <c r="R868" s="103"/>
      <c r="S868" s="476"/>
      <c r="T868" s="103"/>
      <c r="U868" s="103"/>
      <c r="V868" s="103"/>
      <c r="W868" s="414"/>
    </row>
    <row r="869" spans="1:23" ht="21" customHeight="1">
      <c r="A869" s="103" t="s">
        <v>601</v>
      </c>
      <c r="B869" s="103" t="s">
        <v>602</v>
      </c>
      <c r="C869" s="421" t="s">
        <v>609</v>
      </c>
      <c r="D869" s="396" t="s">
        <v>610</v>
      </c>
      <c r="E869" s="103">
        <v>30968</v>
      </c>
      <c r="F869" s="103">
        <v>1606</v>
      </c>
      <c r="G869" s="103" t="s">
        <v>110</v>
      </c>
      <c r="H869" s="103" t="s">
        <v>111</v>
      </c>
      <c r="I869" s="104" t="s">
        <v>104</v>
      </c>
      <c r="J869" s="103" t="s">
        <v>256</v>
      </c>
      <c r="K869" s="103" t="s">
        <v>166</v>
      </c>
      <c r="L869" s="103" t="s">
        <v>167</v>
      </c>
      <c r="M869" s="103"/>
      <c r="N869" s="103"/>
      <c r="O869" s="103"/>
      <c r="P869" s="103">
        <v>10.8</v>
      </c>
      <c r="Q869" s="103">
        <v>8.9</v>
      </c>
      <c r="R869" s="103"/>
      <c r="S869" s="476"/>
      <c r="T869" s="103"/>
      <c r="U869" s="103"/>
      <c r="V869" s="103"/>
      <c r="W869" s="414"/>
    </row>
    <row r="870" spans="1:23" ht="21" customHeight="1">
      <c r="A870" s="103" t="s">
        <v>601</v>
      </c>
      <c r="B870" s="103" t="s">
        <v>602</v>
      </c>
      <c r="C870" s="421" t="s">
        <v>609</v>
      </c>
      <c r="D870" s="396" t="s">
        <v>610</v>
      </c>
      <c r="E870" s="103">
        <v>30968</v>
      </c>
      <c r="F870" s="103">
        <v>119</v>
      </c>
      <c r="G870" s="103" t="s">
        <v>110</v>
      </c>
      <c r="H870" s="103" t="s">
        <v>111</v>
      </c>
      <c r="I870" s="104" t="s">
        <v>104</v>
      </c>
      <c r="J870" s="103" t="s">
        <v>256</v>
      </c>
      <c r="K870" s="103" t="s">
        <v>158</v>
      </c>
      <c r="L870" s="103" t="s">
        <v>1494</v>
      </c>
      <c r="M870" s="103"/>
      <c r="N870" s="103"/>
      <c r="O870" s="103"/>
      <c r="P870" s="103">
        <v>17.399999999999999</v>
      </c>
      <c r="Q870" s="103">
        <v>9.1</v>
      </c>
      <c r="R870" s="103"/>
      <c r="S870" s="476"/>
      <c r="T870" s="103"/>
      <c r="U870" s="103"/>
      <c r="V870" s="103"/>
      <c r="W870" s="414"/>
    </row>
    <row r="871" spans="1:23" ht="21" customHeight="1">
      <c r="A871" s="103" t="s">
        <v>601</v>
      </c>
      <c r="B871" s="103" t="s">
        <v>602</v>
      </c>
      <c r="C871" s="421" t="s">
        <v>609</v>
      </c>
      <c r="D871" s="396" t="s">
        <v>610</v>
      </c>
      <c r="E871" s="103">
        <v>30968</v>
      </c>
      <c r="F871" s="103">
        <v>773</v>
      </c>
      <c r="G871" s="103" t="s">
        <v>110</v>
      </c>
      <c r="H871" s="103" t="s">
        <v>111</v>
      </c>
      <c r="I871" s="104" t="s">
        <v>104</v>
      </c>
      <c r="J871" s="103" t="s">
        <v>256</v>
      </c>
      <c r="K871" s="103" t="s">
        <v>158</v>
      </c>
      <c r="L871" s="103" t="s">
        <v>1494</v>
      </c>
      <c r="M871" s="103"/>
      <c r="N871" s="103"/>
      <c r="O871" s="103"/>
      <c r="P871" s="103">
        <v>16.3</v>
      </c>
      <c r="Q871" s="103">
        <v>9.1</v>
      </c>
      <c r="R871" s="103"/>
      <c r="S871" s="476"/>
      <c r="T871" s="103"/>
      <c r="U871" s="103"/>
      <c r="V871" s="103"/>
      <c r="W871" s="414"/>
    </row>
    <row r="872" spans="1:23" ht="21" customHeight="1">
      <c r="A872" s="103" t="s">
        <v>601</v>
      </c>
      <c r="B872" s="103" t="s">
        <v>602</v>
      </c>
      <c r="C872" s="421" t="s">
        <v>609</v>
      </c>
      <c r="D872" s="396" t="s">
        <v>610</v>
      </c>
      <c r="E872" s="103">
        <v>30968</v>
      </c>
      <c r="F872" s="103">
        <v>985</v>
      </c>
      <c r="G872" s="103" t="s">
        <v>110</v>
      </c>
      <c r="H872" s="103" t="s">
        <v>111</v>
      </c>
      <c r="I872" s="104" t="s">
        <v>104</v>
      </c>
      <c r="J872" s="103" t="s">
        <v>256</v>
      </c>
      <c r="K872" s="103" t="s">
        <v>158</v>
      </c>
      <c r="L872" s="103" t="s">
        <v>1494</v>
      </c>
      <c r="M872" s="103"/>
      <c r="N872" s="103"/>
      <c r="O872" s="103"/>
      <c r="P872" s="103">
        <v>16.7</v>
      </c>
      <c r="Q872" s="103">
        <v>9.6999999999999993</v>
      </c>
      <c r="R872" s="103"/>
      <c r="S872" s="476"/>
      <c r="T872" s="103"/>
      <c r="U872" s="103"/>
      <c r="V872" s="103"/>
      <c r="W872" s="414"/>
    </row>
    <row r="873" spans="1:23" ht="21" customHeight="1">
      <c r="A873" s="103" t="s">
        <v>601</v>
      </c>
      <c r="B873" s="103" t="s">
        <v>602</v>
      </c>
      <c r="C873" s="421" t="s">
        <v>603</v>
      </c>
      <c r="D873" s="105" t="s">
        <v>151</v>
      </c>
      <c r="E873" s="103">
        <v>30907</v>
      </c>
      <c r="F873" s="103">
        <v>1214</v>
      </c>
      <c r="G873" s="103" t="s">
        <v>110</v>
      </c>
      <c r="H873" s="103" t="s">
        <v>111</v>
      </c>
      <c r="I873" s="104" t="s">
        <v>104</v>
      </c>
      <c r="J873" s="103" t="s">
        <v>105</v>
      </c>
      <c r="K873" s="103" t="s">
        <v>174</v>
      </c>
      <c r="L873" s="103" t="s">
        <v>175</v>
      </c>
      <c r="M873" s="103"/>
      <c r="N873" s="103"/>
      <c r="O873" s="103"/>
      <c r="P873" s="103">
        <v>21</v>
      </c>
      <c r="Q873" s="103">
        <v>10.1</v>
      </c>
      <c r="R873" s="103"/>
      <c r="S873" s="476"/>
      <c r="T873" s="103"/>
      <c r="U873" s="103"/>
      <c r="V873" s="103"/>
      <c r="W873" s="414"/>
    </row>
    <row r="874" spans="1:23" ht="21" customHeight="1">
      <c r="A874" s="103" t="s">
        <v>601</v>
      </c>
      <c r="B874" s="103" t="s">
        <v>602</v>
      </c>
      <c r="C874" s="421" t="s">
        <v>603</v>
      </c>
      <c r="D874" s="105" t="s">
        <v>151</v>
      </c>
      <c r="E874" s="103">
        <v>30967</v>
      </c>
      <c r="F874" s="103">
        <v>33</v>
      </c>
      <c r="G874" s="103" t="s">
        <v>110</v>
      </c>
      <c r="H874" s="103" t="s">
        <v>111</v>
      </c>
      <c r="I874" s="104" t="s">
        <v>104</v>
      </c>
      <c r="J874" s="103" t="s">
        <v>105</v>
      </c>
      <c r="K874" s="103" t="s">
        <v>121</v>
      </c>
      <c r="L874" s="103" t="s">
        <v>1041</v>
      </c>
      <c r="M874" s="103"/>
      <c r="N874" s="103">
        <v>13</v>
      </c>
      <c r="O874" s="103">
        <v>38.5</v>
      </c>
      <c r="P874" s="103">
        <v>20.2</v>
      </c>
      <c r="Q874" s="103">
        <v>20.3</v>
      </c>
      <c r="R874" s="103"/>
      <c r="S874" s="253">
        <f>(10^(((LOG(P874))*2.6454)+0.2538))</f>
        <v>5093.0332646102306</v>
      </c>
      <c r="T874" s="104" t="s">
        <v>1143</v>
      </c>
      <c r="U874" s="108">
        <v>0.96</v>
      </c>
      <c r="V874" s="107">
        <v>19</v>
      </c>
      <c r="W874" s="106" t="s">
        <v>1144</v>
      </c>
    </row>
    <row r="875" spans="1:23" ht="21" customHeight="1">
      <c r="A875" s="103" t="s">
        <v>601</v>
      </c>
      <c r="B875" s="103" t="s">
        <v>602</v>
      </c>
      <c r="C875" s="421" t="s">
        <v>603</v>
      </c>
      <c r="D875" s="105" t="s">
        <v>151</v>
      </c>
      <c r="E875" s="103">
        <v>30967</v>
      </c>
      <c r="F875" s="103">
        <v>1468</v>
      </c>
      <c r="G875" s="103" t="s">
        <v>110</v>
      </c>
      <c r="H875" s="103" t="s">
        <v>111</v>
      </c>
      <c r="I875" s="104" t="s">
        <v>104</v>
      </c>
      <c r="J875" s="103" t="s">
        <v>105</v>
      </c>
      <c r="K875" s="103" t="s">
        <v>986</v>
      </c>
      <c r="L875" s="104" t="s">
        <v>987</v>
      </c>
      <c r="M875" s="103" t="s">
        <v>114</v>
      </c>
      <c r="N875" s="103">
        <v>19.5</v>
      </c>
      <c r="O875" s="103">
        <v>43.7</v>
      </c>
      <c r="P875" s="103">
        <v>20.6</v>
      </c>
      <c r="Q875" s="103">
        <v>16.3</v>
      </c>
      <c r="R875" s="103"/>
      <c r="S875" s="476">
        <v>6908.6</v>
      </c>
      <c r="T875" s="103" t="s">
        <v>1470</v>
      </c>
      <c r="U875" s="103">
        <v>0.99</v>
      </c>
      <c r="V875" s="103" t="s">
        <v>287</v>
      </c>
      <c r="W875" s="414" t="s">
        <v>1471</v>
      </c>
    </row>
    <row r="876" spans="1:23" ht="21" customHeight="1">
      <c r="A876" s="103" t="s">
        <v>601</v>
      </c>
      <c r="B876" s="103" t="s">
        <v>602</v>
      </c>
      <c r="C876" s="421" t="s">
        <v>603</v>
      </c>
      <c r="D876" s="105" t="s">
        <v>151</v>
      </c>
      <c r="E876" s="103">
        <v>30967</v>
      </c>
      <c r="F876" s="103">
        <v>1486</v>
      </c>
      <c r="G876" s="103" t="s">
        <v>110</v>
      </c>
      <c r="H876" s="103" t="s">
        <v>111</v>
      </c>
      <c r="I876" s="104" t="s">
        <v>104</v>
      </c>
      <c r="J876" s="103" t="s">
        <v>105</v>
      </c>
      <c r="K876" s="104" t="s">
        <v>1441</v>
      </c>
      <c r="L876" s="104" t="s">
        <v>1442</v>
      </c>
      <c r="M876" s="103"/>
      <c r="N876" s="103"/>
      <c r="O876" s="103">
        <v>44.6</v>
      </c>
      <c r="P876" s="103"/>
      <c r="Q876" s="103"/>
      <c r="R876" s="103"/>
      <c r="S876" s="476">
        <v>7483.8</v>
      </c>
      <c r="T876" s="103" t="s">
        <v>1472</v>
      </c>
      <c r="U876" s="103">
        <v>0.95</v>
      </c>
      <c r="V876" s="103" t="s">
        <v>287</v>
      </c>
      <c r="W876" s="414" t="s">
        <v>1471</v>
      </c>
    </row>
    <row r="877" spans="1:23" ht="21" customHeight="1">
      <c r="A877" s="103" t="s">
        <v>601</v>
      </c>
      <c r="B877" s="103" t="s">
        <v>602</v>
      </c>
      <c r="C877" s="421" t="s">
        <v>603</v>
      </c>
      <c r="D877" s="105" t="s">
        <v>151</v>
      </c>
      <c r="E877" s="103">
        <v>30967</v>
      </c>
      <c r="F877" s="103">
        <v>1799</v>
      </c>
      <c r="G877" s="103" t="s">
        <v>110</v>
      </c>
      <c r="H877" s="103" t="s">
        <v>111</v>
      </c>
      <c r="I877" s="104" t="s">
        <v>104</v>
      </c>
      <c r="J877" s="103" t="s">
        <v>105</v>
      </c>
      <c r="K877" s="103" t="s">
        <v>986</v>
      </c>
      <c r="L877" s="104" t="s">
        <v>987</v>
      </c>
      <c r="M877" s="103"/>
      <c r="N877" s="103"/>
      <c r="O877" s="103">
        <v>47</v>
      </c>
      <c r="P877" s="103"/>
      <c r="Q877" s="103"/>
      <c r="R877" s="103"/>
      <c r="S877" s="476">
        <v>8026.4</v>
      </c>
      <c r="T877" s="103" t="s">
        <v>1470</v>
      </c>
      <c r="U877" s="103">
        <v>0.99</v>
      </c>
      <c r="V877" s="103" t="s">
        <v>287</v>
      </c>
      <c r="W877" s="414" t="s">
        <v>1471</v>
      </c>
    </row>
    <row r="878" spans="1:23" ht="21" customHeight="1">
      <c r="A878" s="103" t="s">
        <v>601</v>
      </c>
      <c r="B878" s="103" t="s">
        <v>602</v>
      </c>
      <c r="C878" s="421" t="s">
        <v>603</v>
      </c>
      <c r="D878" s="105" t="s">
        <v>151</v>
      </c>
      <c r="E878" s="103">
        <v>30967</v>
      </c>
      <c r="F878" s="103">
        <v>1204</v>
      </c>
      <c r="G878" s="103" t="s">
        <v>110</v>
      </c>
      <c r="H878" s="103" t="s">
        <v>111</v>
      </c>
      <c r="I878" s="104" t="s">
        <v>104</v>
      </c>
      <c r="J878" s="103" t="s">
        <v>105</v>
      </c>
      <c r="K878" s="104" t="s">
        <v>1441</v>
      </c>
      <c r="L878" s="104" t="s">
        <v>1442</v>
      </c>
      <c r="M878" s="103"/>
      <c r="N878" s="103"/>
      <c r="O878" s="103">
        <v>48</v>
      </c>
      <c r="P878" s="103">
        <v>28.5</v>
      </c>
      <c r="Q878" s="103">
        <v>27</v>
      </c>
      <c r="R878" s="103"/>
      <c r="S878" s="476">
        <v>8713</v>
      </c>
      <c r="T878" s="103" t="s">
        <v>1472</v>
      </c>
      <c r="U878" s="103">
        <v>0.95</v>
      </c>
      <c r="V878" s="103" t="s">
        <v>287</v>
      </c>
      <c r="W878" s="414" t="s">
        <v>1471</v>
      </c>
    </row>
    <row r="879" spans="1:23" ht="21" customHeight="1">
      <c r="A879" s="103" t="s">
        <v>601</v>
      </c>
      <c r="B879" s="103" t="s">
        <v>602</v>
      </c>
      <c r="C879" s="421" t="s">
        <v>603</v>
      </c>
      <c r="D879" s="105" t="s">
        <v>151</v>
      </c>
      <c r="E879" s="103">
        <v>30967</v>
      </c>
      <c r="F879" s="103">
        <v>500</v>
      </c>
      <c r="G879" s="103" t="s">
        <v>110</v>
      </c>
      <c r="H879" s="103" t="s">
        <v>111</v>
      </c>
      <c r="I879" s="104" t="s">
        <v>104</v>
      </c>
      <c r="J879" s="103" t="s">
        <v>105</v>
      </c>
      <c r="K879" s="103" t="s">
        <v>683</v>
      </c>
      <c r="L879" s="103" t="s">
        <v>1522</v>
      </c>
      <c r="M879" s="103" t="s">
        <v>108</v>
      </c>
      <c r="N879" s="103"/>
      <c r="O879" s="103"/>
      <c r="P879" s="103">
        <v>13.2</v>
      </c>
      <c r="Q879" s="103">
        <v>7.2</v>
      </c>
      <c r="R879" s="103"/>
      <c r="S879" s="476"/>
      <c r="T879" s="103"/>
      <c r="U879" s="103"/>
      <c r="V879" s="103"/>
      <c r="W879" s="414"/>
    </row>
    <row r="880" spans="1:23" ht="21" customHeight="1">
      <c r="A880" s="103" t="s">
        <v>601</v>
      </c>
      <c r="B880" s="103" t="s">
        <v>602</v>
      </c>
      <c r="C880" s="421" t="s">
        <v>603</v>
      </c>
      <c r="D880" s="105" t="s">
        <v>151</v>
      </c>
      <c r="E880" s="103">
        <v>30967</v>
      </c>
      <c r="F880" s="103">
        <v>1787</v>
      </c>
      <c r="G880" s="103" t="s">
        <v>110</v>
      </c>
      <c r="H880" s="103" t="s">
        <v>111</v>
      </c>
      <c r="I880" s="104" t="s">
        <v>104</v>
      </c>
      <c r="J880" s="103" t="s">
        <v>256</v>
      </c>
      <c r="K880" s="103" t="s">
        <v>209</v>
      </c>
      <c r="L880" s="103" t="s">
        <v>216</v>
      </c>
      <c r="M880" s="103" t="s">
        <v>108</v>
      </c>
      <c r="N880" s="103"/>
      <c r="O880" s="103"/>
      <c r="P880" s="103">
        <v>22.2</v>
      </c>
      <c r="Q880" s="103">
        <v>9.3000000000000007</v>
      </c>
      <c r="R880" s="103"/>
      <c r="S880" s="476"/>
      <c r="T880" s="103"/>
      <c r="U880" s="103"/>
      <c r="V880" s="103"/>
      <c r="W880" s="414"/>
    </row>
    <row r="881" spans="1:23" ht="21" customHeight="1">
      <c r="A881" s="103" t="s">
        <v>601</v>
      </c>
      <c r="B881" s="103" t="s">
        <v>602</v>
      </c>
      <c r="C881" s="421" t="s">
        <v>603</v>
      </c>
      <c r="D881" s="105" t="s">
        <v>151</v>
      </c>
      <c r="E881" s="103">
        <v>30967</v>
      </c>
      <c r="F881" s="103">
        <v>227</v>
      </c>
      <c r="G881" s="103" t="s">
        <v>110</v>
      </c>
      <c r="H881" s="103" t="s">
        <v>111</v>
      </c>
      <c r="I881" s="104" t="s">
        <v>104</v>
      </c>
      <c r="J881" s="103" t="s">
        <v>105</v>
      </c>
      <c r="K881" s="103" t="s">
        <v>126</v>
      </c>
      <c r="L881" s="103" t="s">
        <v>127</v>
      </c>
      <c r="M881" s="103" t="s">
        <v>114</v>
      </c>
      <c r="N881" s="103"/>
      <c r="O881" s="103"/>
      <c r="P881" s="103">
        <v>23.5</v>
      </c>
      <c r="Q881" s="103">
        <v>9.5</v>
      </c>
      <c r="R881" s="103"/>
      <c r="S881" s="476"/>
      <c r="T881" s="103"/>
      <c r="U881" s="103"/>
      <c r="V881" s="103"/>
      <c r="W881" s="414"/>
    </row>
    <row r="882" spans="1:23" ht="21" customHeight="1">
      <c r="A882" s="103" t="s">
        <v>601</v>
      </c>
      <c r="B882" s="103" t="s">
        <v>602</v>
      </c>
      <c r="C882" s="421" t="s">
        <v>603</v>
      </c>
      <c r="D882" s="105" t="s">
        <v>151</v>
      </c>
      <c r="E882" s="103">
        <v>30967</v>
      </c>
      <c r="F882" s="103">
        <v>1172</v>
      </c>
      <c r="G882" s="103" t="s">
        <v>110</v>
      </c>
      <c r="H882" s="103" t="s">
        <v>111</v>
      </c>
      <c r="I882" s="104" t="s">
        <v>104</v>
      </c>
      <c r="J882" s="103" t="s">
        <v>256</v>
      </c>
      <c r="K882" s="103" t="s">
        <v>126</v>
      </c>
      <c r="L882" s="103" t="s">
        <v>127</v>
      </c>
      <c r="M882" s="103" t="s">
        <v>114</v>
      </c>
      <c r="N882" s="103"/>
      <c r="O882" s="103"/>
      <c r="P882" s="103">
        <v>27.2</v>
      </c>
      <c r="Q882" s="103">
        <v>9.1</v>
      </c>
      <c r="R882" s="103"/>
      <c r="S882" s="476"/>
      <c r="T882" s="103"/>
      <c r="U882" s="103"/>
      <c r="V882" s="103"/>
      <c r="W882" s="414"/>
    </row>
    <row r="883" spans="1:23" ht="19">
      <c r="A883" s="103" t="s">
        <v>601</v>
      </c>
      <c r="B883" s="103" t="s">
        <v>602</v>
      </c>
      <c r="C883" s="421" t="s">
        <v>603</v>
      </c>
      <c r="D883" s="105" t="s">
        <v>151</v>
      </c>
      <c r="E883" s="103">
        <v>30967</v>
      </c>
      <c r="F883" s="103">
        <v>1201</v>
      </c>
      <c r="G883" s="103" t="s">
        <v>110</v>
      </c>
      <c r="H883" s="103" t="s">
        <v>111</v>
      </c>
      <c r="I883" s="104" t="s">
        <v>104</v>
      </c>
      <c r="J883" s="103" t="s">
        <v>105</v>
      </c>
      <c r="K883" s="103" t="s">
        <v>126</v>
      </c>
      <c r="L883" s="103" t="s">
        <v>127</v>
      </c>
      <c r="M883" s="103" t="s">
        <v>108</v>
      </c>
      <c r="N883" s="103"/>
      <c r="O883" s="103"/>
      <c r="P883" s="103">
        <v>22.4</v>
      </c>
      <c r="Q883" s="103">
        <v>9.1999999999999993</v>
      </c>
      <c r="R883" s="103"/>
      <c r="S883" s="476"/>
      <c r="T883" s="103"/>
      <c r="U883" s="103"/>
      <c r="V883" s="103"/>
      <c r="W883" s="414"/>
    </row>
    <row r="884" spans="1:23" ht="21" customHeight="1">
      <c r="A884" s="103" t="s">
        <v>601</v>
      </c>
      <c r="B884" s="103" t="s">
        <v>602</v>
      </c>
      <c r="C884" s="421" t="s">
        <v>603</v>
      </c>
      <c r="D884" s="105" t="s">
        <v>151</v>
      </c>
      <c r="E884" s="103">
        <v>30967</v>
      </c>
      <c r="F884" s="103">
        <v>1652</v>
      </c>
      <c r="G884" s="103" t="s">
        <v>110</v>
      </c>
      <c r="H884" s="103" t="s">
        <v>111</v>
      </c>
      <c r="I884" s="104" t="s">
        <v>104</v>
      </c>
      <c r="J884" s="103" t="s">
        <v>256</v>
      </c>
      <c r="K884" s="103" t="s">
        <v>126</v>
      </c>
      <c r="L884" s="103" t="s">
        <v>127</v>
      </c>
      <c r="M884" s="103"/>
      <c r="N884" s="103"/>
      <c r="O884" s="103"/>
      <c r="P884" s="103">
        <v>27.5</v>
      </c>
      <c r="Q884" s="103">
        <v>9.4</v>
      </c>
      <c r="R884" s="103"/>
      <c r="S884" s="476"/>
      <c r="T884" s="103"/>
      <c r="U884" s="103"/>
      <c r="V884" s="103"/>
      <c r="W884" s="414"/>
    </row>
    <row r="885" spans="1:23" ht="19">
      <c r="A885" s="103" t="s">
        <v>601</v>
      </c>
      <c r="B885" s="103" t="s">
        <v>602</v>
      </c>
      <c r="C885" s="421" t="s">
        <v>603</v>
      </c>
      <c r="D885" s="105" t="s">
        <v>151</v>
      </c>
      <c r="E885" s="103">
        <v>30967</v>
      </c>
      <c r="F885" s="103">
        <v>1729</v>
      </c>
      <c r="G885" s="103" t="s">
        <v>110</v>
      </c>
      <c r="H885" s="103" t="s">
        <v>111</v>
      </c>
      <c r="I885" s="104" t="s">
        <v>104</v>
      </c>
      <c r="J885" s="103" t="s">
        <v>256</v>
      </c>
      <c r="K885" s="103" t="s">
        <v>126</v>
      </c>
      <c r="L885" s="103" t="s">
        <v>127</v>
      </c>
      <c r="M885" s="103" t="s">
        <v>108</v>
      </c>
      <c r="N885" s="103"/>
      <c r="O885" s="103"/>
      <c r="P885" s="103">
        <v>23.3</v>
      </c>
      <c r="Q885" s="103">
        <v>9.5</v>
      </c>
      <c r="R885" s="103"/>
      <c r="S885" s="476"/>
      <c r="T885" s="103"/>
      <c r="U885" s="103"/>
      <c r="V885" s="103"/>
      <c r="W885" s="414"/>
    </row>
    <row r="886" spans="1:23" ht="21" customHeight="1">
      <c r="A886" s="103" t="s">
        <v>601</v>
      </c>
      <c r="B886" s="103" t="s">
        <v>602</v>
      </c>
      <c r="C886" s="421" t="s">
        <v>603</v>
      </c>
      <c r="D886" s="105" t="s">
        <v>151</v>
      </c>
      <c r="E886" s="103">
        <v>30967</v>
      </c>
      <c r="F886" s="103">
        <v>181</v>
      </c>
      <c r="G886" s="103" t="s">
        <v>110</v>
      </c>
      <c r="H886" s="103" t="s">
        <v>111</v>
      </c>
      <c r="I886" s="104" t="s">
        <v>104</v>
      </c>
      <c r="J886" s="103" t="s">
        <v>105</v>
      </c>
      <c r="K886" s="103" t="s">
        <v>1523</v>
      </c>
      <c r="L886" s="103" t="s">
        <v>130</v>
      </c>
      <c r="M886" s="103" t="s">
        <v>114</v>
      </c>
      <c r="N886" s="103"/>
      <c r="O886" s="103"/>
      <c r="P886" s="103">
        <v>19.7</v>
      </c>
      <c r="Q886" s="103">
        <v>7.7</v>
      </c>
      <c r="R886" s="103"/>
      <c r="S886" s="476"/>
      <c r="T886" s="103"/>
      <c r="U886" s="103"/>
      <c r="V886" s="103"/>
      <c r="W886" s="414"/>
    </row>
    <row r="887" spans="1:23" ht="21" customHeight="1">
      <c r="A887" s="103" t="s">
        <v>601</v>
      </c>
      <c r="B887" s="103" t="s">
        <v>602</v>
      </c>
      <c r="C887" s="421" t="s">
        <v>603</v>
      </c>
      <c r="D887" s="105" t="s">
        <v>151</v>
      </c>
      <c r="E887" s="103">
        <v>30967</v>
      </c>
      <c r="F887" s="103">
        <v>723</v>
      </c>
      <c r="G887" s="103" t="s">
        <v>110</v>
      </c>
      <c r="H887" s="103" t="s">
        <v>111</v>
      </c>
      <c r="I887" s="104" t="s">
        <v>104</v>
      </c>
      <c r="J887" s="103" t="s">
        <v>105</v>
      </c>
      <c r="K887" s="103" t="s">
        <v>185</v>
      </c>
      <c r="L887" s="103" t="s">
        <v>186</v>
      </c>
      <c r="M887" s="103"/>
      <c r="N887" s="103"/>
      <c r="O887" s="103"/>
      <c r="P887" s="103">
        <v>13.5</v>
      </c>
      <c r="Q887" s="103">
        <v>7.1</v>
      </c>
      <c r="R887" s="103"/>
      <c r="S887" s="476"/>
      <c r="T887" s="103"/>
      <c r="U887" s="103"/>
      <c r="V887" s="103"/>
      <c r="W887" s="414"/>
    </row>
    <row r="888" spans="1:23" ht="21" customHeight="1">
      <c r="A888" s="103" t="s">
        <v>601</v>
      </c>
      <c r="B888" s="103" t="s">
        <v>602</v>
      </c>
      <c r="C888" s="421" t="s">
        <v>603</v>
      </c>
      <c r="D888" s="105" t="s">
        <v>151</v>
      </c>
      <c r="E888" s="103">
        <v>30967</v>
      </c>
      <c r="F888" s="103" t="s">
        <v>1526</v>
      </c>
      <c r="G888" s="103" t="s">
        <v>110</v>
      </c>
      <c r="H888" s="103" t="s">
        <v>111</v>
      </c>
      <c r="I888" s="104" t="s">
        <v>104</v>
      </c>
      <c r="J888" s="103" t="s">
        <v>105</v>
      </c>
      <c r="K888" s="103" t="s">
        <v>185</v>
      </c>
      <c r="L888" s="103" t="s">
        <v>186</v>
      </c>
      <c r="M888" s="103"/>
      <c r="N888" s="103"/>
      <c r="O888" s="103"/>
      <c r="P888" s="103">
        <v>22.8</v>
      </c>
      <c r="Q888" s="103">
        <v>8.9</v>
      </c>
      <c r="R888" s="103"/>
      <c r="S888" s="476"/>
      <c r="T888" s="103"/>
      <c r="U888" s="103"/>
      <c r="V888" s="103"/>
      <c r="W888" s="414"/>
    </row>
    <row r="889" spans="1:23" ht="21" customHeight="1">
      <c r="A889" s="103" t="s">
        <v>601</v>
      </c>
      <c r="B889" s="103" t="s">
        <v>602</v>
      </c>
      <c r="C889" s="421" t="s">
        <v>603</v>
      </c>
      <c r="D889" s="105" t="s">
        <v>151</v>
      </c>
      <c r="E889" s="103">
        <v>30967</v>
      </c>
      <c r="F889" s="103">
        <v>213</v>
      </c>
      <c r="G889" s="103" t="s">
        <v>110</v>
      </c>
      <c r="H889" s="103" t="s">
        <v>111</v>
      </c>
      <c r="I889" s="104" t="s">
        <v>104</v>
      </c>
      <c r="J889" s="103" t="s">
        <v>105</v>
      </c>
      <c r="K889" s="103" t="s">
        <v>883</v>
      </c>
      <c r="L889" s="103" t="s">
        <v>1517</v>
      </c>
      <c r="M889" s="103"/>
      <c r="N889" s="103"/>
      <c r="O889" s="103"/>
      <c r="P889" s="103">
        <v>21</v>
      </c>
      <c r="Q889" s="103">
        <v>10.8</v>
      </c>
      <c r="R889" s="103"/>
      <c r="S889" s="476"/>
      <c r="T889" s="103"/>
      <c r="U889" s="103"/>
      <c r="V889" s="103"/>
      <c r="W889" s="414"/>
    </row>
    <row r="890" spans="1:23" ht="21" customHeight="1">
      <c r="A890" s="103" t="s">
        <v>601</v>
      </c>
      <c r="B890" s="103" t="s">
        <v>602</v>
      </c>
      <c r="C890" s="421" t="s">
        <v>603</v>
      </c>
      <c r="D890" s="105" t="s">
        <v>151</v>
      </c>
      <c r="E890" s="103">
        <v>30967</v>
      </c>
      <c r="F890" s="103">
        <v>462</v>
      </c>
      <c r="G890" s="103" t="s">
        <v>110</v>
      </c>
      <c r="H890" s="103" t="s">
        <v>111</v>
      </c>
      <c r="I890" s="104" t="s">
        <v>104</v>
      </c>
      <c r="J890" s="103" t="s">
        <v>105</v>
      </c>
      <c r="K890" s="103" t="s">
        <v>143</v>
      </c>
      <c r="L890" s="103" t="s">
        <v>1531</v>
      </c>
      <c r="M890" s="103"/>
      <c r="N890" s="103"/>
      <c r="O890" s="103"/>
      <c r="P890" s="103">
        <v>18.7</v>
      </c>
      <c r="Q890" s="103">
        <v>8.9</v>
      </c>
      <c r="R890" s="103"/>
      <c r="S890" s="476"/>
      <c r="T890" s="103"/>
      <c r="U890" s="103"/>
      <c r="V890" s="103"/>
      <c r="W890" s="414"/>
    </row>
    <row r="891" spans="1:23" ht="21" customHeight="1">
      <c r="A891" s="103" t="s">
        <v>601</v>
      </c>
      <c r="B891" s="103" t="s">
        <v>602</v>
      </c>
      <c r="C891" s="421" t="s">
        <v>603</v>
      </c>
      <c r="D891" s="105" t="s">
        <v>151</v>
      </c>
      <c r="E891" s="103">
        <v>30967</v>
      </c>
      <c r="F891" s="103">
        <v>1684</v>
      </c>
      <c r="G891" s="103" t="s">
        <v>110</v>
      </c>
      <c r="H891" s="103" t="s">
        <v>111</v>
      </c>
      <c r="I891" s="104" t="s">
        <v>104</v>
      </c>
      <c r="J891" s="103" t="s">
        <v>105</v>
      </c>
      <c r="K891" s="103" t="s">
        <v>143</v>
      </c>
      <c r="L891" s="103" t="s">
        <v>1517</v>
      </c>
      <c r="M891" s="103"/>
      <c r="N891" s="103"/>
      <c r="O891" s="103"/>
      <c r="P891" s="103">
        <v>24.4</v>
      </c>
      <c r="Q891" s="103">
        <v>11.8</v>
      </c>
      <c r="R891" s="103"/>
      <c r="S891" s="476"/>
      <c r="T891" s="103"/>
      <c r="U891" s="103"/>
      <c r="V891" s="103"/>
      <c r="W891" s="414"/>
    </row>
    <row r="892" spans="1:23" ht="21" customHeight="1">
      <c r="A892" s="103" t="s">
        <v>601</v>
      </c>
      <c r="B892" s="103" t="s">
        <v>602</v>
      </c>
      <c r="C892" s="421" t="s">
        <v>603</v>
      </c>
      <c r="D892" s="105" t="s">
        <v>151</v>
      </c>
      <c r="E892" s="103">
        <v>30967</v>
      </c>
      <c r="F892" s="103">
        <v>1805</v>
      </c>
      <c r="G892" s="103" t="s">
        <v>110</v>
      </c>
      <c r="H892" s="103" t="s">
        <v>111</v>
      </c>
      <c r="I892" s="104" t="s">
        <v>104</v>
      </c>
      <c r="J892" s="103" t="s">
        <v>105</v>
      </c>
      <c r="K892" s="103" t="s">
        <v>143</v>
      </c>
      <c r="L892" s="103" t="s">
        <v>167</v>
      </c>
      <c r="M892" s="103"/>
      <c r="N892" s="103"/>
      <c r="O892" s="103"/>
      <c r="P892" s="103">
        <v>23.2</v>
      </c>
      <c r="Q892" s="103">
        <v>11.1</v>
      </c>
      <c r="R892" s="103"/>
      <c r="S892" s="476"/>
      <c r="T892" s="103"/>
      <c r="U892" s="103"/>
      <c r="V892" s="103"/>
      <c r="W892" s="414"/>
    </row>
    <row r="893" spans="1:23" ht="33" customHeight="1">
      <c r="A893" s="103" t="s">
        <v>601</v>
      </c>
      <c r="B893" s="103" t="s">
        <v>602</v>
      </c>
      <c r="C893" s="421" t="s">
        <v>603</v>
      </c>
      <c r="D893" s="105" t="s">
        <v>151</v>
      </c>
      <c r="E893" s="103">
        <v>30967</v>
      </c>
      <c r="F893" s="103">
        <v>2011</v>
      </c>
      <c r="G893" s="103" t="s">
        <v>110</v>
      </c>
      <c r="H893" s="103" t="s">
        <v>111</v>
      </c>
      <c r="I893" s="104" t="s">
        <v>104</v>
      </c>
      <c r="J893" s="103" t="s">
        <v>105</v>
      </c>
      <c r="K893" s="103" t="s">
        <v>143</v>
      </c>
      <c r="L893" s="103" t="s">
        <v>167</v>
      </c>
      <c r="M893" s="103"/>
      <c r="N893" s="103"/>
      <c r="O893" s="103"/>
      <c r="P893" s="103">
        <v>20.3</v>
      </c>
      <c r="Q893" s="103">
        <v>10</v>
      </c>
      <c r="R893" s="103"/>
      <c r="S893" s="476"/>
      <c r="T893" s="103"/>
      <c r="U893" s="103"/>
      <c r="V893" s="103"/>
      <c r="W893" s="414"/>
    </row>
    <row r="894" spans="1:23" ht="21" customHeight="1">
      <c r="A894" s="103" t="s">
        <v>601</v>
      </c>
      <c r="B894" s="103" t="s">
        <v>602</v>
      </c>
      <c r="C894" s="421" t="s">
        <v>603</v>
      </c>
      <c r="D894" s="105" t="s">
        <v>151</v>
      </c>
      <c r="E894" s="103">
        <v>30967</v>
      </c>
      <c r="F894" s="103">
        <v>165</v>
      </c>
      <c r="G894" s="103" t="s">
        <v>110</v>
      </c>
      <c r="H894" s="103" t="s">
        <v>111</v>
      </c>
      <c r="I894" s="104" t="s">
        <v>104</v>
      </c>
      <c r="J894" s="103" t="s">
        <v>105</v>
      </c>
      <c r="K894" s="103" t="s">
        <v>158</v>
      </c>
      <c r="L894" s="103" t="s">
        <v>175</v>
      </c>
      <c r="M894" s="103"/>
      <c r="N894" s="103"/>
      <c r="O894" s="103"/>
      <c r="P894" s="103">
        <v>21.6</v>
      </c>
      <c r="Q894" s="103">
        <v>8.9</v>
      </c>
      <c r="R894" s="103"/>
      <c r="S894" s="476"/>
      <c r="T894" s="103"/>
      <c r="U894" s="103"/>
      <c r="V894" s="103"/>
      <c r="W894" s="414"/>
    </row>
    <row r="895" spans="1:23" ht="21" customHeight="1">
      <c r="A895" s="103" t="s">
        <v>601</v>
      </c>
      <c r="B895" s="103" t="s">
        <v>605</v>
      </c>
      <c r="C895" s="421" t="s">
        <v>606</v>
      </c>
      <c r="D895" s="105" t="s">
        <v>151</v>
      </c>
      <c r="E895" s="103">
        <v>30967</v>
      </c>
      <c r="F895" s="103">
        <v>1219</v>
      </c>
      <c r="G895" s="103" t="s">
        <v>110</v>
      </c>
      <c r="H895" s="103" t="s">
        <v>111</v>
      </c>
      <c r="I895" s="104" t="s">
        <v>104</v>
      </c>
      <c r="J895" s="103" t="s">
        <v>256</v>
      </c>
      <c r="K895" s="103" t="s">
        <v>126</v>
      </c>
      <c r="L895" s="103" t="s">
        <v>127</v>
      </c>
      <c r="M895" s="103" t="s">
        <v>108</v>
      </c>
      <c r="N895" s="103"/>
      <c r="O895" s="103"/>
      <c r="P895" s="103">
        <v>21.8</v>
      </c>
      <c r="Q895" s="103">
        <v>9.4</v>
      </c>
      <c r="R895" s="103"/>
      <c r="S895" s="476"/>
      <c r="T895" s="103"/>
      <c r="U895" s="103"/>
      <c r="V895" s="103"/>
      <c r="W895" s="414"/>
    </row>
    <row r="896" spans="1:23" ht="21" customHeight="1">
      <c r="A896" s="104" t="s">
        <v>273</v>
      </c>
      <c r="B896" s="104" t="s">
        <v>74</v>
      </c>
      <c r="C896" s="454" t="s">
        <v>266</v>
      </c>
      <c r="D896" s="105" t="s">
        <v>267</v>
      </c>
      <c r="E896" s="104">
        <v>220</v>
      </c>
      <c r="F896" s="104">
        <v>36</v>
      </c>
      <c r="G896" s="106" t="s">
        <v>1212</v>
      </c>
      <c r="H896" s="104"/>
      <c r="I896" s="104" t="s">
        <v>225</v>
      </c>
      <c r="J896" s="104" t="s">
        <v>284</v>
      </c>
      <c r="K896" s="104" t="s">
        <v>112</v>
      </c>
      <c r="L896" s="104" t="s">
        <v>663</v>
      </c>
      <c r="M896" s="104" t="s">
        <v>114</v>
      </c>
      <c r="N896" s="108"/>
      <c r="O896" s="104"/>
      <c r="P896" s="108"/>
      <c r="Q896" s="108"/>
      <c r="R896" s="104"/>
      <c r="S896" s="253">
        <v>11.512219999999999</v>
      </c>
      <c r="T896" s="104"/>
      <c r="U896" s="108"/>
      <c r="V896" s="107"/>
      <c r="W896" s="106"/>
    </row>
    <row r="897" spans="1:23" ht="21" customHeight="1">
      <c r="A897" s="104" t="s">
        <v>273</v>
      </c>
      <c r="B897" s="104" t="s">
        <v>74</v>
      </c>
      <c r="C897" s="454" t="s">
        <v>266</v>
      </c>
      <c r="D897" s="105" t="s">
        <v>151</v>
      </c>
      <c r="E897" s="104">
        <v>220</v>
      </c>
      <c r="F897" s="104">
        <v>53</v>
      </c>
      <c r="G897" s="106" t="s">
        <v>1212</v>
      </c>
      <c r="H897" s="104"/>
      <c r="I897" s="104" t="s">
        <v>225</v>
      </c>
      <c r="J897" s="104" t="s">
        <v>284</v>
      </c>
      <c r="K897" s="104" t="s">
        <v>1219</v>
      </c>
      <c r="L897" s="104" t="s">
        <v>1220</v>
      </c>
      <c r="M897" s="104" t="s">
        <v>108</v>
      </c>
      <c r="N897" s="108"/>
      <c r="O897" s="104"/>
      <c r="P897" s="108"/>
      <c r="Q897" s="108"/>
      <c r="R897" s="104"/>
      <c r="S897" s="253">
        <v>5.7913300000000003</v>
      </c>
      <c r="T897" s="104"/>
      <c r="U897" s="108"/>
      <c r="V897" s="107"/>
      <c r="W897" s="106"/>
    </row>
    <row r="898" spans="1:23" ht="21" customHeight="1">
      <c r="A898" s="104" t="s">
        <v>273</v>
      </c>
      <c r="B898" s="104" t="s">
        <v>74</v>
      </c>
      <c r="C898" s="454" t="s">
        <v>266</v>
      </c>
      <c r="D898" s="105" t="s">
        <v>151</v>
      </c>
      <c r="E898" s="104">
        <v>220</v>
      </c>
      <c r="F898" s="104">
        <v>49</v>
      </c>
      <c r="G898" s="106" t="s">
        <v>1212</v>
      </c>
      <c r="H898" s="104"/>
      <c r="I898" s="104" t="s">
        <v>225</v>
      </c>
      <c r="J898" s="104" t="s">
        <v>284</v>
      </c>
      <c r="K898" s="104" t="s">
        <v>1159</v>
      </c>
      <c r="L898" s="104" t="s">
        <v>1160</v>
      </c>
      <c r="M898" s="104" t="s">
        <v>108</v>
      </c>
      <c r="N898" s="108"/>
      <c r="O898" s="104"/>
      <c r="P898" s="108"/>
      <c r="Q898" s="108"/>
      <c r="R898" s="104"/>
      <c r="S898" s="253">
        <v>6.0766999999999998</v>
      </c>
      <c r="T898" s="104"/>
      <c r="U898" s="108"/>
      <c r="V898" s="107"/>
      <c r="W898" s="106"/>
    </row>
    <row r="899" spans="1:23" ht="21" customHeight="1">
      <c r="A899" s="104" t="s">
        <v>273</v>
      </c>
      <c r="B899" s="104" t="s">
        <v>74</v>
      </c>
      <c r="C899" s="454" t="s">
        <v>266</v>
      </c>
      <c r="D899" s="105" t="s">
        <v>151</v>
      </c>
      <c r="E899" s="104">
        <v>220</v>
      </c>
      <c r="F899" s="104">
        <v>27</v>
      </c>
      <c r="G899" s="106" t="s">
        <v>1212</v>
      </c>
      <c r="H899" s="104"/>
      <c r="I899" s="104" t="s">
        <v>225</v>
      </c>
      <c r="J899" s="104" t="s">
        <v>284</v>
      </c>
      <c r="K899" s="104" t="s">
        <v>1179</v>
      </c>
      <c r="L899" s="104" t="s">
        <v>1180</v>
      </c>
      <c r="M899" s="104" t="s">
        <v>108</v>
      </c>
      <c r="N899" s="108"/>
      <c r="O899" s="104"/>
      <c r="P899" s="108"/>
      <c r="Q899" s="108"/>
      <c r="R899" s="104"/>
      <c r="S899" s="253">
        <v>6.2205300000000001</v>
      </c>
      <c r="T899" s="104"/>
      <c r="U899" s="108"/>
      <c r="V899" s="107"/>
      <c r="W899" s="106"/>
    </row>
    <row r="900" spans="1:23" ht="21" customHeight="1">
      <c r="A900" s="104" t="s">
        <v>273</v>
      </c>
      <c r="B900" s="104" t="s">
        <v>74</v>
      </c>
      <c r="C900" s="454" t="s">
        <v>1253</v>
      </c>
      <c r="D900" s="105" t="s">
        <v>151</v>
      </c>
      <c r="E900" s="104">
        <v>220</v>
      </c>
      <c r="F900" s="104">
        <v>22</v>
      </c>
      <c r="G900" s="106" t="s">
        <v>1212</v>
      </c>
      <c r="H900" s="104"/>
      <c r="I900" s="104" t="s">
        <v>225</v>
      </c>
      <c r="J900" s="104" t="s">
        <v>284</v>
      </c>
      <c r="K900" s="104" t="s">
        <v>1187</v>
      </c>
      <c r="L900" s="104" t="s">
        <v>1188</v>
      </c>
      <c r="M900" s="104" t="s">
        <v>114</v>
      </c>
      <c r="N900" s="108"/>
      <c r="O900" s="104"/>
      <c r="P900" s="108"/>
      <c r="Q900" s="108"/>
      <c r="R900" s="104"/>
      <c r="S900" s="253">
        <v>3.3482099999999999</v>
      </c>
      <c r="T900" s="104"/>
      <c r="U900" s="108"/>
      <c r="V900" s="107"/>
      <c r="W900" s="106"/>
    </row>
    <row r="901" spans="1:23" ht="21" customHeight="1">
      <c r="A901" s="104" t="s">
        <v>169</v>
      </c>
      <c r="B901" s="104" t="s">
        <v>149</v>
      </c>
      <c r="C901" s="454" t="s">
        <v>150</v>
      </c>
      <c r="D901" s="105" t="s">
        <v>151</v>
      </c>
      <c r="E901" s="104" t="s">
        <v>1427</v>
      </c>
      <c r="F901" s="104">
        <v>-999</v>
      </c>
      <c r="G901" s="106" t="s">
        <v>1406</v>
      </c>
      <c r="H901" s="104" t="s">
        <v>1396</v>
      </c>
      <c r="I901" s="104" t="s">
        <v>104</v>
      </c>
      <c r="J901" s="104" t="s">
        <v>105</v>
      </c>
      <c r="K901" s="104" t="s">
        <v>172</v>
      </c>
      <c r="L901" s="104" t="s">
        <v>1238</v>
      </c>
      <c r="M901" s="104"/>
      <c r="N901" s="108" t="s">
        <v>17</v>
      </c>
      <c r="O901" s="104" t="s">
        <v>17</v>
      </c>
      <c r="P901" s="113">
        <v>3.1879999999999997</v>
      </c>
      <c r="Q901" s="113">
        <v>1.8239999999999998</v>
      </c>
      <c r="R901" s="104" t="s">
        <v>17</v>
      </c>
      <c r="S901" s="253">
        <f>(10^((3.187*LOG((P901))+1.264)))</f>
        <v>739.11644059839318</v>
      </c>
      <c r="T901" s="103" t="s">
        <v>1387</v>
      </c>
      <c r="U901" s="108">
        <v>0.98499999999999999</v>
      </c>
      <c r="V901" s="107">
        <v>16.5</v>
      </c>
      <c r="W901" s="414" t="s">
        <v>1385</v>
      </c>
    </row>
    <row r="902" spans="1:23" ht="21" customHeight="1">
      <c r="A902" s="104" t="s">
        <v>169</v>
      </c>
      <c r="B902" s="104" t="s">
        <v>149</v>
      </c>
      <c r="C902" s="454" t="s">
        <v>150</v>
      </c>
      <c r="D902" s="105" t="s">
        <v>151</v>
      </c>
      <c r="E902" s="104"/>
      <c r="F902" s="104">
        <v>-999</v>
      </c>
      <c r="G902" s="106" t="s">
        <v>1406</v>
      </c>
      <c r="H902" s="104" t="s">
        <v>1396</v>
      </c>
      <c r="I902" s="104" t="s">
        <v>104</v>
      </c>
      <c r="J902" s="104" t="s">
        <v>105</v>
      </c>
      <c r="K902" s="104" t="s">
        <v>166</v>
      </c>
      <c r="L902" s="104" t="s">
        <v>939</v>
      </c>
      <c r="M902" s="104"/>
      <c r="N902" s="108" t="s">
        <v>17</v>
      </c>
      <c r="O902" s="104" t="s">
        <v>17</v>
      </c>
      <c r="P902" s="113">
        <v>2.7909999999999999</v>
      </c>
      <c r="Q902" s="113">
        <v>1.8850000000000002</v>
      </c>
      <c r="R902" s="104" t="s">
        <v>17</v>
      </c>
      <c r="S902" s="253">
        <f>( (10^((3.01*LOG((P902))+1.216))) +  (10^((2.9*LOG((P902))+1.209))))/2</f>
        <v>339.33088278200921</v>
      </c>
      <c r="T902" s="103" t="s">
        <v>1393</v>
      </c>
      <c r="U902" s="108">
        <v>0.98599999999999999</v>
      </c>
      <c r="V902" s="107">
        <v>16.899999999999999</v>
      </c>
      <c r="W902" s="414" t="s">
        <v>1385</v>
      </c>
    </row>
    <row r="903" spans="1:23" ht="21" customHeight="1">
      <c r="A903" s="104" t="s">
        <v>169</v>
      </c>
      <c r="B903" s="104" t="s">
        <v>149</v>
      </c>
      <c r="C903" s="454" t="s">
        <v>150</v>
      </c>
      <c r="D903" s="105" t="s">
        <v>151</v>
      </c>
      <c r="E903" s="104"/>
      <c r="F903" s="104">
        <v>-999</v>
      </c>
      <c r="G903" s="106" t="s">
        <v>1406</v>
      </c>
      <c r="H903" s="104" t="s">
        <v>1396</v>
      </c>
      <c r="I903" s="104" t="s">
        <v>104</v>
      </c>
      <c r="J903" s="104" t="s">
        <v>105</v>
      </c>
      <c r="K903" s="104" t="s">
        <v>166</v>
      </c>
      <c r="L903" s="104" t="s">
        <v>939</v>
      </c>
      <c r="M903" s="104"/>
      <c r="N903" s="108" t="s">
        <v>17</v>
      </c>
      <c r="O903" s="104" t="s">
        <v>17</v>
      </c>
      <c r="P903" s="113">
        <v>3.0550000000000002</v>
      </c>
      <c r="Q903" s="113">
        <v>2.8029999999999999</v>
      </c>
      <c r="R903" s="104" t="s">
        <v>17</v>
      </c>
      <c r="S903" s="253">
        <f>( (10^((3.01*LOG((P903))+1.216))) +  (10^((2.9*LOG((P903))+1.209))))/2</f>
        <v>443.3590997874993</v>
      </c>
      <c r="T903" s="103" t="s">
        <v>1393</v>
      </c>
      <c r="U903" s="108">
        <v>0.98599999999999999</v>
      </c>
      <c r="V903" s="107">
        <v>16.899999999999999</v>
      </c>
      <c r="W903" s="414" t="s">
        <v>1385</v>
      </c>
    </row>
    <row r="904" spans="1:23" ht="21" customHeight="1">
      <c r="A904" s="104" t="s">
        <v>169</v>
      </c>
      <c r="B904" s="104" t="s">
        <v>149</v>
      </c>
      <c r="C904" s="454" t="s">
        <v>150</v>
      </c>
      <c r="D904" s="105" t="s">
        <v>151</v>
      </c>
      <c r="E904" s="104"/>
      <c r="F904" s="104">
        <v>-999</v>
      </c>
      <c r="G904" s="106" t="s">
        <v>1406</v>
      </c>
      <c r="H904" s="104" t="s">
        <v>1396</v>
      </c>
      <c r="I904" s="104" t="s">
        <v>104</v>
      </c>
      <c r="J904" s="104" t="s">
        <v>105</v>
      </c>
      <c r="K904" s="104" t="s">
        <v>166</v>
      </c>
      <c r="L904" s="104" t="s">
        <v>939</v>
      </c>
      <c r="M904" s="104"/>
      <c r="N904" s="108" t="s">
        <v>17</v>
      </c>
      <c r="O904" s="104" t="s">
        <v>17</v>
      </c>
      <c r="P904" s="113">
        <v>3.661</v>
      </c>
      <c r="Q904" s="113">
        <v>2.831</v>
      </c>
      <c r="R904" s="104" t="s">
        <v>17</v>
      </c>
      <c r="S904" s="253">
        <f>( (10^((3.01*LOG((P904))+1.216))) +  (10^((2.9*LOG((P904))+1.209))))/2</f>
        <v>757.36621196977148</v>
      </c>
      <c r="T904" s="103" t="s">
        <v>1393</v>
      </c>
      <c r="U904" s="108">
        <v>0.98599999999999999</v>
      </c>
      <c r="V904" s="107">
        <v>16.899999999999999</v>
      </c>
      <c r="W904" s="414" t="s">
        <v>1385</v>
      </c>
    </row>
    <row r="905" spans="1:23" ht="21" customHeight="1">
      <c r="A905" s="104" t="s">
        <v>579</v>
      </c>
      <c r="B905" s="104" t="s">
        <v>580</v>
      </c>
      <c r="C905" s="454" t="s">
        <v>581</v>
      </c>
      <c r="D905" s="105" t="s">
        <v>151</v>
      </c>
      <c r="E905" s="104" t="s">
        <v>185</v>
      </c>
      <c r="F905" s="104">
        <v>2419</v>
      </c>
      <c r="G905" s="106" t="s">
        <v>1353</v>
      </c>
      <c r="H905" s="104"/>
      <c r="I905" s="104" t="s">
        <v>289</v>
      </c>
      <c r="J905" s="104" t="s">
        <v>105</v>
      </c>
      <c r="K905" s="104" t="s">
        <v>112</v>
      </c>
      <c r="L905" s="104" t="s">
        <v>663</v>
      </c>
      <c r="M905" s="104" t="s">
        <v>114</v>
      </c>
      <c r="N905" s="108"/>
      <c r="O905" s="108"/>
      <c r="P905" s="108">
        <v>0.30599999999999999</v>
      </c>
      <c r="Q905" s="108" t="s">
        <v>17</v>
      </c>
      <c r="R905" s="108"/>
      <c r="S905" s="253">
        <f>(10^(3.353*LOG(P905*10)+1.807))/1000</f>
        <v>2.7266157748348512</v>
      </c>
      <c r="T905" s="108" t="s">
        <v>1346</v>
      </c>
      <c r="U905" s="108">
        <v>0.87005746936624828</v>
      </c>
      <c r="V905" s="107">
        <v>21.492000000000001</v>
      </c>
      <c r="W905" s="106" t="s">
        <v>1347</v>
      </c>
    </row>
    <row r="906" spans="1:23" ht="21" customHeight="1">
      <c r="A906" s="104" t="s">
        <v>218</v>
      </c>
      <c r="B906" s="104" t="s">
        <v>193</v>
      </c>
      <c r="C906" s="454" t="s">
        <v>194</v>
      </c>
      <c r="D906" s="105" t="s">
        <v>195</v>
      </c>
      <c r="E906" s="104">
        <v>908</v>
      </c>
      <c r="F906" s="104">
        <v>3829</v>
      </c>
      <c r="G906" s="106" t="s">
        <v>250</v>
      </c>
      <c r="H906" s="104" t="s">
        <v>251</v>
      </c>
      <c r="I906" s="104" t="s">
        <v>225</v>
      </c>
      <c r="J906" s="104" t="s">
        <v>105</v>
      </c>
      <c r="K906" s="104" t="s">
        <v>647</v>
      </c>
      <c r="L906" s="104" t="s">
        <v>648</v>
      </c>
      <c r="M906" s="104" t="s">
        <v>108</v>
      </c>
      <c r="N906" s="113" t="s">
        <v>17</v>
      </c>
      <c r="O906" s="104" t="s">
        <v>17</v>
      </c>
      <c r="P906" s="108">
        <v>2.9590000000000001</v>
      </c>
      <c r="Q906" s="108">
        <v>2.319</v>
      </c>
      <c r="R906" s="104" t="s">
        <v>17</v>
      </c>
      <c r="S906" s="253">
        <f>(10^((2.8486*LOG(P906)+0.3)))</f>
        <v>43.863526802773038</v>
      </c>
      <c r="T906" s="104" t="s">
        <v>649</v>
      </c>
      <c r="U906" s="108">
        <v>0.94940000000000002</v>
      </c>
      <c r="V906" s="107">
        <v>23</v>
      </c>
      <c r="W906" s="106" t="s">
        <v>650</v>
      </c>
    </row>
    <row r="907" spans="1:23" ht="21" customHeight="1">
      <c r="A907" s="104" t="s">
        <v>218</v>
      </c>
      <c r="B907" s="104" t="s">
        <v>193</v>
      </c>
      <c r="C907" s="454" t="s">
        <v>194</v>
      </c>
      <c r="D907" s="105" t="s">
        <v>195</v>
      </c>
      <c r="E907" s="104">
        <v>908</v>
      </c>
      <c r="F907" s="104">
        <v>4189</v>
      </c>
      <c r="G907" s="106" t="s">
        <v>250</v>
      </c>
      <c r="H907" s="104" t="s">
        <v>251</v>
      </c>
      <c r="I907" s="104" t="s">
        <v>225</v>
      </c>
      <c r="J907" s="104" t="s">
        <v>105</v>
      </c>
      <c r="K907" s="104" t="s">
        <v>655</v>
      </c>
      <c r="L907" s="104" t="s">
        <v>656</v>
      </c>
      <c r="M907" s="104" t="s">
        <v>114</v>
      </c>
      <c r="N907" s="254"/>
      <c r="O907" s="103"/>
      <c r="P907" s="108">
        <v>3.4850000000000003</v>
      </c>
      <c r="Q907" s="108">
        <v>1.923</v>
      </c>
      <c r="R907" s="104" t="s">
        <v>17</v>
      </c>
      <c r="S907" s="253">
        <f>(10^((1.463*LOG((P907*Q907*100))+0.633)))/1000</f>
        <v>58.573929956882395</v>
      </c>
      <c r="T907" s="104" t="s">
        <v>657</v>
      </c>
      <c r="U907" s="108">
        <v>0.97660000000000002</v>
      </c>
      <c r="V907" s="107">
        <v>33.36</v>
      </c>
      <c r="W907" s="106" t="s">
        <v>404</v>
      </c>
    </row>
    <row r="908" spans="1:23" ht="21" customHeight="1">
      <c r="A908" s="104" t="s">
        <v>218</v>
      </c>
      <c r="B908" s="104" t="s">
        <v>193</v>
      </c>
      <c r="C908" s="454" t="s">
        <v>194</v>
      </c>
      <c r="D908" s="105" t="s">
        <v>195</v>
      </c>
      <c r="E908" s="104">
        <v>908</v>
      </c>
      <c r="F908" s="104">
        <v>4187</v>
      </c>
      <c r="G908" s="106" t="s">
        <v>250</v>
      </c>
      <c r="H908" s="104" t="s">
        <v>251</v>
      </c>
      <c r="I908" s="104" t="s">
        <v>225</v>
      </c>
      <c r="J908" s="104" t="s">
        <v>105</v>
      </c>
      <c r="K908" s="104" t="s">
        <v>655</v>
      </c>
      <c r="L908" s="104" t="s">
        <v>656</v>
      </c>
      <c r="M908" s="104" t="s">
        <v>108</v>
      </c>
      <c r="N908" s="254"/>
      <c r="O908" s="103"/>
      <c r="P908" s="108">
        <v>3.4409999999999998</v>
      </c>
      <c r="Q908" s="108">
        <v>2.028</v>
      </c>
      <c r="R908" s="104" t="s">
        <v>17</v>
      </c>
      <c r="S908" s="253">
        <f>(10^((1.463*LOG((P908*Q908*100))+0.633)))/1000</f>
        <v>62.145557426897888</v>
      </c>
      <c r="T908" s="104" t="s">
        <v>657</v>
      </c>
      <c r="U908" s="108">
        <v>0.97660000000000002</v>
      </c>
      <c r="V908" s="107">
        <v>33.36</v>
      </c>
      <c r="W908" s="106" t="s">
        <v>404</v>
      </c>
    </row>
    <row r="909" spans="1:23" ht="21" customHeight="1">
      <c r="A909" s="104" t="s">
        <v>218</v>
      </c>
      <c r="B909" s="104" t="s">
        <v>193</v>
      </c>
      <c r="C909" s="454" t="s">
        <v>194</v>
      </c>
      <c r="D909" s="105" t="s">
        <v>195</v>
      </c>
      <c r="E909" s="104">
        <v>908</v>
      </c>
      <c r="F909" s="104">
        <v>4188</v>
      </c>
      <c r="G909" s="106" t="s">
        <v>250</v>
      </c>
      <c r="H909" s="104" t="s">
        <v>251</v>
      </c>
      <c r="I909" s="104" t="s">
        <v>225</v>
      </c>
      <c r="J909" s="104" t="s">
        <v>105</v>
      </c>
      <c r="K909" s="104" t="s">
        <v>655</v>
      </c>
      <c r="L909" s="104" t="s">
        <v>656</v>
      </c>
      <c r="M909" s="104" t="s">
        <v>108</v>
      </c>
      <c r="N909" s="254"/>
      <c r="O909" s="103"/>
      <c r="P909" s="108">
        <v>3.476</v>
      </c>
      <c r="Q909" s="108">
        <v>2.1120000000000001</v>
      </c>
      <c r="R909" s="104" t="s">
        <v>17</v>
      </c>
      <c r="S909" s="253">
        <f>(10^((1.463*LOG((P909*Q909*100))+0.633)))/1000</f>
        <v>66.930935656597981</v>
      </c>
      <c r="T909" s="104" t="s">
        <v>657</v>
      </c>
      <c r="U909" s="108">
        <v>0.97660000000000002</v>
      </c>
      <c r="V909" s="107">
        <v>33.36</v>
      </c>
      <c r="W909" s="106" t="s">
        <v>404</v>
      </c>
    </row>
    <row r="910" spans="1:23" ht="21" customHeight="1">
      <c r="A910" s="104" t="s">
        <v>218</v>
      </c>
      <c r="B910" s="104" t="s">
        <v>389</v>
      </c>
      <c r="C910" s="454" t="s">
        <v>390</v>
      </c>
      <c r="D910" s="105" t="s">
        <v>151</v>
      </c>
      <c r="E910" s="104">
        <v>908</v>
      </c>
      <c r="F910" s="104">
        <v>248</v>
      </c>
      <c r="G910" s="106" t="s">
        <v>250</v>
      </c>
      <c r="H910" s="104" t="s">
        <v>251</v>
      </c>
      <c r="I910" s="104" t="s">
        <v>104</v>
      </c>
      <c r="J910" s="104" t="s">
        <v>105</v>
      </c>
      <c r="K910" s="104" t="s">
        <v>647</v>
      </c>
      <c r="L910" s="104" t="s">
        <v>648</v>
      </c>
      <c r="M910" s="104" t="s">
        <v>108</v>
      </c>
      <c r="N910" s="108" t="s">
        <v>17</v>
      </c>
      <c r="O910" s="104" t="s">
        <v>17</v>
      </c>
      <c r="P910" s="108">
        <v>5.8740000000000006</v>
      </c>
      <c r="Q910" s="108">
        <v>4.3879999999999999</v>
      </c>
      <c r="R910" s="104" t="s">
        <v>17</v>
      </c>
      <c r="S910" s="113">
        <v>321.10000000000002</v>
      </c>
      <c r="T910" s="104" t="s">
        <v>827</v>
      </c>
      <c r="U910" s="108">
        <v>0.95399999999999996</v>
      </c>
      <c r="V910" s="107">
        <v>20</v>
      </c>
      <c r="W910" s="106" t="s">
        <v>694</v>
      </c>
    </row>
    <row r="911" spans="1:23" ht="21" customHeight="1">
      <c r="A911" s="104" t="s">
        <v>218</v>
      </c>
      <c r="B911" s="104" t="s">
        <v>389</v>
      </c>
      <c r="C911" s="454" t="s">
        <v>390</v>
      </c>
      <c r="D911" s="105" t="s">
        <v>151</v>
      </c>
      <c r="E911" s="104">
        <v>908</v>
      </c>
      <c r="F911" s="104">
        <v>555</v>
      </c>
      <c r="G911" s="106" t="s">
        <v>250</v>
      </c>
      <c r="H911" s="104" t="s">
        <v>251</v>
      </c>
      <c r="I911" s="104" t="s">
        <v>104</v>
      </c>
      <c r="J911" s="104" t="s">
        <v>105</v>
      </c>
      <c r="K911" s="104" t="s">
        <v>647</v>
      </c>
      <c r="L911" s="104" t="s">
        <v>648</v>
      </c>
      <c r="M911" s="104" t="s">
        <v>108</v>
      </c>
      <c r="N911" s="108" t="s">
        <v>17</v>
      </c>
      <c r="O911" s="104" t="s">
        <v>17</v>
      </c>
      <c r="P911" s="108">
        <v>6.0729999999999995</v>
      </c>
      <c r="Q911" s="108">
        <v>4.5389999999999997</v>
      </c>
      <c r="R911" s="104" t="s">
        <v>17</v>
      </c>
      <c r="S911" s="113">
        <v>353</v>
      </c>
      <c r="T911" s="104" t="s">
        <v>834</v>
      </c>
      <c r="U911" s="108">
        <v>0.95399999999999996</v>
      </c>
      <c r="V911" s="107">
        <v>20</v>
      </c>
      <c r="W911" s="106" t="s">
        <v>694</v>
      </c>
    </row>
    <row r="912" spans="1:23" ht="21" customHeight="1">
      <c r="A912" s="104" t="s">
        <v>218</v>
      </c>
      <c r="B912" s="104" t="s">
        <v>389</v>
      </c>
      <c r="C912" s="454" t="s">
        <v>390</v>
      </c>
      <c r="D912" s="105" t="s">
        <v>151</v>
      </c>
      <c r="E912" s="104">
        <v>908</v>
      </c>
      <c r="F912" s="104">
        <v>554</v>
      </c>
      <c r="G912" s="106" t="s">
        <v>250</v>
      </c>
      <c r="H912" s="104" t="s">
        <v>251</v>
      </c>
      <c r="I912" s="104" t="s">
        <v>104</v>
      </c>
      <c r="J912" s="104" t="s">
        <v>105</v>
      </c>
      <c r="K912" s="104" t="s">
        <v>655</v>
      </c>
      <c r="L912" s="104" t="s">
        <v>656</v>
      </c>
      <c r="M912" s="104" t="s">
        <v>108</v>
      </c>
      <c r="N912" s="108"/>
      <c r="O912" s="104"/>
      <c r="P912" s="108">
        <v>3.5710000000000002</v>
      </c>
      <c r="Q912" s="108">
        <v>6.7159999999999993</v>
      </c>
      <c r="R912" s="104" t="s">
        <v>17</v>
      </c>
      <c r="S912" s="113">
        <f>(10^((1.463*LOG((P912*Q912*100))+0.633)))/1000</f>
        <v>378.26354347122691</v>
      </c>
      <c r="T912" s="104" t="s">
        <v>657</v>
      </c>
      <c r="U912" s="108">
        <v>0.97660000000000002</v>
      </c>
      <c r="V912" s="107">
        <v>33.36</v>
      </c>
      <c r="W912" s="106" t="s">
        <v>404</v>
      </c>
    </row>
    <row r="913" spans="1:23" ht="21" customHeight="1">
      <c r="A913" s="104" t="s">
        <v>218</v>
      </c>
      <c r="B913" s="104" t="s">
        <v>389</v>
      </c>
      <c r="C913" s="454" t="s">
        <v>390</v>
      </c>
      <c r="D913" s="105" t="s">
        <v>151</v>
      </c>
      <c r="E913" s="104">
        <v>908</v>
      </c>
      <c r="F913" s="104">
        <v>2091</v>
      </c>
      <c r="G913" s="106" t="s">
        <v>250</v>
      </c>
      <c r="H913" s="104" t="s">
        <v>251</v>
      </c>
      <c r="I913" s="104" t="s">
        <v>104</v>
      </c>
      <c r="J913" s="104" t="s">
        <v>105</v>
      </c>
      <c r="K913" s="104" t="s">
        <v>785</v>
      </c>
      <c r="L913" s="104" t="s">
        <v>786</v>
      </c>
      <c r="M913" s="104"/>
      <c r="N913" s="108"/>
      <c r="O913" s="104"/>
      <c r="P913" s="108">
        <v>5.6929999999999996</v>
      </c>
      <c r="Q913" s="108">
        <v>3.6229999999999998</v>
      </c>
      <c r="R913" s="104" t="s">
        <v>17</v>
      </c>
      <c r="S913" s="113">
        <v>404.98269536991012</v>
      </c>
      <c r="T913" s="104" t="s">
        <v>787</v>
      </c>
      <c r="U913" s="108">
        <v>0.95289999999999997</v>
      </c>
      <c r="V913" s="107">
        <v>20</v>
      </c>
      <c r="W913" s="106" t="s">
        <v>694</v>
      </c>
    </row>
    <row r="914" spans="1:23" ht="21" customHeight="1">
      <c r="A914" s="104" t="s">
        <v>218</v>
      </c>
      <c r="B914" s="104" t="s">
        <v>389</v>
      </c>
      <c r="C914" s="454" t="s">
        <v>390</v>
      </c>
      <c r="D914" s="105" t="s">
        <v>151</v>
      </c>
      <c r="E914" s="104">
        <v>908</v>
      </c>
      <c r="F914" s="104" t="s">
        <v>848</v>
      </c>
      <c r="G914" s="106" t="s">
        <v>250</v>
      </c>
      <c r="H914" s="104" t="s">
        <v>251</v>
      </c>
      <c r="I914" s="104" t="s">
        <v>104</v>
      </c>
      <c r="J914" s="104" t="s">
        <v>105</v>
      </c>
      <c r="K914" s="104" t="s">
        <v>647</v>
      </c>
      <c r="L914" s="104" t="s">
        <v>648</v>
      </c>
      <c r="M914" s="104" t="s">
        <v>114</v>
      </c>
      <c r="N914" s="108" t="s">
        <v>17</v>
      </c>
      <c r="O914" s="104" t="s">
        <v>17</v>
      </c>
      <c r="P914" s="108">
        <v>6.4459999999999997</v>
      </c>
      <c r="Q914" s="108">
        <v>4.83</v>
      </c>
      <c r="R914" s="104" t="s">
        <v>17</v>
      </c>
      <c r="S914" s="113">
        <v>418.1</v>
      </c>
      <c r="T914" s="104" t="s">
        <v>849</v>
      </c>
      <c r="U914" s="108">
        <v>0.95399999999999996</v>
      </c>
      <c r="V914" s="107">
        <v>20</v>
      </c>
      <c r="W914" s="106" t="s">
        <v>694</v>
      </c>
    </row>
    <row r="915" spans="1:23" ht="21" customHeight="1">
      <c r="A915" s="104" t="s">
        <v>218</v>
      </c>
      <c r="B915" s="104" t="s">
        <v>389</v>
      </c>
      <c r="C915" s="454" t="s">
        <v>390</v>
      </c>
      <c r="D915" s="105" t="s">
        <v>151</v>
      </c>
      <c r="E915" s="104">
        <v>908</v>
      </c>
      <c r="F915" s="104">
        <v>250</v>
      </c>
      <c r="G915" s="106" t="s">
        <v>250</v>
      </c>
      <c r="H915" s="104" t="s">
        <v>251</v>
      </c>
      <c r="I915" s="104" t="s">
        <v>104</v>
      </c>
      <c r="J915" s="104" t="s">
        <v>105</v>
      </c>
      <c r="K915" s="104" t="s">
        <v>655</v>
      </c>
      <c r="L915" s="104" t="s">
        <v>656</v>
      </c>
      <c r="M915" s="104" t="s">
        <v>108</v>
      </c>
      <c r="N915" s="108"/>
      <c r="O915" s="104"/>
      <c r="P915" s="108">
        <v>3.8130000000000002</v>
      </c>
      <c r="Q915" s="108">
        <v>6.99</v>
      </c>
      <c r="R915" s="104" t="s">
        <v>17</v>
      </c>
      <c r="S915" s="113">
        <f>(10^((1.463*LOG((P915*Q915*100))+0.633)))/1000</f>
        <v>441.43162561960639</v>
      </c>
      <c r="T915" s="104" t="s">
        <v>657</v>
      </c>
      <c r="U915" s="108">
        <v>0.97660000000000002</v>
      </c>
      <c r="V915" s="107">
        <v>33.36</v>
      </c>
      <c r="W915" s="106" t="s">
        <v>404</v>
      </c>
    </row>
    <row r="916" spans="1:23" ht="21" customHeight="1">
      <c r="A916" s="104" t="s">
        <v>218</v>
      </c>
      <c r="B916" s="104" t="s">
        <v>389</v>
      </c>
      <c r="C916" s="454" t="s">
        <v>390</v>
      </c>
      <c r="D916" s="105" t="s">
        <v>151</v>
      </c>
      <c r="E916" s="104">
        <v>908</v>
      </c>
      <c r="F916" s="104">
        <v>567</v>
      </c>
      <c r="G916" s="106" t="s">
        <v>250</v>
      </c>
      <c r="H916" s="104" t="s">
        <v>251</v>
      </c>
      <c r="I916" s="104" t="s">
        <v>104</v>
      </c>
      <c r="J916" s="104" t="s">
        <v>105</v>
      </c>
      <c r="K916" s="104" t="s">
        <v>785</v>
      </c>
      <c r="L916" s="104" t="s">
        <v>786</v>
      </c>
      <c r="M916" s="104"/>
      <c r="N916" s="108"/>
      <c r="O916" s="104"/>
      <c r="P916" s="108">
        <v>5.9240000000000004</v>
      </c>
      <c r="Q916" s="108">
        <v>3.5549999999999997</v>
      </c>
      <c r="R916" s="104" t="s">
        <v>17</v>
      </c>
      <c r="S916" s="113">
        <v>449.99073762446307</v>
      </c>
      <c r="T916" s="104" t="s">
        <v>852</v>
      </c>
      <c r="U916" s="108">
        <v>0.95289999999999997</v>
      </c>
      <c r="V916" s="107">
        <v>20</v>
      </c>
      <c r="W916" s="106" t="s">
        <v>694</v>
      </c>
    </row>
    <row r="917" spans="1:23" ht="21" customHeight="1">
      <c r="A917" s="104" t="s">
        <v>218</v>
      </c>
      <c r="B917" s="104" t="s">
        <v>389</v>
      </c>
      <c r="C917" s="454" t="s">
        <v>390</v>
      </c>
      <c r="D917" s="105" t="s">
        <v>151</v>
      </c>
      <c r="E917" s="104">
        <v>908</v>
      </c>
      <c r="F917" s="104">
        <v>831</v>
      </c>
      <c r="G917" s="106" t="s">
        <v>250</v>
      </c>
      <c r="H917" s="104" t="s">
        <v>251</v>
      </c>
      <c r="I917" s="104" t="s">
        <v>104</v>
      </c>
      <c r="J917" s="104" t="s">
        <v>105</v>
      </c>
      <c r="K917" s="104" t="s">
        <v>647</v>
      </c>
      <c r="L917" s="104" t="s">
        <v>648</v>
      </c>
      <c r="M917" s="104" t="s">
        <v>114</v>
      </c>
      <c r="N917" s="108" t="s">
        <v>17</v>
      </c>
      <c r="O917" s="104" t="s">
        <v>17</v>
      </c>
      <c r="P917" s="108">
        <v>7.51</v>
      </c>
      <c r="Q917" s="108">
        <v>5.5469999999999997</v>
      </c>
      <c r="R917" s="104" t="s">
        <v>17</v>
      </c>
      <c r="S917" s="113">
        <v>645.4</v>
      </c>
      <c r="T917" s="104" t="s">
        <v>849</v>
      </c>
      <c r="U917" s="108">
        <v>0.95399999999999996</v>
      </c>
      <c r="V917" s="107">
        <v>20</v>
      </c>
      <c r="W917" s="106" t="s">
        <v>694</v>
      </c>
    </row>
    <row r="918" spans="1:23" ht="21" customHeight="1">
      <c r="A918" s="104" t="s">
        <v>218</v>
      </c>
      <c r="B918" s="104" t="s">
        <v>389</v>
      </c>
      <c r="C918" s="454" t="s">
        <v>390</v>
      </c>
      <c r="D918" s="105" t="s">
        <v>151</v>
      </c>
      <c r="E918" s="104">
        <v>908</v>
      </c>
      <c r="F918" s="104">
        <v>2454</v>
      </c>
      <c r="G918" s="106" t="s">
        <v>250</v>
      </c>
      <c r="H918" s="104" t="s">
        <v>251</v>
      </c>
      <c r="I918" s="104" t="s">
        <v>104</v>
      </c>
      <c r="J918" s="104" t="s">
        <v>105</v>
      </c>
      <c r="K918" s="104" t="s">
        <v>883</v>
      </c>
      <c r="L918" s="104" t="s">
        <v>884</v>
      </c>
      <c r="M918" s="104"/>
      <c r="N918" s="108"/>
      <c r="O918" s="104"/>
      <c r="P918" s="108">
        <v>2.5750000000000002</v>
      </c>
      <c r="Q918" s="108">
        <v>1.1960000000000002</v>
      </c>
      <c r="R918" s="104" t="s">
        <v>17</v>
      </c>
      <c r="S918" s="113">
        <f>(((10^((3.13*LOG((P918*10))+1.17)))+(10^(3.15*LOG((P918*10))+0.94))+(10^(3.12*LOG((P918*10))+0.94))/3)/1000)</f>
        <v>700.51404745204047</v>
      </c>
      <c r="T918" s="104" t="s">
        <v>885</v>
      </c>
      <c r="U918" s="108">
        <v>0.91</v>
      </c>
      <c r="V918" s="107">
        <v>40</v>
      </c>
      <c r="W918" s="106" t="s">
        <v>704</v>
      </c>
    </row>
    <row r="919" spans="1:23" ht="21" customHeight="1">
      <c r="A919" s="104" t="s">
        <v>218</v>
      </c>
      <c r="B919" s="104" t="s">
        <v>389</v>
      </c>
      <c r="C919" s="454" t="s">
        <v>390</v>
      </c>
      <c r="D919" s="105" t="s">
        <v>151</v>
      </c>
      <c r="E919" s="104">
        <v>908</v>
      </c>
      <c r="F919" s="104">
        <v>855</v>
      </c>
      <c r="G919" s="106" t="s">
        <v>250</v>
      </c>
      <c r="H919" s="104" t="s">
        <v>251</v>
      </c>
      <c r="I919" s="104" t="s">
        <v>104</v>
      </c>
      <c r="J919" s="104" t="s">
        <v>105</v>
      </c>
      <c r="K919" s="104" t="s">
        <v>785</v>
      </c>
      <c r="L919" s="104" t="s">
        <v>786</v>
      </c>
      <c r="M919" s="104" t="s">
        <v>114</v>
      </c>
      <c r="N919" s="108"/>
      <c r="O919" s="104"/>
      <c r="P919" s="108">
        <v>7.5</v>
      </c>
      <c r="Q919" s="108">
        <v>3.6079999999999997</v>
      </c>
      <c r="R919" s="104" t="s">
        <v>17</v>
      </c>
      <c r="S919" s="113">
        <v>840.68794003882124</v>
      </c>
      <c r="T919" s="104" t="s">
        <v>787</v>
      </c>
      <c r="U919" s="108">
        <v>0.95289999999999997</v>
      </c>
      <c r="V919" s="107">
        <v>20</v>
      </c>
      <c r="W919" s="106" t="s">
        <v>694</v>
      </c>
    </row>
    <row r="920" spans="1:23" ht="21" customHeight="1">
      <c r="A920" s="104" t="s">
        <v>218</v>
      </c>
      <c r="B920" s="104" t="s">
        <v>389</v>
      </c>
      <c r="C920" s="454" t="s">
        <v>390</v>
      </c>
      <c r="D920" s="105" t="s">
        <v>151</v>
      </c>
      <c r="E920" s="104">
        <v>908</v>
      </c>
      <c r="F920" s="104">
        <v>2486</v>
      </c>
      <c r="G920" s="106" t="s">
        <v>250</v>
      </c>
      <c r="H920" s="104" t="s">
        <v>251</v>
      </c>
      <c r="I920" s="104" t="s">
        <v>104</v>
      </c>
      <c r="J920" s="104" t="s">
        <v>105</v>
      </c>
      <c r="K920" s="104" t="s">
        <v>647</v>
      </c>
      <c r="L920" s="104" t="s">
        <v>648</v>
      </c>
      <c r="M920" s="104" t="s">
        <v>114</v>
      </c>
      <c r="N920" s="108" t="s">
        <v>17</v>
      </c>
      <c r="O920" s="104" t="s">
        <v>17</v>
      </c>
      <c r="P920" s="108">
        <v>8.843</v>
      </c>
      <c r="Q920" s="108">
        <v>6.6440000000000001</v>
      </c>
      <c r="R920" s="104" t="s">
        <v>17</v>
      </c>
      <c r="S920" s="113">
        <v>1026.5849065135042</v>
      </c>
      <c r="T920" s="104" t="s">
        <v>849</v>
      </c>
      <c r="U920" s="108">
        <v>0.95399999999999996</v>
      </c>
      <c r="V920" s="107">
        <v>20</v>
      </c>
      <c r="W920" s="106" t="s">
        <v>694</v>
      </c>
    </row>
    <row r="921" spans="1:23" ht="21" customHeight="1">
      <c r="A921" s="104" t="s">
        <v>218</v>
      </c>
      <c r="B921" s="104" t="s">
        <v>389</v>
      </c>
      <c r="C921" s="454" t="s">
        <v>390</v>
      </c>
      <c r="D921" s="105" t="s">
        <v>151</v>
      </c>
      <c r="E921" s="104">
        <v>908</v>
      </c>
      <c r="F921" s="104">
        <v>2482</v>
      </c>
      <c r="G921" s="106" t="s">
        <v>250</v>
      </c>
      <c r="H921" s="104" t="s">
        <v>251</v>
      </c>
      <c r="I921" s="104" t="s">
        <v>104</v>
      </c>
      <c r="J921" s="104" t="s">
        <v>105</v>
      </c>
      <c r="K921" s="104" t="s">
        <v>785</v>
      </c>
      <c r="L921" s="104" t="s">
        <v>786</v>
      </c>
      <c r="M921" s="104" t="s">
        <v>114</v>
      </c>
      <c r="N921" s="108"/>
      <c r="O921" s="104"/>
      <c r="P921" s="108">
        <v>8.9319999999999986</v>
      </c>
      <c r="Q921" s="108">
        <v>4.7530000000000001</v>
      </c>
      <c r="R921" s="104" t="s">
        <v>17</v>
      </c>
      <c r="S921" s="113">
        <v>1335.6683000219939</v>
      </c>
      <c r="T921" s="104" t="s">
        <v>966</v>
      </c>
      <c r="U921" s="108">
        <v>0.95289999999999997</v>
      </c>
      <c r="V921" s="107">
        <v>20</v>
      </c>
      <c r="W921" s="106" t="s">
        <v>694</v>
      </c>
    </row>
    <row r="922" spans="1:23" ht="21" customHeight="1">
      <c r="A922" s="104" t="s">
        <v>218</v>
      </c>
      <c r="B922" s="104" t="s">
        <v>221</v>
      </c>
      <c r="C922" s="454" t="s">
        <v>222</v>
      </c>
      <c r="D922" s="105" t="s">
        <v>151</v>
      </c>
      <c r="E922" s="104">
        <v>908</v>
      </c>
      <c r="F922" s="104">
        <v>2275</v>
      </c>
      <c r="G922" s="106" t="s">
        <v>250</v>
      </c>
      <c r="H922" s="104" t="s">
        <v>251</v>
      </c>
      <c r="I922" s="104" t="s">
        <v>225</v>
      </c>
      <c r="J922" s="104" t="s">
        <v>105</v>
      </c>
      <c r="K922" s="104" t="s">
        <v>233</v>
      </c>
      <c r="L922" s="104" t="s">
        <v>653</v>
      </c>
      <c r="M922" s="104" t="s">
        <v>114</v>
      </c>
      <c r="N922" s="108" t="s">
        <v>17</v>
      </c>
      <c r="O922" s="104" t="s">
        <v>17</v>
      </c>
      <c r="P922" s="108">
        <v>0.98199999999999998</v>
      </c>
      <c r="Q922" s="108">
        <v>0.627</v>
      </c>
      <c r="R922" s="104" t="s">
        <v>17</v>
      </c>
      <c r="S922" s="253">
        <f>(10^((3.339*LOG((P922))+1.556)))</f>
        <v>33.857918692070434</v>
      </c>
      <c r="T922" s="104" t="s">
        <v>1040</v>
      </c>
      <c r="U922" s="108">
        <v>0.9</v>
      </c>
      <c r="V922" s="107">
        <v>40.5</v>
      </c>
      <c r="W922" s="106" t="s">
        <v>1028</v>
      </c>
    </row>
    <row r="923" spans="1:23" ht="21" customHeight="1">
      <c r="A923" s="104" t="s">
        <v>218</v>
      </c>
      <c r="B923" s="104" t="s">
        <v>221</v>
      </c>
      <c r="C923" s="454" t="s">
        <v>222</v>
      </c>
      <c r="D923" s="105" t="s">
        <v>151</v>
      </c>
      <c r="E923" s="104">
        <v>908</v>
      </c>
      <c r="F923" s="104">
        <v>132</v>
      </c>
      <c r="G923" s="106" t="s">
        <v>250</v>
      </c>
      <c r="H923" s="104" t="s">
        <v>251</v>
      </c>
      <c r="I923" s="104" t="s">
        <v>225</v>
      </c>
      <c r="J923" s="104" t="s">
        <v>105</v>
      </c>
      <c r="K923" s="104" t="s">
        <v>655</v>
      </c>
      <c r="L923" s="104" t="s">
        <v>656</v>
      </c>
      <c r="M923" s="104" t="s">
        <v>114</v>
      </c>
      <c r="N923" s="254"/>
      <c r="O923" s="103"/>
      <c r="P923" s="108">
        <v>2.83</v>
      </c>
      <c r="Q923" s="108">
        <v>1.6420000000000001</v>
      </c>
      <c r="R923" s="104" t="s">
        <v>17</v>
      </c>
      <c r="S923" s="253">
        <f>(10^((1.463*LOG((P923*Q923*100))+0.633)))/1000</f>
        <v>34.281078587215525</v>
      </c>
      <c r="T923" s="104" t="s">
        <v>657</v>
      </c>
      <c r="U923" s="108">
        <v>0.97660000000000002</v>
      </c>
      <c r="V923" s="107">
        <v>33.36</v>
      </c>
      <c r="W923" s="106" t="s">
        <v>404</v>
      </c>
    </row>
    <row r="924" spans="1:23" ht="21" customHeight="1">
      <c r="A924" s="104" t="s">
        <v>218</v>
      </c>
      <c r="B924" s="104" t="s">
        <v>221</v>
      </c>
      <c r="C924" s="454" t="s">
        <v>222</v>
      </c>
      <c r="D924" s="105" t="s">
        <v>151</v>
      </c>
      <c r="E924" s="104">
        <v>908</v>
      </c>
      <c r="F924" s="104">
        <v>83</v>
      </c>
      <c r="G924" s="106" t="s">
        <v>250</v>
      </c>
      <c r="H924" s="104" t="s">
        <v>251</v>
      </c>
      <c r="I924" s="104" t="s">
        <v>225</v>
      </c>
      <c r="J924" s="104" t="s">
        <v>105</v>
      </c>
      <c r="K924" s="104" t="s">
        <v>126</v>
      </c>
      <c r="L924" s="104" t="s">
        <v>636</v>
      </c>
      <c r="M924" s="104" t="s">
        <v>114</v>
      </c>
      <c r="N924" s="108" t="s">
        <v>17</v>
      </c>
      <c r="O924" s="104" t="s">
        <v>17</v>
      </c>
      <c r="P924" s="108">
        <v>1.8649999999999998</v>
      </c>
      <c r="Q924" s="108">
        <v>0.99700000000000011</v>
      </c>
      <c r="R924" s="104" t="s">
        <v>17</v>
      </c>
      <c r="S924" s="253">
        <f>(10^((3.143*LOG((P924))+0.799)))</f>
        <v>44.641993716436041</v>
      </c>
      <c r="T924" s="104" t="s">
        <v>1049</v>
      </c>
      <c r="U924" s="108">
        <v>0.96</v>
      </c>
      <c r="V924" s="107">
        <v>19.100000000000001</v>
      </c>
      <c r="W924" s="106" t="s">
        <v>1050</v>
      </c>
    </row>
    <row r="925" spans="1:23" ht="21" customHeight="1">
      <c r="A925" s="104" t="s">
        <v>218</v>
      </c>
      <c r="B925" s="104" t="s">
        <v>221</v>
      </c>
      <c r="C925" s="454" t="s">
        <v>222</v>
      </c>
      <c r="D925" s="105" t="s">
        <v>151</v>
      </c>
      <c r="E925" s="104">
        <v>908</v>
      </c>
      <c r="F925" s="104">
        <v>357</v>
      </c>
      <c r="G925" s="106" t="s">
        <v>250</v>
      </c>
      <c r="H925" s="104" t="s">
        <v>251</v>
      </c>
      <c r="I925" s="104" t="s">
        <v>225</v>
      </c>
      <c r="J925" s="104" t="s">
        <v>105</v>
      </c>
      <c r="K925" s="104" t="s">
        <v>655</v>
      </c>
      <c r="L925" s="104" t="s">
        <v>656</v>
      </c>
      <c r="M925" s="104" t="s">
        <v>108</v>
      </c>
      <c r="N925" s="254"/>
      <c r="O925" s="103"/>
      <c r="P925" s="108">
        <v>3.2340000000000004</v>
      </c>
      <c r="Q925" s="108">
        <v>1.7469999999999999</v>
      </c>
      <c r="R925" s="104" t="s">
        <v>17</v>
      </c>
      <c r="S925" s="253">
        <f>(10^((1.463*LOG((P925*Q925*100))+0.633)))/1000</f>
        <v>45.627236191981275</v>
      </c>
      <c r="T925" s="104" t="s">
        <v>657</v>
      </c>
      <c r="U925" s="108">
        <v>0.97660000000000002</v>
      </c>
      <c r="V925" s="107">
        <v>33.36</v>
      </c>
      <c r="W925" s="106" t="s">
        <v>404</v>
      </c>
    </row>
    <row r="926" spans="1:23" ht="21" customHeight="1">
      <c r="A926" s="104" t="s">
        <v>218</v>
      </c>
      <c r="B926" s="104" t="s">
        <v>221</v>
      </c>
      <c r="C926" s="454" t="s">
        <v>222</v>
      </c>
      <c r="D926" s="105" t="s">
        <v>151</v>
      </c>
      <c r="E926" s="104">
        <v>908</v>
      </c>
      <c r="F926" s="104">
        <v>1480</v>
      </c>
      <c r="G926" s="106" t="s">
        <v>250</v>
      </c>
      <c r="H926" s="104" t="s">
        <v>251</v>
      </c>
      <c r="I926" s="104" t="s">
        <v>225</v>
      </c>
      <c r="J926" s="104" t="s">
        <v>105</v>
      </c>
      <c r="K926" s="104" t="s">
        <v>785</v>
      </c>
      <c r="L926" s="104" t="s">
        <v>786</v>
      </c>
      <c r="M926" s="104"/>
      <c r="N926" s="108" t="s">
        <v>17</v>
      </c>
      <c r="O926" s="104" t="s">
        <v>17</v>
      </c>
      <c r="P926" s="108">
        <v>2.5260000000000002</v>
      </c>
      <c r="Q926" s="108">
        <v>1.8519999999999999</v>
      </c>
      <c r="R926" s="104" t="s">
        <v>17</v>
      </c>
      <c r="S926" s="253">
        <f>(10^((2.6568*LOG((P926))+0.607)))</f>
        <v>47.444395136772549</v>
      </c>
      <c r="T926" s="104" t="s">
        <v>1045</v>
      </c>
      <c r="U926" s="108">
        <v>0.95</v>
      </c>
      <c r="V926" s="107">
        <v>26</v>
      </c>
      <c r="W926" s="106" t="s">
        <v>650</v>
      </c>
    </row>
    <row r="927" spans="1:23" ht="21" customHeight="1">
      <c r="A927" s="104" t="s">
        <v>218</v>
      </c>
      <c r="B927" s="104" t="s">
        <v>221</v>
      </c>
      <c r="C927" s="454" t="s">
        <v>222</v>
      </c>
      <c r="D927" s="105" t="s">
        <v>151</v>
      </c>
      <c r="E927" s="104">
        <v>908</v>
      </c>
      <c r="F927" s="104">
        <v>1756</v>
      </c>
      <c r="G927" s="106" t="s">
        <v>250</v>
      </c>
      <c r="H927" s="104" t="s">
        <v>251</v>
      </c>
      <c r="I927" s="104" t="s">
        <v>225</v>
      </c>
      <c r="J927" s="104" t="s">
        <v>105</v>
      </c>
      <c r="K927" s="104" t="s">
        <v>162</v>
      </c>
      <c r="L927" s="104" t="s">
        <v>1053</v>
      </c>
      <c r="M927" s="104" t="s">
        <v>108</v>
      </c>
      <c r="N927" s="108" t="s">
        <v>17</v>
      </c>
      <c r="O927" s="104" t="s">
        <v>17</v>
      </c>
      <c r="P927" s="108">
        <v>1.117</v>
      </c>
      <c r="Q927" s="108">
        <v>1.1519999999999999</v>
      </c>
      <c r="R927" s="104" t="s">
        <v>17</v>
      </c>
      <c r="S927" s="253">
        <f>(10^((3.13*LOG((P927*10))+1.4)))/1000</f>
        <v>47.907822504453186</v>
      </c>
      <c r="T927" s="104" t="s">
        <v>1054</v>
      </c>
      <c r="U927" s="108">
        <v>0.86</v>
      </c>
      <c r="V927" s="107">
        <v>63.3</v>
      </c>
      <c r="W927" s="106" t="s">
        <v>342</v>
      </c>
    </row>
    <row r="928" spans="1:23" ht="21" customHeight="1">
      <c r="A928" s="104" t="s">
        <v>218</v>
      </c>
      <c r="B928" s="104" t="s">
        <v>221</v>
      </c>
      <c r="C928" s="454" t="s">
        <v>222</v>
      </c>
      <c r="D928" s="105" t="s">
        <v>151</v>
      </c>
      <c r="E928" s="104">
        <v>908</v>
      </c>
      <c r="F928" s="104">
        <v>3959</v>
      </c>
      <c r="G928" s="106" t="s">
        <v>250</v>
      </c>
      <c r="H928" s="104" t="s">
        <v>251</v>
      </c>
      <c r="I928" s="104" t="s">
        <v>225</v>
      </c>
      <c r="J928" s="104" t="s">
        <v>105</v>
      </c>
      <c r="K928" s="104" t="s">
        <v>1046</v>
      </c>
      <c r="L928" s="104" t="s">
        <v>1047</v>
      </c>
      <c r="M928" s="104" t="s">
        <v>108</v>
      </c>
      <c r="N928" s="108" t="s">
        <v>17</v>
      </c>
      <c r="O928" s="104" t="s">
        <v>17</v>
      </c>
      <c r="P928" s="108">
        <v>3.1230000000000002</v>
      </c>
      <c r="Q928" s="108">
        <v>2.355</v>
      </c>
      <c r="R928" s="104" t="s">
        <v>17</v>
      </c>
      <c r="S928" s="253">
        <f>(10^((2.4956*LOG(P928)+0.4581)))</f>
        <v>49.244059098894141</v>
      </c>
      <c r="T928" s="104" t="s">
        <v>1048</v>
      </c>
      <c r="U928" s="108">
        <v>0.96</v>
      </c>
      <c r="V928" s="107">
        <v>20</v>
      </c>
      <c r="W928" s="106" t="s">
        <v>650</v>
      </c>
    </row>
    <row r="929" spans="1:23" ht="21" customHeight="1">
      <c r="A929" s="104" t="s">
        <v>218</v>
      </c>
      <c r="B929" s="104" t="s">
        <v>221</v>
      </c>
      <c r="C929" s="454" t="s">
        <v>222</v>
      </c>
      <c r="D929" s="105" t="s">
        <v>151</v>
      </c>
      <c r="E929" s="104">
        <v>908</v>
      </c>
      <c r="F929" s="104">
        <v>3943</v>
      </c>
      <c r="G929" s="106" t="s">
        <v>250</v>
      </c>
      <c r="H929" s="104" t="s">
        <v>251</v>
      </c>
      <c r="I929" s="104" t="s">
        <v>225</v>
      </c>
      <c r="J929" s="104" t="s">
        <v>105</v>
      </c>
      <c r="K929" s="104" t="s">
        <v>785</v>
      </c>
      <c r="L929" s="104" t="s">
        <v>786</v>
      </c>
      <c r="M929" s="104"/>
      <c r="N929" s="108" t="s">
        <v>17</v>
      </c>
      <c r="O929" s="104" t="s">
        <v>17</v>
      </c>
      <c r="P929" s="108">
        <v>2.5720000000000001</v>
      </c>
      <c r="Q929" s="108">
        <v>1.8039999999999998</v>
      </c>
      <c r="R929" s="104" t="s">
        <v>17</v>
      </c>
      <c r="S929" s="253">
        <f>(10^((2.6568*LOG((P929))+0.607)))</f>
        <v>49.77461366164826</v>
      </c>
      <c r="T929" s="104" t="s">
        <v>1045</v>
      </c>
      <c r="U929" s="108">
        <v>0.95</v>
      </c>
      <c r="V929" s="107">
        <v>26</v>
      </c>
      <c r="W929" s="106" t="s">
        <v>650</v>
      </c>
    </row>
    <row r="930" spans="1:23" ht="21" customHeight="1">
      <c r="A930" s="104" t="s">
        <v>218</v>
      </c>
      <c r="B930" s="104" t="s">
        <v>221</v>
      </c>
      <c r="C930" s="454" t="s">
        <v>222</v>
      </c>
      <c r="D930" s="105" t="s">
        <v>151</v>
      </c>
      <c r="E930" s="104">
        <v>908</v>
      </c>
      <c r="F930" s="104">
        <v>3948</v>
      </c>
      <c r="G930" s="106" t="s">
        <v>250</v>
      </c>
      <c r="H930" s="104" t="s">
        <v>251</v>
      </c>
      <c r="I930" s="104" t="s">
        <v>225</v>
      </c>
      <c r="J930" s="104" t="s">
        <v>105</v>
      </c>
      <c r="K930" s="104" t="s">
        <v>785</v>
      </c>
      <c r="L930" s="104" t="s">
        <v>786</v>
      </c>
      <c r="M930" s="104"/>
      <c r="N930" s="108" t="s">
        <v>17</v>
      </c>
      <c r="O930" s="104" t="s">
        <v>17</v>
      </c>
      <c r="P930" s="108">
        <v>2.613</v>
      </c>
      <c r="Q930" s="108">
        <v>1.6280000000000001</v>
      </c>
      <c r="R930" s="104" t="s">
        <v>17</v>
      </c>
      <c r="S930" s="253">
        <f>(10^((2.6568*LOG((P930))+0.607)))</f>
        <v>51.910592246835407</v>
      </c>
      <c r="T930" s="104" t="s">
        <v>1045</v>
      </c>
      <c r="U930" s="108">
        <v>0.95</v>
      </c>
      <c r="V930" s="107">
        <v>26</v>
      </c>
      <c r="W930" s="106" t="s">
        <v>650</v>
      </c>
    </row>
    <row r="931" spans="1:23" ht="21" customHeight="1">
      <c r="A931" s="104" t="s">
        <v>218</v>
      </c>
      <c r="B931" s="104" t="s">
        <v>221</v>
      </c>
      <c r="C931" s="454" t="s">
        <v>222</v>
      </c>
      <c r="D931" s="105" t="s">
        <v>151</v>
      </c>
      <c r="E931" s="104">
        <v>908</v>
      </c>
      <c r="F931" s="104" t="s">
        <v>1064</v>
      </c>
      <c r="G931" s="106" t="s">
        <v>250</v>
      </c>
      <c r="H931" s="104" t="s">
        <v>251</v>
      </c>
      <c r="I931" s="104" t="s">
        <v>225</v>
      </c>
      <c r="J931" s="104" t="s">
        <v>105</v>
      </c>
      <c r="K931" s="104" t="s">
        <v>655</v>
      </c>
      <c r="L931" s="104" t="s">
        <v>656</v>
      </c>
      <c r="M931" s="104" t="s">
        <v>114</v>
      </c>
      <c r="N931" s="254"/>
      <c r="O931" s="103"/>
      <c r="P931" s="108">
        <v>3.3369999999999997</v>
      </c>
      <c r="Q931" s="108">
        <v>1.8839999999999999</v>
      </c>
      <c r="R931" s="104" t="s">
        <v>17</v>
      </c>
      <c r="S931" s="253">
        <f>(10^((1.463*LOG((P931*Q931*100))+0.633)))/1000</f>
        <v>53.347427856409425</v>
      </c>
      <c r="T931" s="104" t="s">
        <v>657</v>
      </c>
      <c r="U931" s="108">
        <v>0.97660000000000002</v>
      </c>
      <c r="V931" s="107">
        <v>33.36</v>
      </c>
      <c r="W931" s="106" t="s">
        <v>404</v>
      </c>
    </row>
    <row r="932" spans="1:23" ht="21" customHeight="1">
      <c r="A932" s="104" t="s">
        <v>218</v>
      </c>
      <c r="B932" s="104" t="s">
        <v>221</v>
      </c>
      <c r="C932" s="454" t="s">
        <v>222</v>
      </c>
      <c r="D932" s="105" t="s">
        <v>151</v>
      </c>
      <c r="E932" s="104">
        <v>908</v>
      </c>
      <c r="F932" s="104">
        <v>3417</v>
      </c>
      <c r="G932" s="106" t="s">
        <v>250</v>
      </c>
      <c r="H932" s="104" t="s">
        <v>251</v>
      </c>
      <c r="I932" s="104" t="s">
        <v>104</v>
      </c>
      <c r="J932" s="104" t="s">
        <v>105</v>
      </c>
      <c r="K932" s="104" t="s">
        <v>655</v>
      </c>
      <c r="L932" s="104" t="s">
        <v>656</v>
      </c>
      <c r="M932" s="104" t="s">
        <v>114</v>
      </c>
      <c r="N932" s="254"/>
      <c r="O932" s="103"/>
      <c r="P932" s="108">
        <v>3.2329999999999997</v>
      </c>
      <c r="Q932" s="108">
        <v>1.9750000000000001</v>
      </c>
      <c r="R932" s="104" t="s">
        <v>17</v>
      </c>
      <c r="S932" s="253">
        <f>(10^((1.463*LOG((P932*Q932*100))+0.633)))/1000</f>
        <v>54.571741478589495</v>
      </c>
      <c r="T932" s="104" t="s">
        <v>657</v>
      </c>
      <c r="U932" s="108">
        <v>0.97660000000000002</v>
      </c>
      <c r="V932" s="107">
        <v>33.36</v>
      </c>
      <c r="W932" s="106" t="s">
        <v>404</v>
      </c>
    </row>
    <row r="933" spans="1:23" ht="21" customHeight="1">
      <c r="A933" s="104" t="s">
        <v>218</v>
      </c>
      <c r="B933" s="104" t="s">
        <v>221</v>
      </c>
      <c r="C933" s="454" t="s">
        <v>222</v>
      </c>
      <c r="D933" s="105" t="s">
        <v>151</v>
      </c>
      <c r="E933" s="104">
        <v>908</v>
      </c>
      <c r="F933" s="104">
        <v>3969</v>
      </c>
      <c r="G933" s="106" t="s">
        <v>250</v>
      </c>
      <c r="H933" s="104" t="s">
        <v>251</v>
      </c>
      <c r="I933" s="104" t="s">
        <v>225</v>
      </c>
      <c r="J933" s="104" t="s">
        <v>105</v>
      </c>
      <c r="K933" s="104" t="s">
        <v>655</v>
      </c>
      <c r="L933" s="104" t="s">
        <v>656</v>
      </c>
      <c r="M933" s="104" t="s">
        <v>114</v>
      </c>
      <c r="N933" s="254"/>
      <c r="O933" s="103"/>
      <c r="P933" s="108">
        <v>3.4229999999999996</v>
      </c>
      <c r="Q933" s="108">
        <v>1.905</v>
      </c>
      <c r="R933" s="104" t="s">
        <v>17</v>
      </c>
      <c r="S933" s="253">
        <f>(10^((1.463*LOG((P933*Q933*100))+0.633)))/1000</f>
        <v>56.276055490306661</v>
      </c>
      <c r="T933" s="104" t="s">
        <v>657</v>
      </c>
      <c r="U933" s="108">
        <v>0.97660000000000002</v>
      </c>
      <c r="V933" s="107">
        <v>33.36</v>
      </c>
      <c r="W933" s="106" t="s">
        <v>404</v>
      </c>
    </row>
    <row r="934" spans="1:23" ht="21" customHeight="1">
      <c r="A934" s="104" t="s">
        <v>218</v>
      </c>
      <c r="B934" s="104" t="s">
        <v>221</v>
      </c>
      <c r="C934" s="454" t="s">
        <v>222</v>
      </c>
      <c r="D934" s="105" t="s">
        <v>151</v>
      </c>
      <c r="E934" s="104">
        <v>908</v>
      </c>
      <c r="F934" s="104">
        <v>3431</v>
      </c>
      <c r="G934" s="106" t="s">
        <v>250</v>
      </c>
      <c r="H934" s="104" t="s">
        <v>251</v>
      </c>
      <c r="I934" s="104" t="s">
        <v>225</v>
      </c>
      <c r="J934" s="104" t="s">
        <v>105</v>
      </c>
      <c r="K934" s="104" t="s">
        <v>785</v>
      </c>
      <c r="L934" s="104" t="s">
        <v>786</v>
      </c>
      <c r="M934" s="104"/>
      <c r="N934" s="108" t="s">
        <v>17</v>
      </c>
      <c r="O934" s="104" t="s">
        <v>17</v>
      </c>
      <c r="P934" s="108">
        <v>2.7050000000000001</v>
      </c>
      <c r="Q934" s="108">
        <v>1.81</v>
      </c>
      <c r="R934" s="104" t="s">
        <v>17</v>
      </c>
      <c r="S934" s="253">
        <f>(10^((2.6568*LOG((P934))+0.607)))</f>
        <v>56.909137218322861</v>
      </c>
      <c r="T934" s="104" t="s">
        <v>1045</v>
      </c>
      <c r="U934" s="108">
        <v>0.95</v>
      </c>
      <c r="V934" s="107">
        <v>26</v>
      </c>
      <c r="W934" s="106" t="s">
        <v>650</v>
      </c>
    </row>
    <row r="935" spans="1:23" ht="21" customHeight="1">
      <c r="A935" s="104" t="s">
        <v>218</v>
      </c>
      <c r="B935" s="104" t="s">
        <v>221</v>
      </c>
      <c r="C935" s="454" t="s">
        <v>222</v>
      </c>
      <c r="D935" s="105" t="s">
        <v>151</v>
      </c>
      <c r="E935" s="104">
        <v>908</v>
      </c>
      <c r="F935" s="104">
        <v>3452</v>
      </c>
      <c r="G935" s="106" t="s">
        <v>250</v>
      </c>
      <c r="H935" s="104" t="s">
        <v>251</v>
      </c>
      <c r="I935" s="104" t="s">
        <v>104</v>
      </c>
      <c r="J935" s="104" t="s">
        <v>105</v>
      </c>
      <c r="K935" s="104" t="s">
        <v>785</v>
      </c>
      <c r="L935" s="104" t="s">
        <v>786</v>
      </c>
      <c r="M935" s="104"/>
      <c r="N935" s="108" t="s">
        <v>17</v>
      </c>
      <c r="O935" s="104" t="s">
        <v>17</v>
      </c>
      <c r="P935" s="108">
        <v>2.7079999999999997</v>
      </c>
      <c r="Q935" s="108">
        <v>2.0179999999999998</v>
      </c>
      <c r="R935" s="104" t="s">
        <v>17</v>
      </c>
      <c r="S935" s="253">
        <f>(10^((2.6568*LOG((P935))+0.607)))</f>
        <v>57.076976560220118</v>
      </c>
      <c r="T935" s="104" t="s">
        <v>1045</v>
      </c>
      <c r="U935" s="108">
        <v>0.95</v>
      </c>
      <c r="V935" s="107">
        <v>26</v>
      </c>
      <c r="W935" s="106" t="s">
        <v>650</v>
      </c>
    </row>
    <row r="936" spans="1:23" ht="21" customHeight="1">
      <c r="A936" s="104" t="s">
        <v>218</v>
      </c>
      <c r="B936" s="104" t="s">
        <v>221</v>
      </c>
      <c r="C936" s="454" t="s">
        <v>222</v>
      </c>
      <c r="D936" s="105" t="s">
        <v>151</v>
      </c>
      <c r="E936" s="104">
        <v>908</v>
      </c>
      <c r="F936" s="104">
        <v>120</v>
      </c>
      <c r="G936" s="106" t="s">
        <v>250</v>
      </c>
      <c r="H936" s="104" t="s">
        <v>251</v>
      </c>
      <c r="I936" s="104" t="s">
        <v>225</v>
      </c>
      <c r="J936" s="104" t="s">
        <v>105</v>
      </c>
      <c r="K936" s="104" t="s">
        <v>655</v>
      </c>
      <c r="L936" s="104" t="s">
        <v>656</v>
      </c>
      <c r="M936" s="104" t="s">
        <v>114</v>
      </c>
      <c r="N936" s="254"/>
      <c r="O936" s="103"/>
      <c r="P936" s="108">
        <v>3.4130000000000003</v>
      </c>
      <c r="Q936" s="108">
        <v>1.9410000000000001</v>
      </c>
      <c r="R936" s="104" t="s">
        <v>17</v>
      </c>
      <c r="S936" s="253">
        <f>(10^((1.463*LOG((P936*Q936*100))+0.633)))/1000</f>
        <v>57.591680073971681</v>
      </c>
      <c r="T936" s="104" t="s">
        <v>657</v>
      </c>
      <c r="U936" s="108">
        <v>0.97660000000000002</v>
      </c>
      <c r="V936" s="107">
        <v>33.36</v>
      </c>
      <c r="W936" s="106" t="s">
        <v>404</v>
      </c>
    </row>
    <row r="937" spans="1:23" ht="21" customHeight="1">
      <c r="A937" s="104" t="s">
        <v>218</v>
      </c>
      <c r="B937" s="104" t="s">
        <v>221</v>
      </c>
      <c r="C937" s="454" t="s">
        <v>222</v>
      </c>
      <c r="D937" s="105" t="s">
        <v>151</v>
      </c>
      <c r="E937" s="104">
        <v>908</v>
      </c>
      <c r="F937" s="104">
        <v>3832</v>
      </c>
      <c r="G937" s="106" t="s">
        <v>250</v>
      </c>
      <c r="H937" s="104" t="s">
        <v>251</v>
      </c>
      <c r="I937" s="104" t="s">
        <v>225</v>
      </c>
      <c r="J937" s="104" t="s">
        <v>105</v>
      </c>
      <c r="K937" s="104" t="s">
        <v>209</v>
      </c>
      <c r="L937" s="104" t="s">
        <v>684</v>
      </c>
      <c r="M937" s="104"/>
      <c r="N937" s="108" t="s">
        <v>17</v>
      </c>
      <c r="O937" s="104" t="s">
        <v>17</v>
      </c>
      <c r="P937" s="108">
        <v>1.6160000000000001</v>
      </c>
      <c r="Q937" s="108">
        <v>1.1140000000000001</v>
      </c>
      <c r="R937" s="104" t="s">
        <v>17</v>
      </c>
      <c r="S937" s="253">
        <f>(10^((3.106*LOG((P937))+1.119)))</f>
        <v>58.400807636316166</v>
      </c>
      <c r="T937" s="104" t="s">
        <v>1044</v>
      </c>
      <c r="U937" s="108">
        <v>0.95099999999999996</v>
      </c>
      <c r="V937" s="107">
        <v>20.399999999999999</v>
      </c>
      <c r="W937" s="106" t="s">
        <v>1028</v>
      </c>
    </row>
    <row r="938" spans="1:23" ht="21" customHeight="1">
      <c r="A938" s="104" t="s">
        <v>218</v>
      </c>
      <c r="B938" s="104" t="s">
        <v>221</v>
      </c>
      <c r="C938" s="454" t="s">
        <v>222</v>
      </c>
      <c r="D938" s="105" t="s">
        <v>151</v>
      </c>
      <c r="E938" s="104">
        <v>908</v>
      </c>
      <c r="F938" s="104">
        <v>3944</v>
      </c>
      <c r="G938" s="106" t="s">
        <v>250</v>
      </c>
      <c r="H938" s="104" t="s">
        <v>251</v>
      </c>
      <c r="I938" s="104" t="s">
        <v>225</v>
      </c>
      <c r="J938" s="104" t="s">
        <v>105</v>
      </c>
      <c r="K938" s="104" t="s">
        <v>785</v>
      </c>
      <c r="L938" s="104" t="s">
        <v>786</v>
      </c>
      <c r="M938" s="104"/>
      <c r="N938" s="108" t="s">
        <v>17</v>
      </c>
      <c r="O938" s="104" t="s">
        <v>17</v>
      </c>
      <c r="P938" s="108">
        <v>2.7350000000000003</v>
      </c>
      <c r="Q938" s="108">
        <v>1.8940000000000001</v>
      </c>
      <c r="R938" s="104" t="s">
        <v>17</v>
      </c>
      <c r="S938" s="253">
        <f>(10^((2.6568*LOG((P938))+0.607)))</f>
        <v>58.601433004007909</v>
      </c>
      <c r="T938" s="104" t="s">
        <v>1045</v>
      </c>
      <c r="U938" s="108">
        <v>0.95</v>
      </c>
      <c r="V938" s="107">
        <v>26</v>
      </c>
      <c r="W938" s="106" t="s">
        <v>650</v>
      </c>
    </row>
    <row r="939" spans="1:23" ht="21" customHeight="1">
      <c r="A939" s="104" t="s">
        <v>218</v>
      </c>
      <c r="B939" s="104" t="s">
        <v>221</v>
      </c>
      <c r="C939" s="454" t="s">
        <v>222</v>
      </c>
      <c r="D939" s="105" t="s">
        <v>151</v>
      </c>
      <c r="E939" s="104">
        <v>908</v>
      </c>
      <c r="F939" s="104" t="s">
        <v>1068</v>
      </c>
      <c r="G939" s="106" t="s">
        <v>250</v>
      </c>
      <c r="H939" s="104" t="s">
        <v>251</v>
      </c>
      <c r="I939" s="104" t="s">
        <v>225</v>
      </c>
      <c r="J939" s="104" t="s">
        <v>105</v>
      </c>
      <c r="K939" s="104" t="s">
        <v>655</v>
      </c>
      <c r="L939" s="104" t="s">
        <v>656</v>
      </c>
      <c r="M939" s="104" t="s">
        <v>114</v>
      </c>
      <c r="N939" s="254"/>
      <c r="O939" s="103"/>
      <c r="P939" s="108">
        <v>3.5</v>
      </c>
      <c r="Q939" s="108">
        <v>1.9319999999999999</v>
      </c>
      <c r="R939" s="104" t="s">
        <v>17</v>
      </c>
      <c r="S939" s="253">
        <f>(10^((1.463*LOG((P939*Q939*100))+0.633)))/1000</f>
        <v>59.34716374895671</v>
      </c>
      <c r="T939" s="104" t="s">
        <v>657</v>
      </c>
      <c r="U939" s="108">
        <v>0.97660000000000002</v>
      </c>
      <c r="V939" s="107">
        <v>33.36</v>
      </c>
      <c r="W939" s="106" t="s">
        <v>404</v>
      </c>
    </row>
    <row r="940" spans="1:23" ht="21" customHeight="1">
      <c r="A940" s="104" t="s">
        <v>218</v>
      </c>
      <c r="B940" s="104" t="s">
        <v>221</v>
      </c>
      <c r="C940" s="454" t="s">
        <v>222</v>
      </c>
      <c r="D940" s="105" t="s">
        <v>151</v>
      </c>
      <c r="E940" s="104">
        <v>908</v>
      </c>
      <c r="F940" s="104">
        <v>3955</v>
      </c>
      <c r="G940" s="106" t="s">
        <v>250</v>
      </c>
      <c r="H940" s="104" t="s">
        <v>251</v>
      </c>
      <c r="I940" s="104" t="s">
        <v>225</v>
      </c>
      <c r="J940" s="104" t="s">
        <v>105</v>
      </c>
      <c r="K940" s="104" t="s">
        <v>665</v>
      </c>
      <c r="L940" s="104" t="s">
        <v>666</v>
      </c>
      <c r="M940" s="104"/>
      <c r="N940" s="108" t="s">
        <v>17</v>
      </c>
      <c r="O940" s="104" t="s">
        <v>17</v>
      </c>
      <c r="P940" s="108">
        <v>2.4889999999999999</v>
      </c>
      <c r="Q940" s="108">
        <v>1.7760000000000002</v>
      </c>
      <c r="R940" s="104" t="s">
        <v>17</v>
      </c>
      <c r="S940" s="253">
        <f>(10^((2.9334*LOG((P940))+0.6132)))</f>
        <v>59.552422377809741</v>
      </c>
      <c r="T940" s="104" t="s">
        <v>1069</v>
      </c>
      <c r="U940" s="108">
        <v>0.94199999999999995</v>
      </c>
      <c r="V940" s="107">
        <v>24</v>
      </c>
      <c r="W940" s="106" t="s">
        <v>650</v>
      </c>
    </row>
    <row r="941" spans="1:23" ht="21" customHeight="1">
      <c r="A941" s="104" t="s">
        <v>218</v>
      </c>
      <c r="B941" s="104" t="s">
        <v>221</v>
      </c>
      <c r="C941" s="454" t="s">
        <v>222</v>
      </c>
      <c r="D941" s="105" t="s">
        <v>151</v>
      </c>
      <c r="E941" s="104">
        <v>908</v>
      </c>
      <c r="F941" s="104">
        <v>649</v>
      </c>
      <c r="G941" s="106" t="s">
        <v>250</v>
      </c>
      <c r="H941" s="104" t="s">
        <v>251</v>
      </c>
      <c r="I941" s="104" t="s">
        <v>104</v>
      </c>
      <c r="J941" s="104" t="s">
        <v>105</v>
      </c>
      <c r="K941" s="104" t="s">
        <v>785</v>
      </c>
      <c r="L941" s="104" t="s">
        <v>786</v>
      </c>
      <c r="M941" s="104"/>
      <c r="N941" s="108" t="s">
        <v>17</v>
      </c>
      <c r="O941" s="104" t="s">
        <v>17</v>
      </c>
      <c r="P941" s="108">
        <v>2.766</v>
      </c>
      <c r="Q941" s="108">
        <v>1.831</v>
      </c>
      <c r="R941" s="104" t="s">
        <v>17</v>
      </c>
      <c r="S941" s="253">
        <f>(10^((2.6568*LOG((P941))+0.607)))</f>
        <v>60.382746171870792</v>
      </c>
      <c r="T941" s="104" t="s">
        <v>1045</v>
      </c>
      <c r="U941" s="108">
        <v>0.95</v>
      </c>
      <c r="V941" s="107">
        <v>26</v>
      </c>
      <c r="W941" s="106" t="s">
        <v>650</v>
      </c>
    </row>
    <row r="942" spans="1:23" ht="21" customHeight="1">
      <c r="A942" s="104" t="s">
        <v>218</v>
      </c>
      <c r="B942" s="104" t="s">
        <v>221</v>
      </c>
      <c r="C942" s="454" t="s">
        <v>222</v>
      </c>
      <c r="D942" s="105" t="s">
        <v>151</v>
      </c>
      <c r="E942" s="104">
        <v>908</v>
      </c>
      <c r="F942" s="104">
        <v>3972</v>
      </c>
      <c r="G942" s="106" t="s">
        <v>250</v>
      </c>
      <c r="H942" s="104" t="s">
        <v>251</v>
      </c>
      <c r="I942" s="104" t="s">
        <v>225</v>
      </c>
      <c r="J942" s="104" t="s">
        <v>105</v>
      </c>
      <c r="K942" s="104" t="s">
        <v>655</v>
      </c>
      <c r="L942" s="104" t="s">
        <v>656</v>
      </c>
      <c r="M942" s="104" t="s">
        <v>108</v>
      </c>
      <c r="N942" s="254"/>
      <c r="O942" s="103"/>
      <c r="P942" s="108">
        <v>3.5009999999999999</v>
      </c>
      <c r="Q942" s="108">
        <v>1.98</v>
      </c>
      <c r="R942" s="104" t="s">
        <v>17</v>
      </c>
      <c r="S942" s="253">
        <f>(10^((1.463*LOG((P942*Q942*100))+0.633)))/1000</f>
        <v>61.542372049696532</v>
      </c>
      <c r="T942" s="104" t="s">
        <v>657</v>
      </c>
      <c r="U942" s="108">
        <v>0.97660000000000002</v>
      </c>
      <c r="V942" s="107">
        <v>33.36</v>
      </c>
      <c r="W942" s="106" t="s">
        <v>404</v>
      </c>
    </row>
    <row r="943" spans="1:23" ht="21" customHeight="1">
      <c r="A943" s="104" t="s">
        <v>218</v>
      </c>
      <c r="B943" s="104" t="s">
        <v>221</v>
      </c>
      <c r="C943" s="454" t="s">
        <v>222</v>
      </c>
      <c r="D943" s="105" t="s">
        <v>151</v>
      </c>
      <c r="E943" s="104">
        <v>908</v>
      </c>
      <c r="F943" s="104">
        <v>1349</v>
      </c>
      <c r="G943" s="106" t="s">
        <v>250</v>
      </c>
      <c r="H943" s="104" t="s">
        <v>251</v>
      </c>
      <c r="I943" s="104" t="s">
        <v>104</v>
      </c>
      <c r="J943" s="104" t="s">
        <v>105</v>
      </c>
      <c r="K943" s="104" t="s">
        <v>785</v>
      </c>
      <c r="L943" s="104" t="s">
        <v>786</v>
      </c>
      <c r="M943" s="104"/>
      <c r="N943" s="108" t="s">
        <v>17</v>
      </c>
      <c r="O943" s="104" t="s">
        <v>17</v>
      </c>
      <c r="P943" s="108">
        <v>2.798</v>
      </c>
      <c r="Q943" s="108">
        <v>1.8199999999999998</v>
      </c>
      <c r="R943" s="104" t="s">
        <v>17</v>
      </c>
      <c r="S943" s="253">
        <f>(10^((2.6568*LOG((P943))+0.607)))</f>
        <v>62.25654227754459</v>
      </c>
      <c r="T943" s="104" t="s">
        <v>1045</v>
      </c>
      <c r="U943" s="108">
        <v>0.95</v>
      </c>
      <c r="V943" s="107">
        <v>26</v>
      </c>
      <c r="W943" s="106" t="s">
        <v>650</v>
      </c>
    </row>
    <row r="944" spans="1:23" ht="21" customHeight="1">
      <c r="A944" s="104" t="s">
        <v>218</v>
      </c>
      <c r="B944" s="104" t="s">
        <v>221</v>
      </c>
      <c r="C944" s="454" t="s">
        <v>222</v>
      </c>
      <c r="D944" s="105" t="s">
        <v>151</v>
      </c>
      <c r="E944" s="104">
        <v>908</v>
      </c>
      <c r="F944" s="104">
        <v>1750</v>
      </c>
      <c r="G944" s="106" t="s">
        <v>250</v>
      </c>
      <c r="H944" s="104" t="s">
        <v>251</v>
      </c>
      <c r="I944" s="104" t="s">
        <v>225</v>
      </c>
      <c r="J944" s="104" t="s">
        <v>105</v>
      </c>
      <c r="K944" s="104" t="s">
        <v>883</v>
      </c>
      <c r="L944" s="104" t="s">
        <v>884</v>
      </c>
      <c r="M944" s="104" t="s">
        <v>114</v>
      </c>
      <c r="N944" s="108" t="s">
        <v>17</v>
      </c>
      <c r="O944" s="104" t="s">
        <v>17</v>
      </c>
      <c r="P944" s="108">
        <v>1.57</v>
      </c>
      <c r="Q944" s="108">
        <v>1.4140000000000001</v>
      </c>
      <c r="R944" s="104" t="s">
        <v>17</v>
      </c>
      <c r="S944" s="253">
        <f>(((((10^((3.21*LOG((P944*10))+1.07)))+(10^(3.34*LOG((P944*10))+0.73))+(10^(3.29*LOG((P944*10))+0.8)))))/3)/1000</f>
        <v>62.777710519415947</v>
      </c>
      <c r="T944" s="104" t="s">
        <v>1077</v>
      </c>
      <c r="U944" s="108" t="s">
        <v>1073</v>
      </c>
      <c r="V944" s="107" t="s">
        <v>1078</v>
      </c>
      <c r="W944" s="106" t="s">
        <v>342</v>
      </c>
    </row>
    <row r="945" spans="1:23" ht="21" customHeight="1">
      <c r="A945" s="104" t="s">
        <v>218</v>
      </c>
      <c r="B945" s="104" t="s">
        <v>221</v>
      </c>
      <c r="C945" s="454" t="s">
        <v>222</v>
      </c>
      <c r="D945" s="105" t="s">
        <v>151</v>
      </c>
      <c r="E945" s="104">
        <v>908</v>
      </c>
      <c r="F945" s="104">
        <v>1100</v>
      </c>
      <c r="G945" s="106" t="s">
        <v>250</v>
      </c>
      <c r="H945" s="104" t="s">
        <v>251</v>
      </c>
      <c r="I945" s="104" t="s">
        <v>104</v>
      </c>
      <c r="J945" s="104" t="s">
        <v>105</v>
      </c>
      <c r="K945" s="104" t="s">
        <v>785</v>
      </c>
      <c r="L945" s="104" t="s">
        <v>786</v>
      </c>
      <c r="M945" s="104"/>
      <c r="N945" s="108" t="s">
        <v>17</v>
      </c>
      <c r="O945" s="104" t="s">
        <v>17</v>
      </c>
      <c r="P945" s="108">
        <v>2.8079999999999998</v>
      </c>
      <c r="Q945" s="108">
        <v>1.9019999999999999</v>
      </c>
      <c r="R945" s="104" t="s">
        <v>17</v>
      </c>
      <c r="S945" s="253">
        <f>(10^((2.6568*LOG((P945))+0.607)))</f>
        <v>62.849441746812516</v>
      </c>
      <c r="T945" s="104" t="s">
        <v>1045</v>
      </c>
      <c r="U945" s="108">
        <v>0.95</v>
      </c>
      <c r="V945" s="107">
        <v>26</v>
      </c>
      <c r="W945" s="106" t="s">
        <v>650</v>
      </c>
    </row>
    <row r="946" spans="1:23" ht="21" customHeight="1">
      <c r="A946" s="104" t="s">
        <v>218</v>
      </c>
      <c r="B946" s="104" t="s">
        <v>221</v>
      </c>
      <c r="C946" s="454" t="s">
        <v>222</v>
      </c>
      <c r="D946" s="105" t="s">
        <v>151</v>
      </c>
      <c r="E946" s="104">
        <v>908</v>
      </c>
      <c r="F946" s="104">
        <v>84</v>
      </c>
      <c r="G946" s="106" t="s">
        <v>250</v>
      </c>
      <c r="H946" s="104" t="s">
        <v>251</v>
      </c>
      <c r="I946" s="104" t="s">
        <v>225</v>
      </c>
      <c r="J946" s="104" t="s">
        <v>105</v>
      </c>
      <c r="K946" s="104" t="s">
        <v>883</v>
      </c>
      <c r="L946" s="104" t="s">
        <v>884</v>
      </c>
      <c r="M946" s="104" t="s">
        <v>108</v>
      </c>
      <c r="N946" s="108" t="s">
        <v>17</v>
      </c>
      <c r="O946" s="104" t="s">
        <v>17</v>
      </c>
      <c r="P946" s="108">
        <v>1.58</v>
      </c>
      <c r="Q946" s="108">
        <v>1.403</v>
      </c>
      <c r="R946" s="104" t="s">
        <v>17</v>
      </c>
      <c r="S946" s="253">
        <f>(((((10^((3.21*LOG((P946*10))+1.07)))+(10^(3.34*LOG((P946*10))+0.73))+(10^(3.29*LOG((P946*10))+0.8)))))/3)/1000</f>
        <v>64.09458041280287</v>
      </c>
      <c r="T946" s="104" t="s">
        <v>1077</v>
      </c>
      <c r="U946" s="108" t="s">
        <v>1073</v>
      </c>
      <c r="V946" s="107" t="s">
        <v>1078</v>
      </c>
      <c r="W946" s="106" t="s">
        <v>342</v>
      </c>
    </row>
    <row r="947" spans="1:23" ht="21" customHeight="1">
      <c r="A947" s="104" t="s">
        <v>218</v>
      </c>
      <c r="B947" s="104" t="s">
        <v>221</v>
      </c>
      <c r="C947" s="454" t="s">
        <v>222</v>
      </c>
      <c r="D947" s="105" t="s">
        <v>151</v>
      </c>
      <c r="E947" s="104">
        <v>908</v>
      </c>
      <c r="F947" s="104">
        <v>3949</v>
      </c>
      <c r="G947" s="106" t="s">
        <v>250</v>
      </c>
      <c r="H947" s="104" t="s">
        <v>251</v>
      </c>
      <c r="I947" s="104" t="s">
        <v>225</v>
      </c>
      <c r="J947" s="104" t="s">
        <v>105</v>
      </c>
      <c r="K947" s="104" t="s">
        <v>785</v>
      </c>
      <c r="L947" s="104" t="s">
        <v>786</v>
      </c>
      <c r="M947" s="104"/>
      <c r="N947" s="108" t="s">
        <v>17</v>
      </c>
      <c r="O947" s="104" t="s">
        <v>17</v>
      </c>
      <c r="P947" s="108">
        <v>2.83</v>
      </c>
      <c r="Q947" s="108">
        <v>1.8679999999999999</v>
      </c>
      <c r="R947" s="104" t="s">
        <v>17</v>
      </c>
      <c r="S947" s="253">
        <f>(10^((2.6568*LOG((P947))+0.607)))</f>
        <v>64.166182461247587</v>
      </c>
      <c r="T947" s="104" t="s">
        <v>1045</v>
      </c>
      <c r="U947" s="108">
        <v>0.95</v>
      </c>
      <c r="V947" s="107">
        <v>26</v>
      </c>
      <c r="W947" s="106" t="s">
        <v>650</v>
      </c>
    </row>
    <row r="948" spans="1:23" ht="21" customHeight="1">
      <c r="A948" s="104" t="s">
        <v>218</v>
      </c>
      <c r="B948" s="104" t="s">
        <v>221</v>
      </c>
      <c r="C948" s="454" t="s">
        <v>222</v>
      </c>
      <c r="D948" s="105" t="s">
        <v>151</v>
      </c>
      <c r="E948" s="104">
        <v>908</v>
      </c>
      <c r="F948" s="104">
        <v>3950</v>
      </c>
      <c r="G948" s="106" t="s">
        <v>250</v>
      </c>
      <c r="H948" s="104" t="s">
        <v>251</v>
      </c>
      <c r="I948" s="104" t="s">
        <v>225</v>
      </c>
      <c r="J948" s="104" t="s">
        <v>105</v>
      </c>
      <c r="K948" s="104" t="s">
        <v>785</v>
      </c>
      <c r="L948" s="104" t="s">
        <v>786</v>
      </c>
      <c r="M948" s="104"/>
      <c r="N948" s="108" t="s">
        <v>17</v>
      </c>
      <c r="O948" s="104" t="s">
        <v>17</v>
      </c>
      <c r="P948" s="108">
        <v>2.84</v>
      </c>
      <c r="Q948" s="108">
        <v>1.8739999999999999</v>
      </c>
      <c r="R948" s="104" t="s">
        <v>17</v>
      </c>
      <c r="S948" s="253">
        <f>(10^((2.6568*LOG((P948))+0.607)))</f>
        <v>64.770338363644569</v>
      </c>
      <c r="T948" s="104" t="s">
        <v>1045</v>
      </c>
      <c r="U948" s="108">
        <v>0.95</v>
      </c>
      <c r="V948" s="107">
        <v>26</v>
      </c>
      <c r="W948" s="106" t="s">
        <v>650</v>
      </c>
    </row>
    <row r="949" spans="1:23" ht="21" customHeight="1">
      <c r="A949" s="104" t="s">
        <v>218</v>
      </c>
      <c r="B949" s="104" t="s">
        <v>221</v>
      </c>
      <c r="C949" s="454" t="s">
        <v>222</v>
      </c>
      <c r="D949" s="105" t="s">
        <v>151</v>
      </c>
      <c r="E949" s="104">
        <v>908</v>
      </c>
      <c r="F949" s="104">
        <v>1114</v>
      </c>
      <c r="G949" s="106" t="s">
        <v>250</v>
      </c>
      <c r="H949" s="104" t="s">
        <v>251</v>
      </c>
      <c r="I949" s="104" t="s">
        <v>104</v>
      </c>
      <c r="J949" s="104" t="s">
        <v>105</v>
      </c>
      <c r="K949" s="104" t="s">
        <v>655</v>
      </c>
      <c r="L949" s="104" t="s">
        <v>656</v>
      </c>
      <c r="M949" s="104" t="s">
        <v>108</v>
      </c>
      <c r="N949" s="254"/>
      <c r="O949" s="103"/>
      <c r="P949" s="108">
        <v>3.6240000000000001</v>
      </c>
      <c r="Q949" s="108">
        <v>2.0390000000000001</v>
      </c>
      <c r="R949" s="104" t="s">
        <v>17</v>
      </c>
      <c r="S949" s="253">
        <f t="shared" ref="S949:S954" si="13">(10^((1.463*LOG((P949*Q949*100))+0.633)))/1000</f>
        <v>67.572458749971133</v>
      </c>
      <c r="T949" s="104" t="s">
        <v>657</v>
      </c>
      <c r="U949" s="108">
        <v>0.97660000000000002</v>
      </c>
      <c r="V949" s="107">
        <v>33.36</v>
      </c>
      <c r="W949" s="106" t="s">
        <v>404</v>
      </c>
    </row>
    <row r="950" spans="1:23" ht="21" customHeight="1">
      <c r="A950" s="104" t="s">
        <v>218</v>
      </c>
      <c r="B950" s="104" t="s">
        <v>221</v>
      </c>
      <c r="C950" s="454" t="s">
        <v>222</v>
      </c>
      <c r="D950" s="105" t="s">
        <v>151</v>
      </c>
      <c r="E950" s="104">
        <v>908</v>
      </c>
      <c r="F950" s="104">
        <v>2183</v>
      </c>
      <c r="G950" s="106" t="s">
        <v>250</v>
      </c>
      <c r="H950" s="104" t="s">
        <v>251</v>
      </c>
      <c r="I950" s="104" t="s">
        <v>104</v>
      </c>
      <c r="J950" s="104" t="s">
        <v>105</v>
      </c>
      <c r="K950" s="104" t="s">
        <v>655</v>
      </c>
      <c r="L950" s="104" t="s">
        <v>656</v>
      </c>
      <c r="M950" s="104" t="s">
        <v>108</v>
      </c>
      <c r="N950" s="254"/>
      <c r="O950" s="103"/>
      <c r="P950" s="108">
        <v>3.5759999999999996</v>
      </c>
      <c r="Q950" s="108">
        <v>2.0720000000000001</v>
      </c>
      <c r="R950" s="104" t="s">
        <v>17</v>
      </c>
      <c r="S950" s="253">
        <f t="shared" si="13"/>
        <v>67.84201883579469</v>
      </c>
      <c r="T950" s="104" t="s">
        <v>657</v>
      </c>
      <c r="U950" s="108">
        <v>0.97660000000000002</v>
      </c>
      <c r="V950" s="107">
        <v>33.36</v>
      </c>
      <c r="W950" s="106" t="s">
        <v>404</v>
      </c>
    </row>
    <row r="951" spans="1:23" ht="21" customHeight="1">
      <c r="A951" s="104" t="s">
        <v>218</v>
      </c>
      <c r="B951" s="104" t="s">
        <v>221</v>
      </c>
      <c r="C951" s="454" t="s">
        <v>222</v>
      </c>
      <c r="D951" s="105" t="s">
        <v>151</v>
      </c>
      <c r="E951" s="104">
        <v>908</v>
      </c>
      <c r="F951" s="104" t="s">
        <v>1082</v>
      </c>
      <c r="G951" s="106" t="s">
        <v>250</v>
      </c>
      <c r="H951" s="104" t="s">
        <v>251</v>
      </c>
      <c r="I951" s="104" t="s">
        <v>225</v>
      </c>
      <c r="J951" s="104" t="s">
        <v>105</v>
      </c>
      <c r="K951" s="104" t="s">
        <v>655</v>
      </c>
      <c r="L951" s="104" t="s">
        <v>656</v>
      </c>
      <c r="M951" s="104" t="s">
        <v>114</v>
      </c>
      <c r="N951" s="254"/>
      <c r="O951" s="103"/>
      <c r="P951" s="108">
        <v>3.6390000000000002</v>
      </c>
      <c r="Q951" s="108">
        <v>2.0539999999999998</v>
      </c>
      <c r="R951" s="104" t="s">
        <v>17</v>
      </c>
      <c r="S951" s="253">
        <f t="shared" si="13"/>
        <v>68.714942902421143</v>
      </c>
      <c r="T951" s="104" t="s">
        <v>657</v>
      </c>
      <c r="U951" s="108">
        <v>0.97660000000000002</v>
      </c>
      <c r="V951" s="107">
        <v>33.36</v>
      </c>
      <c r="W951" s="106" t="s">
        <v>404</v>
      </c>
    </row>
    <row r="952" spans="1:23" ht="21" customHeight="1">
      <c r="A952" s="104" t="s">
        <v>218</v>
      </c>
      <c r="B952" s="104" t="s">
        <v>221</v>
      </c>
      <c r="C952" s="454" t="s">
        <v>222</v>
      </c>
      <c r="D952" s="105" t="s">
        <v>151</v>
      </c>
      <c r="E952" s="104">
        <v>908</v>
      </c>
      <c r="F952" s="104">
        <v>1601</v>
      </c>
      <c r="G952" s="106" t="s">
        <v>250</v>
      </c>
      <c r="H952" s="104" t="s">
        <v>251</v>
      </c>
      <c r="I952" s="104" t="s">
        <v>104</v>
      </c>
      <c r="J952" s="104" t="s">
        <v>105</v>
      </c>
      <c r="K952" s="104" t="s">
        <v>655</v>
      </c>
      <c r="L952" s="104" t="s">
        <v>656</v>
      </c>
      <c r="M952" s="104" t="s">
        <v>108</v>
      </c>
      <c r="N952" s="254"/>
      <c r="O952" s="103"/>
      <c r="P952" s="108">
        <v>3.6950000000000003</v>
      </c>
      <c r="Q952" s="108">
        <v>2.0270000000000001</v>
      </c>
      <c r="R952" s="104" t="s">
        <v>17</v>
      </c>
      <c r="S952" s="253">
        <f t="shared" si="13"/>
        <v>68.920269031109484</v>
      </c>
      <c r="T952" s="104" t="s">
        <v>657</v>
      </c>
      <c r="U952" s="108">
        <v>0.97660000000000002</v>
      </c>
      <c r="V952" s="107">
        <v>33.36</v>
      </c>
      <c r="W952" s="106" t="s">
        <v>404</v>
      </c>
    </row>
    <row r="953" spans="1:23" ht="21" customHeight="1">
      <c r="A953" s="104" t="s">
        <v>218</v>
      </c>
      <c r="B953" s="104" t="s">
        <v>221</v>
      </c>
      <c r="C953" s="454" t="s">
        <v>222</v>
      </c>
      <c r="D953" s="105" t="s">
        <v>151</v>
      </c>
      <c r="E953" s="104">
        <v>908</v>
      </c>
      <c r="F953" s="104" t="s">
        <v>1083</v>
      </c>
      <c r="G953" s="106" t="s">
        <v>250</v>
      </c>
      <c r="H953" s="104" t="s">
        <v>251</v>
      </c>
      <c r="I953" s="104" t="s">
        <v>225</v>
      </c>
      <c r="J953" s="104" t="s">
        <v>105</v>
      </c>
      <c r="K953" s="104" t="s">
        <v>655</v>
      </c>
      <c r="L953" s="104" t="s">
        <v>656</v>
      </c>
      <c r="M953" s="104" t="s">
        <v>114</v>
      </c>
      <c r="N953" s="254"/>
      <c r="O953" s="103"/>
      <c r="P953" s="108">
        <v>3.5270000000000001</v>
      </c>
      <c r="Q953" s="108">
        <v>2.1420000000000003</v>
      </c>
      <c r="R953" s="104" t="s">
        <v>17</v>
      </c>
      <c r="S953" s="253">
        <f t="shared" si="13"/>
        <v>69.798014223357967</v>
      </c>
      <c r="T953" s="104" t="s">
        <v>657</v>
      </c>
      <c r="U953" s="108">
        <v>0.97660000000000002</v>
      </c>
      <c r="V953" s="107">
        <v>33.36</v>
      </c>
      <c r="W953" s="106" t="s">
        <v>404</v>
      </c>
    </row>
    <row r="954" spans="1:23" ht="21" customHeight="1">
      <c r="A954" s="104" t="s">
        <v>218</v>
      </c>
      <c r="B954" s="104" t="s">
        <v>221</v>
      </c>
      <c r="C954" s="454" t="s">
        <v>222</v>
      </c>
      <c r="D954" s="105" t="s">
        <v>151</v>
      </c>
      <c r="E954" s="104">
        <v>908</v>
      </c>
      <c r="F954" s="104">
        <v>130</v>
      </c>
      <c r="G954" s="106" t="s">
        <v>250</v>
      </c>
      <c r="H954" s="104" t="s">
        <v>251</v>
      </c>
      <c r="I954" s="104" t="s">
        <v>225</v>
      </c>
      <c r="J954" s="104" t="s">
        <v>105</v>
      </c>
      <c r="K954" s="104" t="s">
        <v>655</v>
      </c>
      <c r="L954" s="104" t="s">
        <v>656</v>
      </c>
      <c r="M954" s="104" t="s">
        <v>108</v>
      </c>
      <c r="N954" s="254"/>
      <c r="O954" s="103"/>
      <c r="P954" s="108">
        <v>3.65</v>
      </c>
      <c r="Q954" s="108">
        <v>2.0760000000000001</v>
      </c>
      <c r="R954" s="104" t="s">
        <v>17</v>
      </c>
      <c r="S954" s="253">
        <f t="shared" si="13"/>
        <v>70.103237108584779</v>
      </c>
      <c r="T954" s="104" t="s">
        <v>657</v>
      </c>
      <c r="U954" s="108">
        <v>0.97660000000000002</v>
      </c>
      <c r="V954" s="107">
        <v>33.36</v>
      </c>
      <c r="W954" s="106" t="s">
        <v>404</v>
      </c>
    </row>
    <row r="955" spans="1:23" ht="21" customHeight="1">
      <c r="A955" s="104" t="s">
        <v>218</v>
      </c>
      <c r="B955" s="104" t="s">
        <v>221</v>
      </c>
      <c r="C955" s="454" t="s">
        <v>222</v>
      </c>
      <c r="D955" s="105" t="s">
        <v>151</v>
      </c>
      <c r="E955" s="104">
        <v>908</v>
      </c>
      <c r="F955" s="104">
        <v>3945</v>
      </c>
      <c r="G955" s="106" t="s">
        <v>250</v>
      </c>
      <c r="H955" s="104" t="s">
        <v>251</v>
      </c>
      <c r="I955" s="104" t="s">
        <v>225</v>
      </c>
      <c r="J955" s="104" t="s">
        <v>105</v>
      </c>
      <c r="K955" s="104" t="s">
        <v>785</v>
      </c>
      <c r="L955" s="104" t="s">
        <v>786</v>
      </c>
      <c r="M955" s="104"/>
      <c r="N955" s="108" t="s">
        <v>17</v>
      </c>
      <c r="O955" s="104" t="s">
        <v>17</v>
      </c>
      <c r="P955" s="108">
        <v>2.9390000000000001</v>
      </c>
      <c r="Q955" s="108">
        <v>2.036</v>
      </c>
      <c r="R955" s="104" t="s">
        <v>17</v>
      </c>
      <c r="S955" s="253">
        <f>(10^((2.6568*LOG((P955))+0.607)))</f>
        <v>70.943508115420286</v>
      </c>
      <c r="T955" s="104" t="s">
        <v>1045</v>
      </c>
      <c r="U955" s="108">
        <v>0.95</v>
      </c>
      <c r="V955" s="107">
        <v>26</v>
      </c>
      <c r="W955" s="106" t="s">
        <v>650</v>
      </c>
    </row>
    <row r="956" spans="1:23" ht="21" customHeight="1">
      <c r="A956" s="104" t="s">
        <v>218</v>
      </c>
      <c r="B956" s="104" t="s">
        <v>221</v>
      </c>
      <c r="C956" s="454" t="s">
        <v>222</v>
      </c>
      <c r="D956" s="105" t="s">
        <v>151</v>
      </c>
      <c r="E956" s="104">
        <v>908</v>
      </c>
      <c r="F956" s="104">
        <v>3329</v>
      </c>
      <c r="G956" s="106" t="s">
        <v>250</v>
      </c>
      <c r="H956" s="104" t="s">
        <v>251</v>
      </c>
      <c r="I956" s="104" t="s">
        <v>225</v>
      </c>
      <c r="J956" s="104" t="s">
        <v>105</v>
      </c>
      <c r="K956" s="104" t="s">
        <v>655</v>
      </c>
      <c r="L956" s="104" t="s">
        <v>656</v>
      </c>
      <c r="M956" s="104" t="s">
        <v>114</v>
      </c>
      <c r="N956" s="254"/>
      <c r="O956" s="103"/>
      <c r="P956" s="108">
        <v>3.7119999999999997</v>
      </c>
      <c r="Q956" s="108">
        <v>2.0659999999999998</v>
      </c>
      <c r="R956" s="104" t="s">
        <v>17</v>
      </c>
      <c r="S956" s="253">
        <f>(10^((1.463*LOG((P956*Q956*100))+0.633)))/1000</f>
        <v>71.346407591179542</v>
      </c>
      <c r="T956" s="104" t="s">
        <v>657</v>
      </c>
      <c r="U956" s="108">
        <v>0.97660000000000002</v>
      </c>
      <c r="V956" s="107">
        <v>33.36</v>
      </c>
      <c r="W956" s="106" t="s">
        <v>404</v>
      </c>
    </row>
    <row r="957" spans="1:23" ht="21" customHeight="1">
      <c r="A957" s="104" t="s">
        <v>218</v>
      </c>
      <c r="B957" s="104" t="s">
        <v>221</v>
      </c>
      <c r="C957" s="454" t="s">
        <v>222</v>
      </c>
      <c r="D957" s="105" t="s">
        <v>151</v>
      </c>
      <c r="E957" s="104">
        <v>908</v>
      </c>
      <c r="F957" s="104">
        <v>97</v>
      </c>
      <c r="G957" s="106" t="s">
        <v>250</v>
      </c>
      <c r="H957" s="104" t="s">
        <v>251</v>
      </c>
      <c r="I957" s="104" t="s">
        <v>225</v>
      </c>
      <c r="J957" s="104" t="s">
        <v>105</v>
      </c>
      <c r="K957" s="104" t="s">
        <v>655</v>
      </c>
      <c r="L957" s="104" t="s">
        <v>656</v>
      </c>
      <c r="M957" s="104" t="s">
        <v>114</v>
      </c>
      <c r="N957" s="254"/>
      <c r="O957" s="103"/>
      <c r="P957" s="108">
        <v>3.7039999999999997</v>
      </c>
      <c r="Q957" s="108">
        <v>2.0739999999999998</v>
      </c>
      <c r="R957" s="104" t="s">
        <v>17</v>
      </c>
      <c r="S957" s="253">
        <f>(10^((1.463*LOG((P957*Q957*100))+0.633)))/1000</f>
        <v>71.524831784164093</v>
      </c>
      <c r="T957" s="104" t="s">
        <v>657</v>
      </c>
      <c r="U957" s="108">
        <v>0.97660000000000002</v>
      </c>
      <c r="V957" s="107">
        <v>33.36</v>
      </c>
      <c r="W957" s="106" t="s">
        <v>404</v>
      </c>
    </row>
    <row r="958" spans="1:23" ht="21" customHeight="1">
      <c r="A958" s="104" t="s">
        <v>218</v>
      </c>
      <c r="B958" s="104" t="s">
        <v>221</v>
      </c>
      <c r="C958" s="454" t="s">
        <v>222</v>
      </c>
      <c r="D958" s="105" t="s">
        <v>151</v>
      </c>
      <c r="E958" s="104">
        <v>908</v>
      </c>
      <c r="F958" s="104" t="s">
        <v>1086</v>
      </c>
      <c r="G958" s="106" t="s">
        <v>250</v>
      </c>
      <c r="H958" s="104" t="s">
        <v>251</v>
      </c>
      <c r="I958" s="104" t="s">
        <v>225</v>
      </c>
      <c r="J958" s="104" t="s">
        <v>105</v>
      </c>
      <c r="K958" s="104" t="s">
        <v>655</v>
      </c>
      <c r="L958" s="104" t="s">
        <v>656</v>
      </c>
      <c r="M958" s="104" t="s">
        <v>114</v>
      </c>
      <c r="N958" s="254"/>
      <c r="O958" s="103"/>
      <c r="P958" s="108">
        <v>3.7570000000000001</v>
      </c>
      <c r="Q958" s="108">
        <v>2.0449999999999999</v>
      </c>
      <c r="R958" s="104" t="s">
        <v>17</v>
      </c>
      <c r="S958" s="253">
        <f>(10^((1.463*LOG((P958*Q958*100))+0.633)))/1000</f>
        <v>71.538031296902929</v>
      </c>
      <c r="T958" s="104" t="s">
        <v>657</v>
      </c>
      <c r="U958" s="108">
        <v>0.97660000000000002</v>
      </c>
      <c r="V958" s="107">
        <v>33.36</v>
      </c>
      <c r="W958" s="106" t="s">
        <v>404</v>
      </c>
    </row>
    <row r="959" spans="1:23" ht="21" customHeight="1">
      <c r="A959" s="104" t="s">
        <v>218</v>
      </c>
      <c r="B959" s="104" t="s">
        <v>221</v>
      </c>
      <c r="C959" s="454" t="s">
        <v>222</v>
      </c>
      <c r="D959" s="105" t="s">
        <v>151</v>
      </c>
      <c r="E959" s="104">
        <v>908</v>
      </c>
      <c r="F959" s="104">
        <v>699</v>
      </c>
      <c r="G959" s="106" t="s">
        <v>250</v>
      </c>
      <c r="H959" s="104" t="s">
        <v>251</v>
      </c>
      <c r="I959" s="104" t="s">
        <v>225</v>
      </c>
      <c r="J959" s="104" t="s">
        <v>105</v>
      </c>
      <c r="K959" s="104" t="s">
        <v>655</v>
      </c>
      <c r="L959" s="104" t="s">
        <v>656</v>
      </c>
      <c r="M959" s="104" t="s">
        <v>114</v>
      </c>
      <c r="N959" s="254"/>
      <c r="O959" s="103"/>
      <c r="P959" s="108">
        <v>3.5390000000000001</v>
      </c>
      <c r="Q959" s="108">
        <v>2.1719999999999997</v>
      </c>
      <c r="R959" s="104" t="s">
        <v>17</v>
      </c>
      <c r="S959" s="253">
        <f>(10^((1.463*LOG((P959*Q959*100))+0.633)))/1000</f>
        <v>71.587662367014204</v>
      </c>
      <c r="T959" s="104" t="s">
        <v>657</v>
      </c>
      <c r="U959" s="108">
        <v>0.97660000000000002</v>
      </c>
      <c r="V959" s="107">
        <v>33.36</v>
      </c>
      <c r="W959" s="106" t="s">
        <v>404</v>
      </c>
    </row>
    <row r="960" spans="1:23" ht="21" customHeight="1">
      <c r="A960" s="104" t="s">
        <v>218</v>
      </c>
      <c r="B960" s="104" t="s">
        <v>221</v>
      </c>
      <c r="C960" s="454" t="s">
        <v>222</v>
      </c>
      <c r="D960" s="105" t="s">
        <v>151</v>
      </c>
      <c r="E960" s="104">
        <v>908</v>
      </c>
      <c r="F960" s="104">
        <v>3947</v>
      </c>
      <c r="G960" s="106" t="s">
        <v>250</v>
      </c>
      <c r="H960" s="104" t="s">
        <v>251</v>
      </c>
      <c r="I960" s="104" t="s">
        <v>225</v>
      </c>
      <c r="J960" s="104" t="s">
        <v>105</v>
      </c>
      <c r="K960" s="104" t="s">
        <v>785</v>
      </c>
      <c r="L960" s="104" t="s">
        <v>786</v>
      </c>
      <c r="M960" s="104"/>
      <c r="N960" s="108" t="s">
        <v>17</v>
      </c>
      <c r="O960" s="104" t="s">
        <v>17</v>
      </c>
      <c r="P960" s="108">
        <v>2.952</v>
      </c>
      <c r="Q960" s="108">
        <v>1.8920000000000001</v>
      </c>
      <c r="R960" s="104" t="s">
        <v>17</v>
      </c>
      <c r="S960" s="253">
        <f>(10^((2.6568*LOG((P960))+0.607)))</f>
        <v>71.780276522218813</v>
      </c>
      <c r="T960" s="104" t="s">
        <v>1045</v>
      </c>
      <c r="U960" s="108">
        <v>0.95</v>
      </c>
      <c r="V960" s="107">
        <v>26</v>
      </c>
      <c r="W960" s="106" t="s">
        <v>650</v>
      </c>
    </row>
    <row r="961" spans="1:23" ht="21" customHeight="1">
      <c r="A961" s="104" t="s">
        <v>218</v>
      </c>
      <c r="B961" s="104" t="s">
        <v>221</v>
      </c>
      <c r="C961" s="454" t="s">
        <v>222</v>
      </c>
      <c r="D961" s="105" t="s">
        <v>151</v>
      </c>
      <c r="E961" s="104">
        <v>908</v>
      </c>
      <c r="F961" s="104">
        <v>3971</v>
      </c>
      <c r="G961" s="106" t="s">
        <v>250</v>
      </c>
      <c r="H961" s="104" t="s">
        <v>251</v>
      </c>
      <c r="I961" s="104" t="s">
        <v>225</v>
      </c>
      <c r="J961" s="104" t="s">
        <v>105</v>
      </c>
      <c r="K961" s="104" t="s">
        <v>655</v>
      </c>
      <c r="L961" s="104" t="s">
        <v>656</v>
      </c>
      <c r="M961" s="104" t="s">
        <v>108</v>
      </c>
      <c r="N961" s="254"/>
      <c r="O961" s="103"/>
      <c r="P961" s="108">
        <v>3.786</v>
      </c>
      <c r="Q961" s="108">
        <v>2.0420000000000003</v>
      </c>
      <c r="R961" s="104" t="s">
        <v>17</v>
      </c>
      <c r="S961" s="253">
        <f>(10^((1.463*LOG((P961*Q961*100))+0.633)))/1000</f>
        <v>72.192116789348205</v>
      </c>
      <c r="T961" s="104" t="s">
        <v>657</v>
      </c>
      <c r="U961" s="108">
        <v>0.97660000000000002</v>
      </c>
      <c r="V961" s="107">
        <v>33.36</v>
      </c>
      <c r="W961" s="106" t="s">
        <v>404</v>
      </c>
    </row>
    <row r="962" spans="1:23" ht="21" customHeight="1">
      <c r="A962" s="104" t="s">
        <v>218</v>
      </c>
      <c r="B962" s="104" t="s">
        <v>221</v>
      </c>
      <c r="C962" s="454" t="s">
        <v>222</v>
      </c>
      <c r="D962" s="105" t="s">
        <v>151</v>
      </c>
      <c r="E962" s="104">
        <v>908</v>
      </c>
      <c r="F962" s="104">
        <v>1566</v>
      </c>
      <c r="G962" s="106" t="s">
        <v>250</v>
      </c>
      <c r="H962" s="104" t="s">
        <v>251</v>
      </c>
      <c r="I962" s="104" t="s">
        <v>225</v>
      </c>
      <c r="J962" s="104" t="s">
        <v>105</v>
      </c>
      <c r="K962" s="104" t="s">
        <v>655</v>
      </c>
      <c r="L962" s="104" t="s">
        <v>656</v>
      </c>
      <c r="M962" s="104" t="s">
        <v>108</v>
      </c>
      <c r="N962" s="254"/>
      <c r="O962" s="103"/>
      <c r="P962" s="108">
        <v>3.5479999999999996</v>
      </c>
      <c r="Q962" s="108">
        <v>2.1859999999999999</v>
      </c>
      <c r="R962" s="104" t="s">
        <v>17</v>
      </c>
      <c r="S962" s="253">
        <f>(10^((1.463*LOG((P962*Q962*100))+0.633)))/1000</f>
        <v>72.532760044249159</v>
      </c>
      <c r="T962" s="104" t="s">
        <v>657</v>
      </c>
      <c r="U962" s="108">
        <v>0.97660000000000002</v>
      </c>
      <c r="V962" s="107">
        <v>33.36</v>
      </c>
      <c r="W962" s="106" t="s">
        <v>404</v>
      </c>
    </row>
    <row r="963" spans="1:23" ht="21" customHeight="1">
      <c r="A963" s="104" t="s">
        <v>218</v>
      </c>
      <c r="B963" s="104" t="s">
        <v>221</v>
      </c>
      <c r="C963" s="454" t="s">
        <v>222</v>
      </c>
      <c r="D963" s="105" t="s">
        <v>151</v>
      </c>
      <c r="E963" s="104">
        <v>908</v>
      </c>
      <c r="F963" s="104">
        <v>1757</v>
      </c>
      <c r="G963" s="106" t="s">
        <v>250</v>
      </c>
      <c r="H963" s="104" t="s">
        <v>251</v>
      </c>
      <c r="I963" s="104" t="s">
        <v>225</v>
      </c>
      <c r="J963" s="104" t="s">
        <v>105</v>
      </c>
      <c r="K963" s="104" t="s">
        <v>883</v>
      </c>
      <c r="L963" s="104" t="s">
        <v>884</v>
      </c>
      <c r="M963" s="104" t="s">
        <v>114</v>
      </c>
      <c r="N963" s="108" t="s">
        <v>17</v>
      </c>
      <c r="O963" s="104" t="s">
        <v>17</v>
      </c>
      <c r="P963" s="108">
        <v>1.65</v>
      </c>
      <c r="Q963" s="108">
        <v>1.5</v>
      </c>
      <c r="R963" s="104" t="s">
        <v>17</v>
      </c>
      <c r="S963" s="253">
        <f>(((((10^((3.21*LOG((P963*10))+1.07)))+(10^(3.34*LOG((P963*10))+0.73))+(10^(3.29*LOG((P963*10))+0.8)))))/3)/1000</f>
        <v>73.854999174900442</v>
      </c>
      <c r="T963" s="104" t="s">
        <v>1077</v>
      </c>
      <c r="U963" s="108" t="s">
        <v>1073</v>
      </c>
      <c r="V963" s="107" t="s">
        <v>1078</v>
      </c>
      <c r="W963" s="106" t="s">
        <v>342</v>
      </c>
    </row>
    <row r="964" spans="1:23" ht="21" customHeight="1">
      <c r="A964" s="104" t="s">
        <v>218</v>
      </c>
      <c r="B964" s="104" t="s">
        <v>221</v>
      </c>
      <c r="C964" s="454" t="s">
        <v>222</v>
      </c>
      <c r="D964" s="105" t="s">
        <v>151</v>
      </c>
      <c r="E964" s="104">
        <v>908</v>
      </c>
      <c r="F964" s="104">
        <v>1963</v>
      </c>
      <c r="G964" s="106" t="s">
        <v>250</v>
      </c>
      <c r="H964" s="104" t="s">
        <v>251</v>
      </c>
      <c r="I964" s="104" t="s">
        <v>104</v>
      </c>
      <c r="J964" s="104" t="s">
        <v>105</v>
      </c>
      <c r="K964" s="104" t="s">
        <v>785</v>
      </c>
      <c r="L964" s="104" t="s">
        <v>786</v>
      </c>
      <c r="M964" s="104"/>
      <c r="N964" s="108" t="s">
        <v>17</v>
      </c>
      <c r="O964" s="104" t="s">
        <v>17</v>
      </c>
      <c r="P964" s="108">
        <v>2.988</v>
      </c>
      <c r="Q964" s="108">
        <v>1.831</v>
      </c>
      <c r="R964" s="104" t="s">
        <v>17</v>
      </c>
      <c r="S964" s="253">
        <f>(10^((2.6568*LOG((P964))+0.607)))</f>
        <v>74.129515196071083</v>
      </c>
      <c r="T964" s="104" t="s">
        <v>1045</v>
      </c>
      <c r="U964" s="108">
        <v>0.95</v>
      </c>
      <c r="V964" s="107">
        <v>26</v>
      </c>
      <c r="W964" s="106" t="s">
        <v>650</v>
      </c>
    </row>
    <row r="965" spans="1:23" ht="21" customHeight="1">
      <c r="A965" s="104" t="s">
        <v>218</v>
      </c>
      <c r="B965" s="104" t="s">
        <v>221</v>
      </c>
      <c r="C965" s="454" t="s">
        <v>222</v>
      </c>
      <c r="D965" s="105" t="s">
        <v>151</v>
      </c>
      <c r="E965" s="104">
        <v>908</v>
      </c>
      <c r="F965" s="104">
        <v>3951</v>
      </c>
      <c r="G965" s="106" t="s">
        <v>250</v>
      </c>
      <c r="H965" s="104" t="s">
        <v>251</v>
      </c>
      <c r="I965" s="104" t="s">
        <v>225</v>
      </c>
      <c r="J965" s="104" t="s">
        <v>105</v>
      </c>
      <c r="K965" s="104" t="s">
        <v>785</v>
      </c>
      <c r="L965" s="104" t="s">
        <v>786</v>
      </c>
      <c r="M965" s="104"/>
      <c r="N965" s="108" t="s">
        <v>17</v>
      </c>
      <c r="O965" s="104" t="s">
        <v>17</v>
      </c>
      <c r="P965" s="108">
        <v>2.992</v>
      </c>
      <c r="Q965" s="108">
        <v>1.9100000000000001</v>
      </c>
      <c r="R965" s="104" t="s">
        <v>17</v>
      </c>
      <c r="S965" s="253">
        <f>(10^((2.6568*LOG((P965))+0.607)))</f>
        <v>74.39345866121802</v>
      </c>
      <c r="T965" s="104" t="s">
        <v>1045</v>
      </c>
      <c r="U965" s="108">
        <v>0.95</v>
      </c>
      <c r="V965" s="107">
        <v>26</v>
      </c>
      <c r="W965" s="106" t="s">
        <v>650</v>
      </c>
    </row>
    <row r="966" spans="1:23" ht="21" customHeight="1">
      <c r="A966" s="104" t="s">
        <v>218</v>
      </c>
      <c r="B966" s="104" t="s">
        <v>221</v>
      </c>
      <c r="C966" s="454" t="s">
        <v>222</v>
      </c>
      <c r="D966" s="105" t="s">
        <v>151</v>
      </c>
      <c r="E966" s="104">
        <v>908</v>
      </c>
      <c r="F966" s="104">
        <v>3946</v>
      </c>
      <c r="G966" s="106" t="s">
        <v>250</v>
      </c>
      <c r="H966" s="104" t="s">
        <v>251</v>
      </c>
      <c r="I966" s="104" t="s">
        <v>225</v>
      </c>
      <c r="J966" s="104" t="s">
        <v>105</v>
      </c>
      <c r="K966" s="104" t="s">
        <v>785</v>
      </c>
      <c r="L966" s="104" t="s">
        <v>786</v>
      </c>
      <c r="M966" s="104"/>
      <c r="N966" s="108" t="s">
        <v>17</v>
      </c>
      <c r="O966" s="104" t="s">
        <v>17</v>
      </c>
      <c r="P966" s="108">
        <v>3.0030000000000001</v>
      </c>
      <c r="Q966" s="108">
        <v>1.905</v>
      </c>
      <c r="R966" s="104" t="s">
        <v>17</v>
      </c>
      <c r="S966" s="253">
        <f>(10^((2.6568*LOG((P966))+0.607)))</f>
        <v>75.122322563442907</v>
      </c>
      <c r="T966" s="104" t="s">
        <v>1045</v>
      </c>
      <c r="U966" s="108">
        <v>0.95</v>
      </c>
      <c r="V966" s="107">
        <v>26</v>
      </c>
      <c r="W966" s="106" t="s">
        <v>650</v>
      </c>
    </row>
    <row r="967" spans="1:23" ht="21" customHeight="1">
      <c r="A967" s="104" t="s">
        <v>218</v>
      </c>
      <c r="B967" s="104" t="s">
        <v>221</v>
      </c>
      <c r="C967" s="454" t="s">
        <v>222</v>
      </c>
      <c r="D967" s="105" t="s">
        <v>151</v>
      </c>
      <c r="E967" s="104">
        <v>908</v>
      </c>
      <c r="F967" s="104">
        <v>2258</v>
      </c>
      <c r="G967" s="106" t="s">
        <v>250</v>
      </c>
      <c r="H967" s="104" t="s">
        <v>251</v>
      </c>
      <c r="I967" s="104" t="s">
        <v>225</v>
      </c>
      <c r="J967" s="104" t="s">
        <v>105</v>
      </c>
      <c r="K967" s="104" t="s">
        <v>655</v>
      </c>
      <c r="L967" s="104" t="s">
        <v>656</v>
      </c>
      <c r="M967" s="104" t="s">
        <v>108</v>
      </c>
      <c r="N967" s="254"/>
      <c r="O967" s="103"/>
      <c r="P967" s="108">
        <v>3.758</v>
      </c>
      <c r="Q967" s="108">
        <v>2.1320000000000001</v>
      </c>
      <c r="R967" s="104" t="s">
        <v>17</v>
      </c>
      <c r="S967" s="253">
        <f>(10^((1.463*LOG((P967*Q967*100))+0.633)))/1000</f>
        <v>76.063698230239822</v>
      </c>
      <c r="T967" s="104" t="s">
        <v>657</v>
      </c>
      <c r="U967" s="108">
        <v>0.97660000000000002</v>
      </c>
      <c r="V967" s="107">
        <v>33.36</v>
      </c>
      <c r="W967" s="106" t="s">
        <v>404</v>
      </c>
    </row>
    <row r="968" spans="1:23" ht="21" customHeight="1">
      <c r="A968" s="104" t="s">
        <v>218</v>
      </c>
      <c r="B968" s="104" t="s">
        <v>221</v>
      </c>
      <c r="C968" s="454" t="s">
        <v>222</v>
      </c>
      <c r="D968" s="105" t="s">
        <v>151</v>
      </c>
      <c r="E968" s="104">
        <v>908</v>
      </c>
      <c r="F968" s="104">
        <v>3954</v>
      </c>
      <c r="G968" s="106" t="s">
        <v>250</v>
      </c>
      <c r="H968" s="104" t="s">
        <v>251</v>
      </c>
      <c r="I968" s="104" t="s">
        <v>225</v>
      </c>
      <c r="J968" s="104" t="s">
        <v>105</v>
      </c>
      <c r="K968" s="104" t="s">
        <v>665</v>
      </c>
      <c r="L968" s="104" t="s">
        <v>666</v>
      </c>
      <c r="M968" s="104"/>
      <c r="N968" s="108" t="s">
        <v>17</v>
      </c>
      <c r="O968" s="104" t="s">
        <v>17</v>
      </c>
      <c r="P968" s="108">
        <v>2.7109999999999999</v>
      </c>
      <c r="Q968" s="108">
        <v>1.72</v>
      </c>
      <c r="R968" s="104" t="s">
        <v>17</v>
      </c>
      <c r="S968" s="253">
        <f>(10^((2.9334*LOG((P968))+0.6132)))</f>
        <v>76.514214985693215</v>
      </c>
      <c r="T968" s="104" t="s">
        <v>1069</v>
      </c>
      <c r="U968" s="108">
        <v>0.94199999999999995</v>
      </c>
      <c r="V968" s="107">
        <v>24</v>
      </c>
      <c r="W968" s="106" t="s">
        <v>650</v>
      </c>
    </row>
    <row r="969" spans="1:23" ht="21" customHeight="1">
      <c r="A969" s="104" t="s">
        <v>218</v>
      </c>
      <c r="B969" s="104" t="s">
        <v>221</v>
      </c>
      <c r="C969" s="454" t="s">
        <v>222</v>
      </c>
      <c r="D969" s="105" t="s">
        <v>151</v>
      </c>
      <c r="E969" s="104">
        <v>908</v>
      </c>
      <c r="F969" s="104">
        <v>3970</v>
      </c>
      <c r="G969" s="106" t="s">
        <v>250</v>
      </c>
      <c r="H969" s="104" t="s">
        <v>251</v>
      </c>
      <c r="I969" s="104" t="s">
        <v>225</v>
      </c>
      <c r="J969" s="104" t="s">
        <v>105</v>
      </c>
      <c r="K969" s="104" t="s">
        <v>655</v>
      </c>
      <c r="L969" s="104" t="s">
        <v>656</v>
      </c>
      <c r="M969" s="104" t="s">
        <v>114</v>
      </c>
      <c r="N969" s="254"/>
      <c r="O969" s="103"/>
      <c r="P969" s="108">
        <v>3.8520000000000003</v>
      </c>
      <c r="Q969" s="108">
        <v>2.097</v>
      </c>
      <c r="R969" s="104" t="s">
        <v>17</v>
      </c>
      <c r="S969" s="253">
        <f>(10^((1.463*LOG((P969*Q969*100))+0.633)))/1000</f>
        <v>76.976388091909698</v>
      </c>
      <c r="T969" s="104" t="s">
        <v>657</v>
      </c>
      <c r="U969" s="108">
        <v>0.97660000000000002</v>
      </c>
      <c r="V969" s="107">
        <v>33.36</v>
      </c>
      <c r="W969" s="106" t="s">
        <v>404</v>
      </c>
    </row>
    <row r="970" spans="1:23" ht="21" customHeight="1">
      <c r="A970" s="104" t="s">
        <v>218</v>
      </c>
      <c r="B970" s="104" t="s">
        <v>221</v>
      </c>
      <c r="C970" s="454" t="s">
        <v>222</v>
      </c>
      <c r="D970" s="105" t="s">
        <v>151</v>
      </c>
      <c r="E970" s="104">
        <v>908</v>
      </c>
      <c r="F970" s="104">
        <v>153</v>
      </c>
      <c r="G970" s="106" t="s">
        <v>250</v>
      </c>
      <c r="H970" s="104" t="s">
        <v>251</v>
      </c>
      <c r="I970" s="104" t="s">
        <v>225</v>
      </c>
      <c r="J970" s="104" t="s">
        <v>105</v>
      </c>
      <c r="K970" s="104" t="s">
        <v>655</v>
      </c>
      <c r="L970" s="104" t="s">
        <v>656</v>
      </c>
      <c r="M970" s="104" t="s">
        <v>108</v>
      </c>
      <c r="N970" s="254"/>
      <c r="O970" s="103"/>
      <c r="P970" s="108">
        <v>3.7679999999999998</v>
      </c>
      <c r="Q970" s="108">
        <v>2.1480000000000001</v>
      </c>
      <c r="R970" s="104" t="s">
        <v>17</v>
      </c>
      <c r="S970" s="253">
        <f>(10^((1.463*LOG((P970*Q970*100))+0.633)))/1000</f>
        <v>77.199837359820037</v>
      </c>
      <c r="T970" s="104" t="s">
        <v>657</v>
      </c>
      <c r="U970" s="108">
        <v>0.97660000000000002</v>
      </c>
      <c r="V970" s="107">
        <v>33.36</v>
      </c>
      <c r="W970" s="106" t="s">
        <v>404</v>
      </c>
    </row>
    <row r="971" spans="1:23" ht="21" customHeight="1">
      <c r="A971" s="104" t="s">
        <v>218</v>
      </c>
      <c r="B971" s="104" t="s">
        <v>221</v>
      </c>
      <c r="C971" s="454" t="s">
        <v>222</v>
      </c>
      <c r="D971" s="105" t="s">
        <v>151</v>
      </c>
      <c r="E971" s="104">
        <v>908</v>
      </c>
      <c r="F971" s="104">
        <v>251</v>
      </c>
      <c r="G971" s="106" t="s">
        <v>250</v>
      </c>
      <c r="H971" s="104" t="s">
        <v>251</v>
      </c>
      <c r="I971" s="104" t="s">
        <v>225</v>
      </c>
      <c r="J971" s="104" t="s">
        <v>105</v>
      </c>
      <c r="K971" s="104" t="s">
        <v>655</v>
      </c>
      <c r="L971" s="104" t="s">
        <v>656</v>
      </c>
      <c r="M971" s="104" t="s">
        <v>114</v>
      </c>
      <c r="N971" s="254"/>
      <c r="O971" s="103"/>
      <c r="P971" s="108">
        <v>3.6520000000000001</v>
      </c>
      <c r="Q971" s="108">
        <v>2.238</v>
      </c>
      <c r="R971" s="104" t="s">
        <v>17</v>
      </c>
      <c r="S971" s="253">
        <f>(10^((1.463*LOG((P971*Q971*100))+0.633)))/1000</f>
        <v>78.311909766709874</v>
      </c>
      <c r="T971" s="104" t="s">
        <v>657</v>
      </c>
      <c r="U971" s="108">
        <v>0.97660000000000002</v>
      </c>
      <c r="V971" s="107">
        <v>33.36</v>
      </c>
      <c r="W971" s="106" t="s">
        <v>404</v>
      </c>
    </row>
    <row r="972" spans="1:23" ht="21" customHeight="1">
      <c r="A972" s="104" t="s">
        <v>218</v>
      </c>
      <c r="B972" s="104" t="s">
        <v>221</v>
      </c>
      <c r="C972" s="454" t="s">
        <v>222</v>
      </c>
      <c r="D972" s="105" t="s">
        <v>151</v>
      </c>
      <c r="E972" s="104">
        <v>908</v>
      </c>
      <c r="F972" s="104">
        <v>3467</v>
      </c>
      <c r="G972" s="106" t="s">
        <v>250</v>
      </c>
      <c r="H972" s="104" t="s">
        <v>251</v>
      </c>
      <c r="I972" s="104" t="s">
        <v>225</v>
      </c>
      <c r="J972" s="104" t="s">
        <v>105</v>
      </c>
      <c r="K972" s="104" t="s">
        <v>1087</v>
      </c>
      <c r="L972" s="104" t="s">
        <v>1080</v>
      </c>
      <c r="M972" s="104" t="s">
        <v>108</v>
      </c>
      <c r="N972" s="108" t="s">
        <v>17</v>
      </c>
      <c r="O972" s="104" t="s">
        <v>17</v>
      </c>
      <c r="P972" s="108">
        <v>1.7129999999999999</v>
      </c>
      <c r="Q972" s="108">
        <v>1.0740000000000001</v>
      </c>
      <c r="R972" s="104" t="s">
        <v>17</v>
      </c>
      <c r="S972" s="253">
        <f>(((10^((3.21*LOG((P972*10))+1.12)))+(10^(3.41*LOG((P972*10))+0.72))+(10^(3.35*LOG((P972*10))+0.35)))/3)/1000</f>
        <v>78.430405763671445</v>
      </c>
      <c r="T972" s="104" t="s">
        <v>1088</v>
      </c>
      <c r="U972" s="108">
        <v>0.68</v>
      </c>
      <c r="V972" s="107">
        <v>82.85</v>
      </c>
      <c r="W972" s="106" t="s">
        <v>644</v>
      </c>
    </row>
    <row r="973" spans="1:23" ht="21" customHeight="1">
      <c r="A973" s="104" t="s">
        <v>218</v>
      </c>
      <c r="B973" s="104" t="s">
        <v>221</v>
      </c>
      <c r="C973" s="454" t="s">
        <v>222</v>
      </c>
      <c r="D973" s="105" t="s">
        <v>151</v>
      </c>
      <c r="E973" s="104">
        <v>908</v>
      </c>
      <c r="F973" s="104">
        <v>4524</v>
      </c>
      <c r="G973" s="106" t="s">
        <v>250</v>
      </c>
      <c r="H973" s="104" t="s">
        <v>251</v>
      </c>
      <c r="I973" s="104" t="s">
        <v>225</v>
      </c>
      <c r="J973" s="104" t="s">
        <v>105</v>
      </c>
      <c r="K973" s="104" t="s">
        <v>655</v>
      </c>
      <c r="L973" s="104" t="s">
        <v>656</v>
      </c>
      <c r="M973" s="104"/>
      <c r="N973" s="254"/>
      <c r="O973" s="103"/>
      <c r="P973" s="108">
        <v>3.7109999999999999</v>
      </c>
      <c r="Q973" s="108">
        <v>2.2120000000000002</v>
      </c>
      <c r="R973" s="104" t="s">
        <v>17</v>
      </c>
      <c r="S973" s="253">
        <f>(10^((1.463*LOG((P973*Q973*100))+0.633)))/1000</f>
        <v>78.810829873165844</v>
      </c>
      <c r="T973" s="104" t="s">
        <v>657</v>
      </c>
      <c r="U973" s="108">
        <v>0.97660000000000002</v>
      </c>
      <c r="V973" s="107">
        <v>33.36</v>
      </c>
      <c r="W973" s="106" t="s">
        <v>404</v>
      </c>
    </row>
    <row r="974" spans="1:23" ht="21" customHeight="1">
      <c r="A974" s="104" t="s">
        <v>218</v>
      </c>
      <c r="B974" s="104" t="s">
        <v>221</v>
      </c>
      <c r="C974" s="454" t="s">
        <v>222</v>
      </c>
      <c r="D974" s="105" t="s">
        <v>151</v>
      </c>
      <c r="E974" s="104">
        <v>908</v>
      </c>
      <c r="F974" s="104">
        <v>3471</v>
      </c>
      <c r="G974" s="106" t="s">
        <v>250</v>
      </c>
      <c r="H974" s="104" t="s">
        <v>251</v>
      </c>
      <c r="I974" s="104" t="s">
        <v>104</v>
      </c>
      <c r="J974" s="104" t="s">
        <v>105</v>
      </c>
      <c r="K974" s="104" t="s">
        <v>655</v>
      </c>
      <c r="L974" s="104" t="s">
        <v>656</v>
      </c>
      <c r="M974" s="104" t="s">
        <v>108</v>
      </c>
      <c r="N974" s="254"/>
      <c r="O974" s="103"/>
      <c r="P974" s="108">
        <v>3.6680000000000001</v>
      </c>
      <c r="Q974" s="108">
        <v>2.2429999999999999</v>
      </c>
      <c r="R974" s="104" t="s">
        <v>17</v>
      </c>
      <c r="S974" s="253">
        <f>(10^((1.463*LOG((P974*Q974*100))+0.633)))/1000</f>
        <v>79.072110867594205</v>
      </c>
      <c r="T974" s="104" t="s">
        <v>657</v>
      </c>
      <c r="U974" s="108">
        <v>0.97660000000000002</v>
      </c>
      <c r="V974" s="107">
        <v>33.36</v>
      </c>
      <c r="W974" s="106" t="s">
        <v>404</v>
      </c>
    </row>
    <row r="975" spans="1:23" ht="21" customHeight="1">
      <c r="A975" s="104" t="s">
        <v>218</v>
      </c>
      <c r="B975" s="104" t="s">
        <v>221</v>
      </c>
      <c r="C975" s="454" t="s">
        <v>222</v>
      </c>
      <c r="D975" s="105" t="s">
        <v>151</v>
      </c>
      <c r="E975" s="104">
        <v>908</v>
      </c>
      <c r="F975" s="104">
        <v>332</v>
      </c>
      <c r="G975" s="106" t="s">
        <v>250</v>
      </c>
      <c r="H975" s="104" t="s">
        <v>251</v>
      </c>
      <c r="I975" s="104" t="s">
        <v>225</v>
      </c>
      <c r="J975" s="104" t="s">
        <v>105</v>
      </c>
      <c r="K975" s="104" t="s">
        <v>655</v>
      </c>
      <c r="L975" s="104" t="s">
        <v>656</v>
      </c>
      <c r="M975" s="104" t="s">
        <v>108</v>
      </c>
      <c r="N975" s="254"/>
      <c r="O975" s="103"/>
      <c r="P975" s="108">
        <v>4.0329999999999995</v>
      </c>
      <c r="Q975" s="108">
        <v>2.0649999999999999</v>
      </c>
      <c r="R975" s="104" t="s">
        <v>17</v>
      </c>
      <c r="S975" s="253">
        <f>(10^((1.463*LOG((P975*Q975*100))+0.633)))/1000</f>
        <v>80.493744471360358</v>
      </c>
      <c r="T975" s="104" t="s">
        <v>657</v>
      </c>
      <c r="U975" s="108">
        <v>0.97660000000000002</v>
      </c>
      <c r="V975" s="107">
        <v>33.36</v>
      </c>
      <c r="W975" s="106" t="s">
        <v>404</v>
      </c>
    </row>
    <row r="976" spans="1:23" ht="21" customHeight="1">
      <c r="A976" s="104" t="s">
        <v>218</v>
      </c>
      <c r="B976" s="104" t="s">
        <v>221</v>
      </c>
      <c r="C976" s="454" t="s">
        <v>222</v>
      </c>
      <c r="D976" s="105" t="s">
        <v>151</v>
      </c>
      <c r="E976" s="104">
        <v>908</v>
      </c>
      <c r="F976" s="104">
        <v>758</v>
      </c>
      <c r="G976" s="106" t="s">
        <v>250</v>
      </c>
      <c r="H976" s="104" t="s">
        <v>251</v>
      </c>
      <c r="I976" s="104" t="s">
        <v>104</v>
      </c>
      <c r="J976" s="104" t="s">
        <v>105</v>
      </c>
      <c r="K976" s="104" t="s">
        <v>785</v>
      </c>
      <c r="L976" s="104" t="s">
        <v>786</v>
      </c>
      <c r="M976" s="104"/>
      <c r="N976" s="108" t="s">
        <v>17</v>
      </c>
      <c r="O976" s="104" t="s">
        <v>17</v>
      </c>
      <c r="P976" s="108">
        <v>3.085</v>
      </c>
      <c r="Q976" s="108">
        <v>1.8829999999999998</v>
      </c>
      <c r="R976" s="104" t="s">
        <v>17</v>
      </c>
      <c r="S976" s="253">
        <f>(10^((2.6568*LOG((P976))+0.607)))</f>
        <v>80.696208757744444</v>
      </c>
      <c r="T976" s="104" t="s">
        <v>1045</v>
      </c>
      <c r="U976" s="108">
        <v>0.95</v>
      </c>
      <c r="V976" s="107">
        <v>26</v>
      </c>
      <c r="W976" s="106" t="s">
        <v>650</v>
      </c>
    </row>
    <row r="977" spans="1:23" ht="21" customHeight="1">
      <c r="A977" s="104" t="s">
        <v>218</v>
      </c>
      <c r="B977" s="104" t="s">
        <v>221</v>
      </c>
      <c r="C977" s="454" t="s">
        <v>222</v>
      </c>
      <c r="D977" s="105" t="s">
        <v>151</v>
      </c>
      <c r="E977" s="104">
        <v>908</v>
      </c>
      <c r="F977" s="104">
        <v>672</v>
      </c>
      <c r="G977" s="106" t="s">
        <v>250</v>
      </c>
      <c r="H977" s="104" t="s">
        <v>251</v>
      </c>
      <c r="I977" s="104" t="s">
        <v>104</v>
      </c>
      <c r="J977" s="104" t="s">
        <v>105</v>
      </c>
      <c r="K977" s="104" t="s">
        <v>785</v>
      </c>
      <c r="L977" s="104" t="s">
        <v>786</v>
      </c>
      <c r="M977" s="104"/>
      <c r="N977" s="108" t="s">
        <v>17</v>
      </c>
      <c r="O977" s="104" t="s">
        <v>17</v>
      </c>
      <c r="P977" s="108">
        <v>3.0870000000000002</v>
      </c>
      <c r="Q977" s="108">
        <v>1.927</v>
      </c>
      <c r="R977" s="104" t="s">
        <v>17</v>
      </c>
      <c r="S977" s="253">
        <f>(10^((2.6568*LOG((P977))+0.607)))</f>
        <v>80.835274458847223</v>
      </c>
      <c r="T977" s="104" t="s">
        <v>1045</v>
      </c>
      <c r="U977" s="108">
        <v>0.95</v>
      </c>
      <c r="V977" s="107">
        <v>26</v>
      </c>
      <c r="W977" s="106" t="s">
        <v>650</v>
      </c>
    </row>
    <row r="978" spans="1:23" ht="21" customHeight="1">
      <c r="A978" s="104" t="s">
        <v>218</v>
      </c>
      <c r="B978" s="104" t="s">
        <v>221</v>
      </c>
      <c r="C978" s="454" t="s">
        <v>222</v>
      </c>
      <c r="D978" s="105" t="s">
        <v>151</v>
      </c>
      <c r="E978" s="104">
        <v>908</v>
      </c>
      <c r="F978" s="104">
        <v>393</v>
      </c>
      <c r="G978" s="106" t="s">
        <v>250</v>
      </c>
      <c r="H978" s="104" t="s">
        <v>251</v>
      </c>
      <c r="I978" s="104" t="s">
        <v>225</v>
      </c>
      <c r="J978" s="104" t="s">
        <v>105</v>
      </c>
      <c r="K978" s="104" t="s">
        <v>1087</v>
      </c>
      <c r="L978" s="104" t="s">
        <v>1080</v>
      </c>
      <c r="M978" s="104" t="s">
        <v>108</v>
      </c>
      <c r="N978" s="108" t="s">
        <v>17</v>
      </c>
      <c r="O978" s="104" t="s">
        <v>17</v>
      </c>
      <c r="P978" s="108">
        <v>1.732</v>
      </c>
      <c r="Q978" s="108">
        <v>1.02</v>
      </c>
      <c r="R978" s="104" t="s">
        <v>17</v>
      </c>
      <c r="S978" s="253">
        <f>(((10^((3.21*LOG((P978*10))+1.12)))+(10^(3.41*LOG((P978*10))+0.72))+(10^(3.35*LOG((P978*10))+0.35)))/3)/1000</f>
        <v>81.337957077321207</v>
      </c>
      <c r="T978" s="104" t="s">
        <v>1088</v>
      </c>
      <c r="U978" s="108">
        <v>0.68</v>
      </c>
      <c r="V978" s="107">
        <v>82.85</v>
      </c>
      <c r="W978" s="106" t="s">
        <v>644</v>
      </c>
    </row>
    <row r="979" spans="1:23" ht="21" customHeight="1">
      <c r="A979" s="104" t="s">
        <v>218</v>
      </c>
      <c r="B979" s="104" t="s">
        <v>221</v>
      </c>
      <c r="C979" s="454" t="s">
        <v>222</v>
      </c>
      <c r="D979" s="105" t="s">
        <v>151</v>
      </c>
      <c r="E979" s="104">
        <v>908</v>
      </c>
      <c r="F979" s="104">
        <v>492</v>
      </c>
      <c r="G979" s="106" t="s">
        <v>250</v>
      </c>
      <c r="H979" s="104" t="s">
        <v>251</v>
      </c>
      <c r="I979" s="104" t="s">
        <v>225</v>
      </c>
      <c r="J979" s="104" t="s">
        <v>105</v>
      </c>
      <c r="K979" s="104" t="s">
        <v>655</v>
      </c>
      <c r="L979" s="104" t="s">
        <v>656</v>
      </c>
      <c r="M979" s="104" t="s">
        <v>108</v>
      </c>
      <c r="N979" s="254"/>
      <c r="O979" s="103"/>
      <c r="P979" s="108">
        <v>3.843</v>
      </c>
      <c r="Q979" s="108">
        <v>2.2149999999999999</v>
      </c>
      <c r="R979" s="104" t="s">
        <v>17</v>
      </c>
      <c r="S979" s="253">
        <f>(10^((1.463*LOG((P979*Q979*100))+0.633)))/1000</f>
        <v>83.11024073515344</v>
      </c>
      <c r="T979" s="104" t="s">
        <v>657</v>
      </c>
      <c r="U979" s="108">
        <v>0.97660000000000002</v>
      </c>
      <c r="V979" s="107">
        <v>33.36</v>
      </c>
      <c r="W979" s="106" t="s">
        <v>404</v>
      </c>
    </row>
    <row r="980" spans="1:23" ht="21" customHeight="1">
      <c r="A980" s="104" t="s">
        <v>218</v>
      </c>
      <c r="B980" s="104" t="s">
        <v>221</v>
      </c>
      <c r="C980" s="454" t="s">
        <v>222</v>
      </c>
      <c r="D980" s="105" t="s">
        <v>151</v>
      </c>
      <c r="E980" s="104">
        <v>908</v>
      </c>
      <c r="F980" s="104" t="s">
        <v>1091</v>
      </c>
      <c r="G980" s="106" t="s">
        <v>250</v>
      </c>
      <c r="H980" s="104" t="s">
        <v>251</v>
      </c>
      <c r="I980" s="104" t="s">
        <v>225</v>
      </c>
      <c r="J980" s="104" t="s">
        <v>105</v>
      </c>
      <c r="K980" s="104" t="s">
        <v>655</v>
      </c>
      <c r="L980" s="104" t="s">
        <v>656</v>
      </c>
      <c r="M980" s="104" t="s">
        <v>114</v>
      </c>
      <c r="N980" s="254"/>
      <c r="O980" s="103"/>
      <c r="P980" s="108">
        <v>4</v>
      </c>
      <c r="Q980" s="108">
        <v>2.1469999999999998</v>
      </c>
      <c r="R980" s="104" t="s">
        <v>17</v>
      </c>
      <c r="S980" s="253">
        <f>(10^((1.463*LOG((P980*Q980*100))+0.633)))/1000</f>
        <v>84.194563229937671</v>
      </c>
      <c r="T980" s="104" t="s">
        <v>657</v>
      </c>
      <c r="U980" s="108">
        <v>0.97660000000000002</v>
      </c>
      <c r="V980" s="107">
        <v>33.36</v>
      </c>
      <c r="W980" s="106" t="s">
        <v>404</v>
      </c>
    </row>
    <row r="981" spans="1:23" ht="21" customHeight="1">
      <c r="A981" s="104" t="s">
        <v>218</v>
      </c>
      <c r="B981" s="104" t="s">
        <v>221</v>
      </c>
      <c r="C981" s="454" t="s">
        <v>222</v>
      </c>
      <c r="D981" s="105" t="s">
        <v>151</v>
      </c>
      <c r="E981" s="104">
        <v>908</v>
      </c>
      <c r="F981" s="104">
        <v>3422</v>
      </c>
      <c r="G981" s="106" t="s">
        <v>250</v>
      </c>
      <c r="H981" s="104" t="s">
        <v>251</v>
      </c>
      <c r="I981" s="104" t="s">
        <v>225</v>
      </c>
      <c r="J981" s="104" t="s">
        <v>105</v>
      </c>
      <c r="K981" s="104" t="s">
        <v>785</v>
      </c>
      <c r="L981" s="104" t="s">
        <v>786</v>
      </c>
      <c r="M981" s="104"/>
      <c r="N981" s="108" t="s">
        <v>17</v>
      </c>
      <c r="O981" s="104" t="s">
        <v>17</v>
      </c>
      <c r="P981" s="108">
        <v>3.145</v>
      </c>
      <c r="Q981" s="108">
        <v>1.952</v>
      </c>
      <c r="R981" s="104" t="s">
        <v>17</v>
      </c>
      <c r="S981" s="253">
        <f>(10^((2.6568*LOG((P981))+0.607)))</f>
        <v>84.933406356869952</v>
      </c>
      <c r="T981" s="104" t="s">
        <v>1045</v>
      </c>
      <c r="U981" s="108">
        <v>0.95</v>
      </c>
      <c r="V981" s="107">
        <v>26</v>
      </c>
      <c r="W981" s="106" t="s">
        <v>650</v>
      </c>
    </row>
    <row r="982" spans="1:23" ht="21" customHeight="1">
      <c r="A982" s="104" t="s">
        <v>218</v>
      </c>
      <c r="B982" s="104" t="s">
        <v>221</v>
      </c>
      <c r="C982" s="454" t="s">
        <v>222</v>
      </c>
      <c r="D982" s="105" t="s">
        <v>151</v>
      </c>
      <c r="E982" s="104">
        <v>908</v>
      </c>
      <c r="F982" s="104">
        <v>1486</v>
      </c>
      <c r="G982" s="106" t="s">
        <v>250</v>
      </c>
      <c r="H982" s="104" t="s">
        <v>251</v>
      </c>
      <c r="I982" s="104" t="s">
        <v>225</v>
      </c>
      <c r="J982" s="104" t="s">
        <v>105</v>
      </c>
      <c r="K982" s="104" t="s">
        <v>785</v>
      </c>
      <c r="L982" s="104" t="s">
        <v>786</v>
      </c>
      <c r="M982" s="104"/>
      <c r="N982" s="108" t="s">
        <v>17</v>
      </c>
      <c r="O982" s="104" t="s">
        <v>17</v>
      </c>
      <c r="P982" s="108">
        <v>3.1469999999999998</v>
      </c>
      <c r="Q982" s="108">
        <v>2.0049999999999999</v>
      </c>
      <c r="R982" s="104" t="s">
        <v>17</v>
      </c>
      <c r="S982" s="253">
        <f>(10^((2.6568*LOG((P982))+0.607)))</f>
        <v>85.076980261193427</v>
      </c>
      <c r="T982" s="104" t="s">
        <v>1045</v>
      </c>
      <c r="U982" s="108">
        <v>0.95</v>
      </c>
      <c r="V982" s="107">
        <v>26</v>
      </c>
      <c r="W982" s="106" t="s">
        <v>650</v>
      </c>
    </row>
    <row r="983" spans="1:23" ht="21" customHeight="1">
      <c r="A983" s="104" t="s">
        <v>218</v>
      </c>
      <c r="B983" s="104" t="s">
        <v>221</v>
      </c>
      <c r="C983" s="454" t="s">
        <v>222</v>
      </c>
      <c r="D983" s="105" t="s">
        <v>151</v>
      </c>
      <c r="E983" s="104">
        <v>908</v>
      </c>
      <c r="F983" s="104">
        <v>3433</v>
      </c>
      <c r="G983" s="106" t="s">
        <v>250</v>
      </c>
      <c r="H983" s="104" t="s">
        <v>251</v>
      </c>
      <c r="I983" s="104" t="s">
        <v>225</v>
      </c>
      <c r="J983" s="104" t="s">
        <v>105</v>
      </c>
      <c r="K983" s="104" t="s">
        <v>655</v>
      </c>
      <c r="L983" s="104" t="s">
        <v>656</v>
      </c>
      <c r="M983" s="104" t="s">
        <v>108</v>
      </c>
      <c r="N983" s="254"/>
      <c r="O983" s="103"/>
      <c r="P983" s="108">
        <v>3.8659999999999997</v>
      </c>
      <c r="Q983" s="108">
        <v>2.2510000000000003</v>
      </c>
      <c r="R983" s="104" t="s">
        <v>17</v>
      </c>
      <c r="S983" s="253">
        <f>(10^((1.463*LOG((P983*Q983*100))+0.633)))/1000</f>
        <v>85.839945907686541</v>
      </c>
      <c r="T983" s="104" t="s">
        <v>657</v>
      </c>
      <c r="U983" s="108">
        <v>0.97660000000000002</v>
      </c>
      <c r="V983" s="107">
        <v>33.36</v>
      </c>
      <c r="W983" s="106" t="s">
        <v>404</v>
      </c>
    </row>
    <row r="984" spans="1:23" ht="21" customHeight="1">
      <c r="A984" s="104" t="s">
        <v>218</v>
      </c>
      <c r="B984" s="104" t="s">
        <v>221</v>
      </c>
      <c r="C984" s="454" t="s">
        <v>222</v>
      </c>
      <c r="D984" s="105" t="s">
        <v>151</v>
      </c>
      <c r="E984" s="104">
        <v>908</v>
      </c>
      <c r="F984" s="104">
        <v>3423</v>
      </c>
      <c r="G984" s="106" t="s">
        <v>250</v>
      </c>
      <c r="H984" s="104" t="s">
        <v>251</v>
      </c>
      <c r="I984" s="104" t="s">
        <v>225</v>
      </c>
      <c r="J984" s="104" t="s">
        <v>105</v>
      </c>
      <c r="K984" s="104" t="s">
        <v>655</v>
      </c>
      <c r="L984" s="104" t="s">
        <v>656</v>
      </c>
      <c r="M984" s="104" t="s">
        <v>114</v>
      </c>
      <c r="N984" s="254"/>
      <c r="O984" s="103"/>
      <c r="P984" s="108">
        <v>4.0460000000000003</v>
      </c>
      <c r="Q984" s="108">
        <v>2.157</v>
      </c>
      <c r="R984" s="104" t="s">
        <v>17</v>
      </c>
      <c r="S984" s="253">
        <f>(10^((1.463*LOG((P984*Q984*100))+0.633)))/1000</f>
        <v>86.19887989131125</v>
      </c>
      <c r="T984" s="104" t="s">
        <v>657</v>
      </c>
      <c r="U984" s="108">
        <v>0.97660000000000002</v>
      </c>
      <c r="V984" s="107">
        <v>33.36</v>
      </c>
      <c r="W984" s="106" t="s">
        <v>404</v>
      </c>
    </row>
    <row r="985" spans="1:23" ht="21" customHeight="1">
      <c r="A985" s="104" t="s">
        <v>218</v>
      </c>
      <c r="B985" s="104" t="s">
        <v>221</v>
      </c>
      <c r="C985" s="454" t="s">
        <v>222</v>
      </c>
      <c r="D985" s="105" t="s">
        <v>151</v>
      </c>
      <c r="E985" s="104">
        <v>908</v>
      </c>
      <c r="F985" s="104" t="s">
        <v>1092</v>
      </c>
      <c r="G985" s="106" t="s">
        <v>250</v>
      </c>
      <c r="H985" s="104" t="s">
        <v>251</v>
      </c>
      <c r="I985" s="104" t="s">
        <v>225</v>
      </c>
      <c r="J985" s="104" t="s">
        <v>105</v>
      </c>
      <c r="K985" s="104" t="s">
        <v>655</v>
      </c>
      <c r="L985" s="104" t="s">
        <v>656</v>
      </c>
      <c r="M985" s="104" t="s">
        <v>114</v>
      </c>
      <c r="N985" s="254"/>
      <c r="O985" s="103"/>
      <c r="P985" s="108">
        <v>3.96</v>
      </c>
      <c r="Q985" s="108">
        <v>2.2050000000000001</v>
      </c>
      <c r="R985" s="104" t="s">
        <v>17</v>
      </c>
      <c r="S985" s="253">
        <f>(10^((1.463*LOG((P985*Q985*100))+0.633)))/1000</f>
        <v>86.265040340415993</v>
      </c>
      <c r="T985" s="104" t="s">
        <v>657</v>
      </c>
      <c r="U985" s="108">
        <v>0.97660000000000002</v>
      </c>
      <c r="V985" s="107">
        <v>33.36</v>
      </c>
      <c r="W985" s="106" t="s">
        <v>404</v>
      </c>
    </row>
    <row r="986" spans="1:23" ht="21" customHeight="1">
      <c r="A986" s="104" t="s">
        <v>218</v>
      </c>
      <c r="B986" s="104" t="s">
        <v>221</v>
      </c>
      <c r="C986" s="454" t="s">
        <v>222</v>
      </c>
      <c r="D986" s="105" t="s">
        <v>151</v>
      </c>
      <c r="E986" s="104">
        <v>908</v>
      </c>
      <c r="F986" s="104">
        <v>3427</v>
      </c>
      <c r="G986" s="106" t="s">
        <v>250</v>
      </c>
      <c r="H986" s="104" t="s">
        <v>251</v>
      </c>
      <c r="I986" s="104" t="s">
        <v>225</v>
      </c>
      <c r="J986" s="104" t="s">
        <v>105</v>
      </c>
      <c r="K986" s="104" t="s">
        <v>785</v>
      </c>
      <c r="L986" s="104" t="s">
        <v>786</v>
      </c>
      <c r="M986" s="104"/>
      <c r="N986" s="108" t="s">
        <v>17</v>
      </c>
      <c r="O986" s="104" t="s">
        <v>17</v>
      </c>
      <c r="P986" s="108">
        <v>3.1779999999999999</v>
      </c>
      <c r="Q986" s="108">
        <v>2.2530000000000001</v>
      </c>
      <c r="R986" s="104" t="s">
        <v>17</v>
      </c>
      <c r="S986" s="253">
        <f>(10^((2.6568*LOG((P986))+0.607)))</f>
        <v>87.321756401161778</v>
      </c>
      <c r="T986" s="104" t="s">
        <v>1045</v>
      </c>
      <c r="U986" s="108">
        <v>0.95</v>
      </c>
      <c r="V986" s="107">
        <v>26</v>
      </c>
      <c r="W986" s="106" t="s">
        <v>650</v>
      </c>
    </row>
    <row r="987" spans="1:23" ht="21" customHeight="1">
      <c r="A987" s="104" t="s">
        <v>218</v>
      </c>
      <c r="B987" s="104" t="s">
        <v>221</v>
      </c>
      <c r="C987" s="454" t="s">
        <v>222</v>
      </c>
      <c r="D987" s="105" t="s">
        <v>151</v>
      </c>
      <c r="E987" s="104">
        <v>908</v>
      </c>
      <c r="F987" s="104">
        <v>3952</v>
      </c>
      <c r="G987" s="106" t="s">
        <v>250</v>
      </c>
      <c r="H987" s="104" t="s">
        <v>251</v>
      </c>
      <c r="I987" s="104" t="s">
        <v>225</v>
      </c>
      <c r="J987" s="104" t="s">
        <v>105</v>
      </c>
      <c r="K987" s="104" t="s">
        <v>665</v>
      </c>
      <c r="L987" s="104" t="s">
        <v>666</v>
      </c>
      <c r="M987" s="104"/>
      <c r="N987" s="108" t="s">
        <v>17</v>
      </c>
      <c r="O987" s="104" t="s">
        <v>17</v>
      </c>
      <c r="P987" s="108">
        <v>2.8449999999999998</v>
      </c>
      <c r="Q987" s="108">
        <v>1.86</v>
      </c>
      <c r="R987" s="104" t="s">
        <v>17</v>
      </c>
      <c r="S987" s="253">
        <f>(10^((2.9334*LOG((P987))+0.6132)))</f>
        <v>88.14647165656072</v>
      </c>
      <c r="T987" s="104" t="s">
        <v>1069</v>
      </c>
      <c r="U987" s="108">
        <v>0.94199999999999995</v>
      </c>
      <c r="V987" s="107">
        <v>24</v>
      </c>
      <c r="W987" s="106" t="s">
        <v>650</v>
      </c>
    </row>
    <row r="988" spans="1:23" ht="21" customHeight="1">
      <c r="A988" s="104" t="s">
        <v>218</v>
      </c>
      <c r="B988" s="104" t="s">
        <v>221</v>
      </c>
      <c r="C988" s="454" t="s">
        <v>222</v>
      </c>
      <c r="D988" s="105" t="s">
        <v>151</v>
      </c>
      <c r="E988" s="104">
        <v>908</v>
      </c>
      <c r="F988" s="104">
        <v>3968</v>
      </c>
      <c r="G988" s="106" t="s">
        <v>250</v>
      </c>
      <c r="H988" s="104" t="s">
        <v>251</v>
      </c>
      <c r="I988" s="104" t="s">
        <v>225</v>
      </c>
      <c r="J988" s="104" t="s">
        <v>105</v>
      </c>
      <c r="K988" s="104" t="s">
        <v>655</v>
      </c>
      <c r="L988" s="104" t="s">
        <v>656</v>
      </c>
      <c r="M988" s="104" t="s">
        <v>114</v>
      </c>
      <c r="N988" s="254"/>
      <c r="O988" s="103"/>
      <c r="P988" s="108">
        <v>3.9229999999999996</v>
      </c>
      <c r="Q988" s="108">
        <v>2.3280000000000003</v>
      </c>
      <c r="R988" s="104" t="s">
        <v>17</v>
      </c>
      <c r="S988" s="253">
        <f>(10^((1.463*LOG((P988*Q988*100))+0.633)))/1000</f>
        <v>92.12121952796268</v>
      </c>
      <c r="T988" s="104" t="s">
        <v>657</v>
      </c>
      <c r="U988" s="108">
        <v>0.97660000000000002</v>
      </c>
      <c r="V988" s="107">
        <v>33.36</v>
      </c>
      <c r="W988" s="106" t="s">
        <v>404</v>
      </c>
    </row>
    <row r="989" spans="1:23" ht="21" customHeight="1">
      <c r="A989" s="104" t="s">
        <v>218</v>
      </c>
      <c r="B989" s="104" t="s">
        <v>221</v>
      </c>
      <c r="C989" s="454" t="s">
        <v>222</v>
      </c>
      <c r="D989" s="105" t="s">
        <v>151</v>
      </c>
      <c r="E989" s="104">
        <v>908</v>
      </c>
      <c r="F989" s="104">
        <v>1749</v>
      </c>
      <c r="G989" s="106" t="s">
        <v>250</v>
      </c>
      <c r="H989" s="104" t="s">
        <v>251</v>
      </c>
      <c r="I989" s="104" t="s">
        <v>225</v>
      </c>
      <c r="J989" s="104" t="s">
        <v>105</v>
      </c>
      <c r="K989" s="104" t="s">
        <v>1096</v>
      </c>
      <c r="L989" s="104" t="s">
        <v>658</v>
      </c>
      <c r="M989" s="104" t="s">
        <v>114</v>
      </c>
      <c r="N989" s="108" t="s">
        <v>17</v>
      </c>
      <c r="O989" s="104" t="s">
        <v>17</v>
      </c>
      <c r="P989" s="108">
        <v>1.637</v>
      </c>
      <c r="Q989" s="108">
        <v>1.3380000000000001</v>
      </c>
      <c r="R989" s="104" t="s">
        <v>17</v>
      </c>
      <c r="S989" s="253">
        <f>(10^((3.21*LOG((P989*10))+1.07)))/1000</f>
        <v>92.703527699735247</v>
      </c>
      <c r="T989" s="104" t="s">
        <v>659</v>
      </c>
      <c r="U989" s="108">
        <v>0.96</v>
      </c>
      <c r="V989" s="107">
        <v>35.1</v>
      </c>
      <c r="W989" s="106" t="s">
        <v>644</v>
      </c>
    </row>
    <row r="990" spans="1:23" ht="21" customHeight="1">
      <c r="A990" s="104" t="s">
        <v>218</v>
      </c>
      <c r="B990" s="104" t="s">
        <v>221</v>
      </c>
      <c r="C990" s="454" t="s">
        <v>222</v>
      </c>
      <c r="D990" s="105" t="s">
        <v>151</v>
      </c>
      <c r="E990" s="104">
        <v>908</v>
      </c>
      <c r="F990" s="104">
        <v>497</v>
      </c>
      <c r="G990" s="106" t="s">
        <v>250</v>
      </c>
      <c r="H990" s="104" t="s">
        <v>251</v>
      </c>
      <c r="I990" s="104" t="s">
        <v>225</v>
      </c>
      <c r="J990" s="104" t="s">
        <v>105</v>
      </c>
      <c r="K990" s="104" t="s">
        <v>1087</v>
      </c>
      <c r="L990" s="104" t="s">
        <v>1080</v>
      </c>
      <c r="M990" s="104" t="s">
        <v>108</v>
      </c>
      <c r="N990" s="108" t="s">
        <v>17</v>
      </c>
      <c r="O990" s="104" t="s">
        <v>17</v>
      </c>
      <c r="P990" s="108">
        <v>1.8420000000000001</v>
      </c>
      <c r="Q990" s="108">
        <v>1.0660000000000001</v>
      </c>
      <c r="R990" s="104" t="s">
        <v>17</v>
      </c>
      <c r="S990" s="253">
        <f>(((10^((3.21*LOG((P990*10))+1.12)))+(10^(3.41*LOG((P990*10))+0.72))+(10^(3.35*LOG((P990*10))+0.35)))/3)/1000</f>
        <v>99.666665548450553</v>
      </c>
      <c r="T990" s="104" t="s">
        <v>1088</v>
      </c>
      <c r="U990" s="108">
        <v>0.68</v>
      </c>
      <c r="V990" s="107">
        <v>82.85</v>
      </c>
      <c r="W990" s="106" t="s">
        <v>644</v>
      </c>
    </row>
    <row r="991" spans="1:23" ht="21" customHeight="1">
      <c r="A991" s="104" t="s">
        <v>218</v>
      </c>
      <c r="B991" s="104" t="s">
        <v>221</v>
      </c>
      <c r="C991" s="454" t="s">
        <v>222</v>
      </c>
      <c r="D991" s="105" t="s">
        <v>151</v>
      </c>
      <c r="E991" s="104">
        <v>908</v>
      </c>
      <c r="F991" s="104">
        <v>3953</v>
      </c>
      <c r="G991" s="106" t="s">
        <v>250</v>
      </c>
      <c r="H991" s="104" t="s">
        <v>251</v>
      </c>
      <c r="I991" s="104" t="s">
        <v>225</v>
      </c>
      <c r="J991" s="104" t="s">
        <v>105</v>
      </c>
      <c r="K991" s="104" t="s">
        <v>665</v>
      </c>
      <c r="L991" s="104" t="s">
        <v>666</v>
      </c>
      <c r="M991" s="104"/>
      <c r="N991" s="108" t="s">
        <v>17</v>
      </c>
      <c r="O991" s="104" t="s">
        <v>17</v>
      </c>
      <c r="P991" s="108">
        <v>2.9690000000000003</v>
      </c>
      <c r="Q991" s="108">
        <v>2.0640000000000001</v>
      </c>
      <c r="R991" s="104" t="s">
        <v>17</v>
      </c>
      <c r="S991" s="253">
        <f>(10^((2.9334*LOG((P991))+0.6132)))</f>
        <v>99.897530769774306</v>
      </c>
      <c r="T991" s="104" t="s">
        <v>1069</v>
      </c>
      <c r="U991" s="108">
        <v>0.94199999999999995</v>
      </c>
      <c r="V991" s="107">
        <v>24</v>
      </c>
      <c r="W991" s="106" t="s">
        <v>650</v>
      </c>
    </row>
    <row r="992" spans="1:23" ht="21" customHeight="1">
      <c r="A992" s="104" t="s">
        <v>218</v>
      </c>
      <c r="B992" s="104" t="s">
        <v>221</v>
      </c>
      <c r="C992" s="454" t="s">
        <v>222</v>
      </c>
      <c r="D992" s="105" t="s">
        <v>151</v>
      </c>
      <c r="E992" s="104">
        <v>908</v>
      </c>
      <c r="F992" s="104">
        <v>825</v>
      </c>
      <c r="G992" s="106" t="s">
        <v>250</v>
      </c>
      <c r="H992" s="104" t="s">
        <v>251</v>
      </c>
      <c r="I992" s="104" t="s">
        <v>225</v>
      </c>
      <c r="J992" s="104" t="s">
        <v>105</v>
      </c>
      <c r="K992" s="104" t="s">
        <v>166</v>
      </c>
      <c r="L992" s="104" t="s">
        <v>939</v>
      </c>
      <c r="M992" s="104" t="s">
        <v>114</v>
      </c>
      <c r="N992" s="108" t="s">
        <v>17</v>
      </c>
      <c r="O992" s="104" t="s">
        <v>17</v>
      </c>
      <c r="P992" s="108">
        <v>2.0760000000000001</v>
      </c>
      <c r="Q992" s="108">
        <v>1.0310000000000001</v>
      </c>
      <c r="R992" s="104" t="s">
        <v>17</v>
      </c>
      <c r="S992" s="253">
        <f>(((10^((3.106*LOG((P992))+1.119)))+(10^(3.218*LOG((P992))+1.073)))/2)</f>
        <v>125.63320294526531</v>
      </c>
      <c r="T992" s="104" t="s">
        <v>1113</v>
      </c>
      <c r="U992" s="108">
        <v>0.88</v>
      </c>
      <c r="V992" s="107">
        <v>42.47</v>
      </c>
      <c r="W992" s="106" t="s">
        <v>1028</v>
      </c>
    </row>
    <row r="993" spans="1:23" ht="21" customHeight="1">
      <c r="A993" s="104" t="s">
        <v>218</v>
      </c>
      <c r="B993" s="104" t="s">
        <v>221</v>
      </c>
      <c r="C993" s="454" t="s">
        <v>222</v>
      </c>
      <c r="D993" s="105" t="s">
        <v>151</v>
      </c>
      <c r="E993" s="104">
        <v>908</v>
      </c>
      <c r="F993" s="104">
        <v>2255</v>
      </c>
      <c r="G993" s="106" t="s">
        <v>250</v>
      </c>
      <c r="H993" s="104" t="s">
        <v>251</v>
      </c>
      <c r="I993" s="104" t="s">
        <v>225</v>
      </c>
      <c r="J993" s="104" t="s">
        <v>105</v>
      </c>
      <c r="K993" s="104" t="s">
        <v>1117</v>
      </c>
      <c r="L993" s="104" t="s">
        <v>1118</v>
      </c>
      <c r="M993" s="104"/>
      <c r="N993" s="108" t="s">
        <v>17</v>
      </c>
      <c r="O993" s="104" t="s">
        <v>17</v>
      </c>
      <c r="P993" s="108">
        <v>3.2950000000000004</v>
      </c>
      <c r="Q993" s="108">
        <v>5.3789999999999996</v>
      </c>
      <c r="R993" s="104" t="s">
        <v>17</v>
      </c>
      <c r="S993" s="253"/>
      <c r="T993" s="104" t="s">
        <v>1119</v>
      </c>
      <c r="U993" s="108"/>
      <c r="V993" s="107"/>
      <c r="W993" s="106"/>
    </row>
    <row r="994" spans="1:23" ht="21" customHeight="1">
      <c r="A994" s="104" t="s">
        <v>273</v>
      </c>
      <c r="B994" s="104" t="s">
        <v>74</v>
      </c>
      <c r="C994" s="454" t="s">
        <v>266</v>
      </c>
      <c r="D994" s="105" t="s">
        <v>282</v>
      </c>
      <c r="E994" s="104">
        <v>908</v>
      </c>
      <c r="F994" s="104">
        <v>2425</v>
      </c>
      <c r="G994" s="106" t="s">
        <v>250</v>
      </c>
      <c r="H994" s="104" t="s">
        <v>251</v>
      </c>
      <c r="I994" s="104" t="s">
        <v>104</v>
      </c>
      <c r="J994" s="104" t="s">
        <v>105</v>
      </c>
      <c r="K994" s="104" t="s">
        <v>155</v>
      </c>
      <c r="L994" s="104" t="s">
        <v>658</v>
      </c>
      <c r="M994" s="104" t="s">
        <v>108</v>
      </c>
      <c r="N994" s="108" t="s">
        <v>17</v>
      </c>
      <c r="O994" s="104" t="s">
        <v>17</v>
      </c>
      <c r="P994" s="108">
        <v>1.5050000000000001</v>
      </c>
      <c r="Q994" s="108">
        <v>0.76300000000000001</v>
      </c>
      <c r="R994" s="104" t="s">
        <v>17</v>
      </c>
      <c r="S994" s="253">
        <f>((10^(((LOG((P994*10)))*2.5447)+1.4669)))/1000</f>
        <v>29.065455364083256</v>
      </c>
      <c r="T994" s="104" t="s">
        <v>1152</v>
      </c>
      <c r="U994" s="108">
        <v>0.88</v>
      </c>
      <c r="V994" s="107" t="s">
        <v>287</v>
      </c>
      <c r="W994" s="114" t="s">
        <v>410</v>
      </c>
    </row>
    <row r="995" spans="1:23" ht="21" customHeight="1">
      <c r="A995" s="104" t="s">
        <v>273</v>
      </c>
      <c r="B995" s="104" t="s">
        <v>74</v>
      </c>
      <c r="C995" s="454" t="s">
        <v>266</v>
      </c>
      <c r="D995" s="105" t="s">
        <v>282</v>
      </c>
      <c r="E995" s="104">
        <v>908</v>
      </c>
      <c r="F995" s="104">
        <v>2374</v>
      </c>
      <c r="G995" s="106" t="s">
        <v>250</v>
      </c>
      <c r="H995" s="104" t="s">
        <v>251</v>
      </c>
      <c r="I995" s="104" t="s">
        <v>104</v>
      </c>
      <c r="J995" s="104" t="s">
        <v>105</v>
      </c>
      <c r="K995" s="104" t="s">
        <v>209</v>
      </c>
      <c r="L995" s="104" t="s">
        <v>684</v>
      </c>
      <c r="M995" s="104" t="s">
        <v>114</v>
      </c>
      <c r="N995" s="108" t="s">
        <v>17</v>
      </c>
      <c r="O995" s="104" t="s">
        <v>17</v>
      </c>
      <c r="P995" s="108">
        <v>1.2150000000000001</v>
      </c>
      <c r="Q995" s="108">
        <v>0.92699999999999994</v>
      </c>
      <c r="R995" s="104" t="s">
        <v>17</v>
      </c>
      <c r="S995" s="253">
        <f>(10^(((LOG(P995*10))*3.7472)+0.4301))/1000</f>
        <v>31.205003000447839</v>
      </c>
      <c r="T995" s="104" t="s">
        <v>1153</v>
      </c>
      <c r="U995" s="108">
        <v>0.89439999999999997</v>
      </c>
      <c r="V995" s="107"/>
      <c r="W995" s="114" t="s">
        <v>269</v>
      </c>
    </row>
    <row r="996" spans="1:23" ht="21" customHeight="1">
      <c r="A996" s="104" t="s">
        <v>273</v>
      </c>
      <c r="B996" s="104" t="s">
        <v>74</v>
      </c>
      <c r="C996" s="454" t="s">
        <v>266</v>
      </c>
      <c r="D996" s="105" t="s">
        <v>282</v>
      </c>
      <c r="E996" s="104">
        <v>908</v>
      </c>
      <c r="F996" s="104">
        <v>2323</v>
      </c>
      <c r="G996" s="106" t="s">
        <v>250</v>
      </c>
      <c r="H996" s="104" t="s">
        <v>251</v>
      </c>
      <c r="I996" s="104" t="s">
        <v>104</v>
      </c>
      <c r="J996" s="104" t="s">
        <v>105</v>
      </c>
      <c r="K996" s="104" t="s">
        <v>209</v>
      </c>
      <c r="L996" s="104" t="s">
        <v>684</v>
      </c>
      <c r="M996" s="104" t="s">
        <v>108</v>
      </c>
      <c r="N996" s="108" t="s">
        <v>17</v>
      </c>
      <c r="O996" s="104" t="s">
        <v>17</v>
      </c>
      <c r="P996" s="108">
        <v>1.2189999999999999</v>
      </c>
      <c r="Q996" s="108">
        <v>0.90800000000000003</v>
      </c>
      <c r="R996" s="104" t="s">
        <v>17</v>
      </c>
      <c r="S996" s="253">
        <f>(10^(((LOG(P996*10))*3.7472)+0.4301))/1000</f>
        <v>31.591706479709259</v>
      </c>
      <c r="T996" s="104" t="s">
        <v>1153</v>
      </c>
      <c r="U996" s="108">
        <v>0.89439999999999997</v>
      </c>
      <c r="V996" s="107"/>
      <c r="W996" s="114" t="s">
        <v>269</v>
      </c>
    </row>
    <row r="997" spans="1:23" ht="21" customHeight="1">
      <c r="A997" s="104" t="s">
        <v>273</v>
      </c>
      <c r="B997" s="104" t="s">
        <v>74</v>
      </c>
      <c r="C997" s="454" t="s">
        <v>266</v>
      </c>
      <c r="D997" s="105" t="s">
        <v>282</v>
      </c>
      <c r="E997" s="104">
        <v>908</v>
      </c>
      <c r="F997" s="104">
        <v>2429</v>
      </c>
      <c r="G997" s="106" t="s">
        <v>250</v>
      </c>
      <c r="H997" s="104"/>
      <c r="I997" s="104" t="s">
        <v>104</v>
      </c>
      <c r="J997" s="104" t="s">
        <v>284</v>
      </c>
      <c r="K997" s="104" t="s">
        <v>1164</v>
      </c>
      <c r="L997" s="104" t="s">
        <v>1165</v>
      </c>
      <c r="M997" s="104"/>
      <c r="N997" s="108"/>
      <c r="O997" s="104"/>
      <c r="P997" s="108"/>
      <c r="Q997" s="108"/>
      <c r="R997" s="104"/>
      <c r="S997" s="253">
        <v>48.725360000000002</v>
      </c>
      <c r="T997" s="104"/>
      <c r="U997" s="108"/>
      <c r="V997" s="107"/>
      <c r="W997" s="106"/>
    </row>
    <row r="998" spans="1:23" ht="21" customHeight="1">
      <c r="A998" s="104" t="s">
        <v>273</v>
      </c>
      <c r="B998" s="104" t="s">
        <v>74</v>
      </c>
      <c r="C998" s="454" t="s">
        <v>266</v>
      </c>
      <c r="D998" s="105" t="s">
        <v>282</v>
      </c>
      <c r="E998" s="104">
        <v>908</v>
      </c>
      <c r="F998" s="104">
        <v>2328</v>
      </c>
      <c r="G998" s="106" t="s">
        <v>250</v>
      </c>
      <c r="H998" s="104"/>
      <c r="I998" s="104" t="s">
        <v>104</v>
      </c>
      <c r="J998" s="104" t="s">
        <v>284</v>
      </c>
      <c r="K998" s="104" t="s">
        <v>252</v>
      </c>
      <c r="L998" s="104" t="s">
        <v>415</v>
      </c>
      <c r="M998" s="104" t="s">
        <v>114</v>
      </c>
      <c r="N998" s="108"/>
      <c r="O998" s="104"/>
      <c r="P998" s="108"/>
      <c r="Q998" s="108"/>
      <c r="R998" s="104"/>
      <c r="S998" s="253">
        <v>53.409279999999995</v>
      </c>
      <c r="T998" s="104"/>
      <c r="U998" s="108"/>
      <c r="V998" s="107"/>
      <c r="W998" s="106"/>
    </row>
    <row r="999" spans="1:23" ht="21" customHeight="1">
      <c r="A999" s="104" t="s">
        <v>273</v>
      </c>
      <c r="B999" s="104" t="s">
        <v>74</v>
      </c>
      <c r="C999" s="454" t="s">
        <v>266</v>
      </c>
      <c r="D999" s="105" t="s">
        <v>282</v>
      </c>
      <c r="E999" s="104">
        <v>908</v>
      </c>
      <c r="F999" s="104">
        <v>2427</v>
      </c>
      <c r="G999" s="106" t="s">
        <v>250</v>
      </c>
      <c r="H999" s="104" t="s">
        <v>251</v>
      </c>
      <c r="I999" s="104" t="s">
        <v>104</v>
      </c>
      <c r="J999" s="104" t="s">
        <v>105</v>
      </c>
      <c r="K999" s="104" t="s">
        <v>155</v>
      </c>
      <c r="L999" s="104" t="s">
        <v>658</v>
      </c>
      <c r="M999" s="104" t="s">
        <v>108</v>
      </c>
      <c r="N999" s="108" t="s">
        <v>17</v>
      </c>
      <c r="O999" s="104" t="s">
        <v>17</v>
      </c>
      <c r="P999" s="108">
        <v>2.1120000000000001</v>
      </c>
      <c r="Q999" s="108">
        <v>1.8399999999999999</v>
      </c>
      <c r="R999" s="104" t="s">
        <v>17</v>
      </c>
      <c r="S999" s="253">
        <f>((10^(((LOG((P999*10)))*2.5447)+1.4669)))/1000</f>
        <v>68.841227028361203</v>
      </c>
      <c r="T999" s="104" t="s">
        <v>1152</v>
      </c>
      <c r="U999" s="108">
        <v>0.88</v>
      </c>
      <c r="V999" s="107" t="s">
        <v>287</v>
      </c>
      <c r="W999" s="114" t="s">
        <v>410</v>
      </c>
    </row>
    <row r="1000" spans="1:23" ht="21" customHeight="1">
      <c r="A1000" s="104" t="s">
        <v>273</v>
      </c>
      <c r="B1000" s="104" t="s">
        <v>74</v>
      </c>
      <c r="C1000" s="454" t="s">
        <v>266</v>
      </c>
      <c r="D1000" s="105" t="s">
        <v>499</v>
      </c>
      <c r="E1000" s="104">
        <v>908</v>
      </c>
      <c r="F1000" s="104">
        <v>4342</v>
      </c>
      <c r="G1000" s="106" t="s">
        <v>250</v>
      </c>
      <c r="H1000" s="104"/>
      <c r="I1000" s="104" t="s">
        <v>104</v>
      </c>
      <c r="J1000" s="104" t="s">
        <v>284</v>
      </c>
      <c r="K1000" s="104" t="s">
        <v>112</v>
      </c>
      <c r="L1000" s="104" t="s">
        <v>663</v>
      </c>
      <c r="M1000" s="104" t="s">
        <v>108</v>
      </c>
      <c r="N1000" s="108"/>
      <c r="O1000" s="104"/>
      <c r="P1000" s="108"/>
      <c r="Q1000" s="108"/>
      <c r="R1000" s="104"/>
      <c r="S1000" s="253">
        <v>7.9198399999999998</v>
      </c>
      <c r="T1000" s="104"/>
      <c r="U1000" s="108"/>
      <c r="V1000" s="107"/>
      <c r="W1000" s="106"/>
    </row>
    <row r="1001" spans="1:23" ht="21" customHeight="1">
      <c r="A1001" s="104" t="s">
        <v>273</v>
      </c>
      <c r="B1001" s="104" t="s">
        <v>74</v>
      </c>
      <c r="C1001" s="454" t="s">
        <v>266</v>
      </c>
      <c r="D1001" s="105" t="s">
        <v>499</v>
      </c>
      <c r="E1001" s="104">
        <v>908</v>
      </c>
      <c r="F1001" s="104">
        <v>383</v>
      </c>
      <c r="G1001" s="106" t="s">
        <v>250</v>
      </c>
      <c r="H1001" s="104"/>
      <c r="I1001" s="104" t="s">
        <v>104</v>
      </c>
      <c r="J1001" s="104" t="s">
        <v>284</v>
      </c>
      <c r="K1001" s="104" t="s">
        <v>112</v>
      </c>
      <c r="L1001" s="104" t="s">
        <v>663</v>
      </c>
      <c r="M1001" s="104" t="s">
        <v>108</v>
      </c>
      <c r="N1001" s="108"/>
      <c r="O1001" s="104"/>
      <c r="P1001" s="108"/>
      <c r="Q1001" s="108"/>
      <c r="R1001" s="104"/>
      <c r="S1001" s="253">
        <v>8.6021900000000002</v>
      </c>
      <c r="T1001" s="104"/>
      <c r="U1001" s="108"/>
      <c r="V1001" s="107"/>
      <c r="W1001" s="106"/>
    </row>
    <row r="1002" spans="1:23" ht="21" customHeight="1">
      <c r="A1002" s="104" t="s">
        <v>273</v>
      </c>
      <c r="B1002" s="104" t="s">
        <v>74</v>
      </c>
      <c r="C1002" s="454" t="s">
        <v>266</v>
      </c>
      <c r="D1002" s="105" t="s">
        <v>499</v>
      </c>
      <c r="E1002" s="104">
        <v>908</v>
      </c>
      <c r="F1002" s="104">
        <v>2143</v>
      </c>
      <c r="G1002" s="106" t="s">
        <v>250</v>
      </c>
      <c r="H1002" s="104"/>
      <c r="I1002" s="104" t="s">
        <v>104</v>
      </c>
      <c r="J1002" s="104" t="s">
        <v>284</v>
      </c>
      <c r="K1002" s="104" t="s">
        <v>112</v>
      </c>
      <c r="L1002" s="104" t="s">
        <v>663</v>
      </c>
      <c r="M1002" s="104"/>
      <c r="N1002" s="108"/>
      <c r="O1002" s="104"/>
      <c r="P1002" s="108"/>
      <c r="Q1002" s="108"/>
      <c r="R1002" s="104"/>
      <c r="S1002" s="253">
        <v>12.2225</v>
      </c>
      <c r="T1002" s="104"/>
      <c r="U1002" s="108"/>
      <c r="V1002" s="107"/>
      <c r="W1002" s="106"/>
    </row>
    <row r="1003" spans="1:23" ht="21" customHeight="1">
      <c r="A1003" s="104" t="s">
        <v>273</v>
      </c>
      <c r="B1003" s="104" t="s">
        <v>74</v>
      </c>
      <c r="C1003" s="454" t="s">
        <v>266</v>
      </c>
      <c r="D1003" s="105" t="s">
        <v>499</v>
      </c>
      <c r="E1003" s="104">
        <v>908</v>
      </c>
      <c r="F1003" s="104">
        <v>3845</v>
      </c>
      <c r="G1003" s="106" t="s">
        <v>250</v>
      </c>
      <c r="H1003" s="104"/>
      <c r="I1003" s="104" t="s">
        <v>104</v>
      </c>
      <c r="J1003" s="104" t="s">
        <v>284</v>
      </c>
      <c r="K1003" s="104" t="s">
        <v>112</v>
      </c>
      <c r="L1003" s="104" t="s">
        <v>663</v>
      </c>
      <c r="M1003" s="104" t="s">
        <v>108</v>
      </c>
      <c r="N1003" s="108"/>
      <c r="O1003" s="104"/>
      <c r="P1003" s="108"/>
      <c r="Q1003" s="108"/>
      <c r="R1003" s="104"/>
      <c r="S1003" s="253">
        <v>17.11796</v>
      </c>
      <c r="T1003" s="104"/>
      <c r="U1003" s="108"/>
      <c r="V1003" s="107"/>
      <c r="W1003" s="106"/>
    </row>
    <row r="1004" spans="1:23" ht="21" customHeight="1">
      <c r="A1004" s="104" t="s">
        <v>273</v>
      </c>
      <c r="B1004" s="104" t="s">
        <v>74</v>
      </c>
      <c r="C1004" s="454" t="s">
        <v>266</v>
      </c>
      <c r="D1004" s="105" t="s">
        <v>1185</v>
      </c>
      <c r="E1004" s="104">
        <v>908</v>
      </c>
      <c r="F1004" s="104">
        <v>4265</v>
      </c>
      <c r="G1004" s="106" t="s">
        <v>250</v>
      </c>
      <c r="H1004" s="104" t="s">
        <v>251</v>
      </c>
      <c r="I1004" s="104" t="s">
        <v>225</v>
      </c>
      <c r="J1004" s="104" t="s">
        <v>105</v>
      </c>
      <c r="K1004" s="104" t="s">
        <v>121</v>
      </c>
      <c r="L1004" s="104" t="s">
        <v>1041</v>
      </c>
      <c r="M1004" s="104" t="s">
        <v>114</v>
      </c>
      <c r="N1004" s="108" t="s">
        <v>17</v>
      </c>
      <c r="O1004" s="104" t="s">
        <v>17</v>
      </c>
      <c r="P1004" s="108">
        <v>2.2770000000000001</v>
      </c>
      <c r="Q1004" s="108">
        <v>1.4750000000000001</v>
      </c>
      <c r="R1004" s="104" t="s">
        <v>17</v>
      </c>
      <c r="S1004" s="253">
        <f>(10^(((LOG(P1004*10))*2.5861)+0.2138))/1000</f>
        <v>5.2975679197004295</v>
      </c>
      <c r="T1004" s="104" t="s">
        <v>1174</v>
      </c>
      <c r="U1004" s="108">
        <v>0.94</v>
      </c>
      <c r="V1004" s="107" t="s">
        <v>287</v>
      </c>
      <c r="W1004" s="114" t="s">
        <v>269</v>
      </c>
    </row>
    <row r="1005" spans="1:23" ht="21" customHeight="1">
      <c r="A1005" s="104" t="s">
        <v>273</v>
      </c>
      <c r="B1005" s="104" t="s">
        <v>74</v>
      </c>
      <c r="C1005" s="454" t="s">
        <v>266</v>
      </c>
      <c r="D1005" s="105" t="s">
        <v>1185</v>
      </c>
      <c r="E1005" s="104">
        <v>908</v>
      </c>
      <c r="F1005" s="104">
        <v>4295</v>
      </c>
      <c r="G1005" s="106" t="s">
        <v>250</v>
      </c>
      <c r="H1005" s="104"/>
      <c r="I1005" s="104" t="s">
        <v>104</v>
      </c>
      <c r="J1005" s="104" t="s">
        <v>284</v>
      </c>
      <c r="K1005" s="104" t="s">
        <v>121</v>
      </c>
      <c r="L1005" s="104" t="s">
        <v>1041</v>
      </c>
      <c r="M1005" s="104" t="s">
        <v>108</v>
      </c>
      <c r="N1005" s="108"/>
      <c r="O1005" s="104"/>
      <c r="P1005" s="108"/>
      <c r="Q1005" s="108"/>
      <c r="R1005" s="104"/>
      <c r="S1005" s="253">
        <v>5.6846399999999999</v>
      </c>
      <c r="T1005" s="104"/>
      <c r="U1005" s="108"/>
      <c r="V1005" s="107"/>
      <c r="W1005" s="106"/>
    </row>
    <row r="1006" spans="1:23" ht="21" customHeight="1">
      <c r="A1006" s="104" t="s">
        <v>273</v>
      </c>
      <c r="B1006" s="104" t="s">
        <v>74</v>
      </c>
      <c r="C1006" s="454" t="s">
        <v>266</v>
      </c>
      <c r="D1006" s="105" t="s">
        <v>1185</v>
      </c>
      <c r="E1006" s="104">
        <v>908</v>
      </c>
      <c r="F1006" s="104">
        <v>4293</v>
      </c>
      <c r="G1006" s="106" t="s">
        <v>250</v>
      </c>
      <c r="H1006" s="104" t="s">
        <v>251</v>
      </c>
      <c r="I1006" s="104" t="s">
        <v>225</v>
      </c>
      <c r="J1006" s="104" t="s">
        <v>105</v>
      </c>
      <c r="K1006" s="104" t="s">
        <v>1189</v>
      </c>
      <c r="L1006" s="104" t="s">
        <v>1190</v>
      </c>
      <c r="M1006" s="104" t="s">
        <v>108</v>
      </c>
      <c r="N1006" s="108" t="s">
        <v>17</v>
      </c>
      <c r="O1006" s="104" t="s">
        <v>17</v>
      </c>
      <c r="P1006" s="108">
        <v>2.6890000000000001</v>
      </c>
      <c r="Q1006" s="108">
        <v>1.9129999999999998</v>
      </c>
      <c r="R1006" s="104" t="s">
        <v>17</v>
      </c>
      <c r="S1006" s="463">
        <f>EXP(2.645*LN(P1006*10)-6.882)</f>
        <v>6.2008760092985655</v>
      </c>
      <c r="T1006" s="103" t="s">
        <v>1191</v>
      </c>
      <c r="U1006" s="108">
        <v>0.84299999999999997</v>
      </c>
      <c r="V1006" s="107">
        <v>17.899999999999999</v>
      </c>
      <c r="W1006" s="114" t="s">
        <v>1192</v>
      </c>
    </row>
    <row r="1007" spans="1:23" ht="21" customHeight="1">
      <c r="A1007" s="104" t="s">
        <v>273</v>
      </c>
      <c r="B1007" s="104" t="s">
        <v>74</v>
      </c>
      <c r="C1007" s="454" t="s">
        <v>266</v>
      </c>
      <c r="D1007" s="105" t="s">
        <v>1185</v>
      </c>
      <c r="E1007" s="104">
        <v>908</v>
      </c>
      <c r="F1007" s="104">
        <v>4296</v>
      </c>
      <c r="G1007" s="106" t="s">
        <v>250</v>
      </c>
      <c r="H1007" s="104"/>
      <c r="I1007" s="104" t="s">
        <v>104</v>
      </c>
      <c r="J1007" s="104" t="s">
        <v>284</v>
      </c>
      <c r="K1007" s="104" t="s">
        <v>1157</v>
      </c>
      <c r="L1007" s="104" t="s">
        <v>1193</v>
      </c>
      <c r="M1007" s="104" t="s">
        <v>108</v>
      </c>
      <c r="N1007" s="108"/>
      <c r="O1007" s="104"/>
      <c r="P1007" s="108"/>
      <c r="Q1007" s="108"/>
      <c r="R1007" s="104"/>
      <c r="S1007" s="253">
        <v>6.3792</v>
      </c>
      <c r="T1007" s="104"/>
      <c r="U1007" s="108"/>
      <c r="V1007" s="107"/>
      <c r="W1007" s="106"/>
    </row>
    <row r="1008" spans="1:23" ht="21" customHeight="1">
      <c r="A1008" s="104" t="s">
        <v>273</v>
      </c>
      <c r="B1008" s="104" t="s">
        <v>74</v>
      </c>
      <c r="C1008" s="454" t="s">
        <v>266</v>
      </c>
      <c r="D1008" s="105" t="s">
        <v>1185</v>
      </c>
      <c r="E1008" s="104">
        <v>908</v>
      </c>
      <c r="F1008" s="104">
        <v>4294</v>
      </c>
      <c r="G1008" s="106" t="s">
        <v>250</v>
      </c>
      <c r="H1008" s="104" t="s">
        <v>251</v>
      </c>
      <c r="I1008" s="104" t="s">
        <v>225</v>
      </c>
      <c r="J1008" s="104" t="s">
        <v>105</v>
      </c>
      <c r="K1008" s="104" t="s">
        <v>1189</v>
      </c>
      <c r="L1008" s="104" t="s">
        <v>1190</v>
      </c>
      <c r="M1008" s="104" t="s">
        <v>108</v>
      </c>
      <c r="N1008" s="108" t="s">
        <v>17</v>
      </c>
      <c r="O1008" s="104" t="s">
        <v>17</v>
      </c>
      <c r="P1008" s="113">
        <v>2.7510000000000003</v>
      </c>
      <c r="Q1008" s="113">
        <v>2.214</v>
      </c>
      <c r="R1008" s="104" t="s">
        <v>17</v>
      </c>
      <c r="S1008" s="463">
        <f>EXP(2.645*LN(P1008*10)-6.882)</f>
        <v>6.5862465960005805</v>
      </c>
      <c r="T1008" s="103" t="s">
        <v>1191</v>
      </c>
      <c r="U1008" s="108">
        <v>0.84299999999999997</v>
      </c>
      <c r="V1008" s="107">
        <v>17.899999999999999</v>
      </c>
      <c r="W1008" s="114" t="s">
        <v>1192</v>
      </c>
    </row>
    <row r="1009" spans="1:23" ht="21" customHeight="1">
      <c r="A1009" s="104" t="s">
        <v>273</v>
      </c>
      <c r="B1009" s="104" t="s">
        <v>74</v>
      </c>
      <c r="C1009" s="454" t="s">
        <v>266</v>
      </c>
      <c r="D1009" s="105" t="s">
        <v>1185</v>
      </c>
      <c r="E1009" s="104">
        <v>908</v>
      </c>
      <c r="F1009" s="104">
        <v>4316</v>
      </c>
      <c r="G1009" s="106" t="s">
        <v>250</v>
      </c>
      <c r="H1009" s="104"/>
      <c r="I1009" s="104" t="s">
        <v>104</v>
      </c>
      <c r="J1009" s="104" t="s">
        <v>284</v>
      </c>
      <c r="K1009" s="104" t="s">
        <v>401</v>
      </c>
      <c r="L1009" s="104" t="s">
        <v>402</v>
      </c>
      <c r="M1009" s="104" t="s">
        <v>108</v>
      </c>
      <c r="N1009" s="108"/>
      <c r="O1009" s="104"/>
      <c r="P1009" s="108"/>
      <c r="Q1009" s="108"/>
      <c r="R1009" s="104"/>
      <c r="S1009" s="253">
        <v>6.7785200000000003</v>
      </c>
      <c r="T1009" s="104"/>
      <c r="U1009" s="108"/>
      <c r="V1009" s="107"/>
      <c r="W1009" s="106"/>
    </row>
    <row r="1010" spans="1:23" ht="21" customHeight="1">
      <c r="A1010" s="104" t="s">
        <v>273</v>
      </c>
      <c r="B1010" s="104" t="s">
        <v>74</v>
      </c>
      <c r="C1010" s="454" t="s">
        <v>266</v>
      </c>
      <c r="D1010" s="105" t="s">
        <v>1185</v>
      </c>
      <c r="E1010" s="104">
        <v>908</v>
      </c>
      <c r="F1010" s="104">
        <v>4306</v>
      </c>
      <c r="G1010" s="106" t="s">
        <v>250</v>
      </c>
      <c r="H1010" s="104" t="s">
        <v>251</v>
      </c>
      <c r="I1010" s="104" t="s">
        <v>104</v>
      </c>
      <c r="J1010" s="104" t="s">
        <v>105</v>
      </c>
      <c r="K1010" s="104" t="s">
        <v>1046</v>
      </c>
      <c r="L1010" s="104" t="s">
        <v>1047</v>
      </c>
      <c r="M1010" s="104" t="s">
        <v>114</v>
      </c>
      <c r="N1010" s="108" t="s">
        <v>17</v>
      </c>
      <c r="O1010" s="104" t="s">
        <v>17</v>
      </c>
      <c r="P1010" s="108">
        <v>1.706</v>
      </c>
      <c r="Q1010" s="108"/>
      <c r="R1010" s="104" t="s">
        <v>17</v>
      </c>
      <c r="S1010" s="463">
        <f>EXP(2.63*LN(P1010*10)-5.528)</f>
        <v>6.9075644321595258</v>
      </c>
      <c r="T1010" s="103" t="s">
        <v>1194</v>
      </c>
      <c r="U1010" s="108">
        <v>0.79</v>
      </c>
      <c r="V1010" s="107">
        <v>18.100000000000001</v>
      </c>
      <c r="W1010" s="114" t="s">
        <v>1192</v>
      </c>
    </row>
    <row r="1011" spans="1:23" ht="21" customHeight="1">
      <c r="A1011" s="104" t="s">
        <v>273</v>
      </c>
      <c r="B1011" s="104" t="s">
        <v>74</v>
      </c>
      <c r="C1011" s="454" t="s">
        <v>266</v>
      </c>
      <c r="D1011" s="105" t="s">
        <v>1185</v>
      </c>
      <c r="E1011" s="104">
        <v>908</v>
      </c>
      <c r="F1011" s="104">
        <v>4292</v>
      </c>
      <c r="G1011" s="106" t="s">
        <v>250</v>
      </c>
      <c r="H1011" s="104"/>
      <c r="I1011" s="104" t="s">
        <v>104</v>
      </c>
      <c r="J1011" s="104" t="s">
        <v>284</v>
      </c>
      <c r="K1011" s="104" t="s">
        <v>121</v>
      </c>
      <c r="L1011" s="104" t="s">
        <v>1041</v>
      </c>
      <c r="M1011" s="104" t="s">
        <v>108</v>
      </c>
      <c r="N1011" s="108"/>
      <c r="O1011" s="104"/>
      <c r="P1011" s="108"/>
      <c r="Q1011" s="108"/>
      <c r="R1011" s="104"/>
      <c r="S1011" s="253">
        <v>7.0051899999999998</v>
      </c>
      <c r="T1011" s="104"/>
      <c r="U1011" s="108"/>
      <c r="V1011" s="107"/>
      <c r="W1011" s="106"/>
    </row>
    <row r="1012" spans="1:23" ht="21" customHeight="1">
      <c r="A1012" s="104" t="s">
        <v>273</v>
      </c>
      <c r="B1012" s="104" t="s">
        <v>74</v>
      </c>
      <c r="C1012" s="454" t="s">
        <v>266</v>
      </c>
      <c r="D1012" s="105" t="s">
        <v>1185</v>
      </c>
      <c r="E1012" s="104">
        <v>908</v>
      </c>
      <c r="F1012" s="104">
        <v>3935</v>
      </c>
      <c r="G1012" s="106" t="s">
        <v>250</v>
      </c>
      <c r="H1012" s="104"/>
      <c r="I1012" s="104" t="s">
        <v>104</v>
      </c>
      <c r="J1012" s="104" t="s">
        <v>284</v>
      </c>
      <c r="K1012" s="104" t="s">
        <v>121</v>
      </c>
      <c r="L1012" s="104" t="s">
        <v>1041</v>
      </c>
      <c r="M1012" s="104" t="s">
        <v>108</v>
      </c>
      <c r="N1012" s="108"/>
      <c r="O1012" s="104"/>
      <c r="P1012" s="108"/>
      <c r="Q1012" s="108"/>
      <c r="R1012" s="104"/>
      <c r="S1012" s="253">
        <v>7.19719</v>
      </c>
      <c r="T1012" s="104"/>
      <c r="U1012" s="108"/>
      <c r="V1012" s="107"/>
      <c r="W1012" s="106"/>
    </row>
    <row r="1013" spans="1:23" ht="21" customHeight="1">
      <c r="A1013" s="104" t="s">
        <v>273</v>
      </c>
      <c r="B1013" s="104" t="s">
        <v>74</v>
      </c>
      <c r="C1013" s="454" t="s">
        <v>266</v>
      </c>
      <c r="D1013" s="105" t="s">
        <v>1185</v>
      </c>
      <c r="E1013" s="104">
        <v>908</v>
      </c>
      <c r="F1013" s="104">
        <v>4315</v>
      </c>
      <c r="G1013" s="106" t="s">
        <v>250</v>
      </c>
      <c r="H1013" s="104"/>
      <c r="I1013" s="104" t="s">
        <v>104</v>
      </c>
      <c r="J1013" s="104" t="s">
        <v>284</v>
      </c>
      <c r="K1013" s="104" t="s">
        <v>401</v>
      </c>
      <c r="L1013" s="104" t="s">
        <v>402</v>
      </c>
      <c r="M1013" s="104" t="s">
        <v>108</v>
      </c>
      <c r="N1013" s="108"/>
      <c r="O1013" s="104"/>
      <c r="P1013" s="108"/>
      <c r="Q1013" s="108"/>
      <c r="R1013" s="104"/>
      <c r="S1013" s="253">
        <v>7.3645699999999996</v>
      </c>
      <c r="T1013" s="104"/>
      <c r="U1013" s="108"/>
      <c r="V1013" s="107"/>
      <c r="W1013" s="106"/>
    </row>
    <row r="1014" spans="1:23" ht="21" customHeight="1">
      <c r="A1014" s="104" t="s">
        <v>273</v>
      </c>
      <c r="B1014" s="104" t="s">
        <v>74</v>
      </c>
      <c r="C1014" s="454" t="s">
        <v>266</v>
      </c>
      <c r="D1014" s="105" t="s">
        <v>1185</v>
      </c>
      <c r="E1014" s="104">
        <v>908</v>
      </c>
      <c r="F1014" s="104">
        <v>4268</v>
      </c>
      <c r="G1014" s="106" t="s">
        <v>250</v>
      </c>
      <c r="H1014" s="104"/>
      <c r="I1014" s="104" t="s">
        <v>104</v>
      </c>
      <c r="J1014" s="104" t="s">
        <v>284</v>
      </c>
      <c r="K1014" s="104" t="s">
        <v>121</v>
      </c>
      <c r="L1014" s="104" t="s">
        <v>1041</v>
      </c>
      <c r="M1014" s="104" t="s">
        <v>114</v>
      </c>
      <c r="N1014" s="108"/>
      <c r="O1014" s="104"/>
      <c r="P1014" s="108"/>
      <c r="Q1014" s="108"/>
      <c r="R1014" s="104"/>
      <c r="S1014" s="253">
        <v>7.9584700000000002</v>
      </c>
      <c r="T1014" s="104"/>
      <c r="U1014" s="108"/>
      <c r="V1014" s="107"/>
      <c r="W1014" s="106"/>
    </row>
    <row r="1015" spans="1:23" ht="21" customHeight="1">
      <c r="A1015" s="104" t="s">
        <v>273</v>
      </c>
      <c r="B1015" s="104" t="s">
        <v>74</v>
      </c>
      <c r="C1015" s="454" t="s">
        <v>266</v>
      </c>
      <c r="D1015" s="105" t="s">
        <v>1185</v>
      </c>
      <c r="E1015" s="104">
        <v>908</v>
      </c>
      <c r="F1015" s="104">
        <v>3577</v>
      </c>
      <c r="G1015" s="106" t="s">
        <v>250</v>
      </c>
      <c r="H1015" s="104"/>
      <c r="I1015" s="104" t="s">
        <v>104</v>
      </c>
      <c r="J1015" s="104" t="s">
        <v>284</v>
      </c>
      <c r="K1015" s="104" t="s">
        <v>136</v>
      </c>
      <c r="L1015" s="104" t="s">
        <v>1032</v>
      </c>
      <c r="M1015" s="104"/>
      <c r="N1015" s="108"/>
      <c r="O1015" s="104"/>
      <c r="P1015" s="108"/>
      <c r="Q1015" s="108"/>
      <c r="R1015" s="104"/>
      <c r="S1015" s="253">
        <v>8.188229999999999</v>
      </c>
      <c r="T1015" s="104"/>
      <c r="U1015" s="108"/>
      <c r="V1015" s="107"/>
      <c r="W1015" s="106"/>
    </row>
    <row r="1016" spans="1:23" ht="21" customHeight="1">
      <c r="A1016" s="104" t="s">
        <v>273</v>
      </c>
      <c r="B1016" s="104" t="s">
        <v>74</v>
      </c>
      <c r="C1016" s="454" t="s">
        <v>266</v>
      </c>
      <c r="D1016" s="105" t="s">
        <v>1185</v>
      </c>
      <c r="E1016" s="104">
        <v>908</v>
      </c>
      <c r="F1016" s="104">
        <v>3938</v>
      </c>
      <c r="G1016" s="106" t="s">
        <v>250</v>
      </c>
      <c r="H1016" s="104"/>
      <c r="I1016" s="104" t="s">
        <v>104</v>
      </c>
      <c r="J1016" s="104" t="s">
        <v>284</v>
      </c>
      <c r="K1016" s="104" t="s">
        <v>252</v>
      </c>
      <c r="L1016" s="104" t="s">
        <v>415</v>
      </c>
      <c r="M1016" s="104" t="s">
        <v>114</v>
      </c>
      <c r="N1016" s="108"/>
      <c r="O1016" s="104"/>
      <c r="P1016" s="108"/>
      <c r="Q1016" s="108"/>
      <c r="R1016" s="104"/>
      <c r="S1016" s="253">
        <v>8.3962500000000002</v>
      </c>
      <c r="T1016" s="104"/>
      <c r="U1016" s="108"/>
      <c r="V1016" s="107"/>
      <c r="W1016" s="106"/>
    </row>
    <row r="1017" spans="1:23" ht="21" customHeight="1">
      <c r="A1017" s="104" t="s">
        <v>273</v>
      </c>
      <c r="B1017" s="104" t="s">
        <v>74</v>
      </c>
      <c r="C1017" s="454" t="s">
        <v>266</v>
      </c>
      <c r="D1017" s="105" t="s">
        <v>1185</v>
      </c>
      <c r="E1017" s="104">
        <v>908</v>
      </c>
      <c r="F1017" s="104">
        <v>4305</v>
      </c>
      <c r="G1017" s="106" t="s">
        <v>250</v>
      </c>
      <c r="H1017" s="104" t="s">
        <v>251</v>
      </c>
      <c r="I1017" s="104" t="s">
        <v>104</v>
      </c>
      <c r="J1017" s="104" t="s">
        <v>105</v>
      </c>
      <c r="K1017" s="104" t="s">
        <v>1046</v>
      </c>
      <c r="L1017" s="104" t="s">
        <v>1047</v>
      </c>
      <c r="M1017" s="104" t="s">
        <v>108</v>
      </c>
      <c r="N1017" s="108" t="s">
        <v>17</v>
      </c>
      <c r="O1017" s="104" t="s">
        <v>17</v>
      </c>
      <c r="P1017" s="108">
        <v>1.8379999999999999</v>
      </c>
      <c r="Q1017" s="108">
        <v>1.212</v>
      </c>
      <c r="R1017" s="104" t="s">
        <v>17</v>
      </c>
      <c r="S1017" s="463">
        <f>EXP(2.63*LN(P1017*10)-5.528)</f>
        <v>8.4032790898884979</v>
      </c>
      <c r="T1017" s="103" t="s">
        <v>1194</v>
      </c>
      <c r="U1017" s="108">
        <v>0.79</v>
      </c>
      <c r="V1017" s="107">
        <v>18.100000000000001</v>
      </c>
      <c r="W1017" s="114" t="s">
        <v>1192</v>
      </c>
    </row>
    <row r="1018" spans="1:23" ht="21" customHeight="1">
      <c r="A1018" s="104" t="s">
        <v>273</v>
      </c>
      <c r="B1018" s="104" t="s">
        <v>74</v>
      </c>
      <c r="C1018" s="454" t="s">
        <v>266</v>
      </c>
      <c r="D1018" s="105" t="s">
        <v>1185</v>
      </c>
      <c r="E1018" s="104">
        <v>908</v>
      </c>
      <c r="F1018" s="104">
        <v>4262</v>
      </c>
      <c r="G1018" s="106" t="s">
        <v>250</v>
      </c>
      <c r="H1018" s="104"/>
      <c r="I1018" s="104" t="s">
        <v>104</v>
      </c>
      <c r="J1018" s="104" t="s">
        <v>284</v>
      </c>
      <c r="K1018" s="104" t="s">
        <v>1164</v>
      </c>
      <c r="L1018" s="104" t="s">
        <v>1165</v>
      </c>
      <c r="M1018" s="104" t="s">
        <v>114</v>
      </c>
      <c r="N1018" s="108"/>
      <c r="O1018" s="104"/>
      <c r="P1018" s="108"/>
      <c r="Q1018" s="108"/>
      <c r="R1018" s="104"/>
      <c r="S1018" s="253">
        <v>8.523950000000001</v>
      </c>
      <c r="T1018" s="104"/>
      <c r="U1018" s="108"/>
      <c r="V1018" s="107"/>
      <c r="W1018" s="106"/>
    </row>
    <row r="1019" spans="1:23" ht="21" customHeight="1">
      <c r="A1019" s="104" t="s">
        <v>273</v>
      </c>
      <c r="B1019" s="104" t="s">
        <v>74</v>
      </c>
      <c r="C1019" s="454" t="s">
        <v>266</v>
      </c>
      <c r="D1019" s="105" t="s">
        <v>1185</v>
      </c>
      <c r="E1019" s="104">
        <v>908</v>
      </c>
      <c r="F1019" s="104">
        <v>4469</v>
      </c>
      <c r="G1019" s="106" t="s">
        <v>250</v>
      </c>
      <c r="H1019" s="104"/>
      <c r="I1019" s="104" t="s">
        <v>104</v>
      </c>
      <c r="J1019" s="104" t="s">
        <v>284</v>
      </c>
      <c r="K1019" s="104" t="s">
        <v>1157</v>
      </c>
      <c r="L1019" s="104" t="s">
        <v>1193</v>
      </c>
      <c r="M1019" s="104" t="s">
        <v>108</v>
      </c>
      <c r="N1019" s="108"/>
      <c r="O1019" s="104"/>
      <c r="P1019" s="108"/>
      <c r="Q1019" s="108"/>
      <c r="R1019" s="104"/>
      <c r="S1019" s="253">
        <v>8.5504500000000014</v>
      </c>
      <c r="T1019" s="104"/>
      <c r="U1019" s="108"/>
      <c r="V1019" s="107"/>
      <c r="W1019" s="106"/>
    </row>
    <row r="1020" spans="1:23" ht="21" customHeight="1">
      <c r="A1020" s="104" t="s">
        <v>273</v>
      </c>
      <c r="B1020" s="104" t="s">
        <v>74</v>
      </c>
      <c r="C1020" s="454" t="s">
        <v>266</v>
      </c>
      <c r="D1020" s="105" t="s">
        <v>1185</v>
      </c>
      <c r="E1020" s="104">
        <v>908</v>
      </c>
      <c r="F1020" s="104">
        <v>4263</v>
      </c>
      <c r="G1020" s="106" t="s">
        <v>250</v>
      </c>
      <c r="H1020" s="104"/>
      <c r="I1020" s="104" t="s">
        <v>104</v>
      </c>
      <c r="J1020" s="104" t="s">
        <v>284</v>
      </c>
      <c r="K1020" s="104" t="s">
        <v>121</v>
      </c>
      <c r="L1020" s="104" t="s">
        <v>1041</v>
      </c>
      <c r="M1020" s="104" t="s">
        <v>114</v>
      </c>
      <c r="N1020" s="108"/>
      <c r="O1020" s="104"/>
      <c r="P1020" s="108"/>
      <c r="Q1020" s="108"/>
      <c r="R1020" s="104"/>
      <c r="S1020" s="253">
        <v>8.5896299999999997</v>
      </c>
      <c r="T1020" s="104"/>
      <c r="U1020" s="108"/>
      <c r="V1020" s="107"/>
      <c r="W1020" s="106"/>
    </row>
    <row r="1021" spans="1:23" ht="21" customHeight="1">
      <c r="A1021" s="104" t="s">
        <v>273</v>
      </c>
      <c r="B1021" s="104" t="s">
        <v>74</v>
      </c>
      <c r="C1021" s="454" t="s">
        <v>266</v>
      </c>
      <c r="D1021" s="105" t="s">
        <v>1185</v>
      </c>
      <c r="E1021" s="104">
        <v>908</v>
      </c>
      <c r="F1021" s="104">
        <v>4258</v>
      </c>
      <c r="G1021" s="106" t="s">
        <v>250</v>
      </c>
      <c r="H1021" s="104"/>
      <c r="I1021" s="104" t="s">
        <v>104</v>
      </c>
      <c r="J1021" s="104" t="s">
        <v>284</v>
      </c>
      <c r="K1021" s="104" t="s">
        <v>136</v>
      </c>
      <c r="L1021" s="104" t="s">
        <v>1032</v>
      </c>
      <c r="M1021" s="104" t="s">
        <v>114</v>
      </c>
      <c r="N1021" s="108"/>
      <c r="O1021" s="104"/>
      <c r="P1021" s="108"/>
      <c r="Q1021" s="108"/>
      <c r="R1021" s="104"/>
      <c r="S1021" s="253">
        <v>8.7542200000000001</v>
      </c>
      <c r="T1021" s="104"/>
      <c r="U1021" s="108"/>
      <c r="V1021" s="107"/>
      <c r="W1021" s="106"/>
    </row>
    <row r="1022" spans="1:23" ht="21" customHeight="1">
      <c r="A1022" s="104" t="s">
        <v>273</v>
      </c>
      <c r="B1022" s="104" t="s">
        <v>74</v>
      </c>
      <c r="C1022" s="454" t="s">
        <v>266</v>
      </c>
      <c r="D1022" s="105" t="s">
        <v>1185</v>
      </c>
      <c r="E1022" s="104">
        <v>908</v>
      </c>
      <c r="F1022" s="104">
        <v>4327</v>
      </c>
      <c r="G1022" s="106" t="s">
        <v>250</v>
      </c>
      <c r="H1022" s="104"/>
      <c r="I1022" s="104" t="s">
        <v>104</v>
      </c>
      <c r="J1022" s="104" t="s">
        <v>284</v>
      </c>
      <c r="K1022" s="104" t="s">
        <v>112</v>
      </c>
      <c r="L1022" s="104" t="s">
        <v>663</v>
      </c>
      <c r="M1022" s="104" t="s">
        <v>114</v>
      </c>
      <c r="N1022" s="108"/>
      <c r="O1022" s="104"/>
      <c r="P1022" s="108"/>
      <c r="Q1022" s="108"/>
      <c r="R1022" s="104"/>
      <c r="S1022" s="253">
        <v>9.5756499999999996</v>
      </c>
      <c r="T1022" s="104"/>
      <c r="U1022" s="108"/>
      <c r="V1022" s="107"/>
      <c r="W1022" s="106"/>
    </row>
    <row r="1023" spans="1:23" ht="21" customHeight="1">
      <c r="A1023" s="104" t="s">
        <v>273</v>
      </c>
      <c r="B1023" s="104" t="s">
        <v>74</v>
      </c>
      <c r="C1023" s="454" t="s">
        <v>266</v>
      </c>
      <c r="D1023" s="105" t="s">
        <v>1185</v>
      </c>
      <c r="E1023" s="104">
        <v>908</v>
      </c>
      <c r="F1023" s="104">
        <v>4264</v>
      </c>
      <c r="G1023" s="106" t="s">
        <v>250</v>
      </c>
      <c r="H1023" s="104"/>
      <c r="I1023" s="104" t="s">
        <v>104</v>
      </c>
      <c r="J1023" s="104" t="s">
        <v>284</v>
      </c>
      <c r="K1023" s="104" t="s">
        <v>121</v>
      </c>
      <c r="L1023" s="104" t="s">
        <v>1041</v>
      </c>
      <c r="M1023" s="104" t="s">
        <v>114</v>
      </c>
      <c r="N1023" s="108"/>
      <c r="O1023" s="104"/>
      <c r="P1023" s="108"/>
      <c r="Q1023" s="108"/>
      <c r="R1023" s="104"/>
      <c r="S1023" s="253">
        <v>9.6379599999999996</v>
      </c>
      <c r="T1023" s="104"/>
      <c r="U1023" s="108"/>
      <c r="V1023" s="107"/>
      <c r="W1023" s="106"/>
    </row>
    <row r="1024" spans="1:23" ht="21" customHeight="1">
      <c r="A1024" s="104" t="s">
        <v>273</v>
      </c>
      <c r="B1024" s="104" t="s">
        <v>74</v>
      </c>
      <c r="C1024" s="454" t="s">
        <v>266</v>
      </c>
      <c r="D1024" s="105" t="s">
        <v>1185</v>
      </c>
      <c r="E1024" s="104">
        <v>908</v>
      </c>
      <c r="F1024" s="104">
        <v>4330</v>
      </c>
      <c r="G1024" s="106" t="s">
        <v>250</v>
      </c>
      <c r="H1024" s="104"/>
      <c r="I1024" s="104" t="s">
        <v>104</v>
      </c>
      <c r="J1024" s="104" t="s">
        <v>284</v>
      </c>
      <c r="K1024" s="104" t="s">
        <v>112</v>
      </c>
      <c r="L1024" s="104" t="s">
        <v>663</v>
      </c>
      <c r="M1024" s="104" t="s">
        <v>114</v>
      </c>
      <c r="N1024" s="108"/>
      <c r="O1024" s="104"/>
      <c r="P1024" s="108"/>
      <c r="Q1024" s="108"/>
      <c r="R1024" s="104"/>
      <c r="S1024" s="253">
        <v>9.6510699999999989</v>
      </c>
      <c r="T1024" s="104"/>
      <c r="U1024" s="108"/>
      <c r="V1024" s="107"/>
      <c r="W1024" s="106"/>
    </row>
    <row r="1025" spans="1:23" ht="21" customHeight="1">
      <c r="A1025" s="104" t="s">
        <v>273</v>
      </c>
      <c r="B1025" s="104" t="s">
        <v>74</v>
      </c>
      <c r="C1025" s="454" t="s">
        <v>266</v>
      </c>
      <c r="D1025" s="105" t="s">
        <v>1185</v>
      </c>
      <c r="E1025" s="104">
        <v>908</v>
      </c>
      <c r="F1025" s="104">
        <v>4267</v>
      </c>
      <c r="G1025" s="106" t="s">
        <v>250</v>
      </c>
      <c r="H1025" s="104"/>
      <c r="I1025" s="104" t="s">
        <v>104</v>
      </c>
      <c r="J1025" s="104" t="s">
        <v>284</v>
      </c>
      <c r="K1025" s="104" t="s">
        <v>121</v>
      </c>
      <c r="L1025" s="104" t="s">
        <v>1041</v>
      </c>
      <c r="M1025" s="104" t="s">
        <v>114</v>
      </c>
      <c r="N1025" s="108"/>
      <c r="O1025" s="104"/>
      <c r="P1025" s="108"/>
      <c r="Q1025" s="108"/>
      <c r="R1025" s="104"/>
      <c r="S1025" s="253">
        <v>9.9657700000000009</v>
      </c>
      <c r="T1025" s="104"/>
      <c r="U1025" s="108"/>
      <c r="V1025" s="107"/>
      <c r="W1025" s="106"/>
    </row>
    <row r="1026" spans="1:23" ht="21" customHeight="1">
      <c r="A1026" s="104" t="s">
        <v>273</v>
      </c>
      <c r="B1026" s="104" t="s">
        <v>74</v>
      </c>
      <c r="C1026" s="454" t="s">
        <v>266</v>
      </c>
      <c r="D1026" s="105" t="s">
        <v>1185</v>
      </c>
      <c r="E1026" s="104">
        <v>908</v>
      </c>
      <c r="F1026" s="104">
        <v>4259</v>
      </c>
      <c r="G1026" s="106" t="s">
        <v>250</v>
      </c>
      <c r="H1026" s="104"/>
      <c r="I1026" s="104" t="s">
        <v>104</v>
      </c>
      <c r="J1026" s="104" t="s">
        <v>284</v>
      </c>
      <c r="K1026" s="104" t="s">
        <v>136</v>
      </c>
      <c r="L1026" s="104" t="s">
        <v>1032</v>
      </c>
      <c r="M1026" s="104" t="s">
        <v>108</v>
      </c>
      <c r="N1026" s="108"/>
      <c r="O1026" s="104"/>
      <c r="P1026" s="108"/>
      <c r="Q1026" s="108"/>
      <c r="R1026" s="104"/>
      <c r="S1026" s="253">
        <v>10.05424</v>
      </c>
      <c r="T1026" s="104"/>
      <c r="U1026" s="108"/>
      <c r="V1026" s="107"/>
      <c r="W1026" s="106"/>
    </row>
    <row r="1027" spans="1:23" ht="21" customHeight="1">
      <c r="A1027" s="104" t="s">
        <v>273</v>
      </c>
      <c r="B1027" s="104" t="s">
        <v>74</v>
      </c>
      <c r="C1027" s="454" t="s">
        <v>266</v>
      </c>
      <c r="D1027" s="105" t="s">
        <v>1185</v>
      </c>
      <c r="E1027" s="104">
        <v>908</v>
      </c>
      <c r="F1027" s="104">
        <v>4331</v>
      </c>
      <c r="G1027" s="106" t="s">
        <v>250</v>
      </c>
      <c r="H1027" s="104"/>
      <c r="I1027" s="104" t="s">
        <v>104</v>
      </c>
      <c r="J1027" s="104" t="s">
        <v>284</v>
      </c>
      <c r="K1027" s="104" t="s">
        <v>112</v>
      </c>
      <c r="L1027" s="104" t="s">
        <v>663</v>
      </c>
      <c r="M1027" s="104" t="s">
        <v>114</v>
      </c>
      <c r="N1027" s="108"/>
      <c r="O1027" s="104"/>
      <c r="P1027" s="108"/>
      <c r="Q1027" s="108"/>
      <c r="R1027" s="104"/>
      <c r="S1027" s="253">
        <v>10.14302</v>
      </c>
      <c r="T1027" s="104"/>
      <c r="U1027" s="108"/>
      <c r="V1027" s="107"/>
      <c r="W1027" s="106"/>
    </row>
    <row r="1028" spans="1:23" ht="21" customHeight="1">
      <c r="A1028" s="104" t="s">
        <v>273</v>
      </c>
      <c r="B1028" s="104" t="s">
        <v>74</v>
      </c>
      <c r="C1028" s="454" t="s">
        <v>266</v>
      </c>
      <c r="D1028" s="105" t="s">
        <v>1185</v>
      </c>
      <c r="E1028" s="104">
        <v>908</v>
      </c>
      <c r="F1028" s="104">
        <v>4332</v>
      </c>
      <c r="G1028" s="106" t="s">
        <v>250</v>
      </c>
      <c r="H1028" s="104"/>
      <c r="I1028" s="104" t="s">
        <v>104</v>
      </c>
      <c r="J1028" s="104" t="s">
        <v>284</v>
      </c>
      <c r="K1028" s="104" t="s">
        <v>252</v>
      </c>
      <c r="L1028" s="104" t="s">
        <v>415</v>
      </c>
      <c r="M1028" s="104" t="s">
        <v>108</v>
      </c>
      <c r="N1028" s="108"/>
      <c r="O1028" s="104"/>
      <c r="P1028" s="108"/>
      <c r="Q1028" s="108"/>
      <c r="R1028" s="104"/>
      <c r="S1028" s="253">
        <v>10.27477</v>
      </c>
      <c r="T1028" s="104"/>
      <c r="U1028" s="108"/>
      <c r="V1028" s="107"/>
      <c r="W1028" s="106"/>
    </row>
    <row r="1029" spans="1:23" ht="21" customHeight="1">
      <c r="A1029" s="104" t="s">
        <v>273</v>
      </c>
      <c r="B1029" s="104" t="s">
        <v>74</v>
      </c>
      <c r="C1029" s="454" t="s">
        <v>266</v>
      </c>
      <c r="D1029" s="105" t="s">
        <v>1185</v>
      </c>
      <c r="E1029" s="104">
        <v>908</v>
      </c>
      <c r="F1029" s="104">
        <v>3934</v>
      </c>
      <c r="G1029" s="106" t="s">
        <v>250</v>
      </c>
      <c r="H1029" s="104"/>
      <c r="I1029" s="104" t="s">
        <v>104</v>
      </c>
      <c r="J1029" s="104" t="s">
        <v>284</v>
      </c>
      <c r="K1029" s="104" t="s">
        <v>1164</v>
      </c>
      <c r="L1029" s="104" t="s">
        <v>1165</v>
      </c>
      <c r="M1029" s="104" t="s">
        <v>114</v>
      </c>
      <c r="N1029" s="108"/>
      <c r="O1029" s="104"/>
      <c r="P1029" s="108"/>
      <c r="Q1029" s="108"/>
      <c r="R1029" s="104"/>
      <c r="S1029" s="253">
        <v>10.809520000000001</v>
      </c>
      <c r="T1029" s="104"/>
      <c r="U1029" s="108"/>
      <c r="V1029" s="107"/>
      <c r="W1029" s="106"/>
    </row>
    <row r="1030" spans="1:23" ht="21" customHeight="1">
      <c r="A1030" s="104" t="s">
        <v>273</v>
      </c>
      <c r="B1030" s="104" t="s">
        <v>74</v>
      </c>
      <c r="C1030" s="454" t="s">
        <v>266</v>
      </c>
      <c r="D1030" s="105" t="s">
        <v>1185</v>
      </c>
      <c r="E1030" s="104">
        <v>908</v>
      </c>
      <c r="F1030" s="104">
        <v>4324</v>
      </c>
      <c r="G1030" s="106" t="s">
        <v>250</v>
      </c>
      <c r="H1030" s="104"/>
      <c r="I1030" s="104" t="s">
        <v>104</v>
      </c>
      <c r="J1030" s="104" t="s">
        <v>284</v>
      </c>
      <c r="K1030" s="104" t="s">
        <v>112</v>
      </c>
      <c r="L1030" s="104" t="s">
        <v>663</v>
      </c>
      <c r="M1030" s="104" t="s">
        <v>108</v>
      </c>
      <c r="N1030" s="108"/>
      <c r="O1030" s="104"/>
      <c r="P1030" s="108"/>
      <c r="Q1030" s="108"/>
      <c r="R1030" s="104"/>
      <c r="S1030" s="253">
        <v>10.813360000000001</v>
      </c>
      <c r="T1030" s="104"/>
      <c r="U1030" s="108"/>
      <c r="V1030" s="107"/>
      <c r="W1030" s="106"/>
    </row>
    <row r="1031" spans="1:23" ht="21" customHeight="1">
      <c r="A1031" s="104" t="s">
        <v>273</v>
      </c>
      <c r="B1031" s="104" t="s">
        <v>74</v>
      </c>
      <c r="C1031" s="454" t="s">
        <v>266</v>
      </c>
      <c r="D1031" s="105" t="s">
        <v>1185</v>
      </c>
      <c r="E1031" s="104">
        <v>908</v>
      </c>
      <c r="F1031" s="104">
        <v>3939</v>
      </c>
      <c r="G1031" s="106" t="s">
        <v>250</v>
      </c>
      <c r="H1031" s="104"/>
      <c r="I1031" s="104" t="s">
        <v>104</v>
      </c>
      <c r="J1031" s="104" t="s">
        <v>284</v>
      </c>
      <c r="K1031" s="104" t="s">
        <v>252</v>
      </c>
      <c r="L1031" s="104" t="s">
        <v>415</v>
      </c>
      <c r="M1031" s="104" t="s">
        <v>114</v>
      </c>
      <c r="N1031" s="108"/>
      <c r="O1031" s="104"/>
      <c r="P1031" s="108"/>
      <c r="Q1031" s="108"/>
      <c r="R1031" s="104"/>
      <c r="S1031" s="253">
        <v>10.882580000000001</v>
      </c>
      <c r="T1031" s="104"/>
      <c r="U1031" s="108"/>
      <c r="V1031" s="107"/>
      <c r="W1031" s="106"/>
    </row>
    <row r="1032" spans="1:23" ht="21" customHeight="1">
      <c r="A1032" s="104" t="s">
        <v>273</v>
      </c>
      <c r="B1032" s="104" t="s">
        <v>74</v>
      </c>
      <c r="C1032" s="454" t="s">
        <v>266</v>
      </c>
      <c r="D1032" s="105" t="s">
        <v>1185</v>
      </c>
      <c r="E1032" s="104">
        <v>908</v>
      </c>
      <c r="F1032" s="104">
        <v>4260</v>
      </c>
      <c r="G1032" s="106" t="s">
        <v>250</v>
      </c>
      <c r="H1032" s="104"/>
      <c r="I1032" s="104" t="s">
        <v>104</v>
      </c>
      <c r="J1032" s="104" t="s">
        <v>284</v>
      </c>
      <c r="K1032" s="104" t="s">
        <v>136</v>
      </c>
      <c r="L1032" s="104" t="s">
        <v>1032</v>
      </c>
      <c r="M1032" s="104" t="s">
        <v>108</v>
      </c>
      <c r="N1032" s="108"/>
      <c r="O1032" s="104"/>
      <c r="P1032" s="108"/>
      <c r="Q1032" s="108"/>
      <c r="R1032" s="104"/>
      <c r="S1032" s="253">
        <v>11.50756</v>
      </c>
      <c r="T1032" s="104"/>
      <c r="U1032" s="108"/>
      <c r="V1032" s="107"/>
      <c r="W1032" s="106"/>
    </row>
    <row r="1033" spans="1:23" ht="21" customHeight="1">
      <c r="A1033" s="104" t="s">
        <v>273</v>
      </c>
      <c r="B1033" s="104" t="s">
        <v>74</v>
      </c>
      <c r="C1033" s="454" t="s">
        <v>266</v>
      </c>
      <c r="D1033" s="105" t="s">
        <v>1185</v>
      </c>
      <c r="E1033" s="104">
        <v>908</v>
      </c>
      <c r="F1033" s="104">
        <v>4297</v>
      </c>
      <c r="G1033" s="106" t="s">
        <v>250</v>
      </c>
      <c r="H1033" s="104" t="s">
        <v>251</v>
      </c>
      <c r="I1033" s="104" t="s">
        <v>225</v>
      </c>
      <c r="J1033" s="104" t="s">
        <v>105</v>
      </c>
      <c r="K1033" s="104" t="s">
        <v>1046</v>
      </c>
      <c r="L1033" s="104" t="s">
        <v>1047</v>
      </c>
      <c r="M1033" s="104" t="s">
        <v>108</v>
      </c>
      <c r="N1033" s="108" t="s">
        <v>17</v>
      </c>
      <c r="O1033" s="104" t="s">
        <v>17</v>
      </c>
      <c r="P1033" s="113">
        <v>2.177</v>
      </c>
      <c r="Q1033" s="113">
        <v>1.208</v>
      </c>
      <c r="R1033" s="104" t="s">
        <v>17</v>
      </c>
      <c r="S1033" s="463">
        <f>EXP(2.63*LN(P1033*10)-5.528)</f>
        <v>13.115588202307988</v>
      </c>
      <c r="T1033" s="103" t="s">
        <v>1194</v>
      </c>
      <c r="U1033" s="108">
        <v>0.79</v>
      </c>
      <c r="V1033" s="107">
        <v>18.100000000000001</v>
      </c>
      <c r="W1033" s="114" t="s">
        <v>1192</v>
      </c>
    </row>
    <row r="1034" spans="1:23" ht="21" customHeight="1">
      <c r="A1034" s="104" t="s">
        <v>273</v>
      </c>
      <c r="B1034" s="104" t="s">
        <v>74</v>
      </c>
      <c r="C1034" s="454" t="s">
        <v>266</v>
      </c>
      <c r="D1034" s="105" t="s">
        <v>1185</v>
      </c>
      <c r="E1034" s="104">
        <v>908</v>
      </c>
      <c r="F1034" s="104">
        <v>3937</v>
      </c>
      <c r="G1034" s="106" t="s">
        <v>250</v>
      </c>
      <c r="H1034" s="104"/>
      <c r="I1034" s="104" t="s">
        <v>104</v>
      </c>
      <c r="J1034" s="104" t="s">
        <v>284</v>
      </c>
      <c r="K1034" s="104" t="s">
        <v>112</v>
      </c>
      <c r="L1034" s="104" t="s">
        <v>663</v>
      </c>
      <c r="M1034" s="104" t="s">
        <v>114</v>
      </c>
      <c r="N1034" s="108"/>
      <c r="O1034" s="104"/>
      <c r="P1034" s="108"/>
      <c r="Q1034" s="108"/>
      <c r="R1034" s="104"/>
      <c r="S1034" s="253">
        <v>13.50074</v>
      </c>
      <c r="T1034" s="104"/>
      <c r="U1034" s="108"/>
      <c r="V1034" s="107"/>
      <c r="W1034" s="106"/>
    </row>
    <row r="1035" spans="1:23" ht="21" customHeight="1">
      <c r="A1035" s="104" t="s">
        <v>273</v>
      </c>
      <c r="B1035" s="104" t="s">
        <v>74</v>
      </c>
      <c r="C1035" s="454" t="s">
        <v>266</v>
      </c>
      <c r="D1035" s="105" t="s">
        <v>1185</v>
      </c>
      <c r="E1035" s="104">
        <v>908</v>
      </c>
      <c r="F1035" s="104">
        <v>4326</v>
      </c>
      <c r="G1035" s="106" t="s">
        <v>250</v>
      </c>
      <c r="H1035" s="104"/>
      <c r="I1035" s="104" t="s">
        <v>104</v>
      </c>
      <c r="J1035" s="104" t="s">
        <v>284</v>
      </c>
      <c r="K1035" s="104" t="s">
        <v>112</v>
      </c>
      <c r="L1035" s="104" t="s">
        <v>663</v>
      </c>
      <c r="M1035" s="104" t="s">
        <v>114</v>
      </c>
      <c r="N1035" s="108"/>
      <c r="O1035" s="104"/>
      <c r="P1035" s="108"/>
      <c r="Q1035" s="108"/>
      <c r="R1035" s="104"/>
      <c r="S1035" s="253">
        <v>13.997020000000001</v>
      </c>
      <c r="T1035" s="104"/>
      <c r="U1035" s="108"/>
      <c r="V1035" s="107"/>
      <c r="W1035" s="106"/>
    </row>
    <row r="1036" spans="1:23" ht="21" customHeight="1">
      <c r="A1036" s="104" t="s">
        <v>273</v>
      </c>
      <c r="B1036" s="104" t="s">
        <v>74</v>
      </c>
      <c r="C1036" s="454" t="s">
        <v>266</v>
      </c>
      <c r="D1036" s="105" t="s">
        <v>1185</v>
      </c>
      <c r="E1036" s="104">
        <v>908</v>
      </c>
      <c r="F1036" s="104">
        <v>4325</v>
      </c>
      <c r="G1036" s="106" t="s">
        <v>250</v>
      </c>
      <c r="H1036" s="104" t="s">
        <v>251</v>
      </c>
      <c r="I1036" s="104" t="s">
        <v>225</v>
      </c>
      <c r="J1036" s="104" t="s">
        <v>105</v>
      </c>
      <c r="K1036" s="104" t="s">
        <v>112</v>
      </c>
      <c r="L1036" s="104" t="s">
        <v>663</v>
      </c>
      <c r="M1036" s="104" t="s">
        <v>108</v>
      </c>
      <c r="N1036" s="108" t="s">
        <v>17</v>
      </c>
      <c r="O1036" s="104" t="s">
        <v>17</v>
      </c>
      <c r="P1036" s="113">
        <v>2.2280000000000002</v>
      </c>
      <c r="Q1036" s="113" t="s">
        <v>17</v>
      </c>
      <c r="R1036" s="104" t="s">
        <v>17</v>
      </c>
      <c r="S1036" s="253">
        <v>16.572632367007905</v>
      </c>
      <c r="T1036" s="104" t="s">
        <v>1167</v>
      </c>
      <c r="U1036" s="108">
        <v>0.96</v>
      </c>
      <c r="V1036" s="107">
        <v>12.4</v>
      </c>
      <c r="W1036" s="114" t="s">
        <v>279</v>
      </c>
    </row>
    <row r="1037" spans="1:23" ht="21" customHeight="1">
      <c r="A1037" s="104" t="s">
        <v>273</v>
      </c>
      <c r="B1037" s="104" t="s">
        <v>74</v>
      </c>
      <c r="C1037" s="454" t="s">
        <v>266</v>
      </c>
      <c r="D1037" s="105" t="s">
        <v>267</v>
      </c>
      <c r="E1037" s="104">
        <v>908</v>
      </c>
      <c r="F1037" s="104">
        <v>3523</v>
      </c>
      <c r="G1037" s="106" t="s">
        <v>250</v>
      </c>
      <c r="H1037" s="104" t="s">
        <v>251</v>
      </c>
      <c r="I1037" s="104" t="s">
        <v>104</v>
      </c>
      <c r="J1037" s="104" t="s">
        <v>105</v>
      </c>
      <c r="K1037" s="104" t="s">
        <v>1189</v>
      </c>
      <c r="L1037" s="104" t="s">
        <v>1190</v>
      </c>
      <c r="M1037" s="104" t="s">
        <v>114</v>
      </c>
      <c r="N1037" s="108" t="s">
        <v>17</v>
      </c>
      <c r="O1037" s="104" t="s">
        <v>17</v>
      </c>
      <c r="P1037" s="108">
        <v>2.3220000000000001</v>
      </c>
      <c r="Q1037" s="108">
        <v>2.427</v>
      </c>
      <c r="R1037" s="104" t="s">
        <v>17</v>
      </c>
      <c r="S1037" s="463">
        <f>EXP(2.645*LN(P1037*10)-6.882)</f>
        <v>4.2062098423766558</v>
      </c>
      <c r="T1037" s="103" t="s">
        <v>1191</v>
      </c>
      <c r="U1037" s="108">
        <v>0.84299999999999997</v>
      </c>
      <c r="V1037" s="107">
        <v>17.899999999999999</v>
      </c>
      <c r="W1037" s="114" t="s">
        <v>1192</v>
      </c>
    </row>
    <row r="1038" spans="1:23" ht="21" customHeight="1">
      <c r="A1038" s="104" t="s">
        <v>273</v>
      </c>
      <c r="B1038" s="104" t="s">
        <v>74</v>
      </c>
      <c r="C1038" s="454" t="s">
        <v>266</v>
      </c>
      <c r="D1038" s="105" t="s">
        <v>267</v>
      </c>
      <c r="E1038" s="104">
        <v>908</v>
      </c>
      <c r="F1038" s="104">
        <v>3461</v>
      </c>
      <c r="G1038" s="106" t="s">
        <v>250</v>
      </c>
      <c r="H1038" s="104"/>
      <c r="I1038" s="104" t="s">
        <v>104</v>
      </c>
      <c r="J1038" s="104" t="s">
        <v>284</v>
      </c>
      <c r="K1038" s="104" t="s">
        <v>1187</v>
      </c>
      <c r="L1038" s="104" t="s">
        <v>1188</v>
      </c>
      <c r="M1038" s="104" t="s">
        <v>114</v>
      </c>
      <c r="N1038" s="108"/>
      <c r="O1038" s="104"/>
      <c r="P1038" s="108"/>
      <c r="Q1038" s="108"/>
      <c r="R1038" s="104"/>
      <c r="S1038" s="253">
        <v>4.3977500000000003</v>
      </c>
      <c r="T1038" s="104"/>
      <c r="U1038" s="108"/>
      <c r="V1038" s="107"/>
      <c r="W1038" s="106"/>
    </row>
    <row r="1039" spans="1:23" ht="21" customHeight="1">
      <c r="A1039" s="104" t="s">
        <v>273</v>
      </c>
      <c r="B1039" s="104" t="s">
        <v>74</v>
      </c>
      <c r="C1039" s="454" t="s">
        <v>266</v>
      </c>
      <c r="D1039" s="105" t="s">
        <v>267</v>
      </c>
      <c r="E1039" s="104">
        <v>908</v>
      </c>
      <c r="F1039" s="104">
        <v>1159</v>
      </c>
      <c r="G1039" s="106" t="s">
        <v>250</v>
      </c>
      <c r="H1039" s="104" t="s">
        <v>251</v>
      </c>
      <c r="I1039" s="104" t="s">
        <v>104</v>
      </c>
      <c r="J1039" s="104" t="s">
        <v>105</v>
      </c>
      <c r="K1039" s="104" t="s">
        <v>121</v>
      </c>
      <c r="L1039" s="104" t="s">
        <v>1041</v>
      </c>
      <c r="M1039" s="104" t="s">
        <v>108</v>
      </c>
      <c r="N1039" s="108" t="s">
        <v>17</v>
      </c>
      <c r="O1039" s="104" t="s">
        <v>17</v>
      </c>
      <c r="P1039" s="108">
        <v>2.4059999999999997</v>
      </c>
      <c r="Q1039" s="108">
        <v>2.012</v>
      </c>
      <c r="R1039" s="104" t="s">
        <v>17</v>
      </c>
      <c r="S1039" s="253">
        <f>(10^(((LOG(P1039*10))*2.5861)+0.2138))/1000</f>
        <v>6.1089786965903032</v>
      </c>
      <c r="T1039" s="104" t="s">
        <v>1201</v>
      </c>
      <c r="U1039" s="108">
        <v>0.94</v>
      </c>
      <c r="V1039" s="107" t="s">
        <v>287</v>
      </c>
      <c r="W1039" s="114" t="s">
        <v>269</v>
      </c>
    </row>
    <row r="1040" spans="1:23" ht="21" customHeight="1">
      <c r="A1040" s="104" t="s">
        <v>273</v>
      </c>
      <c r="B1040" s="104" t="s">
        <v>74</v>
      </c>
      <c r="C1040" s="454" t="s">
        <v>266</v>
      </c>
      <c r="D1040" s="105" t="s">
        <v>267</v>
      </c>
      <c r="E1040" s="104">
        <v>908</v>
      </c>
      <c r="F1040" s="104">
        <v>1465</v>
      </c>
      <c r="G1040" s="106" t="s">
        <v>250</v>
      </c>
      <c r="H1040" s="104"/>
      <c r="I1040" s="104" t="s">
        <v>104</v>
      </c>
      <c r="J1040" s="104" t="s">
        <v>284</v>
      </c>
      <c r="K1040" s="104" t="s">
        <v>1187</v>
      </c>
      <c r="L1040" s="104" t="s">
        <v>1188</v>
      </c>
      <c r="M1040" s="104" t="s">
        <v>114</v>
      </c>
      <c r="N1040" s="108"/>
      <c r="O1040" s="104"/>
      <c r="P1040" s="108"/>
      <c r="Q1040" s="108"/>
      <c r="R1040" s="104"/>
      <c r="S1040" s="253">
        <v>6.9548699999999997</v>
      </c>
      <c r="T1040" s="104"/>
      <c r="U1040" s="108"/>
      <c r="V1040" s="107"/>
      <c r="W1040" s="106"/>
    </row>
    <row r="1041" spans="1:23" ht="21" customHeight="1">
      <c r="A1041" s="104" t="s">
        <v>273</v>
      </c>
      <c r="B1041" s="104" t="s">
        <v>74</v>
      </c>
      <c r="C1041" s="454" t="s">
        <v>266</v>
      </c>
      <c r="D1041" s="105" t="s">
        <v>267</v>
      </c>
      <c r="E1041" s="104">
        <v>908</v>
      </c>
      <c r="F1041" s="104">
        <v>3258</v>
      </c>
      <c r="G1041" s="106" t="s">
        <v>250</v>
      </c>
      <c r="H1041" s="104"/>
      <c r="I1041" s="104" t="s">
        <v>104</v>
      </c>
      <c r="J1041" s="104" t="s">
        <v>284</v>
      </c>
      <c r="K1041" s="104" t="s">
        <v>401</v>
      </c>
      <c r="L1041" s="104" t="s">
        <v>402</v>
      </c>
      <c r="M1041" s="104" t="s">
        <v>114</v>
      </c>
      <c r="N1041" s="108"/>
      <c r="O1041" s="104"/>
      <c r="P1041" s="108"/>
      <c r="Q1041" s="108"/>
      <c r="R1041" s="104"/>
      <c r="S1041" s="253">
        <v>7.7590699999999995</v>
      </c>
      <c r="T1041" s="104"/>
      <c r="U1041" s="108"/>
      <c r="V1041" s="107"/>
      <c r="W1041" s="106"/>
    </row>
    <row r="1042" spans="1:23" ht="21" customHeight="1">
      <c r="A1042" s="104" t="s">
        <v>273</v>
      </c>
      <c r="B1042" s="104" t="s">
        <v>74</v>
      </c>
      <c r="C1042" s="454" t="s">
        <v>266</v>
      </c>
      <c r="D1042" s="105" t="s">
        <v>267</v>
      </c>
      <c r="E1042" s="104">
        <v>908</v>
      </c>
      <c r="F1042" s="104">
        <v>3789</v>
      </c>
      <c r="G1042" s="106" t="s">
        <v>250</v>
      </c>
      <c r="H1042" s="104"/>
      <c r="I1042" s="104" t="s">
        <v>104</v>
      </c>
      <c r="J1042" s="104" t="s">
        <v>284</v>
      </c>
      <c r="K1042" s="104" t="s">
        <v>112</v>
      </c>
      <c r="L1042" s="104" t="s">
        <v>663</v>
      </c>
      <c r="M1042" s="104" t="s">
        <v>108</v>
      </c>
      <c r="N1042" s="108"/>
      <c r="O1042" s="104"/>
      <c r="P1042" s="108"/>
      <c r="Q1042" s="108"/>
      <c r="R1042" s="104"/>
      <c r="S1042" s="253">
        <v>7.9464300000000003</v>
      </c>
      <c r="T1042" s="104"/>
      <c r="U1042" s="108"/>
      <c r="V1042" s="107"/>
      <c r="W1042" s="106"/>
    </row>
    <row r="1043" spans="1:23" ht="21" customHeight="1">
      <c r="A1043" s="104" t="s">
        <v>273</v>
      </c>
      <c r="B1043" s="104" t="s">
        <v>74</v>
      </c>
      <c r="C1043" s="454" t="s">
        <v>266</v>
      </c>
      <c r="D1043" s="105" t="s">
        <v>267</v>
      </c>
      <c r="E1043" s="104">
        <v>908</v>
      </c>
      <c r="F1043" s="104">
        <v>925</v>
      </c>
      <c r="G1043" s="106" t="s">
        <v>250</v>
      </c>
      <c r="H1043" s="104"/>
      <c r="I1043" s="104" t="s">
        <v>104</v>
      </c>
      <c r="J1043" s="104" t="s">
        <v>284</v>
      </c>
      <c r="K1043" s="104" t="s">
        <v>1205</v>
      </c>
      <c r="L1043" s="104" t="s">
        <v>1206</v>
      </c>
      <c r="M1043" s="104" t="s">
        <v>108</v>
      </c>
      <c r="N1043" s="108"/>
      <c r="O1043" s="104"/>
      <c r="P1043" s="108"/>
      <c r="Q1043" s="108"/>
      <c r="R1043" s="104"/>
      <c r="S1043" s="253">
        <v>8.3195200000000007</v>
      </c>
      <c r="T1043" s="104"/>
      <c r="U1043" s="108"/>
      <c r="V1043" s="107"/>
      <c r="W1043" s="106"/>
    </row>
    <row r="1044" spans="1:23" ht="21" customHeight="1">
      <c r="A1044" s="104" t="s">
        <v>273</v>
      </c>
      <c r="B1044" s="104" t="s">
        <v>74</v>
      </c>
      <c r="C1044" s="454" t="s">
        <v>266</v>
      </c>
      <c r="D1044" s="105" t="s">
        <v>267</v>
      </c>
      <c r="E1044" s="104">
        <v>908</v>
      </c>
      <c r="F1044" s="104">
        <v>1428</v>
      </c>
      <c r="G1044" s="106" t="s">
        <v>250</v>
      </c>
      <c r="H1044" s="104"/>
      <c r="I1044" s="104" t="s">
        <v>104</v>
      </c>
      <c r="J1044" s="104" t="s">
        <v>284</v>
      </c>
      <c r="K1044" s="104" t="s">
        <v>394</v>
      </c>
      <c r="L1044" s="104" t="s">
        <v>671</v>
      </c>
      <c r="M1044" s="104" t="s">
        <v>114</v>
      </c>
      <c r="N1044" s="108"/>
      <c r="O1044" s="104"/>
      <c r="P1044" s="108"/>
      <c r="Q1044" s="108"/>
      <c r="R1044" s="104"/>
      <c r="S1044" s="253">
        <v>8.3600200000000005</v>
      </c>
      <c r="T1044" s="104"/>
      <c r="U1044" s="108"/>
      <c r="V1044" s="107"/>
      <c r="W1044" s="106"/>
    </row>
    <row r="1045" spans="1:23" ht="21" customHeight="1">
      <c r="A1045" s="104" t="s">
        <v>273</v>
      </c>
      <c r="B1045" s="104" t="s">
        <v>74</v>
      </c>
      <c r="C1045" s="454" t="s">
        <v>266</v>
      </c>
      <c r="D1045" s="105" t="s">
        <v>267</v>
      </c>
      <c r="E1045" s="104">
        <v>908</v>
      </c>
      <c r="F1045" s="104">
        <v>3788</v>
      </c>
      <c r="G1045" s="106" t="s">
        <v>250</v>
      </c>
      <c r="H1045" s="104"/>
      <c r="I1045" s="104" t="s">
        <v>104</v>
      </c>
      <c r="J1045" s="104" t="s">
        <v>284</v>
      </c>
      <c r="K1045" s="104" t="s">
        <v>1164</v>
      </c>
      <c r="L1045" s="104" t="s">
        <v>1165</v>
      </c>
      <c r="M1045" s="104" t="s">
        <v>114</v>
      </c>
      <c r="N1045" s="108"/>
      <c r="O1045" s="104"/>
      <c r="P1045" s="108"/>
      <c r="Q1045" s="108"/>
      <c r="R1045" s="104"/>
      <c r="S1045" s="253">
        <v>8.5700400000000005</v>
      </c>
      <c r="T1045" s="104"/>
      <c r="U1045" s="108"/>
      <c r="V1045" s="107"/>
      <c r="W1045" s="106"/>
    </row>
    <row r="1046" spans="1:23" ht="21" customHeight="1">
      <c r="A1046" s="104" t="s">
        <v>273</v>
      </c>
      <c r="B1046" s="104" t="s">
        <v>74</v>
      </c>
      <c r="C1046" s="454" t="s">
        <v>266</v>
      </c>
      <c r="D1046" s="105" t="s">
        <v>267</v>
      </c>
      <c r="E1046" s="104">
        <v>908</v>
      </c>
      <c r="F1046" s="104">
        <v>1449</v>
      </c>
      <c r="G1046" s="106" t="s">
        <v>250</v>
      </c>
      <c r="H1046" s="104" t="s">
        <v>251</v>
      </c>
      <c r="I1046" s="104" t="s">
        <v>104</v>
      </c>
      <c r="J1046" s="104" t="s">
        <v>105</v>
      </c>
      <c r="K1046" s="104" t="s">
        <v>1046</v>
      </c>
      <c r="L1046" s="104" t="s">
        <v>1047</v>
      </c>
      <c r="M1046" s="104" t="s">
        <v>108</v>
      </c>
      <c r="N1046" s="108" t="s">
        <v>17</v>
      </c>
      <c r="O1046" s="104" t="s">
        <v>17</v>
      </c>
      <c r="P1046" s="108">
        <v>1.863</v>
      </c>
      <c r="Q1046" s="108">
        <v>1.381</v>
      </c>
      <c r="R1046" s="104" t="s">
        <v>17</v>
      </c>
      <c r="S1046" s="463">
        <f>EXP(2.63*LN(P1046*10)-5.528)</f>
        <v>8.7072279146897671</v>
      </c>
      <c r="T1046" s="103" t="s">
        <v>1194</v>
      </c>
      <c r="U1046" s="108">
        <v>0.79</v>
      </c>
      <c r="V1046" s="107">
        <v>18.100000000000001</v>
      </c>
      <c r="W1046" s="114" t="s">
        <v>1192</v>
      </c>
    </row>
    <row r="1047" spans="1:23" ht="21" customHeight="1">
      <c r="A1047" s="104" t="s">
        <v>273</v>
      </c>
      <c r="B1047" s="104" t="s">
        <v>74</v>
      </c>
      <c r="C1047" s="454" t="s">
        <v>266</v>
      </c>
      <c r="D1047" s="105" t="s">
        <v>267</v>
      </c>
      <c r="E1047" s="104">
        <v>908</v>
      </c>
      <c r="F1047" s="104">
        <v>1139</v>
      </c>
      <c r="G1047" s="106" t="s">
        <v>250</v>
      </c>
      <c r="H1047" s="104"/>
      <c r="I1047" s="104" t="s">
        <v>104</v>
      </c>
      <c r="J1047" s="104" t="s">
        <v>284</v>
      </c>
      <c r="K1047" s="104" t="s">
        <v>121</v>
      </c>
      <c r="L1047" s="104" t="s">
        <v>1041</v>
      </c>
      <c r="M1047" s="104" t="s">
        <v>108</v>
      </c>
      <c r="N1047" s="108"/>
      <c r="O1047" s="104"/>
      <c r="P1047" s="108"/>
      <c r="Q1047" s="108"/>
      <c r="R1047" s="104"/>
      <c r="S1047" s="253">
        <v>8.8145499999999988</v>
      </c>
      <c r="T1047" s="104"/>
      <c r="U1047" s="108"/>
      <c r="V1047" s="107"/>
      <c r="W1047" s="106"/>
    </row>
    <row r="1048" spans="1:23" ht="21" customHeight="1">
      <c r="A1048" s="104" t="s">
        <v>273</v>
      </c>
      <c r="B1048" s="104" t="s">
        <v>74</v>
      </c>
      <c r="C1048" s="454" t="s">
        <v>266</v>
      </c>
      <c r="D1048" s="105" t="s">
        <v>267</v>
      </c>
      <c r="E1048" s="104">
        <v>908</v>
      </c>
      <c r="F1048" s="104">
        <v>437</v>
      </c>
      <c r="G1048" s="106" t="s">
        <v>250</v>
      </c>
      <c r="H1048" s="104"/>
      <c r="I1048" s="104" t="s">
        <v>104</v>
      </c>
      <c r="J1048" s="104" t="s">
        <v>284</v>
      </c>
      <c r="K1048" s="104" t="s">
        <v>112</v>
      </c>
      <c r="L1048" s="104" t="s">
        <v>663</v>
      </c>
      <c r="M1048" s="104" t="s">
        <v>114</v>
      </c>
      <c r="N1048" s="108"/>
      <c r="O1048" s="104"/>
      <c r="P1048" s="108"/>
      <c r="Q1048" s="108"/>
      <c r="R1048" s="104"/>
      <c r="S1048" s="253">
        <v>8.8569899999999997</v>
      </c>
      <c r="T1048" s="104"/>
      <c r="U1048" s="108"/>
      <c r="V1048" s="107"/>
      <c r="W1048" s="106"/>
    </row>
    <row r="1049" spans="1:23" ht="21" customHeight="1">
      <c r="A1049" s="104" t="s">
        <v>273</v>
      </c>
      <c r="B1049" s="104" t="s">
        <v>74</v>
      </c>
      <c r="C1049" s="454" t="s">
        <v>266</v>
      </c>
      <c r="D1049" s="105" t="s">
        <v>267</v>
      </c>
      <c r="E1049" s="104">
        <v>908</v>
      </c>
      <c r="F1049" s="104">
        <v>2316</v>
      </c>
      <c r="G1049" s="106" t="s">
        <v>250</v>
      </c>
      <c r="H1049" s="104"/>
      <c r="I1049" s="104" t="s">
        <v>104</v>
      </c>
      <c r="J1049" s="104" t="s">
        <v>284</v>
      </c>
      <c r="K1049" s="104" t="s">
        <v>1157</v>
      </c>
      <c r="L1049" s="104" t="s">
        <v>1158</v>
      </c>
      <c r="M1049" s="104" t="s">
        <v>114</v>
      </c>
      <c r="N1049" s="108"/>
      <c r="O1049" s="104"/>
      <c r="P1049" s="108"/>
      <c r="Q1049" s="108"/>
      <c r="R1049" s="104"/>
      <c r="S1049" s="253">
        <v>9.1165400000000005</v>
      </c>
      <c r="T1049" s="104"/>
      <c r="U1049" s="108"/>
      <c r="V1049" s="107"/>
      <c r="W1049" s="106"/>
    </row>
    <row r="1050" spans="1:23" ht="21" customHeight="1">
      <c r="A1050" s="104" t="s">
        <v>273</v>
      </c>
      <c r="B1050" s="104" t="s">
        <v>74</v>
      </c>
      <c r="C1050" s="454" t="s">
        <v>266</v>
      </c>
      <c r="D1050" s="105" t="s">
        <v>267</v>
      </c>
      <c r="E1050" s="104">
        <v>908</v>
      </c>
      <c r="F1050" s="104">
        <v>3453</v>
      </c>
      <c r="G1050" s="106" t="s">
        <v>250</v>
      </c>
      <c r="H1050" s="104" t="s">
        <v>251</v>
      </c>
      <c r="I1050" s="104" t="s">
        <v>104</v>
      </c>
      <c r="J1050" s="104" t="s">
        <v>105</v>
      </c>
      <c r="K1050" s="104" t="s">
        <v>233</v>
      </c>
      <c r="L1050" s="104" t="s">
        <v>653</v>
      </c>
      <c r="M1050" s="104" t="s">
        <v>108</v>
      </c>
      <c r="N1050" s="108" t="s">
        <v>17</v>
      </c>
      <c r="O1050" s="104" t="s">
        <v>17</v>
      </c>
      <c r="P1050" s="108">
        <v>1.0859999999999999</v>
      </c>
      <c r="Q1050" s="108">
        <v>0.42199999999999999</v>
      </c>
      <c r="R1050" s="104" t="s">
        <v>17</v>
      </c>
      <c r="S1050" s="253">
        <f>(10^(((LOG(P1050*10))*3.3177)+0.5544))/1000</f>
        <v>9.7942821587197919</v>
      </c>
      <c r="T1050" s="104" t="s">
        <v>1162</v>
      </c>
      <c r="U1050" s="108">
        <v>0.84909999999999997</v>
      </c>
      <c r="V1050" s="107"/>
      <c r="W1050" s="114" t="s">
        <v>1163</v>
      </c>
    </row>
    <row r="1051" spans="1:23" ht="21" customHeight="1">
      <c r="A1051" s="104" t="s">
        <v>273</v>
      </c>
      <c r="B1051" s="104" t="s">
        <v>74</v>
      </c>
      <c r="C1051" s="454" t="s">
        <v>266</v>
      </c>
      <c r="D1051" s="105" t="s">
        <v>267</v>
      </c>
      <c r="E1051" s="104">
        <v>908</v>
      </c>
      <c r="F1051" s="104">
        <v>2113</v>
      </c>
      <c r="G1051" s="106" t="s">
        <v>250</v>
      </c>
      <c r="H1051" s="104"/>
      <c r="I1051" s="104" t="s">
        <v>104</v>
      </c>
      <c r="J1051" s="104" t="s">
        <v>284</v>
      </c>
      <c r="K1051" s="104" t="s">
        <v>112</v>
      </c>
      <c r="L1051" s="104" t="s">
        <v>663</v>
      </c>
      <c r="M1051" s="104" t="s">
        <v>108</v>
      </c>
      <c r="N1051" s="108"/>
      <c r="O1051" s="104"/>
      <c r="P1051" s="108"/>
      <c r="Q1051" s="108"/>
      <c r="R1051" s="104"/>
      <c r="S1051" s="253">
        <v>10.379190000000001</v>
      </c>
      <c r="T1051" s="104"/>
      <c r="U1051" s="108"/>
      <c r="V1051" s="107"/>
      <c r="W1051" s="106"/>
    </row>
    <row r="1052" spans="1:23" ht="21" customHeight="1">
      <c r="A1052" s="104" t="s">
        <v>273</v>
      </c>
      <c r="B1052" s="104" t="s">
        <v>74</v>
      </c>
      <c r="C1052" s="454" t="s">
        <v>266</v>
      </c>
      <c r="D1052" s="105" t="s">
        <v>267</v>
      </c>
      <c r="E1052" s="104">
        <v>908</v>
      </c>
      <c r="F1052" s="104">
        <v>2147</v>
      </c>
      <c r="G1052" s="106" t="s">
        <v>250</v>
      </c>
      <c r="H1052" s="104" t="s">
        <v>251</v>
      </c>
      <c r="I1052" s="104" t="s">
        <v>225</v>
      </c>
      <c r="J1052" s="104" t="s">
        <v>105</v>
      </c>
      <c r="K1052" s="104" t="s">
        <v>1046</v>
      </c>
      <c r="L1052" s="104" t="s">
        <v>1047</v>
      </c>
      <c r="M1052" s="104" t="s">
        <v>108</v>
      </c>
      <c r="N1052" s="108" t="s">
        <v>17</v>
      </c>
      <c r="O1052" s="104" t="s">
        <v>17</v>
      </c>
      <c r="P1052" s="108">
        <v>2.0620000000000003</v>
      </c>
      <c r="Q1052" s="108">
        <v>1.452</v>
      </c>
      <c r="R1052" s="104" t="s">
        <v>17</v>
      </c>
      <c r="S1052" s="463">
        <f>EXP(2.63*LN(P1052*10)-5.528)</f>
        <v>11.371016306548707</v>
      </c>
      <c r="T1052" s="103" t="s">
        <v>1194</v>
      </c>
      <c r="U1052" s="108">
        <v>0.79</v>
      </c>
      <c r="V1052" s="107">
        <v>18.100000000000001</v>
      </c>
      <c r="W1052" s="114" t="s">
        <v>1192</v>
      </c>
    </row>
    <row r="1053" spans="1:23" ht="21" customHeight="1">
      <c r="A1053" s="104" t="s">
        <v>273</v>
      </c>
      <c r="B1053" s="104" t="s">
        <v>74</v>
      </c>
      <c r="C1053" s="454" t="s">
        <v>266</v>
      </c>
      <c r="D1053" s="105" t="s">
        <v>267</v>
      </c>
      <c r="E1053" s="104">
        <v>908</v>
      </c>
      <c r="F1053" s="104">
        <v>394</v>
      </c>
      <c r="G1053" s="106" t="s">
        <v>250</v>
      </c>
      <c r="H1053" s="104"/>
      <c r="I1053" s="104" t="s">
        <v>104</v>
      </c>
      <c r="J1053" s="104" t="s">
        <v>284</v>
      </c>
      <c r="K1053" s="104" t="s">
        <v>112</v>
      </c>
      <c r="L1053" s="104" t="s">
        <v>663</v>
      </c>
      <c r="M1053" s="104" t="s">
        <v>108</v>
      </c>
      <c r="N1053" s="108"/>
      <c r="O1053" s="104"/>
      <c r="P1053" s="108"/>
      <c r="Q1053" s="108"/>
      <c r="R1053" s="104"/>
      <c r="S1053" s="253">
        <v>11.682879999999999</v>
      </c>
      <c r="T1053" s="104"/>
      <c r="U1053" s="108"/>
      <c r="V1053" s="107"/>
      <c r="W1053" s="106"/>
    </row>
    <row r="1054" spans="1:23" ht="21" customHeight="1">
      <c r="A1054" s="104" t="s">
        <v>273</v>
      </c>
      <c r="B1054" s="104" t="s">
        <v>74</v>
      </c>
      <c r="C1054" s="454" t="s">
        <v>266</v>
      </c>
      <c r="D1054" s="105" t="s">
        <v>267</v>
      </c>
      <c r="E1054" s="104">
        <v>908</v>
      </c>
      <c r="F1054" s="104">
        <v>2146</v>
      </c>
      <c r="G1054" s="106" t="s">
        <v>250</v>
      </c>
      <c r="H1054" s="104"/>
      <c r="I1054" s="104" t="s">
        <v>104</v>
      </c>
      <c r="J1054" s="104" t="s">
        <v>284</v>
      </c>
      <c r="K1054" s="104" t="s">
        <v>394</v>
      </c>
      <c r="L1054" s="104" t="s">
        <v>671</v>
      </c>
      <c r="M1054" s="104" t="s">
        <v>108</v>
      </c>
      <c r="N1054" s="108"/>
      <c r="O1054" s="104"/>
      <c r="P1054" s="108"/>
      <c r="Q1054" s="108"/>
      <c r="R1054" s="104"/>
      <c r="S1054" s="253">
        <v>13.590260000000001</v>
      </c>
      <c r="T1054" s="104"/>
      <c r="U1054" s="108"/>
      <c r="V1054" s="107"/>
      <c r="W1054" s="106"/>
    </row>
    <row r="1055" spans="1:23" ht="21" customHeight="1">
      <c r="A1055" s="104" t="s">
        <v>273</v>
      </c>
      <c r="B1055" s="104" t="s">
        <v>74</v>
      </c>
      <c r="C1055" s="454" t="s">
        <v>266</v>
      </c>
      <c r="D1055" s="105" t="s">
        <v>267</v>
      </c>
      <c r="E1055" s="104">
        <v>908</v>
      </c>
      <c r="F1055" s="104">
        <v>341</v>
      </c>
      <c r="G1055" s="106" t="s">
        <v>250</v>
      </c>
      <c r="H1055" s="104"/>
      <c r="I1055" s="104" t="s">
        <v>104</v>
      </c>
      <c r="J1055" s="104" t="s">
        <v>284</v>
      </c>
      <c r="K1055" s="104" t="s">
        <v>252</v>
      </c>
      <c r="L1055" s="104" t="s">
        <v>415</v>
      </c>
      <c r="M1055" s="104" t="s">
        <v>114</v>
      </c>
      <c r="N1055" s="108"/>
      <c r="O1055" s="104"/>
      <c r="P1055" s="108"/>
      <c r="Q1055" s="108"/>
      <c r="R1055" s="104"/>
      <c r="S1055" s="253">
        <v>14.191379999999999</v>
      </c>
      <c r="T1055" s="104"/>
      <c r="U1055" s="108"/>
      <c r="V1055" s="107"/>
      <c r="W1055" s="106"/>
    </row>
    <row r="1056" spans="1:23" ht="21" customHeight="1">
      <c r="A1056" s="104" t="s">
        <v>273</v>
      </c>
      <c r="B1056" s="104" t="s">
        <v>74</v>
      </c>
      <c r="C1056" s="454" t="s">
        <v>266</v>
      </c>
      <c r="D1056" s="105" t="s">
        <v>267</v>
      </c>
      <c r="E1056" s="104">
        <v>908</v>
      </c>
      <c r="F1056" s="104">
        <v>2145</v>
      </c>
      <c r="G1056" s="106" t="s">
        <v>250</v>
      </c>
      <c r="H1056" s="104"/>
      <c r="I1056" s="104" t="s">
        <v>104</v>
      </c>
      <c r="J1056" s="104" t="s">
        <v>284</v>
      </c>
      <c r="K1056" s="104" t="s">
        <v>401</v>
      </c>
      <c r="L1056" s="104" t="s">
        <v>402</v>
      </c>
      <c r="M1056" s="104" t="s">
        <v>108</v>
      </c>
      <c r="N1056" s="108"/>
      <c r="O1056" s="104"/>
      <c r="P1056" s="108"/>
      <c r="Q1056" s="108"/>
      <c r="R1056" s="104"/>
      <c r="S1056" s="253">
        <v>14.776770000000001</v>
      </c>
      <c r="T1056" s="104"/>
      <c r="U1056" s="108"/>
      <c r="V1056" s="107"/>
      <c r="W1056" s="106"/>
    </row>
    <row r="1057" spans="1:23" ht="21" customHeight="1">
      <c r="A1057" s="104" t="s">
        <v>273</v>
      </c>
      <c r="B1057" s="104" t="s">
        <v>74</v>
      </c>
      <c r="C1057" s="454" t="s">
        <v>266</v>
      </c>
      <c r="D1057" s="105" t="s">
        <v>267</v>
      </c>
      <c r="E1057" s="104">
        <v>908</v>
      </c>
      <c r="F1057" s="104">
        <v>382</v>
      </c>
      <c r="G1057" s="106" t="s">
        <v>250</v>
      </c>
      <c r="H1057" s="104" t="s">
        <v>251</v>
      </c>
      <c r="I1057" s="104" t="s">
        <v>225</v>
      </c>
      <c r="J1057" s="104" t="s">
        <v>105</v>
      </c>
      <c r="K1057" s="104" t="s">
        <v>665</v>
      </c>
      <c r="L1057" s="104" t="s">
        <v>666</v>
      </c>
      <c r="M1057" s="104" t="s">
        <v>114</v>
      </c>
      <c r="N1057" s="108" t="s">
        <v>17</v>
      </c>
      <c r="O1057" s="104" t="s">
        <v>17</v>
      </c>
      <c r="P1057" s="108">
        <v>1.042</v>
      </c>
      <c r="Q1057" s="108">
        <v>1.1380000000000001</v>
      </c>
      <c r="R1057" s="104" t="s">
        <v>17</v>
      </c>
      <c r="S1057" s="253"/>
      <c r="T1057" s="104"/>
      <c r="U1057" s="108"/>
      <c r="V1057" s="107"/>
      <c r="W1057" s="114"/>
    </row>
    <row r="1058" spans="1:23" ht="21" customHeight="1">
      <c r="A1058" s="104" t="s">
        <v>273</v>
      </c>
      <c r="B1058" s="104" t="s">
        <v>74</v>
      </c>
      <c r="C1058" s="454" t="s">
        <v>266</v>
      </c>
      <c r="D1058" s="105" t="s">
        <v>267</v>
      </c>
      <c r="E1058" s="104">
        <v>908</v>
      </c>
      <c r="F1058" s="104">
        <v>2220</v>
      </c>
      <c r="G1058" s="106" t="s">
        <v>250</v>
      </c>
      <c r="H1058" s="104" t="s">
        <v>251</v>
      </c>
      <c r="I1058" s="104" t="s">
        <v>225</v>
      </c>
      <c r="J1058" s="104" t="s">
        <v>105</v>
      </c>
      <c r="K1058" s="104" t="s">
        <v>665</v>
      </c>
      <c r="L1058" s="104" t="s">
        <v>666</v>
      </c>
      <c r="M1058" s="104" t="s">
        <v>114</v>
      </c>
      <c r="N1058" s="108" t="s">
        <v>17</v>
      </c>
      <c r="O1058" s="104" t="s">
        <v>17</v>
      </c>
      <c r="P1058" s="108">
        <v>1.0589999999999999</v>
      </c>
      <c r="Q1058" s="108">
        <v>1.04</v>
      </c>
      <c r="R1058" s="104" t="s">
        <v>17</v>
      </c>
      <c r="S1058" s="253"/>
      <c r="T1058" s="104"/>
      <c r="U1058" s="108"/>
      <c r="V1058" s="107"/>
      <c r="W1058" s="114"/>
    </row>
    <row r="1059" spans="1:23" ht="21" customHeight="1">
      <c r="A1059" s="104" t="s">
        <v>273</v>
      </c>
      <c r="B1059" s="104" t="s">
        <v>74</v>
      </c>
      <c r="C1059" s="454" t="s">
        <v>266</v>
      </c>
      <c r="D1059" s="105" t="s">
        <v>151</v>
      </c>
      <c r="E1059" s="104">
        <v>908</v>
      </c>
      <c r="F1059" s="104">
        <v>3291</v>
      </c>
      <c r="G1059" s="106" t="s">
        <v>250</v>
      </c>
      <c r="H1059" s="104"/>
      <c r="I1059" s="104" t="s">
        <v>104</v>
      </c>
      <c r="J1059" s="104" t="s">
        <v>284</v>
      </c>
      <c r="K1059" s="104" t="s">
        <v>121</v>
      </c>
      <c r="L1059" s="104" t="s">
        <v>1041</v>
      </c>
      <c r="M1059" s="104" t="s">
        <v>108</v>
      </c>
      <c r="N1059" s="108"/>
      <c r="O1059" s="104"/>
      <c r="P1059" s="108"/>
      <c r="Q1059" s="108"/>
      <c r="R1059" s="104"/>
      <c r="S1059" s="253">
        <v>7.1900300000000001</v>
      </c>
      <c r="T1059" s="104"/>
      <c r="U1059" s="108"/>
      <c r="V1059" s="107"/>
      <c r="W1059" s="106"/>
    </row>
    <row r="1060" spans="1:23" ht="21" customHeight="1">
      <c r="A1060" s="104" t="s">
        <v>273</v>
      </c>
      <c r="B1060" s="104" t="s">
        <v>74</v>
      </c>
      <c r="C1060" s="454" t="s">
        <v>274</v>
      </c>
      <c r="D1060" s="105" t="s">
        <v>1249</v>
      </c>
      <c r="E1060" s="104">
        <v>908</v>
      </c>
      <c r="F1060" s="104">
        <v>3786</v>
      </c>
      <c r="G1060" s="106" t="s">
        <v>250</v>
      </c>
      <c r="H1060" s="104"/>
      <c r="I1060" s="104" t="s">
        <v>104</v>
      </c>
      <c r="J1060" s="104" t="s">
        <v>284</v>
      </c>
      <c r="K1060" s="104" t="s">
        <v>112</v>
      </c>
      <c r="L1060" s="104" t="s">
        <v>663</v>
      </c>
      <c r="M1060" s="104" t="s">
        <v>108</v>
      </c>
      <c r="N1060" s="108"/>
      <c r="O1060" s="104"/>
      <c r="P1060" s="108"/>
      <c r="Q1060" s="108"/>
      <c r="R1060" s="104"/>
      <c r="S1060" s="253">
        <v>1.8120699999999998</v>
      </c>
      <c r="T1060" s="104"/>
      <c r="U1060" s="108"/>
      <c r="V1060" s="107"/>
      <c r="W1060" s="106"/>
    </row>
    <row r="1061" spans="1:23" ht="21" customHeight="1">
      <c r="A1061" s="104" t="s">
        <v>273</v>
      </c>
      <c r="B1061" s="104" t="s">
        <v>74</v>
      </c>
      <c r="C1061" s="454" t="s">
        <v>299</v>
      </c>
      <c r="D1061" s="105" t="s">
        <v>151</v>
      </c>
      <c r="E1061" s="104">
        <v>908</v>
      </c>
      <c r="F1061" s="104">
        <v>3578</v>
      </c>
      <c r="G1061" s="106" t="s">
        <v>250</v>
      </c>
      <c r="H1061" s="104" t="s">
        <v>251</v>
      </c>
      <c r="I1061" s="104" t="s">
        <v>104</v>
      </c>
      <c r="J1061" s="104" t="s">
        <v>105</v>
      </c>
      <c r="K1061" s="104" t="s">
        <v>1259</v>
      </c>
      <c r="L1061" s="104" t="s">
        <v>674</v>
      </c>
      <c r="M1061" s="104"/>
      <c r="N1061" s="108" t="s">
        <v>17</v>
      </c>
      <c r="O1061" s="104" t="s">
        <v>17</v>
      </c>
      <c r="P1061" s="108">
        <v>0.90299999999999991</v>
      </c>
      <c r="Q1061" s="108">
        <v>0.47800000000000004</v>
      </c>
      <c r="R1061" s="104" t="s">
        <v>17</v>
      </c>
      <c r="S1061" s="253"/>
      <c r="T1061" s="104"/>
      <c r="U1061" s="108"/>
      <c r="V1061" s="107"/>
      <c r="W1061" s="114"/>
    </row>
    <row r="1062" spans="1:23" ht="21" customHeight="1">
      <c r="A1062" s="104" t="s">
        <v>273</v>
      </c>
      <c r="B1062" s="104" t="s">
        <v>74</v>
      </c>
      <c r="C1062" s="454" t="s">
        <v>299</v>
      </c>
      <c r="D1062" s="105" t="s">
        <v>151</v>
      </c>
      <c r="E1062" s="104">
        <v>908</v>
      </c>
      <c r="F1062" s="104">
        <v>3619</v>
      </c>
      <c r="G1062" s="106" t="s">
        <v>250</v>
      </c>
      <c r="H1062" s="104" t="s">
        <v>251</v>
      </c>
      <c r="I1062" s="104" t="s">
        <v>104</v>
      </c>
      <c r="J1062" s="104" t="s">
        <v>105</v>
      </c>
      <c r="K1062" s="104" t="s">
        <v>1259</v>
      </c>
      <c r="L1062" s="104" t="s">
        <v>674</v>
      </c>
      <c r="M1062" s="104"/>
      <c r="N1062" s="108" t="s">
        <v>17</v>
      </c>
      <c r="O1062" s="104" t="s">
        <v>17</v>
      </c>
      <c r="P1062" s="108">
        <v>0.85099999999999998</v>
      </c>
      <c r="Q1062" s="108">
        <v>0.48200000000000004</v>
      </c>
      <c r="R1062" s="104" t="s">
        <v>17</v>
      </c>
      <c r="S1062" s="253"/>
      <c r="T1062" s="104"/>
      <c r="U1062" s="108"/>
      <c r="V1062" s="107"/>
      <c r="W1062" s="114"/>
    </row>
    <row r="1063" spans="1:23" ht="21" customHeight="1">
      <c r="A1063" s="104" t="s">
        <v>273</v>
      </c>
      <c r="B1063" s="104" t="s">
        <v>74</v>
      </c>
      <c r="C1063" s="454" t="s">
        <v>299</v>
      </c>
      <c r="D1063" s="105" t="s">
        <v>1262</v>
      </c>
      <c r="E1063" s="104">
        <v>908</v>
      </c>
      <c r="F1063" s="104">
        <v>3622</v>
      </c>
      <c r="G1063" s="106" t="s">
        <v>250</v>
      </c>
      <c r="H1063" s="104"/>
      <c r="I1063" s="104" t="s">
        <v>104</v>
      </c>
      <c r="J1063" s="104" t="s">
        <v>284</v>
      </c>
      <c r="K1063" s="104" t="s">
        <v>1157</v>
      </c>
      <c r="L1063" s="104" t="s">
        <v>1193</v>
      </c>
      <c r="M1063" s="104"/>
      <c r="N1063" s="108"/>
      <c r="O1063" s="104"/>
      <c r="P1063" s="108"/>
      <c r="Q1063" s="108"/>
      <c r="R1063" s="104"/>
      <c r="S1063" s="253">
        <v>5.4456199999999999</v>
      </c>
      <c r="T1063" s="104"/>
      <c r="U1063" s="108"/>
      <c r="V1063" s="107"/>
      <c r="W1063" s="106"/>
    </row>
    <row r="1064" spans="1:23" ht="21" customHeight="1">
      <c r="A1064" s="104" t="s">
        <v>273</v>
      </c>
      <c r="B1064" s="104" t="s">
        <v>76</v>
      </c>
      <c r="C1064" s="454" t="s">
        <v>344</v>
      </c>
      <c r="D1064" s="105" t="s">
        <v>345</v>
      </c>
      <c r="E1064" s="104">
        <v>908</v>
      </c>
      <c r="F1064" s="104">
        <v>3476</v>
      </c>
      <c r="G1064" s="106" t="s">
        <v>250</v>
      </c>
      <c r="H1064" s="104" t="s">
        <v>251</v>
      </c>
      <c r="I1064" s="104" t="s">
        <v>104</v>
      </c>
      <c r="J1064" s="104" t="s">
        <v>105</v>
      </c>
      <c r="K1064" s="104" t="s">
        <v>243</v>
      </c>
      <c r="L1064" s="104" t="s">
        <v>421</v>
      </c>
      <c r="M1064" s="104" t="s">
        <v>114</v>
      </c>
      <c r="N1064" s="108" t="s">
        <v>17</v>
      </c>
      <c r="O1064" s="104" t="s">
        <v>17</v>
      </c>
      <c r="P1064" s="113">
        <v>0.93599999999999994</v>
      </c>
      <c r="Q1064" s="113">
        <v>0.31</v>
      </c>
      <c r="R1064" s="104" t="s">
        <v>17</v>
      </c>
      <c r="S1064" s="253">
        <f>(10^(((LOG(P1064*10))*3.0129)+0.9356))/1000</f>
        <v>7.2770775759548005</v>
      </c>
      <c r="T1064" s="104" t="s">
        <v>423</v>
      </c>
      <c r="U1064" s="108">
        <v>0.94</v>
      </c>
      <c r="V1064" s="107" t="s">
        <v>287</v>
      </c>
      <c r="W1064" s="114" t="s">
        <v>424</v>
      </c>
    </row>
    <row r="1065" spans="1:23" ht="21" customHeight="1">
      <c r="A1065" s="104" t="s">
        <v>273</v>
      </c>
      <c r="B1065" s="104" t="s">
        <v>76</v>
      </c>
      <c r="C1065" s="454" t="s">
        <v>344</v>
      </c>
      <c r="D1065" s="105" t="s">
        <v>345</v>
      </c>
      <c r="E1065" s="104">
        <v>908</v>
      </c>
      <c r="F1065" s="104">
        <v>4180</v>
      </c>
      <c r="G1065" s="106" t="s">
        <v>250</v>
      </c>
      <c r="H1065" s="104" t="s">
        <v>251</v>
      </c>
      <c r="I1065" s="104" t="s">
        <v>225</v>
      </c>
      <c r="J1065" s="104" t="s">
        <v>105</v>
      </c>
      <c r="K1065" s="104" t="s">
        <v>112</v>
      </c>
      <c r="L1065" s="104" t="s">
        <v>663</v>
      </c>
      <c r="M1065" s="104" t="s">
        <v>108</v>
      </c>
      <c r="N1065" s="108" t="s">
        <v>17</v>
      </c>
      <c r="O1065" s="104" t="s">
        <v>17</v>
      </c>
      <c r="P1065" s="113">
        <v>1.0939999999999999</v>
      </c>
      <c r="Q1065" s="113">
        <v>0.51100000000000001</v>
      </c>
      <c r="R1065" s="104" t="s">
        <v>17</v>
      </c>
      <c r="S1065" s="253">
        <f t="shared" ref="S1065:S1074" si="14">10^(((LOG(P1065*10))*3.05)+-2.15)</f>
        <v>10.447270320025801</v>
      </c>
      <c r="T1065" s="104" t="s">
        <v>1271</v>
      </c>
      <c r="U1065" s="108">
        <v>0.9</v>
      </c>
      <c r="V1065" s="107">
        <v>28</v>
      </c>
      <c r="W1065" s="114" t="s">
        <v>1272</v>
      </c>
    </row>
    <row r="1066" spans="1:23" ht="21" customHeight="1">
      <c r="A1066" s="104" t="s">
        <v>273</v>
      </c>
      <c r="B1066" s="104" t="s">
        <v>76</v>
      </c>
      <c r="C1066" s="454" t="s">
        <v>344</v>
      </c>
      <c r="D1066" s="105" t="s">
        <v>345</v>
      </c>
      <c r="E1066" s="104">
        <v>908</v>
      </c>
      <c r="F1066" s="104">
        <v>4181</v>
      </c>
      <c r="G1066" s="106" t="s">
        <v>250</v>
      </c>
      <c r="H1066" s="104" t="s">
        <v>251</v>
      </c>
      <c r="I1066" s="104" t="s">
        <v>104</v>
      </c>
      <c r="J1066" s="104" t="s">
        <v>105</v>
      </c>
      <c r="K1066" s="104" t="s">
        <v>112</v>
      </c>
      <c r="L1066" s="104" t="s">
        <v>663</v>
      </c>
      <c r="M1066" s="104" t="s">
        <v>114</v>
      </c>
      <c r="N1066" s="108" t="s">
        <v>17</v>
      </c>
      <c r="O1066" s="104" t="s">
        <v>17</v>
      </c>
      <c r="P1066" s="108">
        <v>1.119</v>
      </c>
      <c r="Q1066" s="108">
        <v>0.57499999999999996</v>
      </c>
      <c r="R1066" s="104" t="s">
        <v>17</v>
      </c>
      <c r="S1066" s="253">
        <f t="shared" si="14"/>
        <v>11.192620118750556</v>
      </c>
      <c r="T1066" s="104" t="s">
        <v>1271</v>
      </c>
      <c r="U1066" s="108">
        <v>0.9</v>
      </c>
      <c r="V1066" s="107">
        <v>28</v>
      </c>
      <c r="W1066" s="114" t="s">
        <v>1272</v>
      </c>
    </row>
    <row r="1067" spans="1:23" ht="21" customHeight="1">
      <c r="A1067" s="104" t="s">
        <v>273</v>
      </c>
      <c r="B1067" s="104" t="s">
        <v>76</v>
      </c>
      <c r="C1067" s="454" t="s">
        <v>344</v>
      </c>
      <c r="D1067" s="105" t="s">
        <v>345</v>
      </c>
      <c r="E1067" s="104">
        <v>908</v>
      </c>
      <c r="F1067" s="104">
        <v>3931</v>
      </c>
      <c r="G1067" s="106" t="s">
        <v>250</v>
      </c>
      <c r="H1067" s="104" t="s">
        <v>251</v>
      </c>
      <c r="I1067" s="104" t="s">
        <v>225</v>
      </c>
      <c r="J1067" s="104" t="s">
        <v>105</v>
      </c>
      <c r="K1067" s="104" t="s">
        <v>112</v>
      </c>
      <c r="L1067" s="104" t="s">
        <v>663</v>
      </c>
      <c r="M1067" s="104" t="s">
        <v>114</v>
      </c>
      <c r="N1067" s="108" t="s">
        <v>17</v>
      </c>
      <c r="O1067" s="104" t="s">
        <v>17</v>
      </c>
      <c r="P1067" s="113">
        <v>1.1300000000000001</v>
      </c>
      <c r="Q1067" s="113">
        <v>0.495</v>
      </c>
      <c r="R1067" s="104" t="s">
        <v>17</v>
      </c>
      <c r="S1067" s="253">
        <f t="shared" si="14"/>
        <v>11.531591586777184</v>
      </c>
      <c r="T1067" s="104" t="s">
        <v>1271</v>
      </c>
      <c r="U1067" s="108">
        <v>0.9</v>
      </c>
      <c r="V1067" s="107">
        <v>28</v>
      </c>
      <c r="W1067" s="114" t="s">
        <v>1272</v>
      </c>
    </row>
    <row r="1068" spans="1:23" ht="21" customHeight="1">
      <c r="A1068" s="104" t="s">
        <v>273</v>
      </c>
      <c r="B1068" s="104" t="s">
        <v>76</v>
      </c>
      <c r="C1068" s="454" t="s">
        <v>344</v>
      </c>
      <c r="D1068" s="105" t="s">
        <v>345</v>
      </c>
      <c r="E1068" s="104">
        <v>908</v>
      </c>
      <c r="F1068" s="104">
        <v>4180</v>
      </c>
      <c r="G1068" s="106" t="s">
        <v>250</v>
      </c>
      <c r="H1068" s="104" t="s">
        <v>251</v>
      </c>
      <c r="I1068" s="104" t="s">
        <v>104</v>
      </c>
      <c r="J1068" s="104" t="s">
        <v>105</v>
      </c>
      <c r="K1068" s="104" t="s">
        <v>112</v>
      </c>
      <c r="L1068" s="104" t="s">
        <v>663</v>
      </c>
      <c r="M1068" s="104" t="s">
        <v>108</v>
      </c>
      <c r="N1068" s="108" t="s">
        <v>17</v>
      </c>
      <c r="O1068" s="104" t="s">
        <v>17</v>
      </c>
      <c r="P1068" s="108">
        <v>1.1359999999999999</v>
      </c>
      <c r="Q1068" s="108">
        <v>0.52600000000000002</v>
      </c>
      <c r="R1068" s="104" t="s">
        <v>17</v>
      </c>
      <c r="S1068" s="253">
        <f t="shared" si="14"/>
        <v>11.719360415535434</v>
      </c>
      <c r="T1068" s="104" t="s">
        <v>1271</v>
      </c>
      <c r="U1068" s="108">
        <v>0.9</v>
      </c>
      <c r="V1068" s="107">
        <v>28</v>
      </c>
      <c r="W1068" s="114" t="s">
        <v>1272</v>
      </c>
    </row>
    <row r="1069" spans="1:23" ht="21" customHeight="1">
      <c r="A1069" s="104" t="s">
        <v>273</v>
      </c>
      <c r="B1069" s="104" t="s">
        <v>76</v>
      </c>
      <c r="C1069" s="454" t="s">
        <v>344</v>
      </c>
      <c r="D1069" s="105" t="s">
        <v>345</v>
      </c>
      <c r="E1069" s="104">
        <v>908</v>
      </c>
      <c r="F1069" s="104">
        <v>3931</v>
      </c>
      <c r="G1069" s="106" t="s">
        <v>250</v>
      </c>
      <c r="H1069" s="104" t="s">
        <v>251</v>
      </c>
      <c r="I1069" s="104" t="s">
        <v>104</v>
      </c>
      <c r="J1069" s="104" t="s">
        <v>105</v>
      </c>
      <c r="K1069" s="104" t="s">
        <v>112</v>
      </c>
      <c r="L1069" s="104" t="s">
        <v>663</v>
      </c>
      <c r="M1069" s="104" t="s">
        <v>114</v>
      </c>
      <c r="N1069" s="108" t="s">
        <v>17</v>
      </c>
      <c r="O1069" s="104" t="s">
        <v>17</v>
      </c>
      <c r="P1069" s="108">
        <v>1.137</v>
      </c>
      <c r="Q1069" s="108">
        <v>0.53099999999999992</v>
      </c>
      <c r="R1069" s="104" t="s">
        <v>17</v>
      </c>
      <c r="S1069" s="253">
        <f t="shared" si="14"/>
        <v>11.750853646747608</v>
      </c>
      <c r="T1069" s="104" t="s">
        <v>1271</v>
      </c>
      <c r="U1069" s="108">
        <v>0.9</v>
      </c>
      <c r="V1069" s="107">
        <v>28</v>
      </c>
      <c r="W1069" s="114" t="s">
        <v>1272</v>
      </c>
    </row>
    <row r="1070" spans="1:23" ht="21" customHeight="1">
      <c r="A1070" s="104" t="s">
        <v>273</v>
      </c>
      <c r="B1070" s="104" t="s">
        <v>76</v>
      </c>
      <c r="C1070" s="454" t="s">
        <v>344</v>
      </c>
      <c r="D1070" s="105" t="s">
        <v>345</v>
      </c>
      <c r="E1070" s="104">
        <v>908</v>
      </c>
      <c r="F1070" s="104">
        <v>4184</v>
      </c>
      <c r="G1070" s="106" t="s">
        <v>250</v>
      </c>
      <c r="H1070" s="104" t="s">
        <v>251</v>
      </c>
      <c r="I1070" s="104" t="s">
        <v>225</v>
      </c>
      <c r="J1070" s="104" t="s">
        <v>105</v>
      </c>
      <c r="K1070" s="104" t="s">
        <v>112</v>
      </c>
      <c r="L1070" s="104" t="s">
        <v>663</v>
      </c>
      <c r="M1070" s="104" t="s">
        <v>114</v>
      </c>
      <c r="N1070" s="108" t="s">
        <v>17</v>
      </c>
      <c r="O1070" s="104" t="s">
        <v>17</v>
      </c>
      <c r="P1070" s="113">
        <v>1.1579999999999999</v>
      </c>
      <c r="Q1070" s="113">
        <v>0.54699999999999993</v>
      </c>
      <c r="R1070" s="104" t="s">
        <v>17</v>
      </c>
      <c r="S1070" s="253">
        <f t="shared" si="14"/>
        <v>12.425420818540713</v>
      </c>
      <c r="T1070" s="104" t="s">
        <v>1271</v>
      </c>
      <c r="U1070" s="108">
        <v>0.9</v>
      </c>
      <c r="V1070" s="107">
        <v>28</v>
      </c>
      <c r="W1070" s="114" t="s">
        <v>1272</v>
      </c>
    </row>
    <row r="1071" spans="1:23" ht="21" customHeight="1">
      <c r="A1071" s="104" t="s">
        <v>273</v>
      </c>
      <c r="B1071" s="104" t="s">
        <v>76</v>
      </c>
      <c r="C1071" s="454" t="s">
        <v>344</v>
      </c>
      <c r="D1071" s="105" t="s">
        <v>345</v>
      </c>
      <c r="E1071" s="104">
        <v>908</v>
      </c>
      <c r="F1071" s="104">
        <v>4179</v>
      </c>
      <c r="G1071" s="106" t="s">
        <v>250</v>
      </c>
      <c r="H1071" s="104" t="s">
        <v>251</v>
      </c>
      <c r="I1071" s="104" t="s">
        <v>104</v>
      </c>
      <c r="J1071" s="104" t="s">
        <v>105</v>
      </c>
      <c r="K1071" s="104" t="s">
        <v>112</v>
      </c>
      <c r="L1071" s="104" t="s">
        <v>663</v>
      </c>
      <c r="M1071" s="104" t="s">
        <v>114</v>
      </c>
      <c r="N1071" s="108" t="s">
        <v>17</v>
      </c>
      <c r="O1071" s="104" t="s">
        <v>17</v>
      </c>
      <c r="P1071" s="108">
        <v>1.165</v>
      </c>
      <c r="Q1071" s="108">
        <v>0.48299999999999998</v>
      </c>
      <c r="R1071" s="104" t="s">
        <v>17</v>
      </c>
      <c r="S1071" s="253">
        <f t="shared" si="14"/>
        <v>12.655930241246899</v>
      </c>
      <c r="T1071" s="104" t="s">
        <v>1271</v>
      </c>
      <c r="U1071" s="108">
        <v>0.9</v>
      </c>
      <c r="V1071" s="107">
        <v>28</v>
      </c>
      <c r="W1071" s="114" t="s">
        <v>1272</v>
      </c>
    </row>
    <row r="1072" spans="1:23" ht="21" customHeight="1">
      <c r="A1072" s="104" t="s">
        <v>273</v>
      </c>
      <c r="B1072" s="104" t="s">
        <v>76</v>
      </c>
      <c r="C1072" s="454" t="s">
        <v>344</v>
      </c>
      <c r="D1072" s="105" t="s">
        <v>345</v>
      </c>
      <c r="E1072" s="104">
        <v>908</v>
      </c>
      <c r="F1072" s="104">
        <v>4184</v>
      </c>
      <c r="G1072" s="106" t="s">
        <v>250</v>
      </c>
      <c r="H1072" s="104" t="s">
        <v>251</v>
      </c>
      <c r="I1072" s="104" t="s">
        <v>104</v>
      </c>
      <c r="J1072" s="104" t="s">
        <v>105</v>
      </c>
      <c r="K1072" s="104" t="s">
        <v>112</v>
      </c>
      <c r="L1072" s="104" t="s">
        <v>663</v>
      </c>
      <c r="M1072" s="104" t="s">
        <v>114</v>
      </c>
      <c r="N1072" s="108" t="s">
        <v>17</v>
      </c>
      <c r="O1072" s="104" t="s">
        <v>17</v>
      </c>
      <c r="P1072" s="108">
        <v>1.17</v>
      </c>
      <c r="Q1072" s="108">
        <v>0.46600000000000003</v>
      </c>
      <c r="R1072" s="104" t="s">
        <v>17</v>
      </c>
      <c r="S1072" s="253">
        <f t="shared" si="14"/>
        <v>12.82232788836423</v>
      </c>
      <c r="T1072" s="104" t="s">
        <v>1271</v>
      </c>
      <c r="U1072" s="108">
        <v>0.9</v>
      </c>
      <c r="V1072" s="107">
        <v>28</v>
      </c>
      <c r="W1072" s="114" t="s">
        <v>1272</v>
      </c>
    </row>
    <row r="1073" spans="1:23" ht="21" customHeight="1">
      <c r="A1073" s="104" t="s">
        <v>273</v>
      </c>
      <c r="B1073" s="104" t="s">
        <v>76</v>
      </c>
      <c r="C1073" s="454" t="s">
        <v>344</v>
      </c>
      <c r="D1073" s="105" t="s">
        <v>345</v>
      </c>
      <c r="E1073" s="104">
        <v>908</v>
      </c>
      <c r="F1073" s="104">
        <v>4179</v>
      </c>
      <c r="G1073" s="106" t="s">
        <v>250</v>
      </c>
      <c r="H1073" s="104" t="s">
        <v>251</v>
      </c>
      <c r="I1073" s="104" t="s">
        <v>225</v>
      </c>
      <c r="J1073" s="104" t="s">
        <v>105</v>
      </c>
      <c r="K1073" s="104" t="s">
        <v>112</v>
      </c>
      <c r="L1073" s="104" t="s">
        <v>663</v>
      </c>
      <c r="M1073" s="104" t="s">
        <v>114</v>
      </c>
      <c r="N1073" s="108" t="s">
        <v>17</v>
      </c>
      <c r="O1073" s="104" t="s">
        <v>17</v>
      </c>
      <c r="P1073" s="113">
        <v>1.1720000000000002</v>
      </c>
      <c r="Q1073" s="113">
        <v>0.55300000000000005</v>
      </c>
      <c r="R1073" s="104" t="s">
        <v>17</v>
      </c>
      <c r="S1073" s="253">
        <f t="shared" si="14"/>
        <v>12.889296544426298</v>
      </c>
      <c r="T1073" s="104" t="s">
        <v>1271</v>
      </c>
      <c r="U1073" s="108">
        <v>0.9</v>
      </c>
      <c r="V1073" s="107">
        <v>28</v>
      </c>
      <c r="W1073" s="114" t="s">
        <v>1272</v>
      </c>
    </row>
    <row r="1074" spans="1:23" ht="21" customHeight="1">
      <c r="A1074" s="104" t="s">
        <v>273</v>
      </c>
      <c r="B1074" s="104" t="s">
        <v>76</v>
      </c>
      <c r="C1074" s="454" t="s">
        <v>344</v>
      </c>
      <c r="D1074" s="105" t="s">
        <v>345</v>
      </c>
      <c r="E1074" s="104">
        <v>908</v>
      </c>
      <c r="F1074" s="104">
        <v>4181</v>
      </c>
      <c r="G1074" s="106" t="s">
        <v>250</v>
      </c>
      <c r="H1074" s="104" t="s">
        <v>251</v>
      </c>
      <c r="I1074" s="104" t="s">
        <v>225</v>
      </c>
      <c r="J1074" s="104" t="s">
        <v>105</v>
      </c>
      <c r="K1074" s="104" t="s">
        <v>112</v>
      </c>
      <c r="L1074" s="104" t="s">
        <v>663</v>
      </c>
      <c r="M1074" s="104" t="s">
        <v>114</v>
      </c>
      <c r="N1074" s="108" t="s">
        <v>17</v>
      </c>
      <c r="O1074" s="104" t="s">
        <v>17</v>
      </c>
      <c r="P1074" s="113">
        <v>1.177</v>
      </c>
      <c r="Q1074" s="113">
        <v>0.53600000000000003</v>
      </c>
      <c r="R1074" s="104" t="s">
        <v>17</v>
      </c>
      <c r="S1074" s="253">
        <f t="shared" si="14"/>
        <v>13.057745856950353</v>
      </c>
      <c r="T1074" s="104" t="s">
        <v>1271</v>
      </c>
      <c r="U1074" s="108">
        <v>0.9</v>
      </c>
      <c r="V1074" s="107">
        <v>28</v>
      </c>
      <c r="W1074" s="114" t="s">
        <v>1272</v>
      </c>
    </row>
    <row r="1075" spans="1:23" ht="21" customHeight="1">
      <c r="A1075" s="104" t="s">
        <v>273</v>
      </c>
      <c r="B1075" s="104" t="s">
        <v>76</v>
      </c>
      <c r="C1075" s="454" t="s">
        <v>524</v>
      </c>
      <c r="D1075" s="105" t="s">
        <v>525</v>
      </c>
      <c r="E1075" s="104">
        <v>908</v>
      </c>
      <c r="F1075" s="104">
        <v>2418</v>
      </c>
      <c r="G1075" s="106" t="s">
        <v>250</v>
      </c>
      <c r="H1075" s="104" t="s">
        <v>251</v>
      </c>
      <c r="I1075" s="104" t="s">
        <v>104</v>
      </c>
      <c r="J1075" s="104" t="s">
        <v>105</v>
      </c>
      <c r="K1075" s="104" t="s">
        <v>1282</v>
      </c>
      <c r="L1075" s="104" t="s">
        <v>1283</v>
      </c>
      <c r="M1075" s="104"/>
      <c r="N1075" s="108" t="s">
        <v>17</v>
      </c>
      <c r="O1075" s="104" t="s">
        <v>17</v>
      </c>
      <c r="P1075" s="108">
        <v>12.395999999999999</v>
      </c>
      <c r="Q1075" s="108">
        <v>2.1559999999999997</v>
      </c>
      <c r="R1075" s="104" t="s">
        <v>17</v>
      </c>
      <c r="S1075" s="253"/>
      <c r="T1075" s="108"/>
      <c r="U1075" s="108"/>
      <c r="V1075" s="107"/>
      <c r="W1075" s="106"/>
    </row>
    <row r="1076" spans="1:23" ht="21" customHeight="1">
      <c r="A1076" s="416" t="s">
        <v>273</v>
      </c>
      <c r="B1076" s="416" t="s">
        <v>76</v>
      </c>
      <c r="C1076" s="455" t="s">
        <v>95</v>
      </c>
      <c r="D1076" s="461" t="s">
        <v>96</v>
      </c>
      <c r="E1076" s="416">
        <v>908</v>
      </c>
      <c r="F1076" s="416">
        <v>2691</v>
      </c>
      <c r="G1076" s="456" t="s">
        <v>250</v>
      </c>
      <c r="H1076" s="416" t="s">
        <v>251</v>
      </c>
      <c r="I1076" s="104" t="s">
        <v>104</v>
      </c>
      <c r="J1076" s="416" t="s">
        <v>105</v>
      </c>
      <c r="K1076" s="416" t="s">
        <v>252</v>
      </c>
      <c r="L1076" s="416" t="s">
        <v>415</v>
      </c>
      <c r="M1076" s="416" t="s">
        <v>114</v>
      </c>
      <c r="N1076" s="458" t="s">
        <v>17</v>
      </c>
      <c r="O1076" s="416" t="s">
        <v>17</v>
      </c>
      <c r="P1076" s="457">
        <v>3.7989999999999999</v>
      </c>
      <c r="Q1076" s="457">
        <v>1.4710000000000001</v>
      </c>
      <c r="R1076" s="104"/>
      <c r="S1076" s="253">
        <f>10^(((LOG((P1076/1.3786)*10))*3.05)+-2.15)</f>
        <v>174.86569131120925</v>
      </c>
      <c r="T1076" s="104" t="s">
        <v>1271</v>
      </c>
      <c r="U1076" s="108">
        <v>0.9</v>
      </c>
      <c r="V1076" s="107">
        <v>28</v>
      </c>
      <c r="W1076" s="114" t="s">
        <v>1272</v>
      </c>
    </row>
    <row r="1077" spans="1:23" ht="21" customHeight="1">
      <c r="A1077" s="104" t="s">
        <v>273</v>
      </c>
      <c r="B1077" s="104" t="s">
        <v>534</v>
      </c>
      <c r="C1077" s="454" t="s">
        <v>539</v>
      </c>
      <c r="D1077" s="105" t="s">
        <v>540</v>
      </c>
      <c r="E1077" s="104">
        <v>908</v>
      </c>
      <c r="F1077" s="104">
        <v>3264</v>
      </c>
      <c r="G1077" s="106" t="s">
        <v>250</v>
      </c>
      <c r="H1077" s="104" t="s">
        <v>251</v>
      </c>
      <c r="I1077" s="104" t="s">
        <v>225</v>
      </c>
      <c r="J1077" s="104" t="s">
        <v>105</v>
      </c>
      <c r="K1077" s="104" t="s">
        <v>121</v>
      </c>
      <c r="L1077" s="104" t="s">
        <v>1041</v>
      </c>
      <c r="M1077" s="104" t="s">
        <v>114</v>
      </c>
      <c r="N1077" s="108" t="s">
        <v>17</v>
      </c>
      <c r="O1077" s="104" t="s">
        <v>17</v>
      </c>
      <c r="P1077" s="108">
        <v>1.7170000000000001</v>
      </c>
      <c r="Q1077" s="108">
        <v>0.74099999999999999</v>
      </c>
      <c r="R1077" s="104" t="s">
        <v>17</v>
      </c>
      <c r="S1077" s="253">
        <f>(10^(((LOG(P1077*10))*2.51467)+0.15426))/1000</f>
        <v>1.8167694490176458</v>
      </c>
      <c r="T1077" s="104" t="s">
        <v>1299</v>
      </c>
      <c r="U1077" s="108">
        <v>0.98</v>
      </c>
      <c r="V1077" s="107" t="s">
        <v>287</v>
      </c>
      <c r="W1077" s="114" t="s">
        <v>1293</v>
      </c>
    </row>
    <row r="1078" spans="1:23" ht="21" customHeight="1">
      <c r="A1078" s="104" t="s">
        <v>273</v>
      </c>
      <c r="B1078" s="104" t="s">
        <v>534</v>
      </c>
      <c r="C1078" s="454" t="s">
        <v>539</v>
      </c>
      <c r="D1078" s="105" t="s">
        <v>540</v>
      </c>
      <c r="E1078" s="104">
        <v>908</v>
      </c>
      <c r="F1078" s="104">
        <v>1204</v>
      </c>
      <c r="G1078" s="106" t="s">
        <v>250</v>
      </c>
      <c r="H1078" s="104" t="s">
        <v>251</v>
      </c>
      <c r="I1078" s="104" t="s">
        <v>104</v>
      </c>
      <c r="J1078" s="104" t="s">
        <v>105</v>
      </c>
      <c r="K1078" s="104" t="s">
        <v>112</v>
      </c>
      <c r="L1078" s="104" t="s">
        <v>663</v>
      </c>
      <c r="M1078" s="104" t="s">
        <v>108</v>
      </c>
      <c r="N1078" s="108" t="s">
        <v>17</v>
      </c>
      <c r="O1078" s="104" t="s">
        <v>17</v>
      </c>
      <c r="P1078" s="108">
        <v>1.1179999999999999</v>
      </c>
      <c r="Q1078" s="108">
        <v>0.49299999999999999</v>
      </c>
      <c r="R1078" s="104" t="s">
        <v>17</v>
      </c>
      <c r="S1078" s="253">
        <f>(10^((3.9287*LOG(P1078*10))+-0.5516))/1000</f>
        <v>3.693289179170145</v>
      </c>
      <c r="T1078" s="104" t="s">
        <v>1292</v>
      </c>
      <c r="U1078" s="108">
        <v>0.81</v>
      </c>
      <c r="V1078" s="107"/>
      <c r="W1078" s="114" t="s">
        <v>1293</v>
      </c>
    </row>
    <row r="1079" spans="1:23" ht="21" customHeight="1">
      <c r="A1079" s="104" t="s">
        <v>273</v>
      </c>
      <c r="B1079" s="104" t="s">
        <v>551</v>
      </c>
      <c r="C1079" s="454" t="s">
        <v>552</v>
      </c>
      <c r="D1079" s="105" t="s">
        <v>553</v>
      </c>
      <c r="E1079" s="104">
        <v>908</v>
      </c>
      <c r="F1079" s="104">
        <v>4432</v>
      </c>
      <c r="G1079" s="106" t="s">
        <v>250</v>
      </c>
      <c r="H1079" s="104" t="s">
        <v>251</v>
      </c>
      <c r="I1079" s="104" t="s">
        <v>104</v>
      </c>
      <c r="J1079" s="104" t="s">
        <v>105</v>
      </c>
      <c r="K1079" s="104" t="s">
        <v>112</v>
      </c>
      <c r="L1079" s="104" t="s">
        <v>663</v>
      </c>
      <c r="M1079" s="104" t="s">
        <v>108</v>
      </c>
      <c r="N1079" s="108" t="s">
        <v>17</v>
      </c>
      <c r="O1079" s="104" t="s">
        <v>17</v>
      </c>
      <c r="P1079" s="108">
        <v>0.78700000000000003</v>
      </c>
      <c r="Q1079" s="108">
        <v>0.376</v>
      </c>
      <c r="R1079" s="104" t="s">
        <v>17</v>
      </c>
      <c r="S1079" s="253">
        <f>(10^((3.9287*LOG(P1079*10))+-0.5516))/1000</f>
        <v>0.92985649944592197</v>
      </c>
      <c r="T1079" s="104" t="s">
        <v>1292</v>
      </c>
      <c r="U1079" s="108">
        <v>0.81</v>
      </c>
      <c r="V1079" s="107"/>
      <c r="W1079" s="114" t="s">
        <v>105</v>
      </c>
    </row>
    <row r="1080" spans="1:23" ht="21" customHeight="1">
      <c r="A1080" s="104" t="s">
        <v>579</v>
      </c>
      <c r="B1080" s="104" t="s">
        <v>580</v>
      </c>
      <c r="C1080" s="454" t="s">
        <v>581</v>
      </c>
      <c r="D1080" s="105" t="s">
        <v>151</v>
      </c>
      <c r="E1080" s="104">
        <v>908</v>
      </c>
      <c r="F1080" s="104">
        <v>3756</v>
      </c>
      <c r="G1080" s="106" t="s">
        <v>250</v>
      </c>
      <c r="H1080" s="104" t="s">
        <v>251</v>
      </c>
      <c r="I1080" s="104" t="s">
        <v>225</v>
      </c>
      <c r="J1080" s="104" t="s">
        <v>105</v>
      </c>
      <c r="K1080" s="104" t="s">
        <v>112</v>
      </c>
      <c r="L1080" s="104" t="s">
        <v>663</v>
      </c>
      <c r="M1080" s="104" t="s">
        <v>108</v>
      </c>
      <c r="N1080" s="108"/>
      <c r="O1080" s="108"/>
      <c r="P1080" s="108">
        <v>0.255</v>
      </c>
      <c r="Q1080" s="108">
        <v>0.35</v>
      </c>
      <c r="R1080" s="108"/>
      <c r="S1080" s="253">
        <f>(10^(3.353*LOG(P1080*10)+1.807))/1000</f>
        <v>1.4795485646420015</v>
      </c>
      <c r="T1080" s="108" t="s">
        <v>1346</v>
      </c>
      <c r="U1080" s="108">
        <v>0.87005746936624828</v>
      </c>
      <c r="V1080" s="107">
        <v>21.492000000000001</v>
      </c>
      <c r="W1080" s="106" t="s">
        <v>1347</v>
      </c>
    </row>
    <row r="1081" spans="1:23" ht="21" customHeight="1">
      <c r="A1081" s="104" t="s">
        <v>579</v>
      </c>
      <c r="B1081" s="104" t="s">
        <v>580</v>
      </c>
      <c r="C1081" s="454" t="s">
        <v>581</v>
      </c>
      <c r="D1081" s="105" t="s">
        <v>151</v>
      </c>
      <c r="E1081" s="104">
        <v>908</v>
      </c>
      <c r="F1081" s="104">
        <v>4396</v>
      </c>
      <c r="G1081" s="106" t="s">
        <v>250</v>
      </c>
      <c r="H1081" s="104" t="s">
        <v>251</v>
      </c>
      <c r="I1081" s="104" t="s">
        <v>225</v>
      </c>
      <c r="J1081" s="104" t="s">
        <v>105</v>
      </c>
      <c r="K1081" s="104" t="s">
        <v>112</v>
      </c>
      <c r="L1081" s="104" t="s">
        <v>663</v>
      </c>
      <c r="M1081" s="104" t="s">
        <v>108</v>
      </c>
      <c r="N1081" s="108"/>
      <c r="O1081" s="108"/>
      <c r="P1081" s="108">
        <v>0.26500000000000001</v>
      </c>
      <c r="Q1081" s="108">
        <v>0.31</v>
      </c>
      <c r="R1081" s="108"/>
      <c r="S1081" s="253">
        <f>(10^(3.353*LOG(P1081*10)+1.807))/1000</f>
        <v>1.6832298154767613</v>
      </c>
      <c r="T1081" s="108" t="s">
        <v>1346</v>
      </c>
      <c r="U1081" s="108">
        <v>0.87005746936624828</v>
      </c>
      <c r="V1081" s="107">
        <v>21.492000000000001</v>
      </c>
      <c r="W1081" s="106" t="s">
        <v>1347</v>
      </c>
    </row>
    <row r="1082" spans="1:23" ht="21" customHeight="1">
      <c r="A1082" s="104" t="s">
        <v>579</v>
      </c>
      <c r="B1082" s="104" t="s">
        <v>580</v>
      </c>
      <c r="C1082" s="454" t="s">
        <v>581</v>
      </c>
      <c r="D1082" s="105" t="s">
        <v>151</v>
      </c>
      <c r="E1082" s="104">
        <v>908</v>
      </c>
      <c r="F1082" s="104">
        <v>2329</v>
      </c>
      <c r="G1082" s="106" t="s">
        <v>250</v>
      </c>
      <c r="H1082" s="104" t="s">
        <v>251</v>
      </c>
      <c r="I1082" s="104" t="s">
        <v>104</v>
      </c>
      <c r="J1082" s="104" t="s">
        <v>105</v>
      </c>
      <c r="K1082" s="104" t="s">
        <v>121</v>
      </c>
      <c r="L1082" s="104" t="s">
        <v>1041</v>
      </c>
      <c r="M1082" s="104" t="s">
        <v>108</v>
      </c>
      <c r="N1082" s="108"/>
      <c r="O1082" s="108"/>
      <c r="P1082" s="108">
        <v>1</v>
      </c>
      <c r="Q1082" s="108">
        <v>0.75700000000000001</v>
      </c>
      <c r="R1082" s="108"/>
      <c r="S1082" s="253">
        <f>(10^(2.393*LOG(P1082*10)+0.934))/1000</f>
        <v>2.1232444620002213</v>
      </c>
      <c r="T1082" s="108" t="s">
        <v>1349</v>
      </c>
      <c r="U1082" s="108">
        <v>0.875</v>
      </c>
      <c r="V1082" s="107">
        <v>15.997</v>
      </c>
      <c r="W1082" s="106" t="s">
        <v>1347</v>
      </c>
    </row>
    <row r="1083" spans="1:23" ht="21" customHeight="1">
      <c r="A1083" s="104" t="s">
        <v>579</v>
      </c>
      <c r="B1083" s="104" t="s">
        <v>580</v>
      </c>
      <c r="C1083" s="454" t="s">
        <v>581</v>
      </c>
      <c r="D1083" s="105" t="s">
        <v>151</v>
      </c>
      <c r="E1083" s="104">
        <v>908</v>
      </c>
      <c r="F1083" s="104">
        <v>3758</v>
      </c>
      <c r="G1083" s="106" t="s">
        <v>250</v>
      </c>
      <c r="H1083" s="104" t="s">
        <v>251</v>
      </c>
      <c r="I1083" s="104" t="s">
        <v>225</v>
      </c>
      <c r="J1083" s="104" t="s">
        <v>105</v>
      </c>
      <c r="K1083" s="104" t="s">
        <v>112</v>
      </c>
      <c r="L1083" s="104" t="s">
        <v>663</v>
      </c>
      <c r="M1083" s="104" t="s">
        <v>108</v>
      </c>
      <c r="N1083" s="108"/>
      <c r="O1083" s="108"/>
      <c r="P1083" s="108">
        <v>0.32100000000000001</v>
      </c>
      <c r="Q1083" s="108">
        <v>0.34300000000000003</v>
      </c>
      <c r="R1083" s="108"/>
      <c r="S1083" s="253">
        <f t="shared" ref="S1083:S1099" si="15">(10^(3.353*LOG(P1083*10)+1.807))/1000</f>
        <v>3.2011894257631197</v>
      </c>
      <c r="T1083" s="108" t="s">
        <v>1346</v>
      </c>
      <c r="U1083" s="108">
        <v>0.87005746936624828</v>
      </c>
      <c r="V1083" s="107">
        <v>21.492000000000001</v>
      </c>
      <c r="W1083" s="106" t="s">
        <v>1347</v>
      </c>
    </row>
    <row r="1084" spans="1:23" ht="21" customHeight="1">
      <c r="A1084" s="104" t="s">
        <v>579</v>
      </c>
      <c r="B1084" s="104" t="s">
        <v>580</v>
      </c>
      <c r="C1084" s="454" t="s">
        <v>581</v>
      </c>
      <c r="D1084" s="105" t="s">
        <v>151</v>
      </c>
      <c r="E1084" s="104">
        <v>908</v>
      </c>
      <c r="F1084" s="104">
        <v>1509</v>
      </c>
      <c r="G1084" s="106" t="s">
        <v>250</v>
      </c>
      <c r="H1084" s="104" t="s">
        <v>251</v>
      </c>
      <c r="I1084" s="104" t="s">
        <v>225</v>
      </c>
      <c r="J1084" s="104" t="s">
        <v>105</v>
      </c>
      <c r="K1084" s="104" t="s">
        <v>112</v>
      </c>
      <c r="L1084" s="104" t="s">
        <v>663</v>
      </c>
      <c r="M1084" s="104" t="s">
        <v>108</v>
      </c>
      <c r="N1084" s="108"/>
      <c r="O1084" s="108"/>
      <c r="P1084" s="108">
        <v>0.32200000000000001</v>
      </c>
      <c r="Q1084" s="108">
        <v>0.34599999999999997</v>
      </c>
      <c r="R1084" s="108"/>
      <c r="S1084" s="253">
        <f t="shared" si="15"/>
        <v>3.2347501210977563</v>
      </c>
      <c r="T1084" s="108" t="s">
        <v>1346</v>
      </c>
      <c r="U1084" s="108">
        <v>0.87005746936624828</v>
      </c>
      <c r="V1084" s="107">
        <v>21.492000000000001</v>
      </c>
      <c r="W1084" s="106" t="s">
        <v>1347</v>
      </c>
    </row>
    <row r="1085" spans="1:23" ht="21" customHeight="1">
      <c r="A1085" s="104" t="s">
        <v>579</v>
      </c>
      <c r="B1085" s="104" t="s">
        <v>580</v>
      </c>
      <c r="C1085" s="454" t="s">
        <v>581</v>
      </c>
      <c r="D1085" s="105" t="s">
        <v>151</v>
      </c>
      <c r="E1085" s="104">
        <v>908</v>
      </c>
      <c r="F1085" s="104">
        <v>1263</v>
      </c>
      <c r="G1085" s="106" t="s">
        <v>250</v>
      </c>
      <c r="H1085" s="104" t="s">
        <v>251</v>
      </c>
      <c r="I1085" s="104" t="s">
        <v>225</v>
      </c>
      <c r="J1085" s="104" t="s">
        <v>105</v>
      </c>
      <c r="K1085" s="104" t="s">
        <v>112</v>
      </c>
      <c r="L1085" s="104" t="s">
        <v>663</v>
      </c>
      <c r="M1085" s="104" t="s">
        <v>108</v>
      </c>
      <c r="N1085" s="108"/>
      <c r="O1085" s="108"/>
      <c r="P1085" s="108">
        <v>0.32400000000000001</v>
      </c>
      <c r="Q1085" s="108">
        <v>0.36099999999999999</v>
      </c>
      <c r="R1085" s="108"/>
      <c r="S1085" s="253">
        <f t="shared" si="15"/>
        <v>3.3026109707433986</v>
      </c>
      <c r="T1085" s="108" t="s">
        <v>1346</v>
      </c>
      <c r="U1085" s="108">
        <v>0.87005746936624828</v>
      </c>
      <c r="V1085" s="107">
        <v>21.492000000000001</v>
      </c>
      <c r="W1085" s="106" t="s">
        <v>1347</v>
      </c>
    </row>
    <row r="1086" spans="1:23" ht="21" customHeight="1">
      <c r="A1086" s="104" t="s">
        <v>579</v>
      </c>
      <c r="B1086" s="104" t="s">
        <v>580</v>
      </c>
      <c r="C1086" s="454" t="s">
        <v>581</v>
      </c>
      <c r="D1086" s="105" t="s">
        <v>151</v>
      </c>
      <c r="E1086" s="104">
        <v>908</v>
      </c>
      <c r="F1086" s="104">
        <v>3697</v>
      </c>
      <c r="G1086" s="106" t="s">
        <v>250</v>
      </c>
      <c r="H1086" s="104" t="s">
        <v>251</v>
      </c>
      <c r="I1086" s="104" t="s">
        <v>225</v>
      </c>
      <c r="J1086" s="104" t="s">
        <v>105</v>
      </c>
      <c r="K1086" s="104" t="s">
        <v>112</v>
      </c>
      <c r="L1086" s="104" t="s">
        <v>663</v>
      </c>
      <c r="M1086" s="104" t="s">
        <v>108</v>
      </c>
      <c r="N1086" s="108"/>
      <c r="O1086" s="108"/>
      <c r="P1086" s="108">
        <v>0.32599999999999996</v>
      </c>
      <c r="Q1086" s="108">
        <v>0.32799999999999996</v>
      </c>
      <c r="R1086" s="108"/>
      <c r="S1086" s="253">
        <f t="shared" si="15"/>
        <v>3.3714646701358202</v>
      </c>
      <c r="T1086" s="108" t="s">
        <v>1346</v>
      </c>
      <c r="U1086" s="108">
        <v>0.87005746936624828</v>
      </c>
      <c r="V1086" s="107">
        <v>21.492000000000001</v>
      </c>
      <c r="W1086" s="106" t="s">
        <v>1347</v>
      </c>
    </row>
    <row r="1087" spans="1:23" ht="21" customHeight="1">
      <c r="A1087" s="104" t="s">
        <v>579</v>
      </c>
      <c r="B1087" s="104" t="s">
        <v>580</v>
      </c>
      <c r="C1087" s="454" t="s">
        <v>581</v>
      </c>
      <c r="D1087" s="105" t="s">
        <v>151</v>
      </c>
      <c r="E1087" s="104">
        <v>908</v>
      </c>
      <c r="F1087" s="104">
        <v>4091</v>
      </c>
      <c r="G1087" s="106" t="s">
        <v>250</v>
      </c>
      <c r="H1087" s="104" t="s">
        <v>251</v>
      </c>
      <c r="I1087" s="104" t="s">
        <v>225</v>
      </c>
      <c r="J1087" s="104" t="s">
        <v>105</v>
      </c>
      <c r="K1087" s="104" t="s">
        <v>112</v>
      </c>
      <c r="L1087" s="104" t="s">
        <v>663</v>
      </c>
      <c r="M1087" s="104" t="s">
        <v>108</v>
      </c>
      <c r="N1087" s="108"/>
      <c r="O1087" s="108"/>
      <c r="P1087" s="108">
        <v>0.32599999999999996</v>
      </c>
      <c r="Q1087" s="108">
        <v>0.35299999999999998</v>
      </c>
      <c r="R1087" s="108"/>
      <c r="S1087" s="253">
        <f t="shared" si="15"/>
        <v>3.3714646701358202</v>
      </c>
      <c r="T1087" s="108" t="s">
        <v>1346</v>
      </c>
      <c r="U1087" s="108">
        <v>0.87005746936624828</v>
      </c>
      <c r="V1087" s="107">
        <v>21.492000000000001</v>
      </c>
      <c r="W1087" s="106" t="s">
        <v>1347</v>
      </c>
    </row>
    <row r="1088" spans="1:23" ht="21" customHeight="1">
      <c r="A1088" s="104" t="s">
        <v>579</v>
      </c>
      <c r="B1088" s="104" t="s">
        <v>580</v>
      </c>
      <c r="C1088" s="454" t="s">
        <v>581</v>
      </c>
      <c r="D1088" s="105" t="s">
        <v>151</v>
      </c>
      <c r="E1088" s="104">
        <v>908</v>
      </c>
      <c r="F1088" s="104">
        <v>3685</v>
      </c>
      <c r="G1088" s="106" t="s">
        <v>250</v>
      </c>
      <c r="H1088" s="104" t="s">
        <v>251</v>
      </c>
      <c r="I1088" s="104" t="s">
        <v>225</v>
      </c>
      <c r="J1088" s="104" t="s">
        <v>105</v>
      </c>
      <c r="K1088" s="104" t="s">
        <v>112</v>
      </c>
      <c r="L1088" s="104" t="s">
        <v>663</v>
      </c>
      <c r="M1088" s="104" t="s">
        <v>108</v>
      </c>
      <c r="N1088" s="108"/>
      <c r="O1088" s="108"/>
      <c r="P1088" s="108">
        <v>0.32799999999999996</v>
      </c>
      <c r="Q1088" s="108">
        <v>0.34900000000000003</v>
      </c>
      <c r="R1088" s="108"/>
      <c r="S1088" s="253">
        <f t="shared" si="15"/>
        <v>3.4413195204127787</v>
      </c>
      <c r="T1088" s="108" t="s">
        <v>1346</v>
      </c>
      <c r="U1088" s="108">
        <v>0.87005746936624828</v>
      </c>
      <c r="V1088" s="107">
        <v>21.492000000000001</v>
      </c>
      <c r="W1088" s="106" t="s">
        <v>1347</v>
      </c>
    </row>
    <row r="1089" spans="1:23" ht="21" customHeight="1">
      <c r="A1089" s="104" t="s">
        <v>579</v>
      </c>
      <c r="B1089" s="104" t="s">
        <v>580</v>
      </c>
      <c r="C1089" s="454" t="s">
        <v>581</v>
      </c>
      <c r="D1089" s="105" t="s">
        <v>151</v>
      </c>
      <c r="E1089" s="104">
        <v>908</v>
      </c>
      <c r="F1089" s="104">
        <v>4089</v>
      </c>
      <c r="G1089" s="106" t="s">
        <v>250</v>
      </c>
      <c r="H1089" s="104" t="s">
        <v>251</v>
      </c>
      <c r="I1089" s="104" t="s">
        <v>225</v>
      </c>
      <c r="J1089" s="104" t="s">
        <v>105</v>
      </c>
      <c r="K1089" s="104" t="s">
        <v>112</v>
      </c>
      <c r="L1089" s="104" t="s">
        <v>663</v>
      </c>
      <c r="M1089" s="104" t="s">
        <v>108</v>
      </c>
      <c r="N1089" s="108"/>
      <c r="O1089" s="108"/>
      <c r="P1089" s="108">
        <v>0.34300000000000003</v>
      </c>
      <c r="Q1089" s="108">
        <v>0.35499999999999998</v>
      </c>
      <c r="R1089" s="108"/>
      <c r="S1089" s="253">
        <f t="shared" si="15"/>
        <v>3.9979852222567818</v>
      </c>
      <c r="T1089" s="108" t="s">
        <v>1346</v>
      </c>
      <c r="U1089" s="108">
        <v>0.87005746936624828</v>
      </c>
      <c r="V1089" s="107">
        <v>21.492000000000001</v>
      </c>
      <c r="W1089" s="106" t="s">
        <v>1347</v>
      </c>
    </row>
    <row r="1090" spans="1:23" ht="21" customHeight="1">
      <c r="A1090" s="104" t="s">
        <v>579</v>
      </c>
      <c r="B1090" s="104" t="s">
        <v>580</v>
      </c>
      <c r="C1090" s="454" t="s">
        <v>581</v>
      </c>
      <c r="D1090" s="105" t="s">
        <v>151</v>
      </c>
      <c r="E1090" s="104">
        <v>908</v>
      </c>
      <c r="F1090" s="104">
        <v>4085</v>
      </c>
      <c r="G1090" s="106" t="s">
        <v>250</v>
      </c>
      <c r="H1090" s="104" t="s">
        <v>251</v>
      </c>
      <c r="I1090" s="104" t="s">
        <v>225</v>
      </c>
      <c r="J1090" s="104" t="s">
        <v>105</v>
      </c>
      <c r="K1090" s="104" t="s">
        <v>112</v>
      </c>
      <c r="L1090" s="104" t="s">
        <v>663</v>
      </c>
      <c r="M1090" s="104" t="s">
        <v>108</v>
      </c>
      <c r="N1090" s="108"/>
      <c r="O1090" s="108"/>
      <c r="P1090" s="108">
        <v>0.35499999999999998</v>
      </c>
      <c r="Q1090" s="108">
        <v>0.35399999999999998</v>
      </c>
      <c r="R1090" s="108"/>
      <c r="S1090" s="253">
        <f t="shared" si="15"/>
        <v>4.4865826007927092</v>
      </c>
      <c r="T1090" s="108" t="s">
        <v>1346</v>
      </c>
      <c r="U1090" s="108">
        <v>0.87005746936624828</v>
      </c>
      <c r="V1090" s="107">
        <v>21.492000000000001</v>
      </c>
      <c r="W1090" s="106" t="s">
        <v>1347</v>
      </c>
    </row>
    <row r="1091" spans="1:23" ht="33" customHeight="1">
      <c r="A1091" s="104" t="s">
        <v>579</v>
      </c>
      <c r="B1091" s="104" t="s">
        <v>580</v>
      </c>
      <c r="C1091" s="454" t="s">
        <v>581</v>
      </c>
      <c r="D1091" s="105" t="s">
        <v>151</v>
      </c>
      <c r="E1091" s="104">
        <v>908</v>
      </c>
      <c r="F1091" s="104">
        <v>4086</v>
      </c>
      <c r="G1091" s="106" t="s">
        <v>250</v>
      </c>
      <c r="H1091" s="104" t="s">
        <v>251</v>
      </c>
      <c r="I1091" s="104" t="s">
        <v>225</v>
      </c>
      <c r="J1091" s="104" t="s">
        <v>105</v>
      </c>
      <c r="K1091" s="104" t="s">
        <v>1356</v>
      </c>
      <c r="L1091" s="104" t="s">
        <v>663</v>
      </c>
      <c r="M1091" s="104" t="s">
        <v>108</v>
      </c>
      <c r="N1091" s="108"/>
      <c r="O1091" s="108"/>
      <c r="P1091" s="108">
        <v>0.35799999999999998</v>
      </c>
      <c r="Q1091" s="108">
        <v>0.35299999999999998</v>
      </c>
      <c r="R1091" s="108"/>
      <c r="S1091" s="253">
        <f t="shared" si="15"/>
        <v>4.6149796289123879</v>
      </c>
      <c r="T1091" s="108" t="s">
        <v>1346</v>
      </c>
      <c r="U1091" s="108">
        <v>0.87005746936624828</v>
      </c>
      <c r="V1091" s="107">
        <v>21.492000000000001</v>
      </c>
      <c r="W1091" s="106" t="s">
        <v>1347</v>
      </c>
    </row>
    <row r="1092" spans="1:23" ht="33" customHeight="1">
      <c r="A1092" s="104" t="s">
        <v>579</v>
      </c>
      <c r="B1092" s="104" t="s">
        <v>580</v>
      </c>
      <c r="C1092" s="454" t="s">
        <v>581</v>
      </c>
      <c r="D1092" s="105" t="s">
        <v>151</v>
      </c>
      <c r="E1092" s="104">
        <v>908</v>
      </c>
      <c r="F1092" s="104">
        <v>4084</v>
      </c>
      <c r="G1092" s="106" t="s">
        <v>250</v>
      </c>
      <c r="H1092" s="104" t="s">
        <v>251</v>
      </c>
      <c r="I1092" s="104" t="s">
        <v>225</v>
      </c>
      <c r="J1092" s="104" t="s">
        <v>105</v>
      </c>
      <c r="K1092" s="104" t="s">
        <v>112</v>
      </c>
      <c r="L1092" s="104" t="s">
        <v>663</v>
      </c>
      <c r="M1092" s="104" t="s">
        <v>108</v>
      </c>
      <c r="N1092" s="108"/>
      <c r="O1092" s="108"/>
      <c r="P1092" s="108">
        <v>0.36299999999999999</v>
      </c>
      <c r="Q1092" s="108">
        <v>0.35299999999999998</v>
      </c>
      <c r="R1092" s="108"/>
      <c r="S1092" s="253">
        <f t="shared" si="15"/>
        <v>4.8346708677310106</v>
      </c>
      <c r="T1092" s="108" t="s">
        <v>1346</v>
      </c>
      <c r="U1092" s="108">
        <v>0.87005746936624828</v>
      </c>
      <c r="V1092" s="107">
        <v>21.492000000000001</v>
      </c>
      <c r="W1092" s="106" t="s">
        <v>1347</v>
      </c>
    </row>
    <row r="1093" spans="1:23" ht="21" customHeight="1">
      <c r="A1093" s="104" t="s">
        <v>579</v>
      </c>
      <c r="B1093" s="104" t="s">
        <v>580</v>
      </c>
      <c r="C1093" s="454" t="s">
        <v>581</v>
      </c>
      <c r="D1093" s="105" t="s">
        <v>151</v>
      </c>
      <c r="E1093" s="104">
        <v>908</v>
      </c>
      <c r="F1093" s="104">
        <v>4397</v>
      </c>
      <c r="G1093" s="106" t="s">
        <v>250</v>
      </c>
      <c r="H1093" s="104" t="s">
        <v>251</v>
      </c>
      <c r="I1093" s="104" t="s">
        <v>225</v>
      </c>
      <c r="J1093" s="104" t="s">
        <v>105</v>
      </c>
      <c r="K1093" s="104" t="s">
        <v>112</v>
      </c>
      <c r="L1093" s="104" t="s">
        <v>663</v>
      </c>
      <c r="M1093" s="104" t="s">
        <v>108</v>
      </c>
      <c r="N1093" s="108"/>
      <c r="O1093" s="108"/>
      <c r="P1093" s="108">
        <v>0.36499999999999999</v>
      </c>
      <c r="Q1093" s="108">
        <v>0.316</v>
      </c>
      <c r="R1093" s="108"/>
      <c r="S1093" s="253">
        <f t="shared" si="15"/>
        <v>4.9245661383233985</v>
      </c>
      <c r="T1093" s="108" t="s">
        <v>1346</v>
      </c>
      <c r="U1093" s="108">
        <v>0.87005746936624828</v>
      </c>
      <c r="V1093" s="107">
        <v>21.492000000000001</v>
      </c>
      <c r="W1093" s="106" t="s">
        <v>1347</v>
      </c>
    </row>
    <row r="1094" spans="1:23" ht="21" customHeight="1">
      <c r="A1094" s="104" t="s">
        <v>579</v>
      </c>
      <c r="B1094" s="104" t="s">
        <v>580</v>
      </c>
      <c r="C1094" s="454" t="s">
        <v>581</v>
      </c>
      <c r="D1094" s="105" t="s">
        <v>151</v>
      </c>
      <c r="E1094" s="104">
        <v>908</v>
      </c>
      <c r="F1094" s="104">
        <v>4090</v>
      </c>
      <c r="G1094" s="106" t="s">
        <v>250</v>
      </c>
      <c r="H1094" s="104" t="s">
        <v>251</v>
      </c>
      <c r="I1094" s="104" t="s">
        <v>225</v>
      </c>
      <c r="J1094" s="104" t="s">
        <v>105</v>
      </c>
      <c r="K1094" s="104" t="s">
        <v>112</v>
      </c>
      <c r="L1094" s="104" t="s">
        <v>663</v>
      </c>
      <c r="M1094" s="104" t="s">
        <v>108</v>
      </c>
      <c r="N1094" s="108"/>
      <c r="O1094" s="108"/>
      <c r="P1094" s="108">
        <v>0.377</v>
      </c>
      <c r="Q1094" s="108">
        <v>0.33500000000000002</v>
      </c>
      <c r="R1094" s="108"/>
      <c r="S1094" s="253">
        <f t="shared" si="15"/>
        <v>5.488738589226779</v>
      </c>
      <c r="T1094" s="108" t="s">
        <v>1346</v>
      </c>
      <c r="U1094" s="108">
        <v>0.87005746936624828</v>
      </c>
      <c r="V1094" s="107">
        <v>21.492000000000001</v>
      </c>
      <c r="W1094" s="106" t="s">
        <v>1347</v>
      </c>
    </row>
    <row r="1095" spans="1:23" ht="21" customHeight="1">
      <c r="A1095" s="104" t="s">
        <v>579</v>
      </c>
      <c r="B1095" s="104" t="s">
        <v>580</v>
      </c>
      <c r="C1095" s="454" t="s">
        <v>581</v>
      </c>
      <c r="D1095" s="105" t="s">
        <v>151</v>
      </c>
      <c r="E1095" s="104">
        <v>908</v>
      </c>
      <c r="F1095" s="104">
        <v>3404</v>
      </c>
      <c r="G1095" s="106" t="s">
        <v>250</v>
      </c>
      <c r="H1095" s="104" t="s">
        <v>251</v>
      </c>
      <c r="I1095" s="104" t="s">
        <v>225</v>
      </c>
      <c r="J1095" s="104" t="s">
        <v>105</v>
      </c>
      <c r="K1095" s="104" t="s">
        <v>112</v>
      </c>
      <c r="L1095" s="104" t="s">
        <v>663</v>
      </c>
      <c r="M1095" s="104" t="s">
        <v>108</v>
      </c>
      <c r="N1095" s="108"/>
      <c r="O1095" s="108"/>
      <c r="P1095" s="108">
        <v>0.39</v>
      </c>
      <c r="Q1095" s="108">
        <v>0.3</v>
      </c>
      <c r="R1095" s="108"/>
      <c r="S1095" s="253">
        <f t="shared" si="15"/>
        <v>6.1494974726878979</v>
      </c>
      <c r="T1095" s="108" t="s">
        <v>1346</v>
      </c>
      <c r="U1095" s="108">
        <v>0.87005746936624828</v>
      </c>
      <c r="V1095" s="107">
        <v>21.492000000000001</v>
      </c>
      <c r="W1095" s="106" t="s">
        <v>1347</v>
      </c>
    </row>
    <row r="1096" spans="1:23" ht="21" customHeight="1">
      <c r="A1096" s="104" t="s">
        <v>579</v>
      </c>
      <c r="B1096" s="104" t="s">
        <v>580</v>
      </c>
      <c r="C1096" s="454" t="s">
        <v>581</v>
      </c>
      <c r="D1096" s="105" t="s">
        <v>151</v>
      </c>
      <c r="E1096" s="104">
        <v>908</v>
      </c>
      <c r="F1096" s="104">
        <v>4088</v>
      </c>
      <c r="G1096" s="106" t="s">
        <v>250</v>
      </c>
      <c r="H1096" s="104" t="s">
        <v>251</v>
      </c>
      <c r="I1096" s="104" t="s">
        <v>225</v>
      </c>
      <c r="J1096" s="104" t="s">
        <v>105</v>
      </c>
      <c r="K1096" s="104" t="s">
        <v>112</v>
      </c>
      <c r="L1096" s="104" t="s">
        <v>663</v>
      </c>
      <c r="M1096" s="104" t="s">
        <v>108</v>
      </c>
      <c r="N1096" s="108"/>
      <c r="O1096" s="108"/>
      <c r="P1096" s="108">
        <v>0.39200000000000002</v>
      </c>
      <c r="Q1096" s="108">
        <v>0.33399999999999996</v>
      </c>
      <c r="R1096" s="108"/>
      <c r="S1096" s="253">
        <f t="shared" si="15"/>
        <v>6.2558767330807985</v>
      </c>
      <c r="T1096" s="108" t="s">
        <v>1346</v>
      </c>
      <c r="U1096" s="108">
        <v>0.87005746936624828</v>
      </c>
      <c r="V1096" s="107">
        <v>21.492000000000001</v>
      </c>
      <c r="W1096" s="106" t="s">
        <v>1347</v>
      </c>
    </row>
    <row r="1097" spans="1:23" ht="21" customHeight="1">
      <c r="A1097" s="104" t="s">
        <v>579</v>
      </c>
      <c r="B1097" s="104" t="s">
        <v>580</v>
      </c>
      <c r="C1097" s="454" t="s">
        <v>581</v>
      </c>
      <c r="D1097" s="105" t="s">
        <v>151</v>
      </c>
      <c r="E1097" s="104">
        <v>908</v>
      </c>
      <c r="F1097" s="104">
        <v>4087</v>
      </c>
      <c r="G1097" s="106" t="s">
        <v>250</v>
      </c>
      <c r="H1097" s="104" t="s">
        <v>251</v>
      </c>
      <c r="I1097" s="104" t="s">
        <v>225</v>
      </c>
      <c r="J1097" s="104" t="s">
        <v>105</v>
      </c>
      <c r="K1097" s="104" t="s">
        <v>112</v>
      </c>
      <c r="L1097" s="104" t="s">
        <v>663</v>
      </c>
      <c r="M1097" s="104" t="s">
        <v>108</v>
      </c>
      <c r="N1097" s="108"/>
      <c r="O1097" s="108"/>
      <c r="P1097" s="108">
        <v>0.4</v>
      </c>
      <c r="Q1097" s="108">
        <v>0.32700000000000001</v>
      </c>
      <c r="R1097" s="108"/>
      <c r="S1097" s="253">
        <f t="shared" si="15"/>
        <v>6.6943305184113893</v>
      </c>
      <c r="T1097" s="108" t="s">
        <v>1346</v>
      </c>
      <c r="U1097" s="108">
        <v>0.87005746936624828</v>
      </c>
      <c r="V1097" s="107">
        <v>21.492000000000001</v>
      </c>
      <c r="W1097" s="106" t="s">
        <v>1347</v>
      </c>
    </row>
    <row r="1098" spans="1:23" ht="21" customHeight="1">
      <c r="A1098" s="104" t="s">
        <v>579</v>
      </c>
      <c r="B1098" s="104" t="s">
        <v>580</v>
      </c>
      <c r="C1098" s="454" t="s">
        <v>581</v>
      </c>
      <c r="D1098" s="105" t="s">
        <v>151</v>
      </c>
      <c r="E1098" s="104">
        <v>908</v>
      </c>
      <c r="F1098" s="104">
        <v>4093</v>
      </c>
      <c r="G1098" s="106" t="s">
        <v>250</v>
      </c>
      <c r="H1098" s="104" t="s">
        <v>251</v>
      </c>
      <c r="I1098" s="104" t="s">
        <v>225</v>
      </c>
      <c r="J1098" s="104" t="s">
        <v>105</v>
      </c>
      <c r="K1098" s="104" t="s">
        <v>112</v>
      </c>
      <c r="L1098" s="104" t="s">
        <v>663</v>
      </c>
      <c r="M1098" s="104" t="s">
        <v>108</v>
      </c>
      <c r="N1098" s="108"/>
      <c r="O1098" s="108"/>
      <c r="P1098" s="108">
        <v>0.41200000000000003</v>
      </c>
      <c r="Q1098" s="108">
        <v>0.375</v>
      </c>
      <c r="R1098" s="108"/>
      <c r="S1098" s="253">
        <f t="shared" si="15"/>
        <v>7.3918026840569215</v>
      </c>
      <c r="T1098" s="108" t="s">
        <v>1346</v>
      </c>
      <c r="U1098" s="108">
        <v>0.87005746936624828</v>
      </c>
      <c r="V1098" s="107">
        <v>21.492000000000001</v>
      </c>
      <c r="W1098" s="106" t="s">
        <v>1347</v>
      </c>
    </row>
    <row r="1099" spans="1:23" ht="21" customHeight="1">
      <c r="A1099" s="104" t="s">
        <v>579</v>
      </c>
      <c r="B1099" s="104" t="s">
        <v>580</v>
      </c>
      <c r="C1099" s="454" t="s">
        <v>581</v>
      </c>
      <c r="D1099" s="105" t="s">
        <v>151</v>
      </c>
      <c r="E1099" s="104">
        <v>908</v>
      </c>
      <c r="F1099" s="104">
        <v>4096</v>
      </c>
      <c r="G1099" s="106" t="s">
        <v>250</v>
      </c>
      <c r="H1099" s="104" t="s">
        <v>251</v>
      </c>
      <c r="I1099" s="104" t="s">
        <v>225</v>
      </c>
      <c r="J1099" s="104" t="s">
        <v>105</v>
      </c>
      <c r="K1099" s="104" t="s">
        <v>112</v>
      </c>
      <c r="L1099" s="104" t="s">
        <v>663</v>
      </c>
      <c r="M1099" s="104" t="s">
        <v>108</v>
      </c>
      <c r="N1099" s="108"/>
      <c r="O1099" s="108"/>
      <c r="P1099" s="108">
        <v>0.42000000000000004</v>
      </c>
      <c r="Q1099" s="108">
        <v>0.4</v>
      </c>
      <c r="R1099" s="108"/>
      <c r="S1099" s="253">
        <f t="shared" si="15"/>
        <v>7.8841498609908358</v>
      </c>
      <c r="T1099" s="108" t="s">
        <v>1346</v>
      </c>
      <c r="U1099" s="108">
        <v>0.87005746936624828</v>
      </c>
      <c r="V1099" s="107">
        <v>21.492000000000001</v>
      </c>
      <c r="W1099" s="106" t="s">
        <v>1347</v>
      </c>
    </row>
    <row r="1100" spans="1:23" ht="21" customHeight="1">
      <c r="A1100" s="104" t="s">
        <v>169</v>
      </c>
      <c r="B1100" s="104" t="s">
        <v>149</v>
      </c>
      <c r="C1100" s="454" t="s">
        <v>150</v>
      </c>
      <c r="D1100" s="105" t="s">
        <v>151</v>
      </c>
      <c r="E1100" s="104">
        <v>908</v>
      </c>
      <c r="F1100" s="104">
        <v>2422</v>
      </c>
      <c r="G1100" s="106" t="s">
        <v>250</v>
      </c>
      <c r="H1100" s="104" t="s">
        <v>251</v>
      </c>
      <c r="I1100" s="104" t="s">
        <v>104</v>
      </c>
      <c r="J1100" s="104" t="s">
        <v>105</v>
      </c>
      <c r="K1100" s="104" t="s">
        <v>158</v>
      </c>
      <c r="L1100" s="104" t="s">
        <v>686</v>
      </c>
      <c r="M1100" s="104" t="s">
        <v>114</v>
      </c>
      <c r="N1100" s="108" t="s">
        <v>17</v>
      </c>
      <c r="O1100" s="104" t="s">
        <v>17</v>
      </c>
      <c r="P1100" s="113">
        <v>2.3050000000000002</v>
      </c>
      <c r="Q1100" s="113">
        <v>2.202</v>
      </c>
      <c r="R1100" s="104" t="s">
        <v>17</v>
      </c>
      <c r="S1100" s="253">
        <f>(10^((2.9*LOG((P1100))+1.209)))</f>
        <v>182.28280216369154</v>
      </c>
      <c r="T1100" s="103" t="s">
        <v>1386</v>
      </c>
      <c r="U1100" s="108">
        <v>0.96399999999999997</v>
      </c>
      <c r="V1100" s="107">
        <v>30.5</v>
      </c>
      <c r="W1100" s="414" t="s">
        <v>1385</v>
      </c>
    </row>
    <row r="1101" spans="1:23" ht="21" customHeight="1">
      <c r="A1101" s="104" t="s">
        <v>169</v>
      </c>
      <c r="B1101" s="104" t="s">
        <v>149</v>
      </c>
      <c r="C1101" s="454" t="s">
        <v>150</v>
      </c>
      <c r="D1101" s="105" t="s">
        <v>151</v>
      </c>
      <c r="E1101" s="104">
        <v>908</v>
      </c>
      <c r="F1101" s="104">
        <v>2436</v>
      </c>
      <c r="G1101" s="106" t="s">
        <v>250</v>
      </c>
      <c r="H1101" s="104" t="s">
        <v>251</v>
      </c>
      <c r="I1101" s="104" t="s">
        <v>104</v>
      </c>
      <c r="J1101" s="104" t="s">
        <v>105</v>
      </c>
      <c r="K1101" s="104" t="s">
        <v>158</v>
      </c>
      <c r="L1101" s="104" t="s">
        <v>686</v>
      </c>
      <c r="M1101" s="104" t="s">
        <v>114</v>
      </c>
      <c r="N1101" s="108" t="s">
        <v>17</v>
      </c>
      <c r="O1101" s="104" t="s">
        <v>17</v>
      </c>
      <c r="P1101" s="113">
        <v>2.6120000000000001</v>
      </c>
      <c r="Q1101" s="113">
        <v>2.1269999999999998</v>
      </c>
      <c r="R1101" s="104" t="s">
        <v>17</v>
      </c>
      <c r="S1101" s="253">
        <f>(10^((2.9*LOG((P1101))+1.209)))</f>
        <v>261.95229067807924</v>
      </c>
      <c r="T1101" s="103" t="s">
        <v>1386</v>
      </c>
      <c r="U1101" s="108">
        <v>0.96399999999999997</v>
      </c>
      <c r="V1101" s="107">
        <v>30.5</v>
      </c>
      <c r="W1101" s="414" t="s">
        <v>1385</v>
      </c>
    </row>
    <row r="1102" spans="1:23" ht="21" customHeight="1">
      <c r="A1102" s="104" t="s">
        <v>169</v>
      </c>
      <c r="B1102" s="104" t="s">
        <v>149</v>
      </c>
      <c r="C1102" s="454" t="s">
        <v>150</v>
      </c>
      <c r="D1102" s="105" t="s">
        <v>151</v>
      </c>
      <c r="E1102" s="104">
        <v>908</v>
      </c>
      <c r="F1102" s="104">
        <v>2319</v>
      </c>
      <c r="G1102" s="106" t="s">
        <v>250</v>
      </c>
      <c r="H1102" s="104" t="s">
        <v>251</v>
      </c>
      <c r="I1102" s="104" t="s">
        <v>104</v>
      </c>
      <c r="J1102" s="104" t="s">
        <v>105</v>
      </c>
      <c r="K1102" s="104" t="s">
        <v>1398</v>
      </c>
      <c r="L1102" s="104" t="s">
        <v>1399</v>
      </c>
      <c r="M1102" s="104" t="s">
        <v>114</v>
      </c>
      <c r="N1102" s="108" t="s">
        <v>17</v>
      </c>
      <c r="O1102" s="104" t="s">
        <v>17</v>
      </c>
      <c r="P1102" s="113">
        <v>2.7</v>
      </c>
      <c r="Q1102" s="113">
        <v>2.42</v>
      </c>
      <c r="R1102" s="104" t="s">
        <v>17</v>
      </c>
      <c r="S1102" s="253">
        <f>(10^((2.9*LOG((P1102))+1.209)))</f>
        <v>288.37321284926071</v>
      </c>
      <c r="T1102" s="103" t="s">
        <v>1386</v>
      </c>
      <c r="U1102" s="108">
        <v>0.96399999999999997</v>
      </c>
      <c r="V1102" s="107">
        <v>30.5</v>
      </c>
      <c r="W1102" s="414" t="s">
        <v>1388</v>
      </c>
    </row>
    <row r="1103" spans="1:23" ht="21" customHeight="1">
      <c r="A1103" s="104" t="s">
        <v>169</v>
      </c>
      <c r="B1103" s="104" t="s">
        <v>149</v>
      </c>
      <c r="C1103" s="454" t="s">
        <v>150</v>
      </c>
      <c r="D1103" s="105" t="s">
        <v>151</v>
      </c>
      <c r="E1103" s="104">
        <v>908</v>
      </c>
      <c r="F1103" s="104">
        <v>2372</v>
      </c>
      <c r="G1103" s="106" t="s">
        <v>250</v>
      </c>
      <c r="H1103" s="104" t="s">
        <v>251</v>
      </c>
      <c r="I1103" s="104" t="s">
        <v>104</v>
      </c>
      <c r="J1103" s="104" t="s">
        <v>105</v>
      </c>
      <c r="K1103" s="104" t="s">
        <v>185</v>
      </c>
      <c r="L1103" s="104" t="s">
        <v>997</v>
      </c>
      <c r="M1103" s="104"/>
      <c r="N1103" s="108" t="s">
        <v>17</v>
      </c>
      <c r="O1103" s="104" t="s">
        <v>17</v>
      </c>
      <c r="P1103" s="113">
        <v>3.1309999999999998</v>
      </c>
      <c r="Q1103" s="113">
        <v>2.4</v>
      </c>
      <c r="R1103" s="104" t="s">
        <v>17</v>
      </c>
      <c r="S1103" s="253">
        <f>((10^((3.187*LOG((P1103))+1.264))+(10^((3.01*LOG((P1103))+1.216)))+(10^(((2.999*(LOG(P1103)))+1.162)))))/3</f>
        <v>551.1760145975154</v>
      </c>
      <c r="T1103" s="103" t="s">
        <v>1384</v>
      </c>
      <c r="U1103" s="108">
        <v>0.98499999999999999</v>
      </c>
      <c r="V1103" s="107">
        <v>16.5</v>
      </c>
      <c r="W1103" s="414" t="s">
        <v>1385</v>
      </c>
    </row>
    <row r="1104" spans="1:23" ht="21" customHeight="1">
      <c r="A1104" s="104" t="s">
        <v>169</v>
      </c>
      <c r="B1104" s="104" t="s">
        <v>149</v>
      </c>
      <c r="C1104" s="454" t="s">
        <v>150</v>
      </c>
      <c r="D1104" s="105" t="s">
        <v>151</v>
      </c>
      <c r="E1104" s="104">
        <v>908</v>
      </c>
      <c r="F1104" s="104">
        <v>2299</v>
      </c>
      <c r="G1104" s="106" t="s">
        <v>250</v>
      </c>
      <c r="H1104" s="104" t="s">
        <v>251</v>
      </c>
      <c r="I1104" s="104" t="s">
        <v>104</v>
      </c>
      <c r="J1104" s="104" t="s">
        <v>105</v>
      </c>
      <c r="K1104" s="104" t="s">
        <v>1421</v>
      </c>
      <c r="L1104" s="104" t="s">
        <v>1422</v>
      </c>
      <c r="M1104" s="104" t="s">
        <v>114</v>
      </c>
      <c r="N1104" s="108" t="s">
        <v>17</v>
      </c>
      <c r="O1104" s="104" t="s">
        <v>17</v>
      </c>
      <c r="P1104" s="113">
        <v>2.9630000000000001</v>
      </c>
      <c r="Q1104" s="113">
        <v>1.6890000000000001</v>
      </c>
      <c r="R1104" s="104" t="s">
        <v>17</v>
      </c>
      <c r="S1104" s="253">
        <f>( (10^((2.965*LOG((P1104))+1.383))) +  (10^((3.09*LOG((P1104))+1.29))))/2</f>
        <v>582.10438382860139</v>
      </c>
      <c r="T1104" s="103" t="s">
        <v>1423</v>
      </c>
      <c r="U1104" s="108"/>
      <c r="V1104" s="107"/>
      <c r="W1104" s="414" t="s">
        <v>1385</v>
      </c>
    </row>
    <row r="1105" spans="1:23" ht="21" customHeight="1">
      <c r="A1105" s="104" t="s">
        <v>169</v>
      </c>
      <c r="B1105" s="104" t="s">
        <v>149</v>
      </c>
      <c r="C1105" s="454" t="s">
        <v>150</v>
      </c>
      <c r="D1105" s="105" t="s">
        <v>151</v>
      </c>
      <c r="E1105" s="104">
        <v>908</v>
      </c>
      <c r="F1105" s="104">
        <v>2369</v>
      </c>
      <c r="G1105" s="106" t="s">
        <v>250</v>
      </c>
      <c r="H1105" s="104" t="s">
        <v>251</v>
      </c>
      <c r="I1105" s="104" t="s">
        <v>104</v>
      </c>
      <c r="J1105" s="104" t="s">
        <v>105</v>
      </c>
      <c r="K1105" s="104" t="s">
        <v>185</v>
      </c>
      <c r="L1105" s="104" t="s">
        <v>997</v>
      </c>
      <c r="M1105" s="104"/>
      <c r="N1105" s="108" t="s">
        <v>17</v>
      </c>
      <c r="O1105" s="104" t="s">
        <v>17</v>
      </c>
      <c r="P1105" s="113">
        <v>3.2640000000000002</v>
      </c>
      <c r="Q1105" s="113">
        <v>2.31</v>
      </c>
      <c r="R1105" s="104" t="s">
        <v>17</v>
      </c>
      <c r="S1105" s="253">
        <f>((10^((3.187*LOG((P1105))+1.264))+(10^((3.01*LOG((P1105))+1.216)))+(10^(((2.999*(LOG(P1105)))+1.162)))))/3</f>
        <v>626.57249497364626</v>
      </c>
      <c r="T1105" s="103" t="s">
        <v>1384</v>
      </c>
      <c r="U1105" s="108">
        <v>0.98499999999999999</v>
      </c>
      <c r="V1105" s="107">
        <v>16.5</v>
      </c>
      <c r="W1105" s="414" t="s">
        <v>1385</v>
      </c>
    </row>
    <row r="1106" spans="1:23" ht="21" customHeight="1">
      <c r="A1106" s="104" t="s">
        <v>169</v>
      </c>
      <c r="B1106" s="104" t="s">
        <v>149</v>
      </c>
      <c r="C1106" s="454" t="s">
        <v>150</v>
      </c>
      <c r="D1106" s="105" t="s">
        <v>151</v>
      </c>
      <c r="E1106" s="104">
        <v>908</v>
      </c>
      <c r="F1106" s="104">
        <v>2455</v>
      </c>
      <c r="G1106" s="106" t="s">
        <v>250</v>
      </c>
      <c r="H1106" s="104" t="s">
        <v>251</v>
      </c>
      <c r="I1106" s="104" t="s">
        <v>104</v>
      </c>
      <c r="J1106" s="104" t="s">
        <v>105</v>
      </c>
      <c r="K1106" s="104" t="s">
        <v>1424</v>
      </c>
      <c r="L1106" s="104" t="s">
        <v>1425</v>
      </c>
      <c r="M1106" s="104" t="s">
        <v>108</v>
      </c>
      <c r="N1106" s="108" t="s">
        <v>17</v>
      </c>
      <c r="O1106" s="104" t="s">
        <v>17</v>
      </c>
      <c r="P1106" s="113">
        <v>3.0379999999999998</v>
      </c>
      <c r="Q1106" s="113">
        <v>1.677</v>
      </c>
      <c r="R1106" s="104" t="s">
        <v>17</v>
      </c>
      <c r="S1106" s="253">
        <f>( (10^((2.965*LOG((P1106))+1.383))) +  (10^((3.09*LOG((P1106))+1.29))))/2</f>
        <v>627.82950920207713</v>
      </c>
      <c r="T1106" s="103" t="s">
        <v>1423</v>
      </c>
      <c r="U1106" s="108"/>
      <c r="V1106" s="107"/>
      <c r="W1106" s="414" t="s">
        <v>1385</v>
      </c>
    </row>
    <row r="1107" spans="1:23" ht="21" customHeight="1">
      <c r="A1107" s="104" t="s">
        <v>169</v>
      </c>
      <c r="B1107" s="104" t="s">
        <v>149</v>
      </c>
      <c r="C1107" s="454" t="s">
        <v>150</v>
      </c>
      <c r="D1107" s="105" t="s">
        <v>151</v>
      </c>
      <c r="E1107" s="104">
        <v>908</v>
      </c>
      <c r="F1107" s="104">
        <v>2295</v>
      </c>
      <c r="G1107" s="106" t="s">
        <v>250</v>
      </c>
      <c r="H1107" s="104" t="s">
        <v>251</v>
      </c>
      <c r="I1107" s="104" t="s">
        <v>104</v>
      </c>
      <c r="J1107" s="104" t="s">
        <v>105</v>
      </c>
      <c r="K1107" s="104" t="s">
        <v>233</v>
      </c>
      <c r="L1107" s="104" t="s">
        <v>653</v>
      </c>
      <c r="M1107" s="104" t="s">
        <v>114</v>
      </c>
      <c r="N1107" s="108" t="s">
        <v>17</v>
      </c>
      <c r="O1107" s="104" t="s">
        <v>17</v>
      </c>
      <c r="P1107" s="113">
        <v>3.2600000000000002</v>
      </c>
      <c r="Q1107" s="113">
        <v>2.0609999999999999</v>
      </c>
      <c r="R1107" s="104" t="s">
        <v>17</v>
      </c>
      <c r="S1107" s="253">
        <f>(10^((2.965*LOG((P1107))+1.383)))</f>
        <v>802.95310935029397</v>
      </c>
      <c r="T1107" s="103" t="s">
        <v>1410</v>
      </c>
      <c r="U1107" s="108">
        <v>0.95699999999999996</v>
      </c>
      <c r="V1107" s="108">
        <v>37.6</v>
      </c>
      <c r="W1107" s="414" t="s">
        <v>1385</v>
      </c>
    </row>
    <row r="1108" spans="1:23" ht="21" customHeight="1">
      <c r="A1108" s="104" t="s">
        <v>169</v>
      </c>
      <c r="B1108" s="104" t="s">
        <v>149</v>
      </c>
      <c r="C1108" s="454" t="s">
        <v>150</v>
      </c>
      <c r="D1108" s="105" t="s">
        <v>151</v>
      </c>
      <c r="E1108" s="104">
        <v>908</v>
      </c>
      <c r="F1108" s="104">
        <v>2455</v>
      </c>
      <c r="G1108" s="106" t="s">
        <v>250</v>
      </c>
      <c r="H1108" s="104" t="s">
        <v>251</v>
      </c>
      <c r="I1108" s="104" t="s">
        <v>104</v>
      </c>
      <c r="J1108" s="104" t="s">
        <v>105</v>
      </c>
      <c r="K1108" s="104" t="s">
        <v>1430</v>
      </c>
      <c r="L1108" s="104" t="s">
        <v>1431</v>
      </c>
      <c r="M1108" s="104" t="s">
        <v>108</v>
      </c>
      <c r="N1108" s="108" t="s">
        <v>17</v>
      </c>
      <c r="O1108" s="104" t="s">
        <v>17</v>
      </c>
      <c r="P1108" s="113">
        <v>3.3759999999999999</v>
      </c>
      <c r="Q1108" s="113">
        <v>1.4869999999999999</v>
      </c>
      <c r="R1108" s="104" t="s">
        <v>17</v>
      </c>
      <c r="S1108" s="253">
        <f>( (10^((2.965*LOG((P1108))+1.383))) +  (10^((3.09*LOG((P1108))+1.29))))/2</f>
        <v>863.8680048639211</v>
      </c>
      <c r="T1108" s="103" t="s">
        <v>1423</v>
      </c>
      <c r="U1108" s="108"/>
      <c r="V1108" s="107"/>
      <c r="W1108" s="414" t="s">
        <v>1385</v>
      </c>
    </row>
    <row r="1109" spans="1:23" ht="21" customHeight="1">
      <c r="A1109" s="104" t="s">
        <v>169</v>
      </c>
      <c r="B1109" s="104" t="s">
        <v>149</v>
      </c>
      <c r="C1109" s="454" t="s">
        <v>150</v>
      </c>
      <c r="D1109" s="105" t="s">
        <v>151</v>
      </c>
      <c r="E1109" s="104">
        <v>908</v>
      </c>
      <c r="F1109" s="104">
        <v>2434</v>
      </c>
      <c r="G1109" s="106" t="s">
        <v>250</v>
      </c>
      <c r="H1109" s="104" t="s">
        <v>251</v>
      </c>
      <c r="I1109" s="104" t="s">
        <v>104</v>
      </c>
      <c r="J1109" s="104" t="s">
        <v>105</v>
      </c>
      <c r="K1109" s="104" t="s">
        <v>243</v>
      </c>
      <c r="L1109" s="104" t="s">
        <v>421</v>
      </c>
      <c r="M1109" s="104" t="s">
        <v>108</v>
      </c>
      <c r="N1109" s="108" t="s">
        <v>17</v>
      </c>
      <c r="O1109" s="104" t="s">
        <v>17</v>
      </c>
      <c r="P1109" s="113">
        <v>3.5960000000000001</v>
      </c>
      <c r="Q1109" s="113">
        <v>1.26</v>
      </c>
      <c r="R1109" s="104" t="s">
        <v>17</v>
      </c>
      <c r="S1109" s="253">
        <f>(10^((3.09*LOG((P1109))+1.29)))</f>
        <v>1017.3791210262619</v>
      </c>
      <c r="T1109" s="103" t="s">
        <v>1416</v>
      </c>
      <c r="U1109" s="108">
        <v>0.98599999999999999</v>
      </c>
      <c r="V1109" s="107">
        <v>21</v>
      </c>
      <c r="W1109" s="414" t="s">
        <v>1385</v>
      </c>
    </row>
    <row r="1110" spans="1:23" ht="21" customHeight="1">
      <c r="A1110" s="104" t="s">
        <v>169</v>
      </c>
      <c r="B1110" s="104" t="s">
        <v>149</v>
      </c>
      <c r="C1110" s="454" t="s">
        <v>150</v>
      </c>
      <c r="D1110" s="105" t="s">
        <v>151</v>
      </c>
      <c r="E1110" s="104">
        <v>908</v>
      </c>
      <c r="F1110" s="104">
        <v>2297</v>
      </c>
      <c r="G1110" s="106" t="s">
        <v>250</v>
      </c>
      <c r="H1110" s="104" t="s">
        <v>251</v>
      </c>
      <c r="I1110" s="104" t="s">
        <v>104</v>
      </c>
      <c r="J1110" s="104" t="s">
        <v>105</v>
      </c>
      <c r="K1110" s="104" t="s">
        <v>160</v>
      </c>
      <c r="L1110" s="104" t="s">
        <v>1059</v>
      </c>
      <c r="M1110" s="104" t="s">
        <v>114</v>
      </c>
      <c r="N1110" s="108" t="s">
        <v>17</v>
      </c>
      <c r="O1110" s="104" t="s">
        <v>17</v>
      </c>
      <c r="P1110" s="113">
        <v>4.0840000000000005</v>
      </c>
      <c r="Q1110" s="113">
        <v>2.423</v>
      </c>
      <c r="R1110" s="104" t="s">
        <v>17</v>
      </c>
      <c r="S1110" s="253">
        <f>( (10^((2.965*LOG((P1110))+1.383))) +  (10^((3.09*LOG((P1110))+1.29))))/2</f>
        <v>1536.8854609552623</v>
      </c>
      <c r="T1110" s="103" t="s">
        <v>1434</v>
      </c>
      <c r="U1110" s="108"/>
      <c r="V1110" s="107"/>
      <c r="W1110" s="414" t="s">
        <v>1385</v>
      </c>
    </row>
    <row r="1111" spans="1:23" ht="21" customHeight="1">
      <c r="A1111" s="103" t="s">
        <v>601</v>
      </c>
      <c r="B1111" s="103" t="s">
        <v>602</v>
      </c>
      <c r="C1111" s="421" t="s">
        <v>603</v>
      </c>
      <c r="D1111" s="105" t="s">
        <v>151</v>
      </c>
      <c r="E1111" s="103">
        <v>41863</v>
      </c>
      <c r="F1111" s="103">
        <v>1</v>
      </c>
      <c r="G1111" s="103" t="s">
        <v>1499</v>
      </c>
      <c r="H1111" s="103" t="s">
        <v>141</v>
      </c>
      <c r="I1111" s="104" t="s">
        <v>104</v>
      </c>
      <c r="J1111" s="103" t="s">
        <v>105</v>
      </c>
      <c r="K1111" s="103" t="s">
        <v>986</v>
      </c>
      <c r="L1111" s="104" t="s">
        <v>987</v>
      </c>
      <c r="M1111" s="103"/>
      <c r="N1111" s="103"/>
      <c r="O1111" s="103">
        <v>44.6</v>
      </c>
      <c r="P1111" s="103"/>
      <c r="Q1111" s="103"/>
      <c r="R1111" s="103"/>
      <c r="S1111" s="476">
        <v>7204.9</v>
      </c>
      <c r="T1111" s="103" t="s">
        <v>1470</v>
      </c>
      <c r="U1111" s="103">
        <v>0.99</v>
      </c>
      <c r="V1111" s="103" t="s">
        <v>287</v>
      </c>
      <c r="W1111" s="414" t="s">
        <v>1471</v>
      </c>
    </row>
    <row r="1112" spans="1:23" ht="21" customHeight="1">
      <c r="A1112" s="104" t="s">
        <v>273</v>
      </c>
      <c r="B1112" s="104" t="s">
        <v>74</v>
      </c>
      <c r="C1112" s="454" t="s">
        <v>266</v>
      </c>
      <c r="D1112" s="105" t="s">
        <v>267</v>
      </c>
      <c r="E1112" s="104">
        <v>41343</v>
      </c>
      <c r="F1112" s="104">
        <v>178</v>
      </c>
      <c r="G1112" s="106" t="s">
        <v>1221</v>
      </c>
      <c r="H1112" s="104"/>
      <c r="I1112" s="104" t="s">
        <v>104</v>
      </c>
      <c r="J1112" s="104" t="s">
        <v>284</v>
      </c>
      <c r="K1112" s="104" t="s">
        <v>1157</v>
      </c>
      <c r="L1112" s="104" t="s">
        <v>1158</v>
      </c>
      <c r="M1112" s="104"/>
      <c r="N1112" s="108"/>
      <c r="O1112" s="104"/>
      <c r="P1112" s="108"/>
      <c r="Q1112" s="108"/>
      <c r="R1112" s="104"/>
      <c r="S1112" s="253">
        <v>14.73493</v>
      </c>
      <c r="T1112" s="104"/>
      <c r="U1112" s="108"/>
      <c r="V1112" s="107"/>
      <c r="W1112" s="106"/>
    </row>
    <row r="1113" spans="1:23" ht="21" customHeight="1">
      <c r="A1113" s="104" t="s">
        <v>273</v>
      </c>
      <c r="B1113" s="104" t="s">
        <v>74</v>
      </c>
      <c r="C1113" s="454" t="s">
        <v>274</v>
      </c>
      <c r="D1113" s="105" t="s">
        <v>1249</v>
      </c>
      <c r="E1113" s="104">
        <v>41343</v>
      </c>
      <c r="F1113" s="104">
        <v>1</v>
      </c>
      <c r="G1113" s="106" t="s">
        <v>1250</v>
      </c>
      <c r="H1113" s="104"/>
      <c r="I1113" s="104" t="s">
        <v>104</v>
      </c>
      <c r="J1113" s="104" t="s">
        <v>284</v>
      </c>
      <c r="K1113" s="104" t="s">
        <v>1157</v>
      </c>
      <c r="L1113" s="104" t="s">
        <v>1158</v>
      </c>
      <c r="M1113" s="104"/>
      <c r="N1113" s="108"/>
      <c r="O1113" s="104"/>
      <c r="P1113" s="108"/>
      <c r="Q1113" s="108"/>
      <c r="R1113" s="104"/>
      <c r="S1113" s="253">
        <v>2.3986900000000002</v>
      </c>
      <c r="T1113" s="104"/>
      <c r="U1113" s="108"/>
      <c r="V1113" s="107"/>
      <c r="W1113" s="106"/>
    </row>
    <row r="1114" spans="1:23" ht="21" customHeight="1">
      <c r="A1114" s="104" t="s">
        <v>273</v>
      </c>
      <c r="B1114" s="104" t="s">
        <v>74</v>
      </c>
      <c r="C1114" s="454" t="s">
        <v>266</v>
      </c>
      <c r="D1114" s="105" t="s">
        <v>282</v>
      </c>
      <c r="E1114" s="104">
        <v>41343</v>
      </c>
      <c r="F1114" s="104">
        <v>128</v>
      </c>
      <c r="G1114" s="106" t="s">
        <v>1156</v>
      </c>
      <c r="H1114" s="104"/>
      <c r="I1114" s="104" t="s">
        <v>104</v>
      </c>
      <c r="J1114" s="104" t="s">
        <v>284</v>
      </c>
      <c r="K1114" s="104" t="s">
        <v>1157</v>
      </c>
      <c r="L1114" s="104" t="s">
        <v>1158</v>
      </c>
      <c r="M1114" s="104"/>
      <c r="N1114" s="108"/>
      <c r="O1114" s="104"/>
      <c r="P1114" s="108"/>
      <c r="Q1114" s="108"/>
      <c r="R1114" s="462"/>
      <c r="S1114" s="253">
        <v>34.02852</v>
      </c>
      <c r="T1114" s="104"/>
      <c r="U1114" s="108"/>
      <c r="V1114" s="107"/>
      <c r="W1114" s="106"/>
    </row>
    <row r="1115" spans="1:23" ht="21" customHeight="1">
      <c r="A1115" s="104" t="s">
        <v>273</v>
      </c>
      <c r="B1115" s="104" t="s">
        <v>74</v>
      </c>
      <c r="C1115" s="454" t="s">
        <v>266</v>
      </c>
      <c r="D1115" s="105" t="s">
        <v>282</v>
      </c>
      <c r="E1115" s="104">
        <v>41343</v>
      </c>
      <c r="F1115" s="104">
        <v>11</v>
      </c>
      <c r="G1115" s="106" t="s">
        <v>1156</v>
      </c>
      <c r="H1115" s="104"/>
      <c r="I1115" s="104" t="s">
        <v>104</v>
      </c>
      <c r="J1115" s="104" t="s">
        <v>284</v>
      </c>
      <c r="K1115" s="104" t="s">
        <v>1157</v>
      </c>
      <c r="L1115" s="104" t="s">
        <v>1158</v>
      </c>
      <c r="M1115" s="104"/>
      <c r="N1115" s="108"/>
      <c r="O1115" s="104"/>
      <c r="P1115" s="108"/>
      <c r="Q1115" s="108"/>
      <c r="R1115" s="104"/>
      <c r="S1115" s="253">
        <v>48.412210000000002</v>
      </c>
      <c r="T1115" s="104"/>
      <c r="U1115" s="108"/>
      <c r="V1115" s="107"/>
      <c r="W1115" s="106"/>
    </row>
    <row r="1116" spans="1:23" ht="21" customHeight="1">
      <c r="A1116" s="104" t="s">
        <v>218</v>
      </c>
      <c r="B1116" s="104" t="s">
        <v>187</v>
      </c>
      <c r="C1116" s="454" t="s">
        <v>494</v>
      </c>
      <c r="D1116" s="105" t="s">
        <v>495</v>
      </c>
      <c r="E1116" s="104">
        <v>41064</v>
      </c>
      <c r="F1116" s="104">
        <v>1</v>
      </c>
      <c r="G1116" s="106" t="s">
        <v>1134</v>
      </c>
      <c r="H1116" s="104" t="s">
        <v>1135</v>
      </c>
      <c r="I1116" s="104" t="s">
        <v>104</v>
      </c>
      <c r="J1116" s="104" t="s">
        <v>105</v>
      </c>
      <c r="K1116" s="104" t="s">
        <v>243</v>
      </c>
      <c r="L1116" s="104" t="s">
        <v>645</v>
      </c>
      <c r="M1116" s="104" t="s">
        <v>114</v>
      </c>
      <c r="N1116" s="108" t="s">
        <v>17</v>
      </c>
      <c r="O1116" s="104" t="s">
        <v>17</v>
      </c>
      <c r="P1116" s="113">
        <v>1.194</v>
      </c>
      <c r="Q1116" s="113">
        <v>0.89600000000000013</v>
      </c>
      <c r="R1116" s="104" t="s">
        <v>17</v>
      </c>
      <c r="S1116" s="253">
        <f>(10^((3.11*LOG((P1116*10))+1.15)))/1000</f>
        <v>31.585187280016505</v>
      </c>
      <c r="T1116" s="104" t="s">
        <v>1136</v>
      </c>
      <c r="U1116" s="108">
        <v>0.97</v>
      </c>
      <c r="V1116" s="107">
        <v>32.299999999999997</v>
      </c>
      <c r="W1116" s="106" t="s">
        <v>1130</v>
      </c>
    </row>
    <row r="1117" spans="1:23" ht="21" customHeight="1">
      <c r="A1117" s="104" t="s">
        <v>218</v>
      </c>
      <c r="B1117" s="104" t="s">
        <v>389</v>
      </c>
      <c r="C1117" s="454" t="s">
        <v>390</v>
      </c>
      <c r="D1117" s="105" t="s">
        <v>151</v>
      </c>
      <c r="E1117" s="104">
        <v>40449</v>
      </c>
      <c r="F1117" s="104">
        <v>112</v>
      </c>
      <c r="G1117" s="106" t="s">
        <v>305</v>
      </c>
      <c r="H1117" s="104" t="s">
        <v>306</v>
      </c>
      <c r="I1117" s="104" t="s">
        <v>104</v>
      </c>
      <c r="J1117" s="104" t="s">
        <v>105</v>
      </c>
      <c r="K1117" s="104" t="s">
        <v>785</v>
      </c>
      <c r="L1117" s="104" t="s">
        <v>786</v>
      </c>
      <c r="M1117" s="104" t="s">
        <v>114</v>
      </c>
      <c r="N1117" s="108"/>
      <c r="O1117" s="104"/>
      <c r="P1117" s="108">
        <v>8.5629999999999988</v>
      </c>
      <c r="Q1117" s="108">
        <v>4.3710000000000004</v>
      </c>
      <c r="R1117" s="104" t="s">
        <v>17</v>
      </c>
      <c r="S1117" s="113">
        <v>1194.4072714851588</v>
      </c>
      <c r="T1117" s="104" t="s">
        <v>966</v>
      </c>
      <c r="U1117" s="108">
        <v>0.95289999999999997</v>
      </c>
      <c r="V1117" s="107">
        <v>20</v>
      </c>
      <c r="W1117" s="106" t="s">
        <v>694</v>
      </c>
    </row>
    <row r="1118" spans="1:23" ht="21" customHeight="1">
      <c r="A1118" s="104" t="s">
        <v>218</v>
      </c>
      <c r="B1118" s="104" t="s">
        <v>221</v>
      </c>
      <c r="C1118" s="454" t="s">
        <v>222</v>
      </c>
      <c r="D1118" s="105" t="s">
        <v>151</v>
      </c>
      <c r="E1118" s="104">
        <v>40449</v>
      </c>
      <c r="F1118" s="104">
        <v>-999</v>
      </c>
      <c r="G1118" s="106" t="s">
        <v>305</v>
      </c>
      <c r="H1118" s="104" t="s">
        <v>306</v>
      </c>
      <c r="I1118" s="104" t="s">
        <v>104</v>
      </c>
      <c r="J1118" s="104" t="s">
        <v>105</v>
      </c>
      <c r="K1118" s="104" t="s">
        <v>112</v>
      </c>
      <c r="L1118" s="104" t="s">
        <v>663</v>
      </c>
      <c r="M1118" s="104" t="s">
        <v>108</v>
      </c>
      <c r="N1118" s="108" t="s">
        <v>17</v>
      </c>
      <c r="O1118" s="104" t="s">
        <v>17</v>
      </c>
      <c r="P1118" s="108">
        <v>1.1259999999999999</v>
      </c>
      <c r="Q1118" s="108">
        <v>0.77200000000000002</v>
      </c>
      <c r="R1118" s="104" t="s">
        <v>17</v>
      </c>
      <c r="S1118" s="253">
        <f>(10^((3.334*LOG((P1118))+1.27)))</f>
        <v>27.658523602374071</v>
      </c>
      <c r="T1118" s="104" t="s">
        <v>1027</v>
      </c>
      <c r="U1118" s="108">
        <v>0.93</v>
      </c>
      <c r="V1118" s="107">
        <v>23.9</v>
      </c>
      <c r="W1118" s="106" t="s">
        <v>1028</v>
      </c>
    </row>
    <row r="1119" spans="1:23" ht="21" customHeight="1">
      <c r="A1119" s="104" t="s">
        <v>218</v>
      </c>
      <c r="B1119" s="104" t="s">
        <v>221</v>
      </c>
      <c r="C1119" s="454" t="s">
        <v>222</v>
      </c>
      <c r="D1119" s="105" t="s">
        <v>151</v>
      </c>
      <c r="E1119" s="104">
        <v>40449</v>
      </c>
      <c r="F1119" s="104">
        <v>127</v>
      </c>
      <c r="G1119" s="106" t="s">
        <v>305</v>
      </c>
      <c r="H1119" s="104" t="s">
        <v>306</v>
      </c>
      <c r="I1119" s="104" t="s">
        <v>104</v>
      </c>
      <c r="J1119" s="104" t="s">
        <v>105</v>
      </c>
      <c r="K1119" s="104" t="s">
        <v>112</v>
      </c>
      <c r="L1119" s="104" t="s">
        <v>663</v>
      </c>
      <c r="M1119" s="104" t="s">
        <v>108</v>
      </c>
      <c r="N1119" s="108" t="s">
        <v>17</v>
      </c>
      <c r="O1119" s="104" t="s">
        <v>17</v>
      </c>
      <c r="P1119" s="108">
        <v>1.1579999999999999</v>
      </c>
      <c r="Q1119" s="108">
        <v>0.70099999999999996</v>
      </c>
      <c r="R1119" s="104" t="s">
        <v>17</v>
      </c>
      <c r="S1119" s="253">
        <f>(10^((3.334*LOG((P1119))+1.27)))</f>
        <v>30.367171139943647</v>
      </c>
      <c r="T1119" s="104" t="s">
        <v>1027</v>
      </c>
      <c r="U1119" s="108">
        <v>0.93</v>
      </c>
      <c r="V1119" s="107">
        <v>23.9</v>
      </c>
      <c r="W1119" s="106" t="s">
        <v>1028</v>
      </c>
    </row>
    <row r="1120" spans="1:23" ht="21" customHeight="1">
      <c r="A1120" s="104" t="s">
        <v>218</v>
      </c>
      <c r="B1120" s="104" t="s">
        <v>221</v>
      </c>
      <c r="C1120" s="454" t="s">
        <v>222</v>
      </c>
      <c r="D1120" s="105" t="s">
        <v>151</v>
      </c>
      <c r="E1120" s="104">
        <v>40449</v>
      </c>
      <c r="F1120" s="104">
        <v>-999</v>
      </c>
      <c r="G1120" s="106" t="s">
        <v>305</v>
      </c>
      <c r="H1120" s="104" t="s">
        <v>306</v>
      </c>
      <c r="I1120" s="104" t="s">
        <v>104</v>
      </c>
      <c r="J1120" s="104" t="s">
        <v>105</v>
      </c>
      <c r="K1120" s="104" t="s">
        <v>112</v>
      </c>
      <c r="L1120" s="104" t="s">
        <v>663</v>
      </c>
      <c r="M1120" s="104" t="s">
        <v>114</v>
      </c>
      <c r="N1120" s="108" t="s">
        <v>17</v>
      </c>
      <c r="O1120" s="104" t="s">
        <v>17</v>
      </c>
      <c r="P1120" s="108">
        <v>1.248</v>
      </c>
      <c r="Q1120" s="108">
        <v>0.94600000000000006</v>
      </c>
      <c r="R1120" s="104" t="s">
        <v>17</v>
      </c>
      <c r="S1120" s="253">
        <f>(10^((3.334*LOG((P1120))+1.27)))</f>
        <v>38.974399055448515</v>
      </c>
      <c r="T1120" s="104" t="s">
        <v>1027</v>
      </c>
      <c r="U1120" s="108">
        <v>0.93</v>
      </c>
      <c r="V1120" s="107">
        <v>23.9</v>
      </c>
      <c r="W1120" s="106" t="s">
        <v>1028</v>
      </c>
    </row>
    <row r="1121" spans="1:23" ht="21" customHeight="1">
      <c r="A1121" s="104" t="s">
        <v>218</v>
      </c>
      <c r="B1121" s="104" t="s">
        <v>221</v>
      </c>
      <c r="C1121" s="454" t="s">
        <v>222</v>
      </c>
      <c r="D1121" s="105" t="s">
        <v>151</v>
      </c>
      <c r="E1121" s="104">
        <v>40449</v>
      </c>
      <c r="F1121" s="104">
        <v>59</v>
      </c>
      <c r="G1121" s="106" t="s">
        <v>305</v>
      </c>
      <c r="H1121" s="104" t="s">
        <v>306</v>
      </c>
      <c r="I1121" s="104" t="s">
        <v>104</v>
      </c>
      <c r="J1121" s="104" t="s">
        <v>105</v>
      </c>
      <c r="K1121" s="104" t="s">
        <v>785</v>
      </c>
      <c r="L1121" s="104" t="s">
        <v>786</v>
      </c>
      <c r="M1121" s="104" t="s">
        <v>114</v>
      </c>
      <c r="N1121" s="108" t="s">
        <v>17</v>
      </c>
      <c r="O1121" s="104" t="s">
        <v>17</v>
      </c>
      <c r="P1121" s="108">
        <v>2.4579999999999997</v>
      </c>
      <c r="Q1121" s="108">
        <v>2.1019999999999999</v>
      </c>
      <c r="R1121" s="104" t="s">
        <v>17</v>
      </c>
      <c r="S1121" s="253">
        <f>(10^((2.6568*LOG((P1121))+0.607)))</f>
        <v>44.126342841296854</v>
      </c>
      <c r="T1121" s="104" t="s">
        <v>1045</v>
      </c>
      <c r="U1121" s="108">
        <v>0.95</v>
      </c>
      <c r="V1121" s="107">
        <v>26</v>
      </c>
      <c r="W1121" s="106" t="s">
        <v>650</v>
      </c>
    </row>
    <row r="1122" spans="1:23" ht="21" customHeight="1">
      <c r="A1122" s="104" t="s">
        <v>218</v>
      </c>
      <c r="B1122" s="104" t="s">
        <v>221</v>
      </c>
      <c r="C1122" s="454" t="s">
        <v>222</v>
      </c>
      <c r="D1122" s="105" t="s">
        <v>151</v>
      </c>
      <c r="E1122" s="104">
        <v>40449</v>
      </c>
      <c r="F1122" s="104">
        <v>126</v>
      </c>
      <c r="G1122" s="106" t="s">
        <v>305</v>
      </c>
      <c r="H1122" s="104" t="s">
        <v>306</v>
      </c>
      <c r="I1122" s="104" t="s">
        <v>104</v>
      </c>
      <c r="J1122" s="104" t="s">
        <v>105</v>
      </c>
      <c r="K1122" s="104" t="s">
        <v>1046</v>
      </c>
      <c r="L1122" s="104" t="s">
        <v>1047</v>
      </c>
      <c r="M1122" s="104" t="s">
        <v>108</v>
      </c>
      <c r="N1122" s="108" t="s">
        <v>17</v>
      </c>
      <c r="O1122" s="104" t="s">
        <v>17</v>
      </c>
      <c r="P1122" s="108">
        <v>2.9889999999999999</v>
      </c>
      <c r="Q1122" s="108">
        <v>2.2030000000000003</v>
      </c>
      <c r="R1122" s="104" t="s">
        <v>17</v>
      </c>
      <c r="S1122" s="253">
        <f>(10^((2.4956*LOG(P1122)+0.4581)))</f>
        <v>44.138998361764571</v>
      </c>
      <c r="T1122" s="104" t="s">
        <v>1048</v>
      </c>
      <c r="U1122" s="108">
        <v>0.96</v>
      </c>
      <c r="V1122" s="107">
        <v>20</v>
      </c>
      <c r="W1122" s="106" t="s">
        <v>650</v>
      </c>
    </row>
    <row r="1123" spans="1:23" ht="21" customHeight="1">
      <c r="A1123" s="104" t="s">
        <v>218</v>
      </c>
      <c r="B1123" s="104" t="s">
        <v>221</v>
      </c>
      <c r="C1123" s="454" t="s">
        <v>222</v>
      </c>
      <c r="D1123" s="105" t="s">
        <v>151</v>
      </c>
      <c r="E1123" s="104">
        <v>40449</v>
      </c>
      <c r="F1123" s="104">
        <v>141</v>
      </c>
      <c r="G1123" s="106" t="s">
        <v>305</v>
      </c>
      <c r="H1123" s="104" t="s">
        <v>306</v>
      </c>
      <c r="I1123" s="104" t="s">
        <v>104</v>
      </c>
      <c r="J1123" s="104" t="s">
        <v>105</v>
      </c>
      <c r="K1123" s="104" t="s">
        <v>155</v>
      </c>
      <c r="L1123" s="104" t="s">
        <v>658</v>
      </c>
      <c r="M1123" s="104" t="s">
        <v>108</v>
      </c>
      <c r="N1123" s="108" t="s">
        <v>17</v>
      </c>
      <c r="O1123" s="104" t="s">
        <v>17</v>
      </c>
      <c r="P1123" s="108">
        <v>1.405</v>
      </c>
      <c r="Q1123" s="108">
        <v>1.276</v>
      </c>
      <c r="R1123" s="104" t="s">
        <v>17</v>
      </c>
      <c r="S1123" s="253">
        <f>(10^((3.21*LOG((P1123*10))+1.07)))/1000</f>
        <v>56.759818861117026</v>
      </c>
      <c r="T1123" s="104" t="s">
        <v>659</v>
      </c>
      <c r="U1123" s="108">
        <v>0.96</v>
      </c>
      <c r="V1123" s="107">
        <v>35.1</v>
      </c>
      <c r="W1123" s="106" t="s">
        <v>644</v>
      </c>
    </row>
    <row r="1124" spans="1:23" ht="21" customHeight="1">
      <c r="A1124" s="104" t="s">
        <v>218</v>
      </c>
      <c r="B1124" s="104" t="s">
        <v>221</v>
      </c>
      <c r="C1124" s="454" t="s">
        <v>222</v>
      </c>
      <c r="D1124" s="105" t="s">
        <v>151</v>
      </c>
      <c r="E1124" s="104">
        <v>40449</v>
      </c>
      <c r="F1124" s="104">
        <v>129</v>
      </c>
      <c r="G1124" s="106" t="s">
        <v>305</v>
      </c>
      <c r="H1124" s="104" t="s">
        <v>306</v>
      </c>
      <c r="I1124" s="104" t="s">
        <v>104</v>
      </c>
      <c r="J1124" s="104" t="s">
        <v>105</v>
      </c>
      <c r="K1124" s="104" t="s">
        <v>121</v>
      </c>
      <c r="L1124" s="104" t="s">
        <v>1041</v>
      </c>
      <c r="M1124" s="104" t="s">
        <v>108</v>
      </c>
      <c r="N1124" s="108" t="s">
        <v>17</v>
      </c>
      <c r="O1124" s="104" t="s">
        <v>17</v>
      </c>
      <c r="P1124" s="108">
        <v>3.5219999999999998</v>
      </c>
      <c r="Q1124" s="108">
        <v>3.379</v>
      </c>
      <c r="R1124" s="104" t="s">
        <v>17</v>
      </c>
      <c r="S1124" s="253">
        <f>(10^((2.5568*LOG((Q1124))+0.4084)))</f>
        <v>57.597767276416079</v>
      </c>
      <c r="T1124" s="104" t="s">
        <v>1067</v>
      </c>
      <c r="U1124" s="108">
        <v>0.95899999999999996</v>
      </c>
      <c r="V1124" s="107">
        <v>20</v>
      </c>
      <c r="W1124" s="106" t="s">
        <v>1043</v>
      </c>
    </row>
    <row r="1125" spans="1:23" ht="21" customHeight="1">
      <c r="A1125" s="104" t="s">
        <v>218</v>
      </c>
      <c r="B1125" s="104" t="s">
        <v>221</v>
      </c>
      <c r="C1125" s="454" t="s">
        <v>222</v>
      </c>
      <c r="D1125" s="105" t="s">
        <v>151</v>
      </c>
      <c r="E1125" s="104">
        <v>40449</v>
      </c>
      <c r="F1125" s="104">
        <v>133</v>
      </c>
      <c r="G1125" s="106" t="s">
        <v>305</v>
      </c>
      <c r="H1125" s="104" t="s">
        <v>306</v>
      </c>
      <c r="I1125" s="104" t="s">
        <v>104</v>
      </c>
      <c r="J1125" s="104" t="s">
        <v>105</v>
      </c>
      <c r="K1125" s="104" t="s">
        <v>112</v>
      </c>
      <c r="L1125" s="104" t="s">
        <v>663</v>
      </c>
      <c r="M1125" s="104" t="s">
        <v>108</v>
      </c>
      <c r="N1125" s="108" t="s">
        <v>17</v>
      </c>
      <c r="O1125" s="104" t="s">
        <v>17</v>
      </c>
      <c r="P1125" s="108">
        <v>1.41</v>
      </c>
      <c r="Q1125" s="108">
        <v>0.82100000000000006</v>
      </c>
      <c r="R1125" s="104" t="s">
        <v>17</v>
      </c>
      <c r="S1125" s="253">
        <f>(10^((3.334*LOG((P1125))+1.27)))</f>
        <v>58.545904716824694</v>
      </c>
      <c r="T1125" s="104" t="s">
        <v>1027</v>
      </c>
      <c r="U1125" s="108">
        <v>0.93</v>
      </c>
      <c r="V1125" s="107">
        <v>23.9</v>
      </c>
      <c r="W1125" s="106" t="s">
        <v>1028</v>
      </c>
    </row>
    <row r="1126" spans="1:23" ht="21" customHeight="1">
      <c r="A1126" s="104" t="s">
        <v>218</v>
      </c>
      <c r="B1126" s="104" t="s">
        <v>221</v>
      </c>
      <c r="C1126" s="454" t="s">
        <v>222</v>
      </c>
      <c r="D1126" s="105" t="s">
        <v>151</v>
      </c>
      <c r="E1126" s="104">
        <v>40449</v>
      </c>
      <c r="F1126" s="104">
        <v>105</v>
      </c>
      <c r="G1126" s="106" t="s">
        <v>305</v>
      </c>
      <c r="H1126" s="104" t="s">
        <v>306</v>
      </c>
      <c r="I1126" s="104" t="s">
        <v>104</v>
      </c>
      <c r="J1126" s="104" t="s">
        <v>105</v>
      </c>
      <c r="K1126" s="104" t="s">
        <v>112</v>
      </c>
      <c r="L1126" s="104" t="s">
        <v>663</v>
      </c>
      <c r="M1126" s="104" t="s">
        <v>114</v>
      </c>
      <c r="N1126" s="108" t="s">
        <v>17</v>
      </c>
      <c r="O1126" s="104" t="s">
        <v>17</v>
      </c>
      <c r="P1126" s="108">
        <v>1.452</v>
      </c>
      <c r="Q1126" s="108">
        <v>0.78800000000000003</v>
      </c>
      <c r="R1126" s="104" t="s">
        <v>17</v>
      </c>
      <c r="S1126" s="253">
        <f>(10^((3.334*LOG((P1126))+1.27)))</f>
        <v>64.564932148038366</v>
      </c>
      <c r="T1126" s="104" t="s">
        <v>1027</v>
      </c>
      <c r="U1126" s="108">
        <v>0.93</v>
      </c>
      <c r="V1126" s="107">
        <v>23.9</v>
      </c>
      <c r="W1126" s="106" t="s">
        <v>1028</v>
      </c>
    </row>
    <row r="1127" spans="1:23" ht="21" customHeight="1">
      <c r="A1127" s="104" t="s">
        <v>218</v>
      </c>
      <c r="B1127" s="104" t="s">
        <v>221</v>
      </c>
      <c r="C1127" s="454" t="s">
        <v>222</v>
      </c>
      <c r="D1127" s="105" t="s">
        <v>151</v>
      </c>
      <c r="E1127" s="104">
        <v>40449</v>
      </c>
      <c r="F1127" s="104">
        <v>140</v>
      </c>
      <c r="G1127" s="106" t="s">
        <v>305</v>
      </c>
      <c r="H1127" s="104" t="s">
        <v>306</v>
      </c>
      <c r="I1127" s="104" t="s">
        <v>104</v>
      </c>
      <c r="J1127" s="104" t="s">
        <v>105</v>
      </c>
      <c r="K1127" s="104" t="s">
        <v>155</v>
      </c>
      <c r="L1127" s="104" t="s">
        <v>658</v>
      </c>
      <c r="M1127" s="104" t="s">
        <v>108</v>
      </c>
      <c r="N1127" s="108" t="s">
        <v>17</v>
      </c>
      <c r="O1127" s="104" t="s">
        <v>17</v>
      </c>
      <c r="P1127" s="108">
        <v>1.47</v>
      </c>
      <c r="Q1127" s="108">
        <v>1.4890000000000001</v>
      </c>
      <c r="R1127" s="104" t="s">
        <v>17</v>
      </c>
      <c r="S1127" s="253">
        <f>(10^((3.21*LOG((P1127*10))+1.07)))/1000</f>
        <v>65.627920683209553</v>
      </c>
      <c r="T1127" s="104" t="s">
        <v>659</v>
      </c>
      <c r="U1127" s="108">
        <v>0.96</v>
      </c>
      <c r="V1127" s="107">
        <v>35.1</v>
      </c>
      <c r="W1127" s="106" t="s">
        <v>644</v>
      </c>
    </row>
    <row r="1128" spans="1:23" ht="21" customHeight="1">
      <c r="A1128" s="104" t="s">
        <v>218</v>
      </c>
      <c r="B1128" s="104" t="s">
        <v>221</v>
      </c>
      <c r="C1128" s="454" t="s">
        <v>222</v>
      </c>
      <c r="D1128" s="105" t="s">
        <v>151</v>
      </c>
      <c r="E1128" s="104">
        <v>40449</v>
      </c>
      <c r="F1128" s="104">
        <v>122</v>
      </c>
      <c r="G1128" s="106" t="s">
        <v>305</v>
      </c>
      <c r="H1128" s="104" t="s">
        <v>306</v>
      </c>
      <c r="I1128" s="104" t="s">
        <v>104</v>
      </c>
      <c r="J1128" s="104" t="s">
        <v>105</v>
      </c>
      <c r="K1128" s="104" t="s">
        <v>155</v>
      </c>
      <c r="L1128" s="104" t="s">
        <v>658</v>
      </c>
      <c r="M1128" s="104" t="s">
        <v>114</v>
      </c>
      <c r="N1128" s="108" t="s">
        <v>17</v>
      </c>
      <c r="O1128" s="104" t="s">
        <v>17</v>
      </c>
      <c r="P1128" s="108">
        <v>1.494</v>
      </c>
      <c r="Q1128" s="108">
        <v>0.98599999999999999</v>
      </c>
      <c r="R1128" s="104" t="s">
        <v>17</v>
      </c>
      <c r="S1128" s="253">
        <f>(10^((3.21*LOG((P1128*10))+1.07)))/1000</f>
        <v>69.129818701027531</v>
      </c>
      <c r="T1128" s="104" t="s">
        <v>659</v>
      </c>
      <c r="U1128" s="108">
        <v>0.96</v>
      </c>
      <c r="V1128" s="107">
        <v>35.1</v>
      </c>
      <c r="W1128" s="106" t="s">
        <v>644</v>
      </c>
    </row>
    <row r="1129" spans="1:23" ht="21" customHeight="1">
      <c r="A1129" s="104" t="s">
        <v>218</v>
      </c>
      <c r="B1129" s="104" t="s">
        <v>221</v>
      </c>
      <c r="C1129" s="454" t="s">
        <v>222</v>
      </c>
      <c r="D1129" s="105" t="s">
        <v>151</v>
      </c>
      <c r="E1129" s="104">
        <v>40449</v>
      </c>
      <c r="F1129" s="104">
        <v>86</v>
      </c>
      <c r="G1129" s="106" t="s">
        <v>305</v>
      </c>
      <c r="H1129" s="104" t="s">
        <v>306</v>
      </c>
      <c r="I1129" s="104" t="s">
        <v>104</v>
      </c>
      <c r="J1129" s="104" t="s">
        <v>105</v>
      </c>
      <c r="K1129" s="104" t="s">
        <v>155</v>
      </c>
      <c r="L1129" s="104" t="s">
        <v>658</v>
      </c>
      <c r="M1129" s="104" t="s">
        <v>114</v>
      </c>
      <c r="N1129" s="108" t="s">
        <v>17</v>
      </c>
      <c r="O1129" s="104" t="s">
        <v>17</v>
      </c>
      <c r="P1129" s="108">
        <v>1.5779999999999998</v>
      </c>
      <c r="Q1129" s="108">
        <v>0.88500000000000001</v>
      </c>
      <c r="R1129" s="104" t="s">
        <v>17</v>
      </c>
      <c r="S1129" s="253">
        <f>(10^((3.21*LOG((P1129*10))+1.07)))/1000</f>
        <v>82.399289393454652</v>
      </c>
      <c r="T1129" s="104" t="s">
        <v>659</v>
      </c>
      <c r="U1129" s="108">
        <v>0.96</v>
      </c>
      <c r="V1129" s="107">
        <v>35.1</v>
      </c>
      <c r="W1129" s="106" t="s">
        <v>644</v>
      </c>
    </row>
    <row r="1130" spans="1:23" ht="21" customHeight="1">
      <c r="A1130" s="104" t="s">
        <v>273</v>
      </c>
      <c r="B1130" s="104" t="s">
        <v>74</v>
      </c>
      <c r="C1130" s="454" t="s">
        <v>266</v>
      </c>
      <c r="D1130" s="105" t="s">
        <v>282</v>
      </c>
      <c r="E1130" s="104">
        <v>40449</v>
      </c>
      <c r="F1130" s="104">
        <v>563</v>
      </c>
      <c r="G1130" s="106" t="s">
        <v>305</v>
      </c>
      <c r="H1130" s="104" t="s">
        <v>306</v>
      </c>
      <c r="I1130" s="104" t="s">
        <v>104</v>
      </c>
      <c r="J1130" s="104" t="s">
        <v>105</v>
      </c>
      <c r="K1130" s="104" t="s">
        <v>112</v>
      </c>
      <c r="L1130" s="104" t="s">
        <v>663</v>
      </c>
      <c r="M1130" s="104" t="s">
        <v>108</v>
      </c>
      <c r="N1130" s="108" t="s">
        <v>17</v>
      </c>
      <c r="O1130" s="104" t="s">
        <v>17</v>
      </c>
      <c r="P1130" s="108">
        <v>3.2759999999999998</v>
      </c>
      <c r="Q1130" s="108">
        <v>1.341</v>
      </c>
      <c r="R1130" s="104" t="s">
        <v>17</v>
      </c>
      <c r="S1130" s="253">
        <v>51.281132394872863</v>
      </c>
      <c r="T1130" s="104" t="s">
        <v>1167</v>
      </c>
      <c r="U1130" s="108">
        <v>0.96</v>
      </c>
      <c r="V1130" s="107">
        <v>12.4</v>
      </c>
      <c r="W1130" s="114" t="s">
        <v>284</v>
      </c>
    </row>
    <row r="1131" spans="1:23" ht="21" customHeight="1">
      <c r="A1131" s="104" t="s">
        <v>273</v>
      </c>
      <c r="B1131" s="104" t="s">
        <v>74</v>
      </c>
      <c r="C1131" s="454" t="s">
        <v>266</v>
      </c>
      <c r="D1131" s="105" t="s">
        <v>282</v>
      </c>
      <c r="E1131" s="104">
        <v>40449</v>
      </c>
      <c r="F1131" s="104">
        <v>175</v>
      </c>
      <c r="G1131" s="106" t="s">
        <v>305</v>
      </c>
      <c r="H1131" s="104" t="s">
        <v>306</v>
      </c>
      <c r="I1131" s="104" t="s">
        <v>104</v>
      </c>
      <c r="J1131" s="104" t="s">
        <v>105</v>
      </c>
      <c r="K1131" s="104" t="s">
        <v>1175</v>
      </c>
      <c r="L1131" s="104" t="s">
        <v>1176</v>
      </c>
      <c r="M1131" s="104"/>
      <c r="N1131" s="108" t="s">
        <v>17</v>
      </c>
      <c r="O1131" s="104" t="s">
        <v>17</v>
      </c>
      <c r="P1131" s="108">
        <v>1.8280000000000001</v>
      </c>
      <c r="Q1131" s="108">
        <v>0.8640000000000001</v>
      </c>
      <c r="R1131" s="104" t="s">
        <v>17</v>
      </c>
      <c r="S1131" s="253">
        <f>(10^(((LOG(P1131*10))*3.3177)+0.5544))/1000</f>
        <v>55.11355308285659</v>
      </c>
      <c r="T1131" s="104" t="s">
        <v>1177</v>
      </c>
      <c r="U1131" s="108">
        <v>0.84909999999999997</v>
      </c>
      <c r="V1131" s="107"/>
      <c r="W1131" s="114" t="s">
        <v>1178</v>
      </c>
    </row>
    <row r="1132" spans="1:23" ht="21" customHeight="1">
      <c r="A1132" s="104" t="s">
        <v>273</v>
      </c>
      <c r="B1132" s="104" t="s">
        <v>74</v>
      </c>
      <c r="C1132" s="454" t="s">
        <v>266</v>
      </c>
      <c r="D1132" s="105" t="s">
        <v>282</v>
      </c>
      <c r="E1132" s="104">
        <v>40449</v>
      </c>
      <c r="F1132" s="104">
        <v>183</v>
      </c>
      <c r="G1132" s="106" t="s">
        <v>305</v>
      </c>
      <c r="H1132" s="104" t="s">
        <v>306</v>
      </c>
      <c r="I1132" s="104" t="s">
        <v>104</v>
      </c>
      <c r="J1132" s="104" t="s">
        <v>105</v>
      </c>
      <c r="K1132" s="104" t="s">
        <v>307</v>
      </c>
      <c r="L1132" s="104" t="s">
        <v>308</v>
      </c>
      <c r="M1132" s="104"/>
      <c r="N1132" s="108" t="s">
        <v>17</v>
      </c>
      <c r="O1132" s="104" t="s">
        <v>17</v>
      </c>
      <c r="P1132" s="108">
        <v>0.92599999999999993</v>
      </c>
      <c r="Q1132" s="108">
        <v>0.78899999999999992</v>
      </c>
      <c r="R1132" s="104" t="s">
        <v>17</v>
      </c>
      <c r="S1132" s="253"/>
      <c r="T1132" s="104" t="s">
        <v>309</v>
      </c>
      <c r="U1132" s="108"/>
      <c r="V1132" s="107"/>
      <c r="W1132" s="114"/>
    </row>
    <row r="1133" spans="1:23" ht="21" customHeight="1">
      <c r="A1133" s="104" t="s">
        <v>273</v>
      </c>
      <c r="B1133" s="104" t="s">
        <v>74</v>
      </c>
      <c r="C1133" s="454" t="s">
        <v>266</v>
      </c>
      <c r="D1133" s="105" t="s">
        <v>267</v>
      </c>
      <c r="E1133" s="104">
        <v>40449</v>
      </c>
      <c r="F1133" s="104">
        <v>71</v>
      </c>
      <c r="G1133" s="106" t="s">
        <v>305</v>
      </c>
      <c r="H1133" s="104" t="s">
        <v>306</v>
      </c>
      <c r="I1133" s="104" t="s">
        <v>104</v>
      </c>
      <c r="J1133" s="104" t="s">
        <v>105</v>
      </c>
      <c r="K1133" s="104" t="s">
        <v>647</v>
      </c>
      <c r="L1133" s="104" t="s">
        <v>648</v>
      </c>
      <c r="M1133" s="104" t="s">
        <v>108</v>
      </c>
      <c r="N1133" s="108" t="s">
        <v>17</v>
      </c>
      <c r="O1133" s="104" t="s">
        <v>17</v>
      </c>
      <c r="P1133" s="108">
        <v>1.9969999999999999</v>
      </c>
      <c r="Q1133" s="108">
        <v>1.4460000000000002</v>
      </c>
      <c r="R1133" s="104" t="s">
        <v>17</v>
      </c>
      <c r="S1133" s="253">
        <v>4.9312870641042394</v>
      </c>
      <c r="T1133" s="104" t="s">
        <v>1197</v>
      </c>
      <c r="U1133" s="108">
        <v>0.96</v>
      </c>
      <c r="V1133" s="107">
        <v>16.5</v>
      </c>
      <c r="W1133" s="114" t="s">
        <v>284</v>
      </c>
    </row>
    <row r="1134" spans="1:23" ht="21" customHeight="1">
      <c r="A1134" s="104" t="s">
        <v>273</v>
      </c>
      <c r="B1134" s="104" t="s">
        <v>74</v>
      </c>
      <c r="C1134" s="454" t="s">
        <v>266</v>
      </c>
      <c r="D1134" s="105" t="s">
        <v>267</v>
      </c>
      <c r="E1134" s="104">
        <v>40449</v>
      </c>
      <c r="F1134" s="104">
        <v>348</v>
      </c>
      <c r="G1134" s="106" t="s">
        <v>305</v>
      </c>
      <c r="H1134" s="104" t="s">
        <v>306</v>
      </c>
      <c r="I1134" s="104" t="s">
        <v>104</v>
      </c>
      <c r="J1134" s="104" t="s">
        <v>105</v>
      </c>
      <c r="K1134" s="104" t="s">
        <v>660</v>
      </c>
      <c r="L1134" s="104" t="s">
        <v>661</v>
      </c>
      <c r="M1134" s="104" t="s">
        <v>108</v>
      </c>
      <c r="N1134" s="108" t="s">
        <v>17</v>
      </c>
      <c r="O1134" s="104" t="s">
        <v>17</v>
      </c>
      <c r="P1134" s="108">
        <v>11.96</v>
      </c>
      <c r="Q1134" s="108">
        <v>9.65</v>
      </c>
      <c r="R1134" s="104" t="s">
        <v>17</v>
      </c>
      <c r="S1134" s="253">
        <v>5.1046087795142192</v>
      </c>
      <c r="T1134" s="104" t="s">
        <v>1198</v>
      </c>
      <c r="U1134" s="108">
        <v>0.98</v>
      </c>
      <c r="V1134" s="107">
        <v>13.6</v>
      </c>
      <c r="W1134" s="114" t="s">
        <v>284</v>
      </c>
    </row>
    <row r="1135" spans="1:23" ht="21" customHeight="1">
      <c r="A1135" s="104" t="s">
        <v>273</v>
      </c>
      <c r="B1135" s="104" t="s">
        <v>74</v>
      </c>
      <c r="C1135" s="454" t="s">
        <v>266</v>
      </c>
      <c r="D1135" s="105" t="s">
        <v>267</v>
      </c>
      <c r="E1135" s="104">
        <v>40449</v>
      </c>
      <c r="F1135" s="104">
        <v>68</v>
      </c>
      <c r="G1135" s="106" t="s">
        <v>305</v>
      </c>
      <c r="H1135" s="104"/>
      <c r="I1135" s="104" t="s">
        <v>104</v>
      </c>
      <c r="J1135" s="104" t="s">
        <v>284</v>
      </c>
      <c r="K1135" s="104" t="s">
        <v>112</v>
      </c>
      <c r="L1135" s="104" t="s">
        <v>663</v>
      </c>
      <c r="M1135" s="104" t="s">
        <v>114</v>
      </c>
      <c r="N1135" s="108"/>
      <c r="O1135" s="104"/>
      <c r="P1135" s="108"/>
      <c r="Q1135" s="108"/>
      <c r="R1135" s="104"/>
      <c r="S1135" s="253">
        <v>15.18777</v>
      </c>
      <c r="T1135" s="104"/>
      <c r="U1135" s="108"/>
      <c r="V1135" s="107"/>
      <c r="W1135" s="106"/>
    </row>
    <row r="1136" spans="1:23" ht="21" customHeight="1">
      <c r="A1136" s="104" t="s">
        <v>273</v>
      </c>
      <c r="B1136" s="104" t="s">
        <v>74</v>
      </c>
      <c r="C1136" s="454" t="s">
        <v>266</v>
      </c>
      <c r="D1136" s="105" t="s">
        <v>267</v>
      </c>
      <c r="E1136" s="104">
        <v>40449</v>
      </c>
      <c r="F1136" s="104">
        <v>184</v>
      </c>
      <c r="G1136" s="106" t="s">
        <v>305</v>
      </c>
      <c r="H1136" s="104" t="s">
        <v>306</v>
      </c>
      <c r="I1136" s="104" t="s">
        <v>104</v>
      </c>
      <c r="J1136" s="104" t="s">
        <v>105</v>
      </c>
      <c r="K1136" s="104" t="s">
        <v>307</v>
      </c>
      <c r="L1136" s="104" t="s">
        <v>308</v>
      </c>
      <c r="M1136" s="462"/>
      <c r="N1136" s="108" t="s">
        <v>17</v>
      </c>
      <c r="O1136" s="104" t="s">
        <v>17</v>
      </c>
      <c r="P1136" s="108">
        <v>0.60199999999999998</v>
      </c>
      <c r="Q1136" s="108">
        <v>0.51700000000000002</v>
      </c>
      <c r="R1136" s="104" t="s">
        <v>17</v>
      </c>
      <c r="S1136" s="253"/>
      <c r="T1136" s="104" t="s">
        <v>309</v>
      </c>
      <c r="U1136" s="108"/>
      <c r="V1136" s="107"/>
      <c r="W1136" s="114"/>
    </row>
    <row r="1137" spans="1:24" ht="21" customHeight="1">
      <c r="A1137" s="104" t="s">
        <v>273</v>
      </c>
      <c r="B1137" s="104" t="s">
        <v>74</v>
      </c>
      <c r="C1137" s="454" t="s">
        <v>266</v>
      </c>
      <c r="D1137" s="105" t="s">
        <v>267</v>
      </c>
      <c r="E1137" s="104">
        <v>40449</v>
      </c>
      <c r="F1137" s="104">
        <v>346</v>
      </c>
      <c r="G1137" s="106" t="s">
        <v>305</v>
      </c>
      <c r="H1137" s="111" t="s">
        <v>306</v>
      </c>
      <c r="I1137" s="104" t="s">
        <v>104</v>
      </c>
      <c r="J1137" s="104" t="s">
        <v>105</v>
      </c>
      <c r="K1137" s="104" t="s">
        <v>665</v>
      </c>
      <c r="L1137" s="104" t="s">
        <v>666</v>
      </c>
      <c r="M1137" s="104"/>
      <c r="N1137" s="108" t="s">
        <v>17</v>
      </c>
      <c r="O1137" s="104" t="s">
        <v>17</v>
      </c>
      <c r="P1137" s="108">
        <v>0.72699999999999998</v>
      </c>
      <c r="Q1137" s="108">
        <v>0.72599999999999998</v>
      </c>
      <c r="R1137" s="104" t="s">
        <v>17</v>
      </c>
      <c r="S1137" s="253"/>
      <c r="T1137" s="104"/>
      <c r="U1137" s="108"/>
      <c r="V1137" s="107"/>
      <c r="W1137" s="114"/>
    </row>
    <row r="1138" spans="1:24" ht="21" customHeight="1">
      <c r="A1138" s="104" t="s">
        <v>273</v>
      </c>
      <c r="B1138" s="104" t="s">
        <v>74</v>
      </c>
      <c r="C1138" s="454" t="s">
        <v>266</v>
      </c>
      <c r="D1138" s="105" t="s">
        <v>267</v>
      </c>
      <c r="E1138" s="104">
        <v>40449</v>
      </c>
      <c r="F1138" s="104">
        <v>349</v>
      </c>
      <c r="G1138" s="106" t="s">
        <v>305</v>
      </c>
      <c r="H1138" s="111" t="s">
        <v>306</v>
      </c>
      <c r="I1138" s="104" t="s">
        <v>104</v>
      </c>
      <c r="J1138" s="104" t="s">
        <v>105</v>
      </c>
      <c r="K1138" s="104" t="s">
        <v>307</v>
      </c>
      <c r="L1138" s="104" t="s">
        <v>308</v>
      </c>
      <c r="M1138" s="104"/>
      <c r="N1138" s="108" t="s">
        <v>17</v>
      </c>
      <c r="O1138" s="104" t="s">
        <v>17</v>
      </c>
      <c r="P1138" s="108">
        <v>0.61899999999999999</v>
      </c>
      <c r="Q1138" s="108">
        <v>0.54699999999999993</v>
      </c>
      <c r="R1138" s="104" t="s">
        <v>17</v>
      </c>
      <c r="S1138" s="253"/>
      <c r="T1138" s="104" t="s">
        <v>309</v>
      </c>
      <c r="U1138" s="108"/>
      <c r="V1138" s="107"/>
      <c r="W1138" s="114"/>
    </row>
    <row r="1139" spans="1:24" ht="21" customHeight="1">
      <c r="A1139" s="104" t="s">
        <v>273</v>
      </c>
      <c r="B1139" s="104" t="s">
        <v>74</v>
      </c>
      <c r="C1139" s="454" t="s">
        <v>266</v>
      </c>
      <c r="D1139" s="105" t="s">
        <v>267</v>
      </c>
      <c r="E1139" s="104">
        <v>40449</v>
      </c>
      <c r="F1139" s="104">
        <v>349</v>
      </c>
      <c r="G1139" s="106" t="s">
        <v>305</v>
      </c>
      <c r="H1139" s="111" t="s">
        <v>306</v>
      </c>
      <c r="I1139" s="104" t="s">
        <v>104</v>
      </c>
      <c r="J1139" s="104" t="s">
        <v>105</v>
      </c>
      <c r="K1139" s="104" t="s">
        <v>307</v>
      </c>
      <c r="L1139" s="104" t="s">
        <v>308</v>
      </c>
      <c r="M1139" s="104"/>
      <c r="N1139" s="108" t="s">
        <v>17</v>
      </c>
      <c r="O1139" s="104" t="s">
        <v>17</v>
      </c>
      <c r="P1139" s="108">
        <v>0.60199999999999998</v>
      </c>
      <c r="Q1139" s="108">
        <v>0.45099999999999996</v>
      </c>
      <c r="R1139" s="104" t="s">
        <v>17</v>
      </c>
      <c r="S1139" s="253"/>
      <c r="T1139" s="104" t="s">
        <v>309</v>
      </c>
      <c r="U1139" s="108"/>
      <c r="V1139" s="107"/>
      <c r="W1139" s="114"/>
    </row>
    <row r="1140" spans="1:24" ht="21" customHeight="1">
      <c r="A1140" s="104" t="s">
        <v>273</v>
      </c>
      <c r="B1140" s="104" t="s">
        <v>74</v>
      </c>
      <c r="C1140" s="454" t="s">
        <v>266</v>
      </c>
      <c r="D1140" s="105" t="s">
        <v>267</v>
      </c>
      <c r="E1140" s="104">
        <v>40449</v>
      </c>
      <c r="F1140" s="104">
        <v>349</v>
      </c>
      <c r="G1140" s="106" t="s">
        <v>305</v>
      </c>
      <c r="H1140" s="111" t="s">
        <v>306</v>
      </c>
      <c r="I1140" s="104" t="s">
        <v>104</v>
      </c>
      <c r="J1140" s="104" t="s">
        <v>105</v>
      </c>
      <c r="K1140" s="104" t="s">
        <v>307</v>
      </c>
      <c r="L1140" s="104" t="s">
        <v>308</v>
      </c>
      <c r="M1140" s="104"/>
      <c r="N1140" s="108" t="s">
        <v>17</v>
      </c>
      <c r="O1140" s="104" t="s">
        <v>17</v>
      </c>
      <c r="P1140" s="108">
        <v>0.58799999999999997</v>
      </c>
      <c r="Q1140" s="108">
        <v>0.46100000000000002</v>
      </c>
      <c r="R1140" s="104" t="s">
        <v>17</v>
      </c>
      <c r="S1140" s="253"/>
      <c r="T1140" s="104" t="s">
        <v>309</v>
      </c>
      <c r="U1140" s="108"/>
      <c r="V1140" s="107"/>
      <c r="W1140" s="114"/>
    </row>
    <row r="1141" spans="1:24" ht="21" customHeight="1">
      <c r="A1141" s="104" t="s">
        <v>273</v>
      </c>
      <c r="B1141" s="104" t="s">
        <v>74</v>
      </c>
      <c r="C1141" s="454" t="s">
        <v>266</v>
      </c>
      <c r="D1141" s="105" t="s">
        <v>267</v>
      </c>
      <c r="E1141" s="104">
        <v>40449</v>
      </c>
      <c r="F1141" s="104">
        <v>349</v>
      </c>
      <c r="G1141" s="106" t="s">
        <v>305</v>
      </c>
      <c r="H1141" s="111" t="s">
        <v>306</v>
      </c>
      <c r="I1141" s="104" t="s">
        <v>104</v>
      </c>
      <c r="J1141" s="104" t="s">
        <v>105</v>
      </c>
      <c r="K1141" s="104" t="s">
        <v>307</v>
      </c>
      <c r="L1141" s="104" t="s">
        <v>308</v>
      </c>
      <c r="M1141" s="104"/>
      <c r="N1141" s="108" t="s">
        <v>17</v>
      </c>
      <c r="O1141" s="104" t="s">
        <v>17</v>
      </c>
      <c r="P1141" s="108">
        <v>0.54100000000000004</v>
      </c>
      <c r="Q1141" s="108">
        <v>0.47000000000000003</v>
      </c>
      <c r="R1141" s="104" t="s">
        <v>17</v>
      </c>
      <c r="S1141" s="253"/>
      <c r="T1141" s="104" t="s">
        <v>309</v>
      </c>
      <c r="U1141" s="108"/>
      <c r="V1141" s="107"/>
      <c r="W1141" s="114"/>
    </row>
    <row r="1142" spans="1:24" ht="21" customHeight="1">
      <c r="A1142" s="104" t="s">
        <v>273</v>
      </c>
      <c r="B1142" s="104" t="s">
        <v>74</v>
      </c>
      <c r="C1142" s="454" t="s">
        <v>266</v>
      </c>
      <c r="D1142" s="105" t="s">
        <v>267</v>
      </c>
      <c r="E1142" s="104">
        <v>40449</v>
      </c>
      <c r="F1142" s="104" t="s">
        <v>1226</v>
      </c>
      <c r="G1142" s="106" t="s">
        <v>305</v>
      </c>
      <c r="H1142" s="111" t="s">
        <v>306</v>
      </c>
      <c r="I1142" s="104" t="s">
        <v>104</v>
      </c>
      <c r="J1142" s="104" t="s">
        <v>105</v>
      </c>
      <c r="K1142" s="104" t="s">
        <v>307</v>
      </c>
      <c r="L1142" s="104" t="s">
        <v>308</v>
      </c>
      <c r="M1142" s="104"/>
      <c r="N1142" s="108" t="s">
        <v>17</v>
      </c>
      <c r="O1142" s="104" t="s">
        <v>17</v>
      </c>
      <c r="P1142" s="108">
        <v>0.64700000000000002</v>
      </c>
      <c r="Q1142" s="108">
        <v>0.52200000000000002</v>
      </c>
      <c r="R1142" s="104" t="s">
        <v>17</v>
      </c>
      <c r="S1142" s="253"/>
      <c r="T1142" s="104" t="s">
        <v>309</v>
      </c>
      <c r="U1142" s="108"/>
      <c r="V1142" s="107"/>
      <c r="W1142" s="114"/>
    </row>
    <row r="1143" spans="1:24" ht="21" customHeight="1">
      <c r="A1143" s="104" t="s">
        <v>273</v>
      </c>
      <c r="B1143" s="104" t="s">
        <v>74</v>
      </c>
      <c r="C1143" s="454" t="s">
        <v>266</v>
      </c>
      <c r="D1143" s="105" t="s">
        <v>267</v>
      </c>
      <c r="E1143" s="104">
        <v>40449</v>
      </c>
      <c r="F1143" s="104" t="s">
        <v>1227</v>
      </c>
      <c r="G1143" s="106" t="s">
        <v>305</v>
      </c>
      <c r="H1143" s="111" t="s">
        <v>306</v>
      </c>
      <c r="I1143" s="104" t="s">
        <v>104</v>
      </c>
      <c r="J1143" s="104" t="s">
        <v>105</v>
      </c>
      <c r="K1143" s="104" t="s">
        <v>307</v>
      </c>
      <c r="L1143" s="104" t="s">
        <v>308</v>
      </c>
      <c r="M1143" s="104"/>
      <c r="N1143" s="108" t="s">
        <v>17</v>
      </c>
      <c r="O1143" s="104" t="s">
        <v>17</v>
      </c>
      <c r="P1143" s="108">
        <v>0.59800000000000009</v>
      </c>
      <c r="Q1143" s="108">
        <v>0.49000000000000005</v>
      </c>
      <c r="R1143" s="104" t="s">
        <v>17</v>
      </c>
      <c r="S1143" s="253"/>
      <c r="T1143" s="104" t="s">
        <v>309</v>
      </c>
      <c r="U1143" s="108"/>
      <c r="V1143" s="107"/>
      <c r="W1143" s="114"/>
    </row>
    <row r="1144" spans="1:24" ht="21" customHeight="1">
      <c r="A1144" s="104" t="s">
        <v>273</v>
      </c>
      <c r="B1144" s="104" t="s">
        <v>74</v>
      </c>
      <c r="C1144" s="454" t="s">
        <v>266</v>
      </c>
      <c r="D1144" s="105" t="s">
        <v>267</v>
      </c>
      <c r="E1144" s="104">
        <v>40449</v>
      </c>
      <c r="F1144" s="104" t="s">
        <v>1228</v>
      </c>
      <c r="G1144" s="106" t="s">
        <v>305</v>
      </c>
      <c r="H1144" s="104" t="s">
        <v>306</v>
      </c>
      <c r="I1144" s="104" t="s">
        <v>104</v>
      </c>
      <c r="J1144" s="104" t="s">
        <v>105</v>
      </c>
      <c r="K1144" s="104" t="s">
        <v>307</v>
      </c>
      <c r="L1144" s="104" t="s">
        <v>308</v>
      </c>
      <c r="M1144" s="104"/>
      <c r="N1144" s="108" t="s">
        <v>17</v>
      </c>
      <c r="O1144" s="104" t="s">
        <v>17</v>
      </c>
      <c r="P1144" s="108">
        <v>0.59000000000000008</v>
      </c>
      <c r="Q1144" s="108">
        <v>0.48399999999999999</v>
      </c>
      <c r="R1144" s="104" t="s">
        <v>17</v>
      </c>
      <c r="S1144" s="253"/>
      <c r="T1144" s="104" t="s">
        <v>309</v>
      </c>
      <c r="U1144" s="108"/>
      <c r="V1144" s="107"/>
      <c r="W1144" s="114"/>
    </row>
    <row r="1145" spans="1:24" ht="21" customHeight="1">
      <c r="A1145" s="104" t="s">
        <v>273</v>
      </c>
      <c r="B1145" s="104" t="s">
        <v>74</v>
      </c>
      <c r="C1145" s="454" t="s">
        <v>266</v>
      </c>
      <c r="D1145" s="105" t="s">
        <v>267</v>
      </c>
      <c r="E1145" s="104">
        <v>40449</v>
      </c>
      <c r="F1145" s="104" t="s">
        <v>1229</v>
      </c>
      <c r="G1145" s="106" t="s">
        <v>305</v>
      </c>
      <c r="H1145" s="104" t="s">
        <v>306</v>
      </c>
      <c r="I1145" s="104" t="s">
        <v>104</v>
      </c>
      <c r="J1145" s="104" t="s">
        <v>105</v>
      </c>
      <c r="K1145" s="104" t="s">
        <v>307</v>
      </c>
      <c r="L1145" s="104" t="s">
        <v>308</v>
      </c>
      <c r="M1145" s="104"/>
      <c r="N1145" s="108" t="s">
        <v>17</v>
      </c>
      <c r="O1145" s="104" t="s">
        <v>17</v>
      </c>
      <c r="P1145" s="108">
        <v>0.628</v>
      </c>
      <c r="Q1145" s="108">
        <v>0.51800000000000002</v>
      </c>
      <c r="R1145" s="104" t="s">
        <v>17</v>
      </c>
      <c r="S1145" s="253"/>
      <c r="T1145" s="104" t="s">
        <v>309</v>
      </c>
      <c r="U1145" s="108"/>
      <c r="V1145" s="107"/>
      <c r="W1145" s="114"/>
    </row>
    <row r="1146" spans="1:24" ht="21" customHeight="1">
      <c r="A1146" s="104" t="s">
        <v>273</v>
      </c>
      <c r="B1146" s="104" t="s">
        <v>74</v>
      </c>
      <c r="C1146" s="454" t="s">
        <v>266</v>
      </c>
      <c r="D1146" s="105" t="s">
        <v>267</v>
      </c>
      <c r="E1146" s="104">
        <v>40449</v>
      </c>
      <c r="F1146" s="104" t="s">
        <v>1230</v>
      </c>
      <c r="G1146" s="106" t="s">
        <v>305</v>
      </c>
      <c r="H1146" s="104" t="s">
        <v>306</v>
      </c>
      <c r="I1146" s="104" t="s">
        <v>104</v>
      </c>
      <c r="J1146" s="104" t="s">
        <v>105</v>
      </c>
      <c r="K1146" s="104" t="s">
        <v>307</v>
      </c>
      <c r="L1146" s="104" t="s">
        <v>308</v>
      </c>
      <c r="M1146" s="104"/>
      <c r="N1146" s="108" t="s">
        <v>17</v>
      </c>
      <c r="O1146" s="104" t="s">
        <v>17</v>
      </c>
      <c r="P1146" s="108">
        <v>0.63200000000000001</v>
      </c>
      <c r="Q1146" s="108">
        <v>0.50600000000000001</v>
      </c>
      <c r="R1146" s="104" t="s">
        <v>17</v>
      </c>
      <c r="S1146" s="253"/>
      <c r="T1146" s="104" t="s">
        <v>309</v>
      </c>
      <c r="U1146" s="108"/>
      <c r="V1146" s="107"/>
      <c r="W1146" s="114"/>
    </row>
    <row r="1147" spans="1:24" ht="21" customHeight="1">
      <c r="A1147" s="104" t="s">
        <v>273</v>
      </c>
      <c r="B1147" s="104" t="s">
        <v>74</v>
      </c>
      <c r="C1147" s="454" t="s">
        <v>266</v>
      </c>
      <c r="D1147" s="105" t="s">
        <v>267</v>
      </c>
      <c r="E1147" s="104">
        <v>40449</v>
      </c>
      <c r="F1147" s="104" t="s">
        <v>1231</v>
      </c>
      <c r="G1147" s="106" t="s">
        <v>305</v>
      </c>
      <c r="H1147" s="104" t="s">
        <v>306</v>
      </c>
      <c r="I1147" s="104" t="s">
        <v>104</v>
      </c>
      <c r="J1147" s="104" t="s">
        <v>105</v>
      </c>
      <c r="K1147" s="104" t="s">
        <v>307</v>
      </c>
      <c r="L1147" s="104" t="s">
        <v>308</v>
      </c>
      <c r="M1147" s="104"/>
      <c r="N1147" s="108" t="s">
        <v>17</v>
      </c>
      <c r="O1147" s="104" t="s">
        <v>17</v>
      </c>
      <c r="P1147" s="108">
        <v>0.55599999999999994</v>
      </c>
      <c r="Q1147" s="108">
        <v>0.42599999999999999</v>
      </c>
      <c r="R1147" s="104" t="s">
        <v>17</v>
      </c>
      <c r="S1147" s="253"/>
      <c r="T1147" s="104" t="s">
        <v>309</v>
      </c>
      <c r="U1147" s="108"/>
      <c r="V1147" s="107"/>
      <c r="W1147" s="114"/>
    </row>
    <row r="1148" spans="1:24" ht="21" customHeight="1">
      <c r="A1148" s="104" t="s">
        <v>273</v>
      </c>
      <c r="B1148" s="104" t="s">
        <v>76</v>
      </c>
      <c r="C1148" s="454" t="s">
        <v>344</v>
      </c>
      <c r="D1148" s="105" t="s">
        <v>345</v>
      </c>
      <c r="E1148" s="104">
        <v>40449</v>
      </c>
      <c r="F1148" s="104">
        <v>75</v>
      </c>
      <c r="G1148" s="106" t="s">
        <v>305</v>
      </c>
      <c r="H1148" s="104" t="s">
        <v>306</v>
      </c>
      <c r="I1148" s="104" t="s">
        <v>104</v>
      </c>
      <c r="J1148" s="104" t="s">
        <v>105</v>
      </c>
      <c r="K1148" s="104" t="s">
        <v>394</v>
      </c>
      <c r="L1148" s="104" t="s">
        <v>671</v>
      </c>
      <c r="M1148" s="104"/>
      <c r="N1148" s="108" t="s">
        <v>17</v>
      </c>
      <c r="O1148" s="104" t="s">
        <v>17</v>
      </c>
      <c r="P1148" s="108">
        <v>3.899</v>
      </c>
      <c r="Q1148" s="108" t="s">
        <v>17</v>
      </c>
      <c r="R1148" s="104" t="s">
        <v>17</v>
      </c>
      <c r="S1148" s="253">
        <f>(10^(((LOG(P1148*10))*2.9648)+-0.819))/1000</f>
        <v>7.9042042044402727</v>
      </c>
      <c r="T1148" s="104" t="s">
        <v>1274</v>
      </c>
      <c r="U1148" s="108">
        <v>0.88</v>
      </c>
      <c r="V1148" s="107" t="s">
        <v>287</v>
      </c>
      <c r="W1148" s="114" t="s">
        <v>269</v>
      </c>
    </row>
    <row r="1149" spans="1:24" ht="21" customHeight="1">
      <c r="A1149" s="104" t="s">
        <v>273</v>
      </c>
      <c r="B1149" s="104" t="s">
        <v>76</v>
      </c>
      <c r="C1149" s="454" t="s">
        <v>344</v>
      </c>
      <c r="D1149" s="105" t="s">
        <v>345</v>
      </c>
      <c r="E1149" s="104">
        <v>40449</v>
      </c>
      <c r="F1149" s="104">
        <v>101</v>
      </c>
      <c r="G1149" s="106" t="s">
        <v>305</v>
      </c>
      <c r="H1149" s="104" t="s">
        <v>306</v>
      </c>
      <c r="I1149" s="104" t="s">
        <v>104</v>
      </c>
      <c r="J1149" s="104" t="s">
        <v>105</v>
      </c>
      <c r="K1149" s="104" t="s">
        <v>112</v>
      </c>
      <c r="L1149" s="104" t="s">
        <v>663</v>
      </c>
      <c r="M1149" s="104" t="s">
        <v>114</v>
      </c>
      <c r="N1149" s="108" t="s">
        <v>17</v>
      </c>
      <c r="O1149" s="104" t="s">
        <v>17</v>
      </c>
      <c r="P1149" s="108">
        <v>1.17</v>
      </c>
      <c r="Q1149" s="108">
        <v>0.48499999999999999</v>
      </c>
      <c r="R1149" s="104" t="s">
        <v>17</v>
      </c>
      <c r="S1149" s="253">
        <f>10^(((LOG(P1149*10))*3.05)+-2.15)</f>
        <v>12.82232788836423</v>
      </c>
      <c r="T1149" s="104" t="s">
        <v>1271</v>
      </c>
      <c r="U1149" s="108">
        <v>0.9</v>
      </c>
      <c r="V1149" s="107">
        <v>28</v>
      </c>
      <c r="W1149" s="114" t="s">
        <v>1272</v>
      </c>
    </row>
    <row r="1150" spans="1:24" s="674" customFormat="1" ht="21" customHeight="1">
      <c r="A1150" s="674" t="s">
        <v>273</v>
      </c>
      <c r="B1150" s="674" t="s">
        <v>76</v>
      </c>
      <c r="C1150" s="675" t="s">
        <v>344</v>
      </c>
      <c r="D1150" s="676" t="s">
        <v>345</v>
      </c>
      <c r="E1150" s="674">
        <v>40450</v>
      </c>
      <c r="F1150" s="674">
        <v>121</v>
      </c>
      <c r="G1150" s="677" t="s">
        <v>783</v>
      </c>
      <c r="H1150" s="674" t="s">
        <v>306</v>
      </c>
      <c r="I1150" s="674" t="s">
        <v>104</v>
      </c>
      <c r="J1150" s="674" t="s">
        <v>105</v>
      </c>
      <c r="K1150" s="674" t="s">
        <v>112</v>
      </c>
      <c r="L1150" s="674" t="s">
        <v>663</v>
      </c>
      <c r="M1150" s="674" t="s">
        <v>114</v>
      </c>
      <c r="N1150" s="678" t="s">
        <v>17</v>
      </c>
      <c r="O1150" s="674" t="s">
        <v>17</v>
      </c>
      <c r="P1150" s="678">
        <v>1.2689999999999999</v>
      </c>
      <c r="Q1150" s="678">
        <v>0.48399999999999999</v>
      </c>
      <c r="R1150" s="674" t="s">
        <v>17</v>
      </c>
      <c r="S1150" s="679">
        <f>10^(((LOG(P1150*10))*3.05)+-2.15)</f>
        <v>16.426988283757584</v>
      </c>
      <c r="T1150" s="674" t="s">
        <v>1271</v>
      </c>
      <c r="U1150" s="678">
        <v>0.9</v>
      </c>
      <c r="V1150" s="680">
        <v>28</v>
      </c>
      <c r="W1150" s="681" t="s">
        <v>1272</v>
      </c>
      <c r="X1150" s="674" t="s">
        <v>3691</v>
      </c>
    </row>
    <row r="1151" spans="1:24" ht="21" customHeight="1">
      <c r="A1151" s="104" t="s">
        <v>273</v>
      </c>
      <c r="B1151" s="104" t="s">
        <v>76</v>
      </c>
      <c r="C1151" s="454" t="s">
        <v>344</v>
      </c>
      <c r="D1151" s="105" t="s">
        <v>345</v>
      </c>
      <c r="E1151" s="104">
        <v>40449</v>
      </c>
      <c r="F1151" s="104">
        <v>74</v>
      </c>
      <c r="G1151" s="106" t="s">
        <v>305</v>
      </c>
      <c r="H1151" s="104" t="s">
        <v>306</v>
      </c>
      <c r="I1151" s="104" t="s">
        <v>104</v>
      </c>
      <c r="J1151" s="104" t="s">
        <v>105</v>
      </c>
      <c r="K1151" s="104" t="s">
        <v>665</v>
      </c>
      <c r="L1151" s="104" t="s">
        <v>1279</v>
      </c>
      <c r="M1151" s="104" t="s">
        <v>114</v>
      </c>
      <c r="N1151" s="108" t="s">
        <v>17</v>
      </c>
      <c r="O1151" s="104" t="s">
        <v>17</v>
      </c>
      <c r="P1151" s="108">
        <v>1.165</v>
      </c>
      <c r="Q1151" s="108">
        <v>1.038</v>
      </c>
      <c r="R1151" s="104" t="s">
        <v>17</v>
      </c>
      <c r="S1151" s="470"/>
      <c r="T1151" s="471"/>
      <c r="U1151" s="108"/>
      <c r="V1151" s="107"/>
      <c r="W1151" s="114"/>
    </row>
    <row r="1152" spans="1:24" ht="21" customHeight="1">
      <c r="A1152" s="104" t="s">
        <v>273</v>
      </c>
      <c r="B1152" s="104" t="s">
        <v>76</v>
      </c>
      <c r="C1152" s="454" t="s">
        <v>344</v>
      </c>
      <c r="D1152" s="105" t="s">
        <v>345</v>
      </c>
      <c r="E1152" s="104">
        <v>40449</v>
      </c>
      <c r="F1152" s="104">
        <v>41</v>
      </c>
      <c r="G1152" s="106" t="s">
        <v>305</v>
      </c>
      <c r="H1152" s="104" t="s">
        <v>306</v>
      </c>
      <c r="I1152" s="104" t="s">
        <v>104</v>
      </c>
      <c r="J1152" s="104" t="s">
        <v>105</v>
      </c>
      <c r="K1152" s="104" t="s">
        <v>307</v>
      </c>
      <c r="L1152" s="104" t="s">
        <v>1280</v>
      </c>
      <c r="M1152" s="104"/>
      <c r="N1152" s="108" t="s">
        <v>17</v>
      </c>
      <c r="O1152" s="104" t="s">
        <v>17</v>
      </c>
      <c r="P1152" s="108">
        <v>0.68200000000000005</v>
      </c>
      <c r="Q1152" s="108">
        <v>0.58499999999999996</v>
      </c>
      <c r="R1152" s="104" t="s">
        <v>17</v>
      </c>
      <c r="S1152" s="470"/>
      <c r="T1152" s="471"/>
      <c r="U1152" s="108"/>
      <c r="V1152" s="107"/>
      <c r="W1152" s="114"/>
    </row>
    <row r="1153" spans="1:23" ht="21" customHeight="1">
      <c r="A1153" s="416" t="s">
        <v>273</v>
      </c>
      <c r="B1153" s="416" t="s">
        <v>551</v>
      </c>
      <c r="C1153" s="455" t="s">
        <v>117</v>
      </c>
      <c r="D1153" s="461" t="s">
        <v>118</v>
      </c>
      <c r="E1153" s="416">
        <v>40449</v>
      </c>
      <c r="F1153" s="416">
        <v>39</v>
      </c>
      <c r="G1153" s="456" t="s">
        <v>305</v>
      </c>
      <c r="H1153" s="416" t="s">
        <v>306</v>
      </c>
      <c r="I1153" s="104" t="s">
        <v>104</v>
      </c>
      <c r="J1153" s="416" t="s">
        <v>105</v>
      </c>
      <c r="K1153" s="416" t="s">
        <v>112</v>
      </c>
      <c r="L1153" s="416" t="s">
        <v>663</v>
      </c>
      <c r="M1153" s="416" t="s">
        <v>114</v>
      </c>
      <c r="N1153" s="458" t="s">
        <v>17</v>
      </c>
      <c r="O1153" s="416" t="s">
        <v>17</v>
      </c>
      <c r="P1153" s="458">
        <v>0.81500000000000006</v>
      </c>
      <c r="Q1153" s="458">
        <v>0.48899999999999999</v>
      </c>
      <c r="R1153" s="416" t="s">
        <v>17</v>
      </c>
      <c r="S1153" s="459">
        <f>(10^((3.9287*LOG(P1153*10))+-0.5516))/1000</f>
        <v>1.0667555166418456</v>
      </c>
      <c r="T1153" s="416" t="s">
        <v>1292</v>
      </c>
      <c r="U1153" s="458">
        <v>0.81</v>
      </c>
      <c r="V1153" s="460"/>
      <c r="W1153" s="466" t="s">
        <v>105</v>
      </c>
    </row>
    <row r="1154" spans="1:23" ht="21" customHeight="1">
      <c r="A1154" s="104" t="s">
        <v>273</v>
      </c>
      <c r="B1154" s="104" t="s">
        <v>551</v>
      </c>
      <c r="C1154" s="454" t="s">
        <v>117</v>
      </c>
      <c r="D1154" s="105" t="s">
        <v>118</v>
      </c>
      <c r="E1154" s="104">
        <v>40449</v>
      </c>
      <c r="F1154" s="104">
        <v>40</v>
      </c>
      <c r="G1154" s="106" t="s">
        <v>305</v>
      </c>
      <c r="H1154" s="104" t="s">
        <v>306</v>
      </c>
      <c r="I1154" s="104" t="s">
        <v>104</v>
      </c>
      <c r="J1154" s="104" t="s">
        <v>105</v>
      </c>
      <c r="K1154" s="104" t="s">
        <v>785</v>
      </c>
      <c r="L1154" s="104" t="s">
        <v>1313</v>
      </c>
      <c r="M1154" s="104" t="s">
        <v>114</v>
      </c>
      <c r="N1154" s="108" t="s">
        <v>17</v>
      </c>
      <c r="O1154" s="104" t="s">
        <v>17</v>
      </c>
      <c r="P1154" s="108">
        <v>0.47199999999999998</v>
      </c>
      <c r="Q1154" s="108">
        <v>0.437</v>
      </c>
      <c r="R1154" s="104" t="s">
        <v>17</v>
      </c>
      <c r="S1154" s="470"/>
      <c r="T1154" s="471"/>
      <c r="U1154" s="108"/>
      <c r="V1154" s="107"/>
      <c r="W1154" s="114"/>
    </row>
    <row r="1155" spans="1:23" ht="21" customHeight="1">
      <c r="A1155" s="104" t="s">
        <v>273</v>
      </c>
      <c r="B1155" s="104" t="s">
        <v>551</v>
      </c>
      <c r="C1155" s="454" t="s">
        <v>117</v>
      </c>
      <c r="D1155" s="105" t="s">
        <v>118</v>
      </c>
      <c r="E1155" s="104">
        <v>40449</v>
      </c>
      <c r="F1155" s="104">
        <v>203</v>
      </c>
      <c r="G1155" s="106" t="s">
        <v>305</v>
      </c>
      <c r="H1155" s="104" t="s">
        <v>306</v>
      </c>
      <c r="I1155" s="104" t="s">
        <v>104</v>
      </c>
      <c r="J1155" s="104" t="s">
        <v>105</v>
      </c>
      <c r="K1155" s="104" t="s">
        <v>785</v>
      </c>
      <c r="L1155" s="104" t="s">
        <v>1314</v>
      </c>
      <c r="M1155" s="104" t="s">
        <v>114</v>
      </c>
      <c r="N1155" s="108" t="s">
        <v>17</v>
      </c>
      <c r="O1155" s="104" t="s">
        <v>17</v>
      </c>
      <c r="P1155" s="108">
        <v>0.442</v>
      </c>
      <c r="Q1155" s="108">
        <v>0.40099999999999997</v>
      </c>
      <c r="R1155" s="104" t="s">
        <v>17</v>
      </c>
      <c r="S1155" s="470"/>
      <c r="T1155" s="471"/>
      <c r="U1155" s="108"/>
      <c r="V1155" s="107"/>
      <c r="W1155" s="114"/>
    </row>
    <row r="1156" spans="1:23" ht="21" customHeight="1">
      <c r="A1156" s="104" t="s">
        <v>273</v>
      </c>
      <c r="B1156" s="104" t="s">
        <v>551</v>
      </c>
      <c r="C1156" s="454" t="s">
        <v>117</v>
      </c>
      <c r="D1156" s="105" t="s">
        <v>118</v>
      </c>
      <c r="E1156" s="104">
        <v>40449</v>
      </c>
      <c r="F1156" s="104">
        <v>507</v>
      </c>
      <c r="G1156" s="106" t="s">
        <v>305</v>
      </c>
      <c r="H1156" s="104" t="s">
        <v>306</v>
      </c>
      <c r="I1156" s="104" t="s">
        <v>104</v>
      </c>
      <c r="J1156" s="104" t="s">
        <v>105</v>
      </c>
      <c r="K1156" s="104" t="s">
        <v>785</v>
      </c>
      <c r="L1156" s="104" t="s">
        <v>1315</v>
      </c>
      <c r="M1156" s="104" t="s">
        <v>114</v>
      </c>
      <c r="N1156" s="108" t="s">
        <v>17</v>
      </c>
      <c r="O1156" s="104" t="s">
        <v>17</v>
      </c>
      <c r="P1156" s="108">
        <v>0.50900000000000001</v>
      </c>
      <c r="Q1156" s="108">
        <v>0.44500000000000001</v>
      </c>
      <c r="R1156" s="104" t="s">
        <v>17</v>
      </c>
      <c r="S1156" s="470"/>
      <c r="T1156" s="471"/>
      <c r="U1156" s="108"/>
      <c r="V1156" s="107"/>
      <c r="W1156" s="114"/>
    </row>
    <row r="1157" spans="1:23" ht="21" customHeight="1">
      <c r="A1157" s="104" t="s">
        <v>273</v>
      </c>
      <c r="B1157" s="104" t="s">
        <v>551</v>
      </c>
      <c r="C1157" s="454" t="s">
        <v>117</v>
      </c>
      <c r="D1157" s="105" t="s">
        <v>118</v>
      </c>
      <c r="E1157" s="104">
        <v>40449</v>
      </c>
      <c r="F1157" s="104">
        <v>508</v>
      </c>
      <c r="G1157" s="106" t="s">
        <v>305</v>
      </c>
      <c r="H1157" s="104" t="s">
        <v>306</v>
      </c>
      <c r="I1157" s="104" t="s">
        <v>104</v>
      </c>
      <c r="J1157" s="104" t="s">
        <v>105</v>
      </c>
      <c r="K1157" s="104" t="s">
        <v>665</v>
      </c>
      <c r="L1157" s="104" t="s">
        <v>1316</v>
      </c>
      <c r="M1157" s="104" t="s">
        <v>114</v>
      </c>
      <c r="N1157" s="108" t="s">
        <v>17</v>
      </c>
      <c r="O1157" s="104" t="s">
        <v>17</v>
      </c>
      <c r="P1157" s="108">
        <v>0.55599999999999994</v>
      </c>
      <c r="Q1157" s="108">
        <v>0.48899999999999999</v>
      </c>
      <c r="R1157" s="462"/>
      <c r="S1157" s="470"/>
      <c r="T1157" s="471"/>
      <c r="U1157" s="108"/>
      <c r="V1157" s="107"/>
      <c r="W1157" s="114"/>
    </row>
    <row r="1158" spans="1:23" ht="21" customHeight="1">
      <c r="A1158" s="256" t="s">
        <v>576</v>
      </c>
      <c r="B1158" s="104" t="s">
        <v>413</v>
      </c>
      <c r="C1158" s="454" t="s">
        <v>414</v>
      </c>
      <c r="D1158" s="105" t="s">
        <v>151</v>
      </c>
      <c r="E1158" s="104">
        <v>40449</v>
      </c>
      <c r="F1158" s="104">
        <v>135</v>
      </c>
      <c r="G1158" s="106" t="s">
        <v>305</v>
      </c>
      <c r="H1158" s="104" t="s">
        <v>306</v>
      </c>
      <c r="I1158" s="104" t="s">
        <v>104</v>
      </c>
      <c r="J1158" s="104" t="s">
        <v>105</v>
      </c>
      <c r="K1158" s="104" t="s">
        <v>252</v>
      </c>
      <c r="L1158" s="104" t="s">
        <v>415</v>
      </c>
      <c r="M1158" s="104" t="s">
        <v>114</v>
      </c>
      <c r="N1158" s="108" t="s">
        <v>17</v>
      </c>
      <c r="O1158" s="104" t="s">
        <v>17</v>
      </c>
      <c r="P1158" s="108">
        <v>0.61699999999999999</v>
      </c>
      <c r="Q1158" s="108">
        <v>0.53</v>
      </c>
      <c r="R1158" s="104" t="s">
        <v>17</v>
      </c>
      <c r="S1158" s="253">
        <f>(10^(((LOG(P1158*10))*3.3988)+0.7534))/1000</f>
        <v>2.7505605860944451</v>
      </c>
      <c r="T1158" s="104" t="s">
        <v>416</v>
      </c>
      <c r="U1158" s="108">
        <v>0.79</v>
      </c>
      <c r="V1158" s="107" t="s">
        <v>287</v>
      </c>
      <c r="W1158" s="114" t="s">
        <v>269</v>
      </c>
    </row>
    <row r="1159" spans="1:23" ht="21" customHeight="1">
      <c r="A1159" s="104" t="s">
        <v>579</v>
      </c>
      <c r="B1159" s="104" t="s">
        <v>580</v>
      </c>
      <c r="C1159" s="454" t="s">
        <v>581</v>
      </c>
      <c r="D1159" s="105" t="s">
        <v>151</v>
      </c>
      <c r="E1159" s="104">
        <v>40449</v>
      </c>
      <c r="F1159" s="104">
        <v>28</v>
      </c>
      <c r="G1159" s="106" t="s">
        <v>305</v>
      </c>
      <c r="H1159" s="104" t="s">
        <v>306</v>
      </c>
      <c r="I1159" s="104" t="s">
        <v>104</v>
      </c>
      <c r="J1159" s="104" t="s">
        <v>105</v>
      </c>
      <c r="K1159" s="104" t="s">
        <v>647</v>
      </c>
      <c r="L1159" s="104" t="s">
        <v>648</v>
      </c>
      <c r="M1159" s="104"/>
      <c r="N1159" s="108"/>
      <c r="O1159" s="108"/>
      <c r="P1159" s="108">
        <v>1.2550000000000001</v>
      </c>
      <c r="Q1159" s="108">
        <v>0.80600000000000005</v>
      </c>
      <c r="R1159" s="108"/>
      <c r="S1159" s="253">
        <f>(10^(2.584*LOG(P1159*10)+0.461))/1000</f>
        <v>1.9947817557449725</v>
      </c>
      <c r="T1159" s="108" t="s">
        <v>1348</v>
      </c>
      <c r="U1159" s="108">
        <v>0.98488578017961048</v>
      </c>
      <c r="V1159" s="107">
        <v>15.427</v>
      </c>
      <c r="W1159" s="106" t="s">
        <v>1347</v>
      </c>
    </row>
    <row r="1160" spans="1:23" ht="21" customHeight="1">
      <c r="A1160" s="104" t="s">
        <v>579</v>
      </c>
      <c r="B1160" s="104" t="s">
        <v>580</v>
      </c>
      <c r="C1160" s="454" t="s">
        <v>581</v>
      </c>
      <c r="D1160" s="105" t="s">
        <v>151</v>
      </c>
      <c r="E1160" s="104">
        <v>40449</v>
      </c>
      <c r="F1160" s="104" t="s">
        <v>1350</v>
      </c>
      <c r="G1160" s="106" t="s">
        <v>305</v>
      </c>
      <c r="H1160" s="104" t="s">
        <v>306</v>
      </c>
      <c r="I1160" s="104" t="s">
        <v>104</v>
      </c>
      <c r="J1160" s="104" t="s">
        <v>105</v>
      </c>
      <c r="K1160" s="104" t="s">
        <v>647</v>
      </c>
      <c r="L1160" s="104" t="s">
        <v>648</v>
      </c>
      <c r="M1160" s="104"/>
      <c r="N1160" s="108"/>
      <c r="O1160" s="108"/>
      <c r="P1160" s="108">
        <v>1.353</v>
      </c>
      <c r="Q1160" s="108">
        <v>0.85099999999999998</v>
      </c>
      <c r="R1160" s="108"/>
      <c r="S1160" s="253">
        <f>(10^(2.584*LOG(P1160*10)+0.461))/1000</f>
        <v>2.4225542227107097</v>
      </c>
      <c r="T1160" s="108" t="s">
        <v>1348</v>
      </c>
      <c r="U1160" s="108">
        <v>0.98488578017961048</v>
      </c>
      <c r="V1160" s="107">
        <v>15.427</v>
      </c>
      <c r="W1160" s="106" t="s">
        <v>1347</v>
      </c>
    </row>
    <row r="1161" spans="1:23" ht="21" customHeight="1">
      <c r="A1161" s="104" t="s">
        <v>579</v>
      </c>
      <c r="B1161" s="104" t="s">
        <v>580</v>
      </c>
      <c r="C1161" s="454" t="s">
        <v>581</v>
      </c>
      <c r="D1161" s="105" t="s">
        <v>151</v>
      </c>
      <c r="E1161" s="104">
        <v>40449</v>
      </c>
      <c r="F1161" s="104">
        <v>27</v>
      </c>
      <c r="G1161" s="106" t="s">
        <v>305</v>
      </c>
      <c r="H1161" s="104" t="s">
        <v>306</v>
      </c>
      <c r="I1161" s="104" t="s">
        <v>104</v>
      </c>
      <c r="J1161" s="104" t="s">
        <v>105</v>
      </c>
      <c r="K1161" s="104" t="s">
        <v>647</v>
      </c>
      <c r="L1161" s="104" t="s">
        <v>648</v>
      </c>
      <c r="M1161" s="104" t="s">
        <v>114</v>
      </c>
      <c r="N1161" s="108"/>
      <c r="O1161" s="108"/>
      <c r="P1161" s="108">
        <v>1.3560000000000001</v>
      </c>
      <c r="Q1161" s="108">
        <v>0.8640000000000001</v>
      </c>
      <c r="R1161" s="108"/>
      <c r="S1161" s="253">
        <f>(10^(2.584*LOG(P1161*10)+0.461))/1000</f>
        <v>2.4364586081109678</v>
      </c>
      <c r="T1161" s="108" t="s">
        <v>1348</v>
      </c>
      <c r="U1161" s="108">
        <v>0.98488578017961048</v>
      </c>
      <c r="V1161" s="107">
        <v>15.427</v>
      </c>
      <c r="W1161" s="106" t="s">
        <v>1347</v>
      </c>
    </row>
    <row r="1162" spans="1:23" ht="21" customHeight="1">
      <c r="A1162" s="104" t="s">
        <v>579</v>
      </c>
      <c r="B1162" s="104" t="s">
        <v>580</v>
      </c>
      <c r="C1162" s="454" t="s">
        <v>581</v>
      </c>
      <c r="D1162" s="105" t="s">
        <v>151</v>
      </c>
      <c r="E1162" s="104">
        <v>40449</v>
      </c>
      <c r="F1162" s="104">
        <v>497</v>
      </c>
      <c r="G1162" s="106" t="s">
        <v>305</v>
      </c>
      <c r="H1162" s="104" t="s">
        <v>306</v>
      </c>
      <c r="I1162" s="104" t="s">
        <v>104</v>
      </c>
      <c r="J1162" s="104" t="s">
        <v>105</v>
      </c>
      <c r="K1162" s="104" t="s">
        <v>121</v>
      </c>
      <c r="L1162" s="104" t="s">
        <v>1041</v>
      </c>
      <c r="M1162" s="104"/>
      <c r="N1162" s="108"/>
      <c r="O1162" s="108"/>
      <c r="P1162" s="108">
        <v>1.0630000000000002</v>
      </c>
      <c r="Q1162" s="108">
        <v>0.69599999999999995</v>
      </c>
      <c r="R1162" s="108"/>
      <c r="S1162" s="253">
        <f>(10^(2.393*LOG(P1162*10)+0.934))/1000</f>
        <v>2.4575032565285397</v>
      </c>
      <c r="T1162" s="108" t="s">
        <v>1349</v>
      </c>
      <c r="U1162" s="108">
        <v>0.875</v>
      </c>
      <c r="V1162" s="107">
        <v>15.997</v>
      </c>
      <c r="W1162" s="106" t="s">
        <v>1347</v>
      </c>
    </row>
    <row r="1163" spans="1:23" ht="21" customHeight="1">
      <c r="A1163" s="104" t="s">
        <v>579</v>
      </c>
      <c r="B1163" s="104" t="s">
        <v>580</v>
      </c>
      <c r="C1163" s="454" t="s">
        <v>581</v>
      </c>
      <c r="D1163" s="105" t="s">
        <v>151</v>
      </c>
      <c r="E1163" s="104">
        <v>40449</v>
      </c>
      <c r="F1163" s="104">
        <v>26</v>
      </c>
      <c r="G1163" s="106" t="s">
        <v>305</v>
      </c>
      <c r="H1163" s="104" t="s">
        <v>306</v>
      </c>
      <c r="I1163" s="104" t="s">
        <v>104</v>
      </c>
      <c r="J1163" s="104" t="s">
        <v>105</v>
      </c>
      <c r="K1163" s="104" t="s">
        <v>121</v>
      </c>
      <c r="L1163" s="104" t="s">
        <v>1041</v>
      </c>
      <c r="M1163" s="104" t="s">
        <v>114</v>
      </c>
      <c r="N1163" s="108"/>
      <c r="O1163" s="108"/>
      <c r="P1163" s="108">
        <v>1.0640000000000001</v>
      </c>
      <c r="Q1163" s="108">
        <v>0.82799999999999996</v>
      </c>
      <c r="R1163" s="108"/>
      <c r="S1163" s="253">
        <f>(10^(2.393*LOG(P1163*10)+0.934))/1000</f>
        <v>2.4630391539840515</v>
      </c>
      <c r="T1163" s="108" t="s">
        <v>1349</v>
      </c>
      <c r="U1163" s="108">
        <v>0.875</v>
      </c>
      <c r="V1163" s="107">
        <v>15.997</v>
      </c>
      <c r="W1163" s="106" t="s">
        <v>1347</v>
      </c>
    </row>
    <row r="1164" spans="1:23" ht="21" customHeight="1">
      <c r="A1164" s="104" t="s">
        <v>579</v>
      </c>
      <c r="B1164" s="104" t="s">
        <v>580</v>
      </c>
      <c r="C1164" s="454" t="s">
        <v>581</v>
      </c>
      <c r="D1164" s="105" t="s">
        <v>151</v>
      </c>
      <c r="E1164" s="104">
        <v>40449</v>
      </c>
      <c r="F1164" s="104">
        <v>26</v>
      </c>
      <c r="G1164" s="106" t="s">
        <v>305</v>
      </c>
      <c r="H1164" s="104" t="s">
        <v>306</v>
      </c>
      <c r="I1164" s="104" t="s">
        <v>104</v>
      </c>
      <c r="J1164" s="104" t="s">
        <v>105</v>
      </c>
      <c r="K1164" s="104" t="s">
        <v>121</v>
      </c>
      <c r="L1164" s="104" t="s">
        <v>1041</v>
      </c>
      <c r="M1164" s="104" t="s">
        <v>114</v>
      </c>
      <c r="N1164" s="108"/>
      <c r="O1164" s="108"/>
      <c r="P1164" s="108">
        <v>1.2</v>
      </c>
      <c r="Q1164" s="108">
        <v>0.72199999999999998</v>
      </c>
      <c r="R1164" s="108"/>
      <c r="S1164" s="253">
        <f>(10^(2.393*LOG(P1164*10)+0.934))/1000</f>
        <v>3.2845866379316742</v>
      </c>
      <c r="T1164" s="108" t="s">
        <v>1349</v>
      </c>
      <c r="U1164" s="108">
        <v>0.875</v>
      </c>
      <c r="V1164" s="107">
        <v>15.997</v>
      </c>
      <c r="W1164" s="106" t="s">
        <v>1347</v>
      </c>
    </row>
    <row r="1165" spans="1:23" ht="21" customHeight="1">
      <c r="A1165" s="104" t="s">
        <v>169</v>
      </c>
      <c r="B1165" s="104" t="s">
        <v>246</v>
      </c>
      <c r="C1165" s="454" t="s">
        <v>247</v>
      </c>
      <c r="D1165" s="105" t="s">
        <v>248</v>
      </c>
      <c r="E1165" s="104">
        <v>40449</v>
      </c>
      <c r="F1165" s="104">
        <v>460</v>
      </c>
      <c r="G1165" s="106" t="s">
        <v>305</v>
      </c>
      <c r="H1165" s="104" t="s">
        <v>306</v>
      </c>
      <c r="I1165" s="104" t="s">
        <v>104</v>
      </c>
      <c r="J1165" s="104" t="s">
        <v>105</v>
      </c>
      <c r="K1165" s="104" t="s">
        <v>160</v>
      </c>
      <c r="L1165" s="104" t="s">
        <v>1059</v>
      </c>
      <c r="M1165" s="104" t="s">
        <v>114</v>
      </c>
      <c r="N1165" s="108" t="s">
        <v>17</v>
      </c>
      <c r="O1165" s="104" t="s">
        <v>17</v>
      </c>
      <c r="P1165" s="108">
        <v>2.2149999999999999</v>
      </c>
      <c r="Q1165" s="108">
        <v>2.077</v>
      </c>
      <c r="R1165" s="104" t="s">
        <v>17</v>
      </c>
      <c r="S1165" s="253">
        <f>( (10^((2.965*LOG((P1165))+1.383))) +  (10^((3.09*LOG((P1165))+1.29))))/2</f>
        <v>241.45333124324151</v>
      </c>
      <c r="T1165" s="103" t="s">
        <v>1434</v>
      </c>
      <c r="U1165" s="108"/>
      <c r="V1165" s="107"/>
      <c r="W1165" s="414" t="s">
        <v>1385</v>
      </c>
    </row>
    <row r="1166" spans="1:23" ht="21" customHeight="1">
      <c r="A1166" s="104" t="s">
        <v>169</v>
      </c>
      <c r="B1166" s="104" t="s">
        <v>246</v>
      </c>
      <c r="C1166" s="454" t="s">
        <v>247</v>
      </c>
      <c r="D1166" s="105" t="s">
        <v>248</v>
      </c>
      <c r="E1166" s="104">
        <v>40449</v>
      </c>
      <c r="F1166" s="104">
        <v>134</v>
      </c>
      <c r="G1166" s="106" t="s">
        <v>305</v>
      </c>
      <c r="H1166" s="104" t="s">
        <v>306</v>
      </c>
      <c r="I1166" s="104" t="s">
        <v>104</v>
      </c>
      <c r="J1166" s="104" t="s">
        <v>105</v>
      </c>
      <c r="K1166" s="104" t="s">
        <v>160</v>
      </c>
      <c r="L1166" s="104" t="s">
        <v>1059</v>
      </c>
      <c r="M1166" s="104" t="s">
        <v>108</v>
      </c>
      <c r="N1166" s="108" t="s">
        <v>17</v>
      </c>
      <c r="O1166" s="104" t="s">
        <v>17</v>
      </c>
      <c r="P1166" s="108">
        <v>2.3039999999999998</v>
      </c>
      <c r="Q1166" s="108">
        <v>1.956</v>
      </c>
      <c r="R1166" s="104" t="s">
        <v>17</v>
      </c>
      <c r="S1166" s="253">
        <f>( (10^((2.965*LOG((P1166))+1.383))) +  (10^((3.09*LOG((P1166))+1.29))))/2</f>
        <v>272.0006624491981</v>
      </c>
      <c r="T1166" s="103" t="s">
        <v>1434</v>
      </c>
      <c r="U1166" s="108"/>
      <c r="V1166" s="107"/>
      <c r="W1166" s="414" t="s">
        <v>1385</v>
      </c>
    </row>
    <row r="1167" spans="1:23" ht="21" customHeight="1">
      <c r="A1167" s="104" t="s">
        <v>273</v>
      </c>
      <c r="B1167" s="104" t="s">
        <v>74</v>
      </c>
      <c r="C1167" s="454" t="s">
        <v>266</v>
      </c>
      <c r="D1167" s="105" t="s">
        <v>1185</v>
      </c>
      <c r="E1167" s="104">
        <v>40449</v>
      </c>
      <c r="F1167" s="104">
        <v>98</v>
      </c>
      <c r="G1167" s="106" t="s">
        <v>1186</v>
      </c>
      <c r="H1167" s="104"/>
      <c r="I1167" s="104" t="s">
        <v>104</v>
      </c>
      <c r="J1167" s="104" t="s">
        <v>284</v>
      </c>
      <c r="K1167" s="104" t="s">
        <v>1187</v>
      </c>
      <c r="L1167" s="104" t="s">
        <v>1188</v>
      </c>
      <c r="M1167" s="104" t="s">
        <v>108</v>
      </c>
      <c r="N1167" s="108"/>
      <c r="O1167" s="104"/>
      <c r="P1167" s="108"/>
      <c r="Q1167" s="108"/>
      <c r="R1167" s="104"/>
      <c r="S1167" s="253">
        <v>6.1437700000000008</v>
      </c>
      <c r="T1167" s="104"/>
      <c r="U1167" s="108"/>
      <c r="V1167" s="107"/>
      <c r="W1167" s="106"/>
    </row>
    <row r="1168" spans="1:23" ht="21" customHeight="1">
      <c r="A1168" s="104" t="s">
        <v>273</v>
      </c>
      <c r="B1168" s="104" t="s">
        <v>74</v>
      </c>
      <c r="C1168" s="454" t="s">
        <v>266</v>
      </c>
      <c r="D1168" s="105" t="s">
        <v>1185</v>
      </c>
      <c r="E1168" s="104">
        <v>40449</v>
      </c>
      <c r="F1168" s="104">
        <v>102</v>
      </c>
      <c r="G1168" s="106" t="s">
        <v>1186</v>
      </c>
      <c r="H1168" s="104"/>
      <c r="I1168" s="104" t="s">
        <v>104</v>
      </c>
      <c r="J1168" s="104" t="s">
        <v>284</v>
      </c>
      <c r="K1168" s="104" t="s">
        <v>401</v>
      </c>
      <c r="L1168" s="104" t="s">
        <v>402</v>
      </c>
      <c r="M1168" s="104" t="s">
        <v>108</v>
      </c>
      <c r="N1168" s="108"/>
      <c r="O1168" s="104"/>
      <c r="P1168" s="108"/>
      <c r="Q1168" s="108"/>
      <c r="R1168" s="104"/>
      <c r="S1168" s="253">
        <v>10.891450000000001</v>
      </c>
      <c r="T1168" s="104"/>
      <c r="U1168" s="108"/>
      <c r="V1168" s="107"/>
      <c r="W1168" s="106"/>
    </row>
    <row r="1169" spans="1:23" ht="21" customHeight="1">
      <c r="A1169" s="104" t="s">
        <v>273</v>
      </c>
      <c r="B1169" s="104" t="s">
        <v>74</v>
      </c>
      <c r="C1169" s="454" t="s">
        <v>266</v>
      </c>
      <c r="D1169" s="105" t="s">
        <v>267</v>
      </c>
      <c r="E1169" s="104">
        <v>40449</v>
      </c>
      <c r="F1169" s="104">
        <v>97</v>
      </c>
      <c r="G1169" s="106" t="s">
        <v>1186</v>
      </c>
      <c r="H1169" s="104"/>
      <c r="I1169" s="104" t="s">
        <v>104</v>
      </c>
      <c r="J1169" s="104" t="s">
        <v>284</v>
      </c>
      <c r="K1169" s="104" t="s">
        <v>1157</v>
      </c>
      <c r="L1169" s="104" t="s">
        <v>1210</v>
      </c>
      <c r="M1169" s="104" t="s">
        <v>108</v>
      </c>
      <c r="N1169" s="108"/>
      <c r="O1169" s="104"/>
      <c r="P1169" s="108"/>
      <c r="Q1169" s="108"/>
      <c r="R1169" s="104"/>
      <c r="S1169" s="253">
        <v>9.2065999999999999</v>
      </c>
      <c r="T1169" s="104"/>
      <c r="U1169" s="108"/>
      <c r="V1169" s="107"/>
      <c r="W1169" s="106"/>
    </row>
    <row r="1170" spans="1:23" ht="21" customHeight="1">
      <c r="A1170" s="104" t="s">
        <v>218</v>
      </c>
      <c r="B1170" s="104" t="s">
        <v>389</v>
      </c>
      <c r="C1170" s="454" t="s">
        <v>390</v>
      </c>
      <c r="D1170" s="105" t="s">
        <v>151</v>
      </c>
      <c r="E1170" s="104">
        <v>40279</v>
      </c>
      <c r="F1170" s="104">
        <v>1</v>
      </c>
      <c r="G1170" s="106" t="s">
        <v>119</v>
      </c>
      <c r="H1170" s="104" t="s">
        <v>120</v>
      </c>
      <c r="I1170" s="104" t="s">
        <v>104</v>
      </c>
      <c r="J1170" s="104" t="s">
        <v>105</v>
      </c>
      <c r="K1170" s="104" t="s">
        <v>647</v>
      </c>
      <c r="L1170" s="104" t="s">
        <v>648</v>
      </c>
      <c r="M1170" s="104"/>
      <c r="N1170" s="108" t="s">
        <v>17</v>
      </c>
      <c r="O1170" s="104" t="s">
        <v>17</v>
      </c>
      <c r="P1170" s="108">
        <v>5.8330000000000002</v>
      </c>
      <c r="Q1170" s="108">
        <v>4.1369999999999996</v>
      </c>
      <c r="R1170" s="104" t="s">
        <v>17</v>
      </c>
      <c r="S1170" s="113">
        <v>314.8</v>
      </c>
      <c r="T1170" s="104" t="s">
        <v>827</v>
      </c>
      <c r="U1170" s="108">
        <v>0.95399999999999996</v>
      </c>
      <c r="V1170" s="107">
        <v>20</v>
      </c>
      <c r="W1170" s="106" t="s">
        <v>694</v>
      </c>
    </row>
    <row r="1171" spans="1:23" ht="21" customHeight="1">
      <c r="A1171" s="104" t="s">
        <v>218</v>
      </c>
      <c r="B1171" s="104" t="s">
        <v>389</v>
      </c>
      <c r="C1171" s="454" t="s">
        <v>390</v>
      </c>
      <c r="D1171" s="105" t="s">
        <v>151</v>
      </c>
      <c r="E1171" s="104">
        <v>40279</v>
      </c>
      <c r="F1171" s="104">
        <v>97</v>
      </c>
      <c r="G1171" s="106" t="s">
        <v>119</v>
      </c>
      <c r="H1171" s="104" t="s">
        <v>120</v>
      </c>
      <c r="I1171" s="104" t="s">
        <v>104</v>
      </c>
      <c r="J1171" s="104" t="s">
        <v>105</v>
      </c>
      <c r="K1171" s="104" t="s">
        <v>655</v>
      </c>
      <c r="L1171" s="104" t="s">
        <v>656</v>
      </c>
      <c r="M1171" s="104"/>
      <c r="N1171" s="108"/>
      <c r="O1171" s="104"/>
      <c r="P1171" s="108">
        <v>4.3860000000000001</v>
      </c>
      <c r="Q1171" s="108">
        <v>7.8019999999999996</v>
      </c>
      <c r="R1171" s="104" t="s">
        <v>17</v>
      </c>
      <c r="S1171" s="113">
        <f>(10^((1.463*LOG((P1171*Q1171*100))+0.633)))/1000</f>
        <v>636.27330217897986</v>
      </c>
      <c r="T1171" s="104" t="s">
        <v>657</v>
      </c>
      <c r="U1171" s="108">
        <v>0.97660000000000002</v>
      </c>
      <c r="V1171" s="107">
        <v>33.36</v>
      </c>
      <c r="W1171" s="106" t="s">
        <v>404</v>
      </c>
    </row>
    <row r="1172" spans="1:23" ht="21" customHeight="1">
      <c r="A1172" s="104" t="s">
        <v>218</v>
      </c>
      <c r="B1172" s="104" t="s">
        <v>389</v>
      </c>
      <c r="C1172" s="454" t="s">
        <v>390</v>
      </c>
      <c r="D1172" s="105" t="s">
        <v>151</v>
      </c>
      <c r="E1172" s="104">
        <v>40279</v>
      </c>
      <c r="F1172" s="104">
        <v>68</v>
      </c>
      <c r="G1172" s="106" t="s">
        <v>119</v>
      </c>
      <c r="H1172" s="104" t="s">
        <v>120</v>
      </c>
      <c r="I1172" s="104" t="s">
        <v>104</v>
      </c>
      <c r="J1172" s="104" t="s">
        <v>105</v>
      </c>
      <c r="K1172" s="104" t="s">
        <v>155</v>
      </c>
      <c r="L1172" s="104" t="s">
        <v>658</v>
      </c>
      <c r="M1172" s="104"/>
      <c r="N1172" s="108"/>
      <c r="O1172" s="104"/>
      <c r="P1172" s="108">
        <v>3.2890000000000001</v>
      </c>
      <c r="Q1172" s="108">
        <v>2.1030000000000002</v>
      </c>
      <c r="R1172" s="104" t="s">
        <v>17</v>
      </c>
      <c r="S1172" s="113">
        <f>(10^((3.13*LOG((P1172*10))+1.17)))/1000</f>
        <v>828.72401474382571</v>
      </c>
      <c r="T1172" s="104" t="s">
        <v>703</v>
      </c>
      <c r="U1172" s="108">
        <v>0.9</v>
      </c>
      <c r="V1172" s="107">
        <v>39.799999999999997</v>
      </c>
      <c r="W1172" s="106" t="s">
        <v>704</v>
      </c>
    </row>
    <row r="1173" spans="1:23" ht="21" customHeight="1">
      <c r="A1173" s="104" t="s">
        <v>218</v>
      </c>
      <c r="B1173" s="104" t="s">
        <v>389</v>
      </c>
      <c r="C1173" s="454" t="s">
        <v>390</v>
      </c>
      <c r="D1173" s="105" t="s">
        <v>151</v>
      </c>
      <c r="E1173" s="104">
        <v>40279</v>
      </c>
      <c r="F1173" s="104" t="s">
        <v>753</v>
      </c>
      <c r="G1173" s="106" t="s">
        <v>119</v>
      </c>
      <c r="H1173" s="104" t="s">
        <v>120</v>
      </c>
      <c r="I1173" s="104" t="s">
        <v>104</v>
      </c>
      <c r="J1173" s="104" t="s">
        <v>105</v>
      </c>
      <c r="K1173" s="104" t="s">
        <v>209</v>
      </c>
      <c r="L1173" s="104" t="s">
        <v>728</v>
      </c>
      <c r="M1173" s="104"/>
      <c r="N1173" s="108"/>
      <c r="O1173" s="104"/>
      <c r="P1173" s="108">
        <v>3.6420000000000003</v>
      </c>
      <c r="Q1173" s="108">
        <v>2.0529999999999999</v>
      </c>
      <c r="R1173" s="104" t="s">
        <v>17</v>
      </c>
      <c r="S1173" s="113">
        <f>10^(((LOG(P1173))*3.375)+1.119)</f>
        <v>1031.6260554078692</v>
      </c>
      <c r="T1173" s="104" t="s">
        <v>699</v>
      </c>
      <c r="U1173" s="108">
        <v>0.93</v>
      </c>
      <c r="V1173" s="107">
        <v>33.6</v>
      </c>
      <c r="W1173" s="106" t="s">
        <v>700</v>
      </c>
    </row>
    <row r="1174" spans="1:23" ht="21" customHeight="1">
      <c r="A1174" s="104" t="s">
        <v>218</v>
      </c>
      <c r="B1174" s="104" t="s">
        <v>221</v>
      </c>
      <c r="C1174" s="454" t="s">
        <v>222</v>
      </c>
      <c r="D1174" s="105" t="s">
        <v>151</v>
      </c>
      <c r="E1174" s="104">
        <v>40279</v>
      </c>
      <c r="F1174" s="104">
        <v>105</v>
      </c>
      <c r="G1174" s="106" t="s">
        <v>119</v>
      </c>
      <c r="H1174" s="104" t="s">
        <v>120</v>
      </c>
      <c r="I1174" s="104" t="s">
        <v>104</v>
      </c>
      <c r="J1174" s="104" t="s">
        <v>105</v>
      </c>
      <c r="K1174" s="104" t="s">
        <v>155</v>
      </c>
      <c r="L1174" s="104" t="s">
        <v>658</v>
      </c>
      <c r="M1174" s="104" t="s">
        <v>114</v>
      </c>
      <c r="N1174" s="108" t="s">
        <v>17</v>
      </c>
      <c r="O1174" s="104" t="s">
        <v>17</v>
      </c>
      <c r="P1174" s="108">
        <v>1.5</v>
      </c>
      <c r="Q1174" s="108">
        <v>1.26</v>
      </c>
      <c r="R1174" s="104" t="s">
        <v>17</v>
      </c>
      <c r="S1174" s="253">
        <f>(10^((3.21*LOG((P1174*10))+1.07)))/1000</f>
        <v>70.024971633817643</v>
      </c>
      <c r="T1174" s="104" t="s">
        <v>659</v>
      </c>
      <c r="U1174" s="108">
        <v>0.96</v>
      </c>
      <c r="V1174" s="107">
        <v>35.1</v>
      </c>
      <c r="W1174" s="106" t="s">
        <v>644</v>
      </c>
    </row>
    <row r="1175" spans="1:23" ht="21" customHeight="1">
      <c r="A1175" s="104" t="s">
        <v>273</v>
      </c>
      <c r="B1175" s="104" t="s">
        <v>76</v>
      </c>
      <c r="C1175" s="454" t="s">
        <v>524</v>
      </c>
      <c r="D1175" s="105" t="s">
        <v>527</v>
      </c>
      <c r="E1175" s="104">
        <v>40279</v>
      </c>
      <c r="F1175" s="104">
        <v>121</v>
      </c>
      <c r="G1175" s="106" t="s">
        <v>119</v>
      </c>
      <c r="H1175" s="104" t="s">
        <v>120</v>
      </c>
      <c r="I1175" s="104" t="s">
        <v>104</v>
      </c>
      <c r="J1175" s="104" t="s">
        <v>105</v>
      </c>
      <c r="K1175" s="104" t="s">
        <v>136</v>
      </c>
      <c r="L1175" s="104" t="s">
        <v>1032</v>
      </c>
      <c r="M1175" s="104" t="s">
        <v>114</v>
      </c>
      <c r="N1175" s="108" t="s">
        <v>17</v>
      </c>
      <c r="O1175" s="104" t="s">
        <v>17</v>
      </c>
      <c r="P1175" s="113">
        <v>5.6270000000000007</v>
      </c>
      <c r="Q1175" s="113">
        <v>5.0069999999999997</v>
      </c>
      <c r="R1175" s="462"/>
      <c r="S1175" s="253">
        <f>(10^(((LOG(P1175*10))*2.786696)+-0.005865))/1000</f>
        <v>74.40886470879002</v>
      </c>
      <c r="T1175" s="104" t="s">
        <v>1270</v>
      </c>
      <c r="U1175" s="108">
        <v>0.94</v>
      </c>
      <c r="V1175" s="107" t="s">
        <v>287</v>
      </c>
      <c r="W1175" s="114" t="s">
        <v>269</v>
      </c>
    </row>
    <row r="1176" spans="1:23" ht="21" customHeight="1">
      <c r="A1176" s="104" t="s">
        <v>273</v>
      </c>
      <c r="B1176" s="104" t="s">
        <v>76</v>
      </c>
      <c r="C1176" s="454" t="s">
        <v>524</v>
      </c>
      <c r="D1176" s="105" t="s">
        <v>527</v>
      </c>
      <c r="E1176" s="104">
        <v>40279</v>
      </c>
      <c r="F1176" s="104">
        <v>13</v>
      </c>
      <c r="G1176" s="106" t="s">
        <v>119</v>
      </c>
      <c r="H1176" s="104" t="s">
        <v>120</v>
      </c>
      <c r="I1176" s="104" t="s">
        <v>104</v>
      </c>
      <c r="J1176" s="104" t="s">
        <v>105</v>
      </c>
      <c r="K1176" s="104" t="s">
        <v>112</v>
      </c>
      <c r="L1176" s="104" t="s">
        <v>663</v>
      </c>
      <c r="M1176" s="104" t="s">
        <v>114</v>
      </c>
      <c r="N1176" s="108" t="s">
        <v>17</v>
      </c>
      <c r="O1176" s="104" t="s">
        <v>17</v>
      </c>
      <c r="P1176" s="113">
        <v>2.3620000000000001</v>
      </c>
      <c r="Q1176" s="113">
        <v>1.026</v>
      </c>
      <c r="R1176" s="104" t="s">
        <v>17</v>
      </c>
      <c r="S1176" s="253">
        <f>10^(((LOG(P1176*10))*3.05)+-2.15)</f>
        <v>109.27068723684134</v>
      </c>
      <c r="T1176" s="104" t="s">
        <v>1271</v>
      </c>
      <c r="U1176" s="108">
        <v>0.9</v>
      </c>
      <c r="V1176" s="107">
        <v>28</v>
      </c>
      <c r="W1176" s="114" t="s">
        <v>1272</v>
      </c>
    </row>
    <row r="1177" spans="1:23" ht="21" customHeight="1">
      <c r="A1177" s="416" t="s">
        <v>273</v>
      </c>
      <c r="B1177" s="416" t="s">
        <v>551</v>
      </c>
      <c r="C1177" s="455" t="s">
        <v>117</v>
      </c>
      <c r="D1177" s="461" t="s">
        <v>118</v>
      </c>
      <c r="E1177" s="416">
        <v>40279</v>
      </c>
      <c r="F1177" s="416">
        <v>135</v>
      </c>
      <c r="G1177" s="456" t="s">
        <v>119</v>
      </c>
      <c r="H1177" s="416" t="s">
        <v>120</v>
      </c>
      <c r="I1177" s="104" t="s">
        <v>104</v>
      </c>
      <c r="J1177" s="416" t="s">
        <v>105</v>
      </c>
      <c r="K1177" s="416" t="s">
        <v>121</v>
      </c>
      <c r="L1177" s="416" t="s">
        <v>1041</v>
      </c>
      <c r="M1177" s="416"/>
      <c r="N1177" s="458" t="s">
        <v>17</v>
      </c>
      <c r="O1177" s="416" t="s">
        <v>17</v>
      </c>
      <c r="P1177" s="457">
        <v>2.0059999999999998</v>
      </c>
      <c r="Q1177" s="457">
        <v>1.153</v>
      </c>
      <c r="R1177" s="416" t="s">
        <v>17</v>
      </c>
      <c r="S1177" s="459">
        <f>(10^(((LOG(P1177*10))*2.68299)+0.0405))/1000</f>
        <v>3.4248445045235307</v>
      </c>
      <c r="T1177" s="416" t="s">
        <v>1309</v>
      </c>
      <c r="U1177" s="458">
        <v>0.97</v>
      </c>
      <c r="V1177" s="460" t="s">
        <v>287</v>
      </c>
      <c r="W1177" s="466" t="s">
        <v>269</v>
      </c>
    </row>
    <row r="1178" spans="1:23" ht="21" customHeight="1">
      <c r="A1178" s="416" t="s">
        <v>273</v>
      </c>
      <c r="B1178" s="416" t="s">
        <v>80</v>
      </c>
      <c r="C1178" s="455" t="s">
        <v>132</v>
      </c>
      <c r="D1178" s="461" t="s">
        <v>133</v>
      </c>
      <c r="E1178" s="416">
        <v>40279</v>
      </c>
      <c r="F1178" s="416">
        <v>138</v>
      </c>
      <c r="G1178" s="456" t="s">
        <v>119</v>
      </c>
      <c r="H1178" s="416" t="s">
        <v>120</v>
      </c>
      <c r="I1178" s="104" t="s">
        <v>104</v>
      </c>
      <c r="J1178" s="416" t="s">
        <v>105</v>
      </c>
      <c r="K1178" s="416" t="s">
        <v>155</v>
      </c>
      <c r="L1178" s="416" t="s">
        <v>658</v>
      </c>
      <c r="M1178" s="416" t="s">
        <v>108</v>
      </c>
      <c r="N1178" s="458" t="s">
        <v>17</v>
      </c>
      <c r="O1178" s="416" t="s">
        <v>17</v>
      </c>
      <c r="P1178" s="457">
        <v>3.05</v>
      </c>
      <c r="Q1178" s="457">
        <v>1.6839999999999999</v>
      </c>
      <c r="R1178" s="416" t="s">
        <v>17</v>
      </c>
      <c r="S1178" s="459">
        <f>(10^((LOG(P1178*10)*1.6579)+3.0836))/1000</f>
        <v>350.28432524311887</v>
      </c>
      <c r="T1178" s="416" t="s">
        <v>1323</v>
      </c>
      <c r="U1178" s="458">
        <v>0.4</v>
      </c>
      <c r="V1178" s="460" t="s">
        <v>287</v>
      </c>
      <c r="W1178" s="456" t="s">
        <v>1319</v>
      </c>
    </row>
    <row r="1179" spans="1:23" ht="21" customHeight="1">
      <c r="A1179" s="104" t="s">
        <v>169</v>
      </c>
      <c r="B1179" s="104" t="s">
        <v>149</v>
      </c>
      <c r="C1179" s="454" t="s">
        <v>150</v>
      </c>
      <c r="D1179" s="105" t="s">
        <v>151</v>
      </c>
      <c r="E1179" s="104">
        <v>40279</v>
      </c>
      <c r="F1179" s="104">
        <v>107</v>
      </c>
      <c r="G1179" s="106" t="s">
        <v>119</v>
      </c>
      <c r="H1179" s="104" t="s">
        <v>120</v>
      </c>
      <c r="I1179" s="104" t="s">
        <v>104</v>
      </c>
      <c r="J1179" s="104" t="s">
        <v>105</v>
      </c>
      <c r="K1179" s="104" t="s">
        <v>883</v>
      </c>
      <c r="L1179" s="104" t="s">
        <v>884</v>
      </c>
      <c r="M1179" s="104" t="s">
        <v>114</v>
      </c>
      <c r="N1179" s="108" t="s">
        <v>17</v>
      </c>
      <c r="O1179" s="104" t="s">
        <v>17</v>
      </c>
      <c r="P1179" s="113">
        <v>3.3950000000000005</v>
      </c>
      <c r="Q1179" s="113">
        <v>3.1280000000000001</v>
      </c>
      <c r="R1179" s="104" t="s">
        <v>17</v>
      </c>
      <c r="S1179" s="253">
        <f>(10^((2.9*LOG((P1179))+1.209)))</f>
        <v>560.31901118356359</v>
      </c>
      <c r="T1179" s="103" t="s">
        <v>1386</v>
      </c>
      <c r="U1179" s="108">
        <v>0.96399999999999997</v>
      </c>
      <c r="V1179" s="107">
        <v>30.5</v>
      </c>
      <c r="W1179" s="414" t="s">
        <v>1388</v>
      </c>
    </row>
    <row r="1180" spans="1:23" ht="21" customHeight="1">
      <c r="A1180" s="104" t="s">
        <v>218</v>
      </c>
      <c r="B1180" s="104" t="s">
        <v>193</v>
      </c>
      <c r="C1180" s="454" t="s">
        <v>194</v>
      </c>
      <c r="D1180" s="105" t="s">
        <v>195</v>
      </c>
      <c r="E1180" s="104">
        <v>892</v>
      </c>
      <c r="F1180" s="104" t="s">
        <v>640</v>
      </c>
      <c r="G1180" s="106" t="s">
        <v>276</v>
      </c>
      <c r="H1180" s="104" t="s">
        <v>277</v>
      </c>
      <c r="I1180" s="104" t="s">
        <v>104</v>
      </c>
      <c r="J1180" s="104" t="s">
        <v>105</v>
      </c>
      <c r="K1180" s="104" t="s">
        <v>143</v>
      </c>
      <c r="L1180" s="104" t="s">
        <v>408</v>
      </c>
      <c r="M1180" s="104" t="s">
        <v>114</v>
      </c>
      <c r="N1180" s="113" t="s">
        <v>17</v>
      </c>
      <c r="O1180" s="104" t="s">
        <v>17</v>
      </c>
      <c r="P1180" s="108">
        <v>1.2509999999999999</v>
      </c>
      <c r="Q1180" s="108">
        <v>0.72699999999999998</v>
      </c>
      <c r="R1180" s="104" t="s">
        <v>17</v>
      </c>
      <c r="S1180" s="253">
        <f>(((10^((3.34*LOG((P1180*10))+0.73)))))/1000</f>
        <v>24.822151066045777</v>
      </c>
      <c r="T1180" s="104" t="s">
        <v>643</v>
      </c>
      <c r="U1180" s="108">
        <v>94</v>
      </c>
      <c r="V1180" s="107">
        <v>39.9</v>
      </c>
      <c r="W1180" s="106" t="s">
        <v>644</v>
      </c>
    </row>
    <row r="1181" spans="1:23" ht="21" customHeight="1">
      <c r="A1181" s="104" t="s">
        <v>218</v>
      </c>
      <c r="B1181" s="104" t="s">
        <v>193</v>
      </c>
      <c r="C1181" s="454" t="s">
        <v>194</v>
      </c>
      <c r="D1181" s="105" t="s">
        <v>195</v>
      </c>
      <c r="E1181" s="104">
        <v>892</v>
      </c>
      <c r="F1181" s="104" t="s">
        <v>640</v>
      </c>
      <c r="G1181" s="106" t="s">
        <v>276</v>
      </c>
      <c r="H1181" s="104" t="s">
        <v>277</v>
      </c>
      <c r="I1181" s="104" t="s">
        <v>104</v>
      </c>
      <c r="J1181" s="104" t="s">
        <v>105</v>
      </c>
      <c r="K1181" s="104" t="s">
        <v>172</v>
      </c>
      <c r="L1181" s="104" t="s">
        <v>651</v>
      </c>
      <c r="M1181" s="104" t="s">
        <v>114</v>
      </c>
      <c r="N1181" s="113" t="s">
        <v>17</v>
      </c>
      <c r="O1181" s="104" t="s">
        <v>17</v>
      </c>
      <c r="P1181" s="108">
        <v>1.3050000000000002</v>
      </c>
      <c r="Q1181" s="108">
        <v>0.65300000000000002</v>
      </c>
      <c r="R1181" s="104" t="s">
        <v>17</v>
      </c>
      <c r="S1181" s="253">
        <f>(((10^((3.21*LOG((P1181*10))+1.12)))+(10^(3.21*LOG((P1181*10))+1.07)))/2)/1000</f>
        <v>47.514799748682719</v>
      </c>
      <c r="T1181" s="104" t="s">
        <v>652</v>
      </c>
      <c r="U1181" s="108">
        <v>0.9</v>
      </c>
      <c r="V1181" s="107">
        <v>38.72</v>
      </c>
      <c r="W1181" s="106" t="s">
        <v>644</v>
      </c>
    </row>
    <row r="1182" spans="1:23" ht="21" customHeight="1">
      <c r="A1182" s="104" t="s">
        <v>218</v>
      </c>
      <c r="B1182" s="104" t="s">
        <v>193</v>
      </c>
      <c r="C1182" s="454" t="s">
        <v>194</v>
      </c>
      <c r="D1182" s="105" t="s">
        <v>195</v>
      </c>
      <c r="E1182" s="104">
        <v>892</v>
      </c>
      <c r="F1182" s="104" t="s">
        <v>640</v>
      </c>
      <c r="G1182" s="106" t="s">
        <v>276</v>
      </c>
      <c r="H1182" s="104" t="s">
        <v>277</v>
      </c>
      <c r="I1182" s="104" t="s">
        <v>104</v>
      </c>
      <c r="J1182" s="104" t="s">
        <v>105</v>
      </c>
      <c r="K1182" s="104" t="s">
        <v>126</v>
      </c>
      <c r="L1182" s="104" t="s">
        <v>636</v>
      </c>
      <c r="M1182" s="104" t="s">
        <v>114</v>
      </c>
      <c r="N1182" s="113" t="s">
        <v>17</v>
      </c>
      <c r="O1182" s="104" t="s">
        <v>17</v>
      </c>
      <c r="P1182" s="108">
        <v>2.0739999999999998</v>
      </c>
      <c r="Q1182" s="108">
        <v>0.69100000000000006</v>
      </c>
      <c r="R1182" s="104" t="s">
        <v>17</v>
      </c>
      <c r="S1182" s="253">
        <f>(10^((3.35*LOG((P1182*10))+0.35)))/1000</f>
        <v>57.717740251098128</v>
      </c>
      <c r="T1182" s="104" t="s">
        <v>637</v>
      </c>
      <c r="U1182" s="108">
        <v>0.93</v>
      </c>
      <c r="V1182" s="107">
        <v>47.2</v>
      </c>
      <c r="W1182" s="106" t="s">
        <v>638</v>
      </c>
    </row>
    <row r="1183" spans="1:23" ht="21" customHeight="1">
      <c r="A1183" s="104" t="s">
        <v>218</v>
      </c>
      <c r="B1183" s="104" t="s">
        <v>193</v>
      </c>
      <c r="C1183" s="454" t="s">
        <v>194</v>
      </c>
      <c r="D1183" s="105" t="s">
        <v>195</v>
      </c>
      <c r="E1183" s="104">
        <v>892</v>
      </c>
      <c r="F1183" s="104">
        <v>292</v>
      </c>
      <c r="G1183" s="106" t="s">
        <v>276</v>
      </c>
      <c r="H1183" s="104" t="s">
        <v>277</v>
      </c>
      <c r="I1183" s="104" t="s">
        <v>104</v>
      </c>
      <c r="J1183" s="104" t="s">
        <v>105</v>
      </c>
      <c r="K1183" s="104" t="s">
        <v>665</v>
      </c>
      <c r="L1183" s="104" t="s">
        <v>666</v>
      </c>
      <c r="M1183" s="104"/>
      <c r="N1183" s="113" t="s">
        <v>17</v>
      </c>
      <c r="O1183" s="104" t="s">
        <v>17</v>
      </c>
      <c r="P1183" s="108">
        <v>2.96</v>
      </c>
      <c r="Q1183" s="108">
        <v>2.08</v>
      </c>
      <c r="R1183" s="104" t="s">
        <v>17</v>
      </c>
      <c r="S1183" s="253">
        <f>(10^((2.8912*LOG((P1183))+0.621)))</f>
        <v>96.293859776315387</v>
      </c>
      <c r="T1183" s="104" t="s">
        <v>667</v>
      </c>
      <c r="U1183" s="108">
        <v>0.94</v>
      </c>
      <c r="V1183" s="107">
        <v>24</v>
      </c>
      <c r="W1183" s="106" t="s">
        <v>668</v>
      </c>
    </row>
    <row r="1184" spans="1:23" ht="21" customHeight="1">
      <c r="A1184" s="104" t="s">
        <v>218</v>
      </c>
      <c r="B1184" s="104" t="s">
        <v>193</v>
      </c>
      <c r="C1184" s="454" t="s">
        <v>677</v>
      </c>
      <c r="D1184" s="105" t="s">
        <v>151</v>
      </c>
      <c r="E1184" s="104">
        <v>892</v>
      </c>
      <c r="F1184" s="104" t="s">
        <v>678</v>
      </c>
      <c r="G1184" s="106" t="s">
        <v>276</v>
      </c>
      <c r="H1184" s="104" t="s">
        <v>277</v>
      </c>
      <c r="I1184" s="104" t="s">
        <v>104</v>
      </c>
      <c r="J1184" s="104" t="s">
        <v>105</v>
      </c>
      <c r="K1184" s="104" t="s">
        <v>665</v>
      </c>
      <c r="L1184" s="104" t="s">
        <v>666</v>
      </c>
      <c r="M1184" s="104"/>
      <c r="N1184" s="113" t="s">
        <v>17</v>
      </c>
      <c r="O1184" s="104" t="s">
        <v>17</v>
      </c>
      <c r="P1184" s="108">
        <v>2.7</v>
      </c>
      <c r="Q1184" s="108">
        <v>2.02</v>
      </c>
      <c r="R1184" s="104" t="s">
        <v>17</v>
      </c>
      <c r="S1184" s="253">
        <f>(10^((2.8912*LOG((P1184))+0.621)))</f>
        <v>73.817428988277186</v>
      </c>
      <c r="T1184" s="104" t="s">
        <v>667</v>
      </c>
      <c r="U1184" s="108">
        <v>0.94</v>
      </c>
      <c r="V1184" s="107">
        <v>24</v>
      </c>
      <c r="W1184" s="106" t="s">
        <v>668</v>
      </c>
    </row>
    <row r="1185" spans="1:23" ht="21" customHeight="1">
      <c r="A1185" s="104" t="s">
        <v>218</v>
      </c>
      <c r="B1185" s="104" t="s">
        <v>193</v>
      </c>
      <c r="C1185" s="454" t="s">
        <v>681</v>
      </c>
      <c r="D1185" s="105" t="s">
        <v>151</v>
      </c>
      <c r="E1185" s="104">
        <v>892</v>
      </c>
      <c r="F1185" s="104">
        <v>-999</v>
      </c>
      <c r="G1185" s="106" t="s">
        <v>276</v>
      </c>
      <c r="H1185" s="104" t="s">
        <v>277</v>
      </c>
      <c r="I1185" s="104" t="s">
        <v>104</v>
      </c>
      <c r="J1185" s="104" t="s">
        <v>105</v>
      </c>
      <c r="K1185" s="104" t="s">
        <v>665</v>
      </c>
      <c r="L1185" s="104" t="s">
        <v>666</v>
      </c>
      <c r="M1185" s="104"/>
      <c r="N1185" s="113" t="s">
        <v>17</v>
      </c>
      <c r="O1185" s="104" t="s">
        <v>17</v>
      </c>
      <c r="P1185" s="108">
        <v>2.95</v>
      </c>
      <c r="Q1185" s="108">
        <v>2</v>
      </c>
      <c r="R1185" s="104" t="s">
        <v>17</v>
      </c>
      <c r="S1185" s="253">
        <f>(10^((2.8912*LOG((P1185))+0.621)))</f>
        <v>95.356304676416443</v>
      </c>
      <c r="T1185" s="104" t="s">
        <v>667</v>
      </c>
      <c r="U1185" s="108">
        <v>0.94</v>
      </c>
      <c r="V1185" s="107">
        <v>24</v>
      </c>
      <c r="W1185" s="106" t="s">
        <v>668</v>
      </c>
    </row>
    <row r="1186" spans="1:23" ht="21" customHeight="1">
      <c r="A1186" s="104" t="s">
        <v>218</v>
      </c>
      <c r="B1186" s="104" t="s">
        <v>193</v>
      </c>
      <c r="C1186" s="454" t="s">
        <v>681</v>
      </c>
      <c r="D1186" s="105" t="s">
        <v>151</v>
      </c>
      <c r="E1186" s="104">
        <v>892</v>
      </c>
      <c r="F1186" s="104">
        <v>-999</v>
      </c>
      <c r="G1186" s="106" t="s">
        <v>276</v>
      </c>
      <c r="H1186" s="104" t="s">
        <v>277</v>
      </c>
      <c r="I1186" s="104" t="s">
        <v>104</v>
      </c>
      <c r="J1186" s="104" t="s">
        <v>105</v>
      </c>
      <c r="K1186" s="104" t="s">
        <v>665</v>
      </c>
      <c r="L1186" s="104" t="s">
        <v>666</v>
      </c>
      <c r="M1186" s="104"/>
      <c r="N1186" s="113" t="s">
        <v>17</v>
      </c>
      <c r="O1186" s="104" t="s">
        <v>17</v>
      </c>
      <c r="P1186" s="108">
        <v>3</v>
      </c>
      <c r="Q1186" s="108">
        <v>2.0300000000000002</v>
      </c>
      <c r="R1186" s="104" t="s">
        <v>17</v>
      </c>
      <c r="S1186" s="253">
        <f>(10^((2.8912*LOG((P1186))+0.621)))</f>
        <v>100.10435498781123</v>
      </c>
      <c r="T1186" s="104" t="s">
        <v>667</v>
      </c>
      <c r="U1186" s="108">
        <v>0.94</v>
      </c>
      <c r="V1186" s="107">
        <v>24</v>
      </c>
      <c r="W1186" s="106" t="s">
        <v>668</v>
      </c>
    </row>
    <row r="1187" spans="1:23" ht="21" customHeight="1">
      <c r="A1187" s="104" t="s">
        <v>218</v>
      </c>
      <c r="B1187" s="104" t="s">
        <v>193</v>
      </c>
      <c r="C1187" s="454" t="s">
        <v>681</v>
      </c>
      <c r="D1187" s="105" t="s">
        <v>151</v>
      </c>
      <c r="E1187" s="104">
        <v>892</v>
      </c>
      <c r="F1187" s="104">
        <v>-999</v>
      </c>
      <c r="G1187" s="106" t="s">
        <v>276</v>
      </c>
      <c r="H1187" s="104" t="s">
        <v>277</v>
      </c>
      <c r="I1187" s="104" t="s">
        <v>104</v>
      </c>
      <c r="J1187" s="104" t="s">
        <v>105</v>
      </c>
      <c r="K1187" s="104" t="s">
        <v>665</v>
      </c>
      <c r="L1187" s="104" t="s">
        <v>666</v>
      </c>
      <c r="M1187" s="104"/>
      <c r="N1187" s="113" t="s">
        <v>17</v>
      </c>
      <c r="O1187" s="104" t="s">
        <v>17</v>
      </c>
      <c r="P1187" s="108">
        <v>3</v>
      </c>
      <c r="Q1187" s="108">
        <v>2.06</v>
      </c>
      <c r="R1187" s="104" t="s">
        <v>17</v>
      </c>
      <c r="S1187" s="253">
        <f>(10^((2.8912*LOG((P1187))+0.621)))</f>
        <v>100.10435498781123</v>
      </c>
      <c r="T1187" s="104" t="s">
        <v>667</v>
      </c>
      <c r="U1187" s="108">
        <v>0.94</v>
      </c>
      <c r="V1187" s="107">
        <v>24</v>
      </c>
      <c r="W1187" s="106" t="s">
        <v>668</v>
      </c>
    </row>
    <row r="1188" spans="1:23" ht="21" customHeight="1">
      <c r="A1188" s="104" t="s">
        <v>218</v>
      </c>
      <c r="B1188" s="104" t="s">
        <v>389</v>
      </c>
      <c r="C1188" s="454" t="s">
        <v>390</v>
      </c>
      <c r="D1188" s="105" t="s">
        <v>391</v>
      </c>
      <c r="E1188" s="104">
        <v>892</v>
      </c>
      <c r="F1188" s="104" t="s">
        <v>690</v>
      </c>
      <c r="G1188" s="106" t="s">
        <v>276</v>
      </c>
      <c r="H1188" s="104" t="s">
        <v>277</v>
      </c>
      <c r="I1188" s="104" t="s">
        <v>104</v>
      </c>
      <c r="J1188" s="104" t="s">
        <v>393</v>
      </c>
      <c r="K1188" s="104" t="s">
        <v>691</v>
      </c>
      <c r="L1188" s="104" t="s">
        <v>692</v>
      </c>
      <c r="M1188" s="104" t="s">
        <v>114</v>
      </c>
      <c r="N1188" s="108"/>
      <c r="O1188" s="104"/>
      <c r="P1188" s="108">
        <v>34.4</v>
      </c>
      <c r="Q1188" s="108"/>
      <c r="R1188" s="104"/>
      <c r="S1188" s="113">
        <f>10^(((LOG(P1188))*3.9842)+-3.8078)</f>
        <v>206.1370928463939</v>
      </c>
      <c r="T1188" s="104" t="s">
        <v>693</v>
      </c>
      <c r="U1188" s="108">
        <v>0.84499999999999997</v>
      </c>
      <c r="V1188" s="107">
        <v>46</v>
      </c>
      <c r="W1188" s="106" t="s">
        <v>694</v>
      </c>
    </row>
    <row r="1189" spans="1:23" ht="21" customHeight="1">
      <c r="A1189" s="104" t="s">
        <v>218</v>
      </c>
      <c r="B1189" s="104" t="s">
        <v>389</v>
      </c>
      <c r="C1189" s="454" t="s">
        <v>390</v>
      </c>
      <c r="D1189" s="105" t="s">
        <v>391</v>
      </c>
      <c r="E1189" s="104">
        <v>892</v>
      </c>
      <c r="F1189" s="104" t="s">
        <v>695</v>
      </c>
      <c r="G1189" s="106" t="s">
        <v>276</v>
      </c>
      <c r="H1189" s="104" t="s">
        <v>277</v>
      </c>
      <c r="I1189" s="104" t="s">
        <v>104</v>
      </c>
      <c r="J1189" s="104" t="s">
        <v>393</v>
      </c>
      <c r="K1189" s="104" t="s">
        <v>691</v>
      </c>
      <c r="L1189" s="104" t="s">
        <v>692</v>
      </c>
      <c r="M1189" s="104" t="s">
        <v>114</v>
      </c>
      <c r="N1189" s="108"/>
      <c r="O1189" s="104"/>
      <c r="P1189" s="108">
        <v>35.200000000000003</v>
      </c>
      <c r="Q1189" s="108"/>
      <c r="R1189" s="104"/>
      <c r="S1189" s="113">
        <f>10^(((LOG(P1189))*3.9842)+-3.8078)</f>
        <v>225.9099085830982</v>
      </c>
      <c r="T1189" s="104" t="s">
        <v>693</v>
      </c>
      <c r="U1189" s="108">
        <v>0.84499999999999997</v>
      </c>
      <c r="V1189" s="107">
        <v>46</v>
      </c>
      <c r="W1189" s="106" t="s">
        <v>694</v>
      </c>
    </row>
    <row r="1190" spans="1:23" ht="21" customHeight="1">
      <c r="A1190" s="104" t="s">
        <v>218</v>
      </c>
      <c r="B1190" s="104" t="s">
        <v>389</v>
      </c>
      <c r="C1190" s="454" t="s">
        <v>390</v>
      </c>
      <c r="D1190" s="105" t="s">
        <v>391</v>
      </c>
      <c r="E1190" s="104">
        <v>892</v>
      </c>
      <c r="F1190" s="104" t="s">
        <v>690</v>
      </c>
      <c r="G1190" s="106" t="s">
        <v>276</v>
      </c>
      <c r="H1190" s="104" t="s">
        <v>277</v>
      </c>
      <c r="I1190" s="104" t="s">
        <v>104</v>
      </c>
      <c r="J1190" s="104" t="s">
        <v>393</v>
      </c>
      <c r="K1190" s="104" t="s">
        <v>691</v>
      </c>
      <c r="L1190" s="104" t="s">
        <v>692</v>
      </c>
      <c r="M1190" s="104" t="s">
        <v>108</v>
      </c>
      <c r="N1190" s="108"/>
      <c r="O1190" s="104"/>
      <c r="P1190" s="108">
        <v>38.5</v>
      </c>
      <c r="Q1190" s="108"/>
      <c r="R1190" s="104"/>
      <c r="S1190" s="113">
        <f>10^(((LOG(P1190))*3.9842)+-3.8078)</f>
        <v>322.84393977086216</v>
      </c>
      <c r="T1190" s="104" t="s">
        <v>693</v>
      </c>
      <c r="U1190" s="108">
        <v>0.84499999999999997</v>
      </c>
      <c r="V1190" s="107">
        <v>46</v>
      </c>
      <c r="W1190" s="106" t="s">
        <v>694</v>
      </c>
    </row>
    <row r="1191" spans="1:23" ht="21" customHeight="1">
      <c r="A1191" s="104" t="s">
        <v>218</v>
      </c>
      <c r="B1191" s="104" t="s">
        <v>389</v>
      </c>
      <c r="C1191" s="454" t="s">
        <v>390</v>
      </c>
      <c r="D1191" s="105" t="s">
        <v>391</v>
      </c>
      <c r="E1191" s="104">
        <v>892</v>
      </c>
      <c r="F1191" s="104" t="s">
        <v>690</v>
      </c>
      <c r="G1191" s="106" t="s">
        <v>276</v>
      </c>
      <c r="H1191" s="104" t="s">
        <v>277</v>
      </c>
      <c r="I1191" s="104" t="s">
        <v>104</v>
      </c>
      <c r="J1191" s="104" t="s">
        <v>393</v>
      </c>
      <c r="K1191" s="104" t="s">
        <v>691</v>
      </c>
      <c r="L1191" s="104" t="s">
        <v>692</v>
      </c>
      <c r="M1191" s="104" t="s">
        <v>114</v>
      </c>
      <c r="N1191" s="108"/>
      <c r="O1191" s="104"/>
      <c r="P1191" s="108">
        <v>38.700000000000003</v>
      </c>
      <c r="Q1191" s="108"/>
      <c r="R1191" s="104"/>
      <c r="S1191" s="113">
        <f>10^(((LOG(P1191))*3.9842)+-3.8078)</f>
        <v>329.5778579930676</v>
      </c>
      <c r="T1191" s="104" t="s">
        <v>693</v>
      </c>
      <c r="U1191" s="108">
        <v>0.84499999999999997</v>
      </c>
      <c r="V1191" s="107">
        <v>46</v>
      </c>
      <c r="W1191" s="106" t="s">
        <v>694</v>
      </c>
    </row>
    <row r="1192" spans="1:23" s="333" customFormat="1" ht="21" customHeight="1">
      <c r="A1192" s="103" t="s">
        <v>218</v>
      </c>
      <c r="B1192" s="103" t="s">
        <v>389</v>
      </c>
      <c r="C1192" s="421" t="s">
        <v>390</v>
      </c>
      <c r="D1192" s="396" t="s">
        <v>391</v>
      </c>
      <c r="E1192" s="103">
        <v>892</v>
      </c>
      <c r="F1192" s="103" t="s">
        <v>696</v>
      </c>
      <c r="G1192" s="414" t="s">
        <v>276</v>
      </c>
      <c r="H1192" s="103" t="s">
        <v>277</v>
      </c>
      <c r="I1192" s="104" t="s">
        <v>104</v>
      </c>
      <c r="J1192" s="103" t="s">
        <v>393</v>
      </c>
      <c r="K1192" s="103" t="s">
        <v>401</v>
      </c>
      <c r="L1192" s="103" t="s">
        <v>402</v>
      </c>
      <c r="M1192" s="103" t="s">
        <v>114</v>
      </c>
      <c r="N1192" s="254"/>
      <c r="O1192" s="103"/>
      <c r="P1192" s="254">
        <v>8.3000000000000007</v>
      </c>
      <c r="Q1192" s="254"/>
      <c r="R1192" s="103"/>
      <c r="S1192" s="113">
        <f>(10^(((LOG((P1192*10)))*3.125)+-0.463))/1000</f>
        <v>342.07319079067412</v>
      </c>
      <c r="T1192" s="103" t="s">
        <v>403</v>
      </c>
      <c r="U1192" s="414">
        <v>0.97</v>
      </c>
      <c r="V1192" s="414">
        <v>47.5</v>
      </c>
      <c r="W1192" s="414" t="s">
        <v>404</v>
      </c>
    </row>
    <row r="1193" spans="1:23" ht="21" customHeight="1">
      <c r="A1193" s="104" t="s">
        <v>218</v>
      </c>
      <c r="B1193" s="104" t="s">
        <v>389</v>
      </c>
      <c r="C1193" s="454" t="s">
        <v>390</v>
      </c>
      <c r="D1193" s="105" t="s">
        <v>391</v>
      </c>
      <c r="E1193" s="104">
        <v>892</v>
      </c>
      <c r="F1193" s="104" t="s">
        <v>690</v>
      </c>
      <c r="G1193" s="106" t="s">
        <v>276</v>
      </c>
      <c r="H1193" s="104" t="s">
        <v>277</v>
      </c>
      <c r="I1193" s="104" t="s">
        <v>104</v>
      </c>
      <c r="J1193" s="104" t="s">
        <v>393</v>
      </c>
      <c r="K1193" s="104" t="s">
        <v>691</v>
      </c>
      <c r="L1193" s="104" t="s">
        <v>692</v>
      </c>
      <c r="M1193" s="104" t="s">
        <v>114</v>
      </c>
      <c r="N1193" s="108"/>
      <c r="O1193" s="104"/>
      <c r="P1193" s="108">
        <v>39.700000000000003</v>
      </c>
      <c r="Q1193" s="108"/>
      <c r="R1193" s="104"/>
      <c r="S1193" s="113">
        <f>10^(((LOG(P1193))*3.9842)+-3.8078)</f>
        <v>364.83889949549081</v>
      </c>
      <c r="T1193" s="104" t="s">
        <v>693</v>
      </c>
      <c r="U1193" s="108">
        <v>0.84499999999999997</v>
      </c>
      <c r="V1193" s="107">
        <v>46</v>
      </c>
      <c r="W1193" s="106" t="s">
        <v>694</v>
      </c>
    </row>
    <row r="1194" spans="1:23" ht="21" customHeight="1">
      <c r="A1194" s="104" t="s">
        <v>218</v>
      </c>
      <c r="B1194" s="104" t="s">
        <v>389</v>
      </c>
      <c r="C1194" s="454" t="s">
        <v>390</v>
      </c>
      <c r="D1194" s="105" t="s">
        <v>391</v>
      </c>
      <c r="E1194" s="104">
        <v>892</v>
      </c>
      <c r="F1194" s="104" t="s">
        <v>400</v>
      </c>
      <c r="G1194" s="106" t="s">
        <v>276</v>
      </c>
      <c r="H1194" s="104" t="s">
        <v>277</v>
      </c>
      <c r="I1194" s="104" t="s">
        <v>104</v>
      </c>
      <c r="J1194" s="104" t="s">
        <v>393</v>
      </c>
      <c r="K1194" s="104" t="s">
        <v>401</v>
      </c>
      <c r="L1194" s="104" t="s">
        <v>402</v>
      </c>
      <c r="M1194" s="104" t="s">
        <v>108</v>
      </c>
      <c r="N1194" s="108"/>
      <c r="O1194" s="104"/>
      <c r="P1194" s="108">
        <v>8.6999999999999993</v>
      </c>
      <c r="Q1194" s="108"/>
      <c r="R1194" s="104"/>
      <c r="S1194" s="113">
        <f>(10^(((LOG((P1194*10)))*3.125)+-0.463))/1000</f>
        <v>396.27590314077651</v>
      </c>
      <c r="T1194" s="104" t="s">
        <v>403</v>
      </c>
      <c r="U1194" s="106">
        <v>0.97</v>
      </c>
      <c r="V1194" s="106">
        <v>47.5</v>
      </c>
      <c r="W1194" s="106" t="s">
        <v>404</v>
      </c>
    </row>
    <row r="1195" spans="1:23" ht="21" customHeight="1">
      <c r="A1195" s="103" t="s">
        <v>218</v>
      </c>
      <c r="B1195" s="103" t="s">
        <v>389</v>
      </c>
      <c r="C1195" s="421" t="s">
        <v>390</v>
      </c>
      <c r="D1195" s="396" t="s">
        <v>391</v>
      </c>
      <c r="E1195" s="103">
        <v>892</v>
      </c>
      <c r="F1195" s="103" t="s">
        <v>697</v>
      </c>
      <c r="G1195" s="414" t="s">
        <v>276</v>
      </c>
      <c r="H1195" s="103" t="s">
        <v>277</v>
      </c>
      <c r="I1195" s="104" t="s">
        <v>104</v>
      </c>
      <c r="J1195" s="103" t="s">
        <v>393</v>
      </c>
      <c r="K1195" s="103" t="s">
        <v>691</v>
      </c>
      <c r="L1195" s="103" t="s">
        <v>692</v>
      </c>
      <c r="M1195" s="103"/>
      <c r="N1195" s="254"/>
      <c r="O1195" s="103"/>
      <c r="P1195" s="254">
        <v>40.799999999999997</v>
      </c>
      <c r="Q1195" s="254"/>
      <c r="R1195" s="103"/>
      <c r="S1195" s="113">
        <f>10^(((LOG(P1195))*3.9842)+-3.8078)</f>
        <v>406.81056370682097</v>
      </c>
      <c r="T1195" s="103" t="s">
        <v>698</v>
      </c>
      <c r="U1195" s="254">
        <v>0.84499999999999997</v>
      </c>
      <c r="V1195" s="386">
        <v>46</v>
      </c>
      <c r="W1195" s="414" t="s">
        <v>694</v>
      </c>
    </row>
    <row r="1196" spans="1:23" ht="21" customHeight="1">
      <c r="A1196" s="104" t="s">
        <v>218</v>
      </c>
      <c r="B1196" s="104" t="s">
        <v>389</v>
      </c>
      <c r="C1196" s="454" t="s">
        <v>390</v>
      </c>
      <c r="D1196" s="105" t="s">
        <v>391</v>
      </c>
      <c r="E1196" s="104">
        <v>892</v>
      </c>
      <c r="F1196" s="104" t="s">
        <v>275</v>
      </c>
      <c r="G1196" s="106" t="s">
        <v>276</v>
      </c>
      <c r="H1196" s="104" t="s">
        <v>277</v>
      </c>
      <c r="I1196" s="104" t="s">
        <v>104</v>
      </c>
      <c r="J1196" s="104" t="s">
        <v>105</v>
      </c>
      <c r="K1196" s="104" t="s">
        <v>209</v>
      </c>
      <c r="L1196" s="104" t="s">
        <v>684</v>
      </c>
      <c r="M1196" s="104" t="s">
        <v>108</v>
      </c>
      <c r="N1196" s="108"/>
      <c r="O1196" s="104"/>
      <c r="P1196" s="108">
        <v>2.7719999999999998</v>
      </c>
      <c r="Q1196" s="108">
        <v>1.927</v>
      </c>
      <c r="R1196" s="104" t="s">
        <v>17</v>
      </c>
      <c r="S1196" s="113">
        <f>10^(((LOG(P1196))*3.375)+1.119)</f>
        <v>410.60774561353168</v>
      </c>
      <c r="T1196" s="104" t="s">
        <v>699</v>
      </c>
      <c r="U1196" s="108">
        <v>0.93</v>
      </c>
      <c r="V1196" s="107">
        <v>33.6</v>
      </c>
      <c r="W1196" s="106" t="s">
        <v>700</v>
      </c>
    </row>
    <row r="1197" spans="1:23" ht="21" customHeight="1">
      <c r="A1197" s="104" t="s">
        <v>218</v>
      </c>
      <c r="B1197" s="104" t="s">
        <v>389</v>
      </c>
      <c r="C1197" s="454" t="s">
        <v>390</v>
      </c>
      <c r="D1197" s="105" t="s">
        <v>391</v>
      </c>
      <c r="E1197" s="104">
        <v>892</v>
      </c>
      <c r="F1197" s="104" t="s">
        <v>705</v>
      </c>
      <c r="G1197" s="106" t="s">
        <v>276</v>
      </c>
      <c r="H1197" s="104" t="s">
        <v>277</v>
      </c>
      <c r="I1197" s="104" t="s">
        <v>104</v>
      </c>
      <c r="J1197" s="104" t="s">
        <v>105</v>
      </c>
      <c r="K1197" s="104" t="s">
        <v>209</v>
      </c>
      <c r="L1197" s="104" t="s">
        <v>684</v>
      </c>
      <c r="M1197" s="104" t="s">
        <v>114</v>
      </c>
      <c r="N1197" s="108"/>
      <c r="O1197" s="104"/>
      <c r="P1197" s="108">
        <v>2.9119999999999999</v>
      </c>
      <c r="Q1197" s="108">
        <v>1.8829999999999998</v>
      </c>
      <c r="R1197" s="104" t="s">
        <v>17</v>
      </c>
      <c r="S1197" s="113">
        <f>10^(((LOG(P1197))*3.375)+1.119)</f>
        <v>484.89295679513521</v>
      </c>
      <c r="T1197" s="104" t="s">
        <v>699</v>
      </c>
      <c r="U1197" s="108">
        <v>0.93</v>
      </c>
      <c r="V1197" s="107">
        <v>33.6</v>
      </c>
      <c r="W1197" s="106" t="s">
        <v>700</v>
      </c>
    </row>
    <row r="1198" spans="1:23" ht="21" customHeight="1">
      <c r="A1198" s="104" t="s">
        <v>218</v>
      </c>
      <c r="B1198" s="104" t="s">
        <v>389</v>
      </c>
      <c r="C1198" s="454" t="s">
        <v>390</v>
      </c>
      <c r="D1198" s="105" t="s">
        <v>391</v>
      </c>
      <c r="E1198" s="104">
        <v>892</v>
      </c>
      <c r="F1198" s="104" t="s">
        <v>275</v>
      </c>
      <c r="G1198" s="106" t="s">
        <v>276</v>
      </c>
      <c r="H1198" s="104" t="s">
        <v>277</v>
      </c>
      <c r="I1198" s="104" t="s">
        <v>104</v>
      </c>
      <c r="J1198" s="104" t="s">
        <v>105</v>
      </c>
      <c r="K1198" s="104" t="s">
        <v>209</v>
      </c>
      <c r="L1198" s="104" t="s">
        <v>684</v>
      </c>
      <c r="M1198" s="104" t="s">
        <v>108</v>
      </c>
      <c r="N1198" s="108"/>
      <c r="O1198" s="104"/>
      <c r="P1198" s="108">
        <v>3.0620000000000003</v>
      </c>
      <c r="Q1198" s="108">
        <v>2.0569999999999999</v>
      </c>
      <c r="R1198" s="104" t="s">
        <v>17</v>
      </c>
      <c r="S1198" s="113">
        <f>10^(((LOG(P1198))*3.375)+1.119)</f>
        <v>574.470198551767</v>
      </c>
      <c r="T1198" s="104" t="s">
        <v>699</v>
      </c>
      <c r="U1198" s="108">
        <v>0.93</v>
      </c>
      <c r="V1198" s="107">
        <v>33.6</v>
      </c>
      <c r="W1198" s="106" t="s">
        <v>700</v>
      </c>
    </row>
    <row r="1199" spans="1:23" ht="21" customHeight="1">
      <c r="A1199" s="104" t="s">
        <v>218</v>
      </c>
      <c r="B1199" s="104" t="s">
        <v>389</v>
      </c>
      <c r="C1199" s="454" t="s">
        <v>390</v>
      </c>
      <c r="D1199" s="105" t="s">
        <v>391</v>
      </c>
      <c r="E1199" s="104">
        <v>892</v>
      </c>
      <c r="F1199" s="104" t="s">
        <v>275</v>
      </c>
      <c r="G1199" s="106" t="s">
        <v>276</v>
      </c>
      <c r="H1199" s="104" t="s">
        <v>277</v>
      </c>
      <c r="I1199" s="104" t="s">
        <v>104</v>
      </c>
      <c r="J1199" s="104" t="s">
        <v>105</v>
      </c>
      <c r="K1199" s="104" t="s">
        <v>209</v>
      </c>
      <c r="L1199" s="104" t="s">
        <v>684</v>
      </c>
      <c r="M1199" s="104" t="s">
        <v>108</v>
      </c>
      <c r="N1199" s="108"/>
      <c r="O1199" s="104"/>
      <c r="P1199" s="108">
        <v>3.1</v>
      </c>
      <c r="Q1199" s="108">
        <v>2</v>
      </c>
      <c r="R1199" s="104" t="s">
        <v>17</v>
      </c>
      <c r="S1199" s="113">
        <f>10^(((LOG(P1199))*3.375)+1.119)</f>
        <v>598.88814553407519</v>
      </c>
      <c r="T1199" s="104" t="s">
        <v>699</v>
      </c>
      <c r="U1199" s="108">
        <v>0.93</v>
      </c>
      <c r="V1199" s="107">
        <v>33.6</v>
      </c>
      <c r="W1199" s="106" t="s">
        <v>700</v>
      </c>
    </row>
    <row r="1200" spans="1:23" ht="21" customHeight="1">
      <c r="A1200" s="103" t="s">
        <v>218</v>
      </c>
      <c r="B1200" s="103" t="s">
        <v>389</v>
      </c>
      <c r="C1200" s="421" t="s">
        <v>390</v>
      </c>
      <c r="D1200" s="105" t="s">
        <v>391</v>
      </c>
      <c r="E1200" s="103">
        <v>892</v>
      </c>
      <c r="F1200" s="103" t="s">
        <v>275</v>
      </c>
      <c r="G1200" s="106" t="s">
        <v>276</v>
      </c>
      <c r="H1200" s="104" t="s">
        <v>277</v>
      </c>
      <c r="I1200" s="104" t="s">
        <v>104</v>
      </c>
      <c r="J1200" s="104" t="s">
        <v>393</v>
      </c>
      <c r="K1200" s="103" t="s">
        <v>714</v>
      </c>
      <c r="L1200" s="103" t="s">
        <v>715</v>
      </c>
      <c r="M1200" s="103" t="s">
        <v>108</v>
      </c>
      <c r="N1200" s="254"/>
      <c r="O1200" s="103"/>
      <c r="P1200" s="254">
        <v>42.3</v>
      </c>
      <c r="Q1200" s="254"/>
      <c r="R1200" s="103"/>
      <c r="S1200" s="113">
        <f>10^(((LOG(P1200))*3.5526)+-2.9997)</f>
        <v>599.84188678008536</v>
      </c>
      <c r="T1200" s="103" t="s">
        <v>716</v>
      </c>
      <c r="U1200" s="254">
        <v>0.93</v>
      </c>
      <c r="V1200" s="386">
        <v>26</v>
      </c>
      <c r="W1200" s="414" t="s">
        <v>694</v>
      </c>
    </row>
    <row r="1201" spans="1:23" ht="21" customHeight="1">
      <c r="A1201" s="103" t="s">
        <v>218</v>
      </c>
      <c r="B1201" s="103" t="s">
        <v>389</v>
      </c>
      <c r="C1201" s="421" t="s">
        <v>390</v>
      </c>
      <c r="D1201" s="105" t="s">
        <v>391</v>
      </c>
      <c r="E1201" s="103">
        <v>892</v>
      </c>
      <c r="F1201" s="103" t="s">
        <v>690</v>
      </c>
      <c r="G1201" s="106" t="s">
        <v>276</v>
      </c>
      <c r="H1201" s="104" t="s">
        <v>277</v>
      </c>
      <c r="I1201" s="104" t="s">
        <v>104</v>
      </c>
      <c r="J1201" s="104" t="s">
        <v>393</v>
      </c>
      <c r="K1201" s="103" t="s">
        <v>714</v>
      </c>
      <c r="L1201" s="103" t="s">
        <v>715</v>
      </c>
      <c r="M1201" s="103" t="s">
        <v>108</v>
      </c>
      <c r="N1201" s="254"/>
      <c r="O1201" s="103"/>
      <c r="P1201" s="254">
        <v>43.4</v>
      </c>
      <c r="Q1201" s="254"/>
      <c r="R1201" s="103"/>
      <c r="S1201" s="113">
        <f>10^(((LOG(P1201))*3.5526)+-2.9997)</f>
        <v>657.1220086953482</v>
      </c>
      <c r="T1201" s="103" t="s">
        <v>716</v>
      </c>
      <c r="U1201" s="254">
        <v>0.93</v>
      </c>
      <c r="V1201" s="386">
        <v>26</v>
      </c>
      <c r="W1201" s="414" t="s">
        <v>694</v>
      </c>
    </row>
    <row r="1202" spans="1:23" ht="21" customHeight="1">
      <c r="A1202" s="104" t="s">
        <v>218</v>
      </c>
      <c r="B1202" s="104" t="s">
        <v>389</v>
      </c>
      <c r="C1202" s="454" t="s">
        <v>390</v>
      </c>
      <c r="D1202" s="105" t="s">
        <v>391</v>
      </c>
      <c r="E1202" s="104">
        <v>892</v>
      </c>
      <c r="F1202" s="104" t="s">
        <v>690</v>
      </c>
      <c r="G1202" s="106" t="s">
        <v>276</v>
      </c>
      <c r="H1202" s="104" t="s">
        <v>277</v>
      </c>
      <c r="I1202" s="104" t="s">
        <v>104</v>
      </c>
      <c r="J1202" s="104" t="s">
        <v>105</v>
      </c>
      <c r="K1202" s="104" t="s">
        <v>126</v>
      </c>
      <c r="L1202" s="104" t="s">
        <v>636</v>
      </c>
      <c r="M1202" s="104" t="s">
        <v>108</v>
      </c>
      <c r="N1202" s="108"/>
      <c r="O1202" s="104"/>
      <c r="P1202" s="108">
        <v>4.38</v>
      </c>
      <c r="Q1202" s="108">
        <v>1.56</v>
      </c>
      <c r="R1202" s="104" t="s">
        <v>17</v>
      </c>
      <c r="S1202" s="113">
        <f>10^(((LOG(P1202))*3.236)+0.745)</f>
        <v>661.92719093154039</v>
      </c>
      <c r="T1202" s="104" t="s">
        <v>717</v>
      </c>
      <c r="U1202" s="108">
        <v>0.92900000000000005</v>
      </c>
      <c r="V1202" s="107">
        <v>33.299999999999997</v>
      </c>
      <c r="W1202" s="106" t="s">
        <v>700</v>
      </c>
    </row>
    <row r="1203" spans="1:23" ht="21" customHeight="1">
      <c r="A1203" s="104" t="s">
        <v>218</v>
      </c>
      <c r="B1203" s="104" t="s">
        <v>389</v>
      </c>
      <c r="C1203" s="454" t="s">
        <v>390</v>
      </c>
      <c r="D1203" s="105" t="s">
        <v>391</v>
      </c>
      <c r="E1203" s="104">
        <v>892</v>
      </c>
      <c r="F1203" s="104" t="s">
        <v>275</v>
      </c>
      <c r="G1203" s="106" t="s">
        <v>276</v>
      </c>
      <c r="H1203" s="104" t="s">
        <v>277</v>
      </c>
      <c r="I1203" s="104" t="s">
        <v>104</v>
      </c>
      <c r="J1203" s="104" t="s">
        <v>105</v>
      </c>
      <c r="K1203" s="104" t="s">
        <v>112</v>
      </c>
      <c r="L1203" s="104" t="s">
        <v>663</v>
      </c>
      <c r="M1203" s="104" t="s">
        <v>108</v>
      </c>
      <c r="N1203" s="108"/>
      <c r="O1203" s="104"/>
      <c r="P1203" s="108">
        <v>2.5840000000000001</v>
      </c>
      <c r="Q1203" s="108">
        <v>1.6280000000000001</v>
      </c>
      <c r="R1203" s="104" t="s">
        <v>17</v>
      </c>
      <c r="S1203" s="113">
        <f>10^((3.52*LOG((P1203))+1.372))</f>
        <v>665.68632095138605</v>
      </c>
      <c r="T1203" s="104" t="s">
        <v>718</v>
      </c>
      <c r="U1203" s="108">
        <v>0.93</v>
      </c>
      <c r="V1203" s="107">
        <v>34</v>
      </c>
      <c r="W1203" s="106" t="s">
        <v>700</v>
      </c>
    </row>
    <row r="1204" spans="1:23" ht="21" customHeight="1">
      <c r="A1204" s="104" t="s">
        <v>218</v>
      </c>
      <c r="B1204" s="104" t="s">
        <v>389</v>
      </c>
      <c r="C1204" s="454" t="s">
        <v>390</v>
      </c>
      <c r="D1204" s="105" t="s">
        <v>391</v>
      </c>
      <c r="E1204" s="104">
        <v>892</v>
      </c>
      <c r="F1204" s="104">
        <v>481</v>
      </c>
      <c r="G1204" s="106" t="s">
        <v>276</v>
      </c>
      <c r="H1204" s="104" t="s">
        <v>277</v>
      </c>
      <c r="I1204" s="104" t="s">
        <v>104</v>
      </c>
      <c r="J1204" s="104" t="s">
        <v>105</v>
      </c>
      <c r="K1204" s="106" t="s">
        <v>143</v>
      </c>
      <c r="L1204" s="104" t="s">
        <v>708</v>
      </c>
      <c r="M1204" s="104" t="s">
        <v>114</v>
      </c>
      <c r="N1204" s="108"/>
      <c r="O1204" s="104"/>
      <c r="P1204" s="108">
        <v>3.3159999999999998</v>
      </c>
      <c r="Q1204" s="108">
        <v>2.69</v>
      </c>
      <c r="R1204" s="104" t="s">
        <v>17</v>
      </c>
      <c r="S1204" s="113">
        <f>((10^((3.395*LOG((P1204))+1.061))))</f>
        <v>673.73064477823357</v>
      </c>
      <c r="T1204" s="104" t="s">
        <v>709</v>
      </c>
      <c r="U1204" s="108">
        <v>0.91200000000000003</v>
      </c>
      <c r="V1204" s="107">
        <v>36.5</v>
      </c>
      <c r="W1204" s="106" t="s">
        <v>700</v>
      </c>
    </row>
    <row r="1205" spans="1:23" ht="21" customHeight="1">
      <c r="A1205" s="104" t="s">
        <v>218</v>
      </c>
      <c r="B1205" s="104" t="s">
        <v>389</v>
      </c>
      <c r="C1205" s="454" t="s">
        <v>390</v>
      </c>
      <c r="D1205" s="105" t="s">
        <v>391</v>
      </c>
      <c r="E1205" s="104">
        <v>892</v>
      </c>
      <c r="F1205" s="104" t="s">
        <v>275</v>
      </c>
      <c r="G1205" s="106" t="s">
        <v>276</v>
      </c>
      <c r="H1205" s="104" t="s">
        <v>277</v>
      </c>
      <c r="I1205" s="104" t="s">
        <v>104</v>
      </c>
      <c r="J1205" s="104" t="s">
        <v>105</v>
      </c>
      <c r="K1205" s="104" t="s">
        <v>112</v>
      </c>
      <c r="L1205" s="104" t="s">
        <v>663</v>
      </c>
      <c r="M1205" s="104" t="s">
        <v>108</v>
      </c>
      <c r="N1205" s="108"/>
      <c r="O1205" s="104"/>
      <c r="P1205" s="108">
        <v>2.6100000000000003</v>
      </c>
      <c r="Q1205" s="108">
        <v>1.54</v>
      </c>
      <c r="R1205" s="104" t="s">
        <v>17</v>
      </c>
      <c r="S1205" s="113">
        <f>10^((3.52*LOG((P1205))+1.372))</f>
        <v>689.5640088782518</v>
      </c>
      <c r="T1205" s="104" t="s">
        <v>718</v>
      </c>
      <c r="U1205" s="108">
        <v>0.93</v>
      </c>
      <c r="V1205" s="107">
        <v>34</v>
      </c>
      <c r="W1205" s="106" t="s">
        <v>700</v>
      </c>
    </row>
    <row r="1206" spans="1:23" ht="21" customHeight="1">
      <c r="A1206" s="104" t="s">
        <v>218</v>
      </c>
      <c r="B1206" s="104" t="s">
        <v>389</v>
      </c>
      <c r="C1206" s="454" t="s">
        <v>390</v>
      </c>
      <c r="D1206" s="105" t="s">
        <v>391</v>
      </c>
      <c r="E1206" s="104">
        <v>892</v>
      </c>
      <c r="F1206" s="104" t="s">
        <v>275</v>
      </c>
      <c r="G1206" s="106" t="s">
        <v>276</v>
      </c>
      <c r="H1206" s="104" t="s">
        <v>277</v>
      </c>
      <c r="I1206" s="104" t="s">
        <v>104</v>
      </c>
      <c r="J1206" s="104" t="s">
        <v>105</v>
      </c>
      <c r="K1206" s="104" t="s">
        <v>112</v>
      </c>
      <c r="L1206" s="104" t="s">
        <v>663</v>
      </c>
      <c r="M1206" s="104" t="s">
        <v>108</v>
      </c>
      <c r="N1206" s="108"/>
      <c r="O1206" s="104"/>
      <c r="P1206" s="108">
        <v>2.637</v>
      </c>
      <c r="Q1206" s="108">
        <v>1.605</v>
      </c>
      <c r="R1206" s="104" t="s">
        <v>17</v>
      </c>
      <c r="S1206" s="113">
        <f>10^((3.52*LOG((P1206))+1.372))</f>
        <v>715.0026589757374</v>
      </c>
      <c r="T1206" s="104" t="s">
        <v>718</v>
      </c>
      <c r="U1206" s="108">
        <v>0.93</v>
      </c>
      <c r="V1206" s="107">
        <v>34</v>
      </c>
      <c r="W1206" s="106" t="s">
        <v>700</v>
      </c>
    </row>
    <row r="1207" spans="1:23" ht="21" customHeight="1">
      <c r="A1207" s="104" t="s">
        <v>218</v>
      </c>
      <c r="B1207" s="104" t="s">
        <v>389</v>
      </c>
      <c r="C1207" s="454" t="s">
        <v>390</v>
      </c>
      <c r="D1207" s="105" t="s">
        <v>391</v>
      </c>
      <c r="E1207" s="104">
        <v>892</v>
      </c>
      <c r="F1207" s="104" t="s">
        <v>275</v>
      </c>
      <c r="G1207" s="106" t="s">
        <v>276</v>
      </c>
      <c r="H1207" s="104" t="s">
        <v>277</v>
      </c>
      <c r="I1207" s="104" t="s">
        <v>104</v>
      </c>
      <c r="J1207" s="104" t="s">
        <v>105</v>
      </c>
      <c r="K1207" s="104" t="s">
        <v>126</v>
      </c>
      <c r="L1207" s="104" t="s">
        <v>636</v>
      </c>
      <c r="M1207" s="104" t="s">
        <v>108</v>
      </c>
      <c r="N1207" s="108"/>
      <c r="O1207" s="104"/>
      <c r="P1207" s="108">
        <v>4.4870000000000001</v>
      </c>
      <c r="Q1207" s="108">
        <v>1.8530000000000002</v>
      </c>
      <c r="R1207" s="104" t="s">
        <v>17</v>
      </c>
      <c r="S1207" s="113">
        <f>10^(((LOG(P1207))*3.236)+0.745)</f>
        <v>715.6980616637976</v>
      </c>
      <c r="T1207" s="104" t="s">
        <v>717</v>
      </c>
      <c r="U1207" s="108">
        <v>0.92900000000000005</v>
      </c>
      <c r="V1207" s="107">
        <v>33.299999999999997</v>
      </c>
      <c r="W1207" s="106" t="s">
        <v>700</v>
      </c>
    </row>
    <row r="1208" spans="1:23" ht="21" customHeight="1">
      <c r="A1208" s="103" t="s">
        <v>218</v>
      </c>
      <c r="B1208" s="103" t="s">
        <v>389</v>
      </c>
      <c r="C1208" s="421" t="s">
        <v>390</v>
      </c>
      <c r="D1208" s="105" t="s">
        <v>391</v>
      </c>
      <c r="E1208" s="103">
        <v>892</v>
      </c>
      <c r="F1208" s="103" t="s">
        <v>275</v>
      </c>
      <c r="G1208" s="106" t="s">
        <v>276</v>
      </c>
      <c r="H1208" s="104" t="s">
        <v>277</v>
      </c>
      <c r="I1208" s="104" t="s">
        <v>104</v>
      </c>
      <c r="J1208" s="104" t="s">
        <v>393</v>
      </c>
      <c r="K1208" s="103" t="s">
        <v>714</v>
      </c>
      <c r="L1208" s="103" t="s">
        <v>715</v>
      </c>
      <c r="M1208" s="103" t="s">
        <v>108</v>
      </c>
      <c r="N1208" s="254"/>
      <c r="O1208" s="103"/>
      <c r="P1208" s="254">
        <v>44.6</v>
      </c>
      <c r="Q1208" s="254"/>
      <c r="R1208" s="103"/>
      <c r="S1208" s="113">
        <f>10^(((LOG(P1208))*3.5526)+-2.9997)</f>
        <v>723.98075035268391</v>
      </c>
      <c r="T1208" s="103" t="s">
        <v>716</v>
      </c>
      <c r="U1208" s="254">
        <v>0.93</v>
      </c>
      <c r="V1208" s="386">
        <v>26</v>
      </c>
      <c r="W1208" s="414" t="s">
        <v>694</v>
      </c>
    </row>
    <row r="1209" spans="1:23" ht="21" customHeight="1">
      <c r="A1209" s="104" t="s">
        <v>218</v>
      </c>
      <c r="B1209" s="104" t="s">
        <v>389</v>
      </c>
      <c r="C1209" s="454" t="s">
        <v>390</v>
      </c>
      <c r="D1209" s="105" t="s">
        <v>391</v>
      </c>
      <c r="E1209" s="104">
        <v>892</v>
      </c>
      <c r="F1209" s="104">
        <v>326</v>
      </c>
      <c r="G1209" s="106" t="s">
        <v>276</v>
      </c>
      <c r="H1209" s="104" t="s">
        <v>277</v>
      </c>
      <c r="I1209" s="104" t="s">
        <v>104</v>
      </c>
      <c r="J1209" s="104" t="s">
        <v>393</v>
      </c>
      <c r="K1209" s="104" t="s">
        <v>394</v>
      </c>
      <c r="L1209" s="104" t="s">
        <v>395</v>
      </c>
      <c r="M1209" s="104" t="s">
        <v>108</v>
      </c>
      <c r="N1209" s="108"/>
      <c r="O1209" s="104"/>
      <c r="P1209" s="108">
        <v>16.2</v>
      </c>
      <c r="Q1209" s="108">
        <v>7.3</v>
      </c>
      <c r="R1209" s="104"/>
      <c r="S1209" s="113">
        <f>(EXP(((LN(P1209*10)*2.969)+-1.611)))/1000</f>
        <v>725.10628225392384</v>
      </c>
      <c r="T1209" s="104" t="s">
        <v>396</v>
      </c>
      <c r="U1209" s="108">
        <v>0.94099999999999995</v>
      </c>
      <c r="V1209" s="107">
        <v>44.075000000000003</v>
      </c>
      <c r="W1209" s="106" t="s">
        <v>397</v>
      </c>
    </row>
    <row r="1210" spans="1:23" ht="21" customHeight="1">
      <c r="A1210" s="104" t="s">
        <v>218</v>
      </c>
      <c r="B1210" s="104" t="s">
        <v>389</v>
      </c>
      <c r="C1210" s="454" t="s">
        <v>390</v>
      </c>
      <c r="D1210" s="105" t="s">
        <v>391</v>
      </c>
      <c r="E1210" s="104">
        <v>892</v>
      </c>
      <c r="F1210" s="104" t="s">
        <v>275</v>
      </c>
      <c r="G1210" s="106" t="s">
        <v>276</v>
      </c>
      <c r="H1210" s="104" t="s">
        <v>277</v>
      </c>
      <c r="I1210" s="104" t="s">
        <v>104</v>
      </c>
      <c r="J1210" s="104" t="s">
        <v>105</v>
      </c>
      <c r="K1210" s="104" t="s">
        <v>126</v>
      </c>
      <c r="L1210" s="104" t="s">
        <v>636</v>
      </c>
      <c r="M1210" s="104" t="s">
        <v>108</v>
      </c>
      <c r="N1210" s="108"/>
      <c r="O1210" s="104"/>
      <c r="P1210" s="108">
        <v>4.5220000000000002</v>
      </c>
      <c r="Q1210" s="108">
        <v>1.9430000000000001</v>
      </c>
      <c r="R1210" s="104" t="s">
        <v>17</v>
      </c>
      <c r="S1210" s="113">
        <f>10^(((LOG(P1210))*3.236)+0.745)</f>
        <v>733.92162727051266</v>
      </c>
      <c r="T1210" s="104" t="s">
        <v>717</v>
      </c>
      <c r="U1210" s="108">
        <v>0.92900000000000005</v>
      </c>
      <c r="V1210" s="107">
        <v>33.299999999999997</v>
      </c>
      <c r="W1210" s="106" t="s">
        <v>700</v>
      </c>
    </row>
    <row r="1211" spans="1:23" ht="21" customHeight="1">
      <c r="A1211" s="103" t="s">
        <v>218</v>
      </c>
      <c r="B1211" s="103" t="s">
        <v>389</v>
      </c>
      <c r="C1211" s="421" t="s">
        <v>390</v>
      </c>
      <c r="D1211" s="396" t="s">
        <v>391</v>
      </c>
      <c r="E1211" s="103">
        <v>892</v>
      </c>
      <c r="F1211" s="103" t="s">
        <v>719</v>
      </c>
      <c r="G1211" s="414" t="s">
        <v>276</v>
      </c>
      <c r="H1211" s="103" t="s">
        <v>277</v>
      </c>
      <c r="I1211" s="104" t="s">
        <v>104</v>
      </c>
      <c r="J1211" s="103" t="s">
        <v>393</v>
      </c>
      <c r="K1211" s="103" t="s">
        <v>710</v>
      </c>
      <c r="L1211" s="103" t="s">
        <v>711</v>
      </c>
      <c r="M1211" s="103"/>
      <c r="N1211" s="254"/>
      <c r="O1211" s="103"/>
      <c r="P1211" s="254">
        <v>38.799999999999997</v>
      </c>
      <c r="Q1211" s="254"/>
      <c r="R1211" s="103"/>
      <c r="S1211" s="113">
        <f>10^((LOG(P1211)*3.3633)+-2.4637)</f>
        <v>758.60856663282584</v>
      </c>
      <c r="T1211" s="103" t="s">
        <v>712</v>
      </c>
      <c r="U1211" s="254">
        <v>0.93</v>
      </c>
      <c r="V1211" s="386">
        <v>24</v>
      </c>
      <c r="W1211" s="414" t="s">
        <v>713</v>
      </c>
    </row>
    <row r="1212" spans="1:23" ht="21" customHeight="1">
      <c r="A1212" s="104" t="s">
        <v>218</v>
      </c>
      <c r="B1212" s="104" t="s">
        <v>389</v>
      </c>
      <c r="C1212" s="454" t="s">
        <v>390</v>
      </c>
      <c r="D1212" s="105" t="s">
        <v>391</v>
      </c>
      <c r="E1212" s="104">
        <v>892</v>
      </c>
      <c r="F1212" s="104" t="s">
        <v>705</v>
      </c>
      <c r="G1212" s="106" t="s">
        <v>276</v>
      </c>
      <c r="H1212" s="104" t="s">
        <v>277</v>
      </c>
      <c r="I1212" s="104" t="s">
        <v>104</v>
      </c>
      <c r="J1212" s="104" t="s">
        <v>105</v>
      </c>
      <c r="K1212" s="104" t="s">
        <v>112</v>
      </c>
      <c r="L1212" s="104" t="s">
        <v>663</v>
      </c>
      <c r="M1212" s="104" t="s">
        <v>114</v>
      </c>
      <c r="N1212" s="108"/>
      <c r="O1212" s="104"/>
      <c r="P1212" s="108">
        <v>2.69</v>
      </c>
      <c r="Q1212" s="108">
        <v>1.823</v>
      </c>
      <c r="R1212" s="104" t="s">
        <v>17</v>
      </c>
      <c r="S1212" s="113">
        <f>10^((3.52*LOG((P1212))+1.372))</f>
        <v>766.88108413664713</v>
      </c>
      <c r="T1212" s="104" t="s">
        <v>718</v>
      </c>
      <c r="U1212" s="108">
        <v>0.93</v>
      </c>
      <c r="V1212" s="107">
        <v>34</v>
      </c>
      <c r="W1212" s="106" t="s">
        <v>700</v>
      </c>
    </row>
    <row r="1213" spans="1:23" ht="21" customHeight="1">
      <c r="A1213" s="104" t="s">
        <v>218</v>
      </c>
      <c r="B1213" s="104" t="s">
        <v>389</v>
      </c>
      <c r="C1213" s="454" t="s">
        <v>390</v>
      </c>
      <c r="D1213" s="105" t="s">
        <v>391</v>
      </c>
      <c r="E1213" s="104">
        <v>892</v>
      </c>
      <c r="F1213" s="104" t="s">
        <v>275</v>
      </c>
      <c r="G1213" s="106" t="s">
        <v>276</v>
      </c>
      <c r="H1213" s="104" t="s">
        <v>277</v>
      </c>
      <c r="I1213" s="104" t="s">
        <v>104</v>
      </c>
      <c r="J1213" s="104" t="s">
        <v>105</v>
      </c>
      <c r="K1213" s="104" t="s">
        <v>229</v>
      </c>
      <c r="L1213" s="104" t="s">
        <v>720</v>
      </c>
      <c r="M1213" s="104" t="s">
        <v>108</v>
      </c>
      <c r="N1213" s="108"/>
      <c r="O1213" s="104"/>
      <c r="P1213" s="108">
        <v>2.2640000000000002</v>
      </c>
      <c r="Q1213" s="108">
        <v>1.42</v>
      </c>
      <c r="R1213" s="104" t="s">
        <v>17</v>
      </c>
      <c r="S1213" s="113">
        <f>(10^(((LOG(P1213*10)*2.72)+2.2)))/1000</f>
        <v>767.82786558710563</v>
      </c>
      <c r="T1213" s="104" t="s">
        <v>721</v>
      </c>
      <c r="U1213" s="108">
        <v>0.66200000000000003</v>
      </c>
      <c r="V1213" s="107">
        <v>79.7</v>
      </c>
      <c r="W1213" s="106" t="s">
        <v>700</v>
      </c>
    </row>
    <row r="1214" spans="1:23" ht="21" customHeight="1">
      <c r="A1214" s="104" t="s">
        <v>218</v>
      </c>
      <c r="B1214" s="104" t="s">
        <v>389</v>
      </c>
      <c r="C1214" s="454" t="s">
        <v>390</v>
      </c>
      <c r="D1214" s="105" t="s">
        <v>391</v>
      </c>
      <c r="E1214" s="104">
        <v>892</v>
      </c>
      <c r="F1214" s="104" t="s">
        <v>275</v>
      </c>
      <c r="G1214" s="106" t="s">
        <v>276</v>
      </c>
      <c r="H1214" s="104" t="s">
        <v>277</v>
      </c>
      <c r="I1214" s="104" t="s">
        <v>104</v>
      </c>
      <c r="J1214" s="104" t="s">
        <v>393</v>
      </c>
      <c r="K1214" s="104" t="s">
        <v>691</v>
      </c>
      <c r="L1214" s="104" t="s">
        <v>692</v>
      </c>
      <c r="M1214" s="104" t="s">
        <v>108</v>
      </c>
      <c r="N1214" s="108"/>
      <c r="O1214" s="104"/>
      <c r="P1214" s="108">
        <v>48</v>
      </c>
      <c r="Q1214" s="108"/>
      <c r="R1214" s="104"/>
      <c r="S1214" s="113">
        <f>10^(((LOG(P1214))*3.9842)+-3.8078)</f>
        <v>777.32267752998291</v>
      </c>
      <c r="T1214" s="104" t="s">
        <v>698</v>
      </c>
      <c r="U1214" s="108">
        <v>0.84499999999999997</v>
      </c>
      <c r="V1214" s="107">
        <v>46</v>
      </c>
      <c r="W1214" s="106" t="s">
        <v>694</v>
      </c>
    </row>
    <row r="1215" spans="1:23" ht="21" customHeight="1">
      <c r="A1215" s="104" t="s">
        <v>218</v>
      </c>
      <c r="B1215" s="104" t="s">
        <v>389</v>
      </c>
      <c r="C1215" s="454" t="s">
        <v>390</v>
      </c>
      <c r="D1215" s="105" t="s">
        <v>391</v>
      </c>
      <c r="E1215" s="104">
        <v>892</v>
      </c>
      <c r="F1215" s="104" t="s">
        <v>722</v>
      </c>
      <c r="G1215" s="106" t="s">
        <v>276</v>
      </c>
      <c r="H1215" s="104" t="s">
        <v>277</v>
      </c>
      <c r="I1215" s="104" t="s">
        <v>104</v>
      </c>
      <c r="J1215" s="104" t="s">
        <v>393</v>
      </c>
      <c r="K1215" s="104" t="s">
        <v>394</v>
      </c>
      <c r="L1215" s="104" t="s">
        <v>395</v>
      </c>
      <c r="M1215" s="104"/>
      <c r="N1215" s="108"/>
      <c r="O1215" s="104"/>
      <c r="P1215" s="108">
        <v>16.7</v>
      </c>
      <c r="Q1215" s="108"/>
      <c r="R1215" s="104"/>
      <c r="S1215" s="113">
        <f>(EXP(((LN(P1215*10)*2.969)+-1.611)))/1000</f>
        <v>793.59110705754244</v>
      </c>
      <c r="T1215" s="104" t="s">
        <v>396</v>
      </c>
      <c r="U1215" s="108">
        <v>0.94099999999999995</v>
      </c>
      <c r="V1215" s="107">
        <v>44.075000000000003</v>
      </c>
      <c r="W1215" s="106" t="s">
        <v>397</v>
      </c>
    </row>
    <row r="1216" spans="1:23" ht="21" customHeight="1">
      <c r="A1216" s="104" t="s">
        <v>218</v>
      </c>
      <c r="B1216" s="104" t="s">
        <v>389</v>
      </c>
      <c r="C1216" s="454" t="s">
        <v>390</v>
      </c>
      <c r="D1216" s="105" t="s">
        <v>391</v>
      </c>
      <c r="E1216" s="104">
        <v>892</v>
      </c>
      <c r="F1216" s="104" t="s">
        <v>690</v>
      </c>
      <c r="G1216" s="106" t="s">
        <v>276</v>
      </c>
      <c r="H1216" s="104" t="s">
        <v>277</v>
      </c>
      <c r="I1216" s="104" t="s">
        <v>104</v>
      </c>
      <c r="J1216" s="104" t="s">
        <v>105</v>
      </c>
      <c r="K1216" s="104" t="s">
        <v>126</v>
      </c>
      <c r="L1216" s="104" t="s">
        <v>636</v>
      </c>
      <c r="M1216" s="104" t="s">
        <v>114</v>
      </c>
      <c r="N1216" s="108"/>
      <c r="O1216" s="104"/>
      <c r="P1216" s="108">
        <v>4.6459999999999999</v>
      </c>
      <c r="Q1216" s="108">
        <v>1.919</v>
      </c>
      <c r="R1216" s="104" t="s">
        <v>17</v>
      </c>
      <c r="S1216" s="113">
        <f>10^(((LOG(P1216))*3.236)+0.745)</f>
        <v>801.06601790682055</v>
      </c>
      <c r="T1216" s="104" t="s">
        <v>717</v>
      </c>
      <c r="U1216" s="108">
        <v>0.92900000000000005</v>
      </c>
      <c r="V1216" s="107">
        <v>33.299999999999997</v>
      </c>
      <c r="W1216" s="106" t="s">
        <v>700</v>
      </c>
    </row>
    <row r="1217" spans="1:23" ht="21" customHeight="1">
      <c r="A1217" s="103" t="s">
        <v>218</v>
      </c>
      <c r="B1217" s="103" t="s">
        <v>389</v>
      </c>
      <c r="C1217" s="421" t="s">
        <v>390</v>
      </c>
      <c r="D1217" s="396" t="s">
        <v>391</v>
      </c>
      <c r="E1217" s="103">
        <v>892</v>
      </c>
      <c r="F1217" s="103" t="s">
        <v>723</v>
      </c>
      <c r="G1217" s="414" t="s">
        <v>276</v>
      </c>
      <c r="H1217" s="103" t="s">
        <v>277</v>
      </c>
      <c r="I1217" s="104" t="s">
        <v>104</v>
      </c>
      <c r="J1217" s="103" t="s">
        <v>393</v>
      </c>
      <c r="K1217" s="103" t="s">
        <v>710</v>
      </c>
      <c r="L1217" s="103" t="s">
        <v>711</v>
      </c>
      <c r="M1217" s="103"/>
      <c r="N1217" s="254"/>
      <c r="O1217" s="103"/>
      <c r="P1217" s="254">
        <v>39.5</v>
      </c>
      <c r="Q1217" s="254"/>
      <c r="R1217" s="103"/>
      <c r="S1217" s="113">
        <f>10^((LOG(P1217)*3.3633)+-2.4637)</f>
        <v>805.62885292865144</v>
      </c>
      <c r="T1217" s="103" t="s">
        <v>712</v>
      </c>
      <c r="U1217" s="254">
        <v>0.93</v>
      </c>
      <c r="V1217" s="386">
        <v>24</v>
      </c>
      <c r="W1217" s="414" t="s">
        <v>713</v>
      </c>
    </row>
    <row r="1218" spans="1:23" ht="21" customHeight="1">
      <c r="A1218" s="104" t="s">
        <v>218</v>
      </c>
      <c r="B1218" s="104" t="s">
        <v>389</v>
      </c>
      <c r="C1218" s="454" t="s">
        <v>390</v>
      </c>
      <c r="D1218" s="105" t="s">
        <v>391</v>
      </c>
      <c r="E1218" s="104">
        <v>892</v>
      </c>
      <c r="F1218" s="104" t="s">
        <v>275</v>
      </c>
      <c r="G1218" s="106" t="s">
        <v>276</v>
      </c>
      <c r="H1218" s="104" t="s">
        <v>277</v>
      </c>
      <c r="I1218" s="104" t="s">
        <v>104</v>
      </c>
      <c r="J1218" s="104" t="s">
        <v>105</v>
      </c>
      <c r="K1218" s="104" t="s">
        <v>126</v>
      </c>
      <c r="L1218" s="104" t="s">
        <v>636</v>
      </c>
      <c r="M1218" s="104" t="s">
        <v>108</v>
      </c>
      <c r="N1218" s="108"/>
      <c r="O1218" s="104"/>
      <c r="P1218" s="108">
        <v>4.6989999999999998</v>
      </c>
      <c r="Q1218" s="108">
        <v>1.8969999999999998</v>
      </c>
      <c r="R1218" s="104" t="s">
        <v>17</v>
      </c>
      <c r="S1218" s="113">
        <f>10^(((LOG(P1218))*3.236)+0.745)</f>
        <v>831.01644875710247</v>
      </c>
      <c r="T1218" s="104" t="s">
        <v>717</v>
      </c>
      <c r="U1218" s="108">
        <v>0.92900000000000005</v>
      </c>
      <c r="V1218" s="107">
        <v>33.299999999999997</v>
      </c>
      <c r="W1218" s="106" t="s">
        <v>700</v>
      </c>
    </row>
    <row r="1219" spans="1:23" ht="21" customHeight="1">
      <c r="A1219" s="104" t="s">
        <v>218</v>
      </c>
      <c r="B1219" s="104" t="s">
        <v>389</v>
      </c>
      <c r="C1219" s="454" t="s">
        <v>390</v>
      </c>
      <c r="D1219" s="105" t="s">
        <v>391</v>
      </c>
      <c r="E1219" s="104">
        <v>892</v>
      </c>
      <c r="F1219" s="104" t="s">
        <v>724</v>
      </c>
      <c r="G1219" s="106" t="s">
        <v>276</v>
      </c>
      <c r="H1219" s="104" t="s">
        <v>277</v>
      </c>
      <c r="I1219" s="104" t="s">
        <v>104</v>
      </c>
      <c r="J1219" s="104" t="s">
        <v>393</v>
      </c>
      <c r="K1219" s="104" t="s">
        <v>394</v>
      </c>
      <c r="L1219" s="104" t="s">
        <v>395</v>
      </c>
      <c r="M1219" s="104"/>
      <c r="N1219" s="108"/>
      <c r="O1219" s="104"/>
      <c r="P1219" s="108">
        <v>17.100000000000001</v>
      </c>
      <c r="Q1219" s="108"/>
      <c r="R1219" s="104"/>
      <c r="S1219" s="113">
        <f>(EXP(((LN(P1219*10)*2.969)+-1.611)))/1000</f>
        <v>851.3674489440765</v>
      </c>
      <c r="T1219" s="104" t="s">
        <v>396</v>
      </c>
      <c r="U1219" s="108">
        <v>0.94099999999999995</v>
      </c>
      <c r="V1219" s="107">
        <v>44.075000000000003</v>
      </c>
      <c r="W1219" s="106" t="s">
        <v>397</v>
      </c>
    </row>
    <row r="1220" spans="1:23" ht="21" customHeight="1">
      <c r="A1220" s="104" t="s">
        <v>218</v>
      </c>
      <c r="B1220" s="104" t="s">
        <v>389</v>
      </c>
      <c r="C1220" s="454" t="s">
        <v>390</v>
      </c>
      <c r="D1220" s="105" t="s">
        <v>391</v>
      </c>
      <c r="E1220" s="104">
        <v>892</v>
      </c>
      <c r="F1220" s="104">
        <v>294</v>
      </c>
      <c r="G1220" s="106" t="s">
        <v>276</v>
      </c>
      <c r="H1220" s="104" t="s">
        <v>277</v>
      </c>
      <c r="I1220" s="104" t="s">
        <v>104</v>
      </c>
      <c r="J1220" s="104" t="s">
        <v>105</v>
      </c>
      <c r="K1220" s="104" t="s">
        <v>112</v>
      </c>
      <c r="L1220" s="104" t="s">
        <v>663</v>
      </c>
      <c r="M1220" s="104" t="s">
        <v>108</v>
      </c>
      <c r="N1220" s="108"/>
      <c r="O1220" s="104"/>
      <c r="P1220" s="108">
        <v>2.7809999999999997</v>
      </c>
      <c r="Q1220" s="108">
        <v>1.7829999999999999</v>
      </c>
      <c r="R1220" s="104" t="s">
        <v>17</v>
      </c>
      <c r="S1220" s="113">
        <f>10^((3.52*LOG((P1220))+1.372))</f>
        <v>862.15922766507936</v>
      </c>
      <c r="T1220" s="104" t="s">
        <v>718</v>
      </c>
      <c r="U1220" s="108">
        <v>0.93</v>
      </c>
      <c r="V1220" s="107">
        <v>34</v>
      </c>
      <c r="W1220" s="106" t="s">
        <v>700</v>
      </c>
    </row>
    <row r="1221" spans="1:23" ht="21" customHeight="1">
      <c r="A1221" s="104" t="s">
        <v>218</v>
      </c>
      <c r="B1221" s="104" t="s">
        <v>389</v>
      </c>
      <c r="C1221" s="454" t="s">
        <v>390</v>
      </c>
      <c r="D1221" s="105" t="s">
        <v>391</v>
      </c>
      <c r="E1221" s="104">
        <v>892</v>
      </c>
      <c r="F1221" s="104" t="s">
        <v>725</v>
      </c>
      <c r="G1221" s="106" t="s">
        <v>276</v>
      </c>
      <c r="H1221" s="104" t="s">
        <v>277</v>
      </c>
      <c r="I1221" s="104" t="s">
        <v>104</v>
      </c>
      <c r="J1221" s="104" t="s">
        <v>393</v>
      </c>
      <c r="K1221" s="104" t="s">
        <v>394</v>
      </c>
      <c r="L1221" s="104" t="s">
        <v>395</v>
      </c>
      <c r="M1221" s="104"/>
      <c r="N1221" s="108"/>
      <c r="O1221" s="104"/>
      <c r="P1221" s="108">
        <v>17.2</v>
      </c>
      <c r="Q1221" s="108"/>
      <c r="R1221" s="104"/>
      <c r="S1221" s="113">
        <f>(EXP(((LN(P1221*10)*2.969)+-1.611)))/1000</f>
        <v>866.23464340588544</v>
      </c>
      <c r="T1221" s="104" t="s">
        <v>396</v>
      </c>
      <c r="U1221" s="108">
        <v>0.94099999999999995</v>
      </c>
      <c r="V1221" s="107">
        <v>44.075000000000003</v>
      </c>
      <c r="W1221" s="106" t="s">
        <v>397</v>
      </c>
    </row>
    <row r="1222" spans="1:23" ht="21" customHeight="1">
      <c r="A1222" s="104" t="s">
        <v>218</v>
      </c>
      <c r="B1222" s="104" t="s">
        <v>389</v>
      </c>
      <c r="C1222" s="454" t="s">
        <v>390</v>
      </c>
      <c r="D1222" s="105" t="s">
        <v>391</v>
      </c>
      <c r="E1222" s="104">
        <v>892</v>
      </c>
      <c r="F1222" s="104" t="s">
        <v>275</v>
      </c>
      <c r="G1222" s="106" t="s">
        <v>276</v>
      </c>
      <c r="H1222" s="104" t="s">
        <v>277</v>
      </c>
      <c r="I1222" s="104" t="s">
        <v>104</v>
      </c>
      <c r="J1222" s="104" t="s">
        <v>105</v>
      </c>
      <c r="K1222" s="104" t="s">
        <v>233</v>
      </c>
      <c r="L1222" s="104" t="s">
        <v>653</v>
      </c>
      <c r="M1222" s="104" t="s">
        <v>108</v>
      </c>
      <c r="N1222" s="108"/>
      <c r="O1222" s="104"/>
      <c r="P1222" s="108">
        <v>2.4279999999999999</v>
      </c>
      <c r="Q1222" s="108">
        <v>1.5609999999999999</v>
      </c>
      <c r="R1222" s="104" t="s">
        <v>17</v>
      </c>
      <c r="S1222" s="113">
        <f>(10^(((LOG(P1222))*2.988)+1.797))</f>
        <v>887.40743491582384</v>
      </c>
      <c r="T1222" s="104" t="s">
        <v>727</v>
      </c>
      <c r="U1222" s="108">
        <v>0.751</v>
      </c>
      <c r="V1222" s="107">
        <v>67.3</v>
      </c>
      <c r="W1222" s="106" t="s">
        <v>700</v>
      </c>
    </row>
    <row r="1223" spans="1:23" ht="21" customHeight="1">
      <c r="A1223" s="104" t="s">
        <v>218</v>
      </c>
      <c r="B1223" s="104" t="s">
        <v>389</v>
      </c>
      <c r="C1223" s="454" t="s">
        <v>390</v>
      </c>
      <c r="D1223" s="105" t="s">
        <v>391</v>
      </c>
      <c r="E1223" s="104">
        <v>892</v>
      </c>
      <c r="F1223" s="104">
        <v>482</v>
      </c>
      <c r="G1223" s="106" t="s">
        <v>276</v>
      </c>
      <c r="H1223" s="104" t="s">
        <v>277</v>
      </c>
      <c r="I1223" s="104" t="s">
        <v>104</v>
      </c>
      <c r="J1223" s="104" t="s">
        <v>105</v>
      </c>
      <c r="K1223" s="106" t="s">
        <v>143</v>
      </c>
      <c r="L1223" s="104" t="s">
        <v>708</v>
      </c>
      <c r="M1223" s="104" t="s">
        <v>114</v>
      </c>
      <c r="N1223" s="108"/>
      <c r="O1223" s="104"/>
      <c r="P1223" s="108">
        <v>3.6049999999999995</v>
      </c>
      <c r="Q1223" s="108">
        <v>2.66</v>
      </c>
      <c r="R1223" s="104" t="s">
        <v>17</v>
      </c>
      <c r="S1223" s="113">
        <f>((10^((3.395*LOG((P1223))+1.061))))</f>
        <v>894.73286182948402</v>
      </c>
      <c r="T1223" s="104" t="s">
        <v>709</v>
      </c>
      <c r="U1223" s="108">
        <v>0.91200000000000003</v>
      </c>
      <c r="V1223" s="107">
        <v>36.5</v>
      </c>
      <c r="W1223" s="106" t="s">
        <v>700</v>
      </c>
    </row>
    <row r="1224" spans="1:23" s="333" customFormat="1" ht="21" customHeight="1">
      <c r="A1224" s="104" t="s">
        <v>218</v>
      </c>
      <c r="B1224" s="104" t="s">
        <v>389</v>
      </c>
      <c r="C1224" s="454" t="s">
        <v>390</v>
      </c>
      <c r="D1224" s="105" t="s">
        <v>391</v>
      </c>
      <c r="E1224" s="104">
        <v>892</v>
      </c>
      <c r="F1224" s="104" t="s">
        <v>275</v>
      </c>
      <c r="G1224" s="106" t="s">
        <v>276</v>
      </c>
      <c r="H1224" s="104" t="s">
        <v>277</v>
      </c>
      <c r="I1224" s="104" t="s">
        <v>104</v>
      </c>
      <c r="J1224" s="104" t="s">
        <v>105</v>
      </c>
      <c r="K1224" s="104" t="s">
        <v>112</v>
      </c>
      <c r="L1224" s="104" t="s">
        <v>663</v>
      </c>
      <c r="M1224" s="104" t="s">
        <v>108</v>
      </c>
      <c r="N1224" s="108"/>
      <c r="O1224" s="104"/>
      <c r="P1224" s="108">
        <v>2.8159999999999998</v>
      </c>
      <c r="Q1224" s="108">
        <v>2.0219999999999998</v>
      </c>
      <c r="R1224" s="104" t="s">
        <v>17</v>
      </c>
      <c r="S1224" s="113">
        <f>10^((3.52*LOG((P1224))+1.372))</f>
        <v>900.96294513739315</v>
      </c>
      <c r="T1224" s="104" t="s">
        <v>718</v>
      </c>
      <c r="U1224" s="108">
        <v>0.93</v>
      </c>
      <c r="V1224" s="107">
        <v>34</v>
      </c>
      <c r="W1224" s="106" t="s">
        <v>700</v>
      </c>
    </row>
    <row r="1225" spans="1:23" ht="21" customHeight="1">
      <c r="A1225" s="104" t="s">
        <v>218</v>
      </c>
      <c r="B1225" s="104" t="s">
        <v>389</v>
      </c>
      <c r="C1225" s="454" t="s">
        <v>390</v>
      </c>
      <c r="D1225" s="105" t="s">
        <v>391</v>
      </c>
      <c r="E1225" s="104">
        <v>892</v>
      </c>
      <c r="F1225" s="104" t="s">
        <v>398</v>
      </c>
      <c r="G1225" s="106" t="s">
        <v>276</v>
      </c>
      <c r="H1225" s="104" t="s">
        <v>277</v>
      </c>
      <c r="I1225" s="104" t="s">
        <v>104</v>
      </c>
      <c r="J1225" s="104" t="s">
        <v>393</v>
      </c>
      <c r="K1225" s="104" t="s">
        <v>394</v>
      </c>
      <c r="L1225" s="104" t="s">
        <v>395</v>
      </c>
      <c r="M1225" s="104" t="s">
        <v>114</v>
      </c>
      <c r="N1225" s="108"/>
      <c r="O1225" s="104"/>
      <c r="P1225" s="108">
        <v>17.5</v>
      </c>
      <c r="Q1225" s="108">
        <v>6.2</v>
      </c>
      <c r="R1225" s="104"/>
      <c r="S1225" s="113">
        <f>(EXP(((LN(P1225*10)*2.969)+-1.611)))/1000</f>
        <v>911.86711990184926</v>
      </c>
      <c r="T1225" s="104" t="s">
        <v>396</v>
      </c>
      <c r="U1225" s="108">
        <v>0.94099999999999995</v>
      </c>
      <c r="V1225" s="107">
        <v>44.075000000000003</v>
      </c>
      <c r="W1225" s="106" t="s">
        <v>397</v>
      </c>
    </row>
    <row r="1226" spans="1:23" ht="21" customHeight="1">
      <c r="A1226" s="104" t="s">
        <v>218</v>
      </c>
      <c r="B1226" s="104" t="s">
        <v>389</v>
      </c>
      <c r="C1226" s="454" t="s">
        <v>390</v>
      </c>
      <c r="D1226" s="105" t="s">
        <v>391</v>
      </c>
      <c r="E1226" s="104">
        <v>892</v>
      </c>
      <c r="F1226" s="104">
        <v>449</v>
      </c>
      <c r="G1226" s="106" t="s">
        <v>276</v>
      </c>
      <c r="H1226" s="104" t="s">
        <v>277</v>
      </c>
      <c r="I1226" s="104" t="s">
        <v>104</v>
      </c>
      <c r="J1226" s="104" t="s">
        <v>105</v>
      </c>
      <c r="K1226" s="104" t="s">
        <v>126</v>
      </c>
      <c r="L1226" s="104" t="s">
        <v>636</v>
      </c>
      <c r="M1226" s="104" t="s">
        <v>114</v>
      </c>
      <c r="N1226" s="108"/>
      <c r="O1226" s="104"/>
      <c r="P1226" s="108">
        <v>4.8390000000000004</v>
      </c>
      <c r="Q1226" s="108">
        <v>1.591</v>
      </c>
      <c r="R1226" s="104" t="s">
        <v>17</v>
      </c>
      <c r="S1226" s="113">
        <f>10^(((LOG(P1226))*3.236)+0.745)</f>
        <v>913.83795758071756</v>
      </c>
      <c r="T1226" s="104" t="s">
        <v>717</v>
      </c>
      <c r="U1226" s="108">
        <v>0.92900000000000005</v>
      </c>
      <c r="V1226" s="107">
        <v>33.299999999999997</v>
      </c>
      <c r="W1226" s="106" t="s">
        <v>700</v>
      </c>
    </row>
    <row r="1227" spans="1:23" ht="21" customHeight="1">
      <c r="A1227" s="103" t="s">
        <v>218</v>
      </c>
      <c r="B1227" s="103" t="s">
        <v>389</v>
      </c>
      <c r="C1227" s="421" t="s">
        <v>390</v>
      </c>
      <c r="D1227" s="105" t="s">
        <v>391</v>
      </c>
      <c r="E1227" s="103">
        <v>892</v>
      </c>
      <c r="F1227" s="103" t="s">
        <v>275</v>
      </c>
      <c r="G1227" s="106" t="s">
        <v>276</v>
      </c>
      <c r="H1227" s="104" t="s">
        <v>277</v>
      </c>
      <c r="I1227" s="104" t="s">
        <v>104</v>
      </c>
      <c r="J1227" s="104" t="s">
        <v>393</v>
      </c>
      <c r="K1227" s="103" t="s">
        <v>714</v>
      </c>
      <c r="L1227" s="103" t="s">
        <v>715</v>
      </c>
      <c r="M1227" s="103" t="s">
        <v>108</v>
      </c>
      <c r="N1227" s="254"/>
      <c r="O1227" s="103"/>
      <c r="P1227" s="254">
        <v>48.3</v>
      </c>
      <c r="Q1227" s="254"/>
      <c r="R1227" s="103"/>
      <c r="S1227" s="113">
        <f>10^(((LOG(P1227))*3.5526)+-2.9997)</f>
        <v>960.9273991646171</v>
      </c>
      <c r="T1227" s="103" t="s">
        <v>716</v>
      </c>
      <c r="U1227" s="254">
        <v>0.93</v>
      </c>
      <c r="V1227" s="386">
        <v>26</v>
      </c>
      <c r="W1227" s="414" t="s">
        <v>694</v>
      </c>
    </row>
    <row r="1228" spans="1:23" ht="21" customHeight="1">
      <c r="A1228" s="104" t="s">
        <v>218</v>
      </c>
      <c r="B1228" s="104" t="s">
        <v>389</v>
      </c>
      <c r="C1228" s="454" t="s">
        <v>390</v>
      </c>
      <c r="D1228" s="105" t="s">
        <v>391</v>
      </c>
      <c r="E1228" s="104">
        <v>892</v>
      </c>
      <c r="F1228" s="104">
        <v>497</v>
      </c>
      <c r="G1228" s="106" t="s">
        <v>276</v>
      </c>
      <c r="H1228" s="104" t="s">
        <v>277</v>
      </c>
      <c r="I1228" s="104" t="s">
        <v>104</v>
      </c>
      <c r="J1228" s="104" t="s">
        <v>105</v>
      </c>
      <c r="K1228" s="104" t="s">
        <v>209</v>
      </c>
      <c r="L1228" s="104" t="s">
        <v>728</v>
      </c>
      <c r="M1228" s="104" t="s">
        <v>108</v>
      </c>
      <c r="N1228" s="108"/>
      <c r="O1228" s="104"/>
      <c r="P1228" s="108">
        <v>3.5990000000000002</v>
      </c>
      <c r="Q1228" s="108">
        <v>2.6280000000000001</v>
      </c>
      <c r="R1228" s="104" t="s">
        <v>17</v>
      </c>
      <c r="S1228" s="113">
        <f>10^(((LOG(P1228))*3.375)+1.119)</f>
        <v>991.09145660585193</v>
      </c>
      <c r="T1228" s="104" t="s">
        <v>699</v>
      </c>
      <c r="U1228" s="108">
        <v>0.93</v>
      </c>
      <c r="V1228" s="107">
        <v>33.6</v>
      </c>
      <c r="W1228" s="106" t="s">
        <v>700</v>
      </c>
    </row>
    <row r="1229" spans="1:23" ht="21" customHeight="1">
      <c r="A1229" s="104" t="s">
        <v>218</v>
      </c>
      <c r="B1229" s="104" t="s">
        <v>389</v>
      </c>
      <c r="C1229" s="454" t="s">
        <v>390</v>
      </c>
      <c r="D1229" s="105" t="s">
        <v>391</v>
      </c>
      <c r="E1229" s="104">
        <v>892</v>
      </c>
      <c r="F1229" s="104">
        <v>286</v>
      </c>
      <c r="G1229" s="106" t="s">
        <v>276</v>
      </c>
      <c r="H1229" s="104" t="s">
        <v>277</v>
      </c>
      <c r="I1229" s="104" t="s">
        <v>104</v>
      </c>
      <c r="J1229" s="104" t="s">
        <v>393</v>
      </c>
      <c r="K1229" s="104" t="s">
        <v>394</v>
      </c>
      <c r="L1229" s="104" t="s">
        <v>395</v>
      </c>
      <c r="M1229" s="104" t="s">
        <v>108</v>
      </c>
      <c r="N1229" s="108"/>
      <c r="O1229" s="104"/>
      <c r="P1229" s="108">
        <v>18</v>
      </c>
      <c r="Q1229" s="108">
        <v>6</v>
      </c>
      <c r="R1229" s="104"/>
      <c r="S1229" s="113">
        <f>(EXP(((LN(P1229*10)*2.969)+-1.611)))/1000</f>
        <v>991.41539232268042</v>
      </c>
      <c r="T1229" s="104" t="s">
        <v>396</v>
      </c>
      <c r="U1229" s="108">
        <v>0.94099999999999995</v>
      </c>
      <c r="V1229" s="107">
        <v>44.075000000000003</v>
      </c>
      <c r="W1229" s="106" t="s">
        <v>397</v>
      </c>
    </row>
    <row r="1230" spans="1:23" ht="21" customHeight="1">
      <c r="A1230" s="104" t="s">
        <v>218</v>
      </c>
      <c r="B1230" s="104" t="s">
        <v>389</v>
      </c>
      <c r="C1230" s="454" t="s">
        <v>390</v>
      </c>
      <c r="D1230" s="105" t="s">
        <v>391</v>
      </c>
      <c r="E1230" s="104">
        <v>892</v>
      </c>
      <c r="F1230" s="104" t="s">
        <v>275</v>
      </c>
      <c r="G1230" s="106" t="s">
        <v>276</v>
      </c>
      <c r="H1230" s="104" t="s">
        <v>277</v>
      </c>
      <c r="I1230" s="104" t="s">
        <v>104</v>
      </c>
      <c r="J1230" s="104" t="s">
        <v>105</v>
      </c>
      <c r="K1230" s="104" t="s">
        <v>729</v>
      </c>
      <c r="L1230" s="104" t="s">
        <v>730</v>
      </c>
      <c r="M1230" s="104"/>
      <c r="N1230" s="108"/>
      <c r="O1230" s="104"/>
      <c r="P1230" s="108">
        <v>3.3020000000000005</v>
      </c>
      <c r="Q1230" s="108">
        <v>1.575</v>
      </c>
      <c r="R1230" s="104" t="s">
        <v>17</v>
      </c>
      <c r="S1230" s="113">
        <f>((10^((3.52*LOG((P1230))+1.372)) +( 10^((3.375*LOG((P1230))+1.119))) +10^((3.395*LOG((P1230))+1.061)))/3)</f>
        <v>994.39089474517232</v>
      </c>
      <c r="T1230" s="104" t="s">
        <v>731</v>
      </c>
      <c r="U1230" s="108">
        <v>0.91</v>
      </c>
      <c r="V1230" s="107">
        <v>36</v>
      </c>
      <c r="W1230" s="106" t="s">
        <v>732</v>
      </c>
    </row>
    <row r="1231" spans="1:23" ht="21" customHeight="1">
      <c r="A1231" s="104" t="s">
        <v>218</v>
      </c>
      <c r="B1231" s="104" t="s">
        <v>389</v>
      </c>
      <c r="C1231" s="454" t="s">
        <v>390</v>
      </c>
      <c r="D1231" s="105" t="s">
        <v>391</v>
      </c>
      <c r="E1231" s="104">
        <v>892</v>
      </c>
      <c r="F1231" s="104" t="s">
        <v>275</v>
      </c>
      <c r="G1231" s="106" t="s">
        <v>276</v>
      </c>
      <c r="H1231" s="104" t="s">
        <v>277</v>
      </c>
      <c r="I1231" s="104" t="s">
        <v>104</v>
      </c>
      <c r="J1231" s="104" t="s">
        <v>105</v>
      </c>
      <c r="K1231" s="104" t="s">
        <v>126</v>
      </c>
      <c r="L1231" s="104" t="s">
        <v>636</v>
      </c>
      <c r="M1231" s="104" t="s">
        <v>108</v>
      </c>
      <c r="N1231" s="108"/>
      <c r="O1231" s="104"/>
      <c r="P1231" s="108">
        <v>5.0329999999999995</v>
      </c>
      <c r="Q1231" s="108">
        <v>1.8149999999999999</v>
      </c>
      <c r="R1231" s="104" t="s">
        <v>17</v>
      </c>
      <c r="S1231" s="113">
        <f>10^(((LOG(P1231))*3.236)+0.745)</f>
        <v>1037.7958908276514</v>
      </c>
      <c r="T1231" s="104" t="s">
        <v>717</v>
      </c>
      <c r="U1231" s="108">
        <v>0.92900000000000005</v>
      </c>
      <c r="V1231" s="107">
        <v>33.299999999999997</v>
      </c>
      <c r="W1231" s="106" t="s">
        <v>700</v>
      </c>
    </row>
    <row r="1232" spans="1:23" ht="21" customHeight="1">
      <c r="A1232" s="104" t="s">
        <v>218</v>
      </c>
      <c r="B1232" s="104" t="s">
        <v>389</v>
      </c>
      <c r="C1232" s="454" t="s">
        <v>390</v>
      </c>
      <c r="D1232" s="105" t="s">
        <v>391</v>
      </c>
      <c r="E1232" s="104">
        <v>892</v>
      </c>
      <c r="F1232" s="104" t="s">
        <v>275</v>
      </c>
      <c r="G1232" s="106" t="s">
        <v>276</v>
      </c>
      <c r="H1232" s="104" t="s">
        <v>277</v>
      </c>
      <c r="I1232" s="104" t="s">
        <v>104</v>
      </c>
      <c r="J1232" s="104" t="s">
        <v>393</v>
      </c>
      <c r="K1232" s="104" t="s">
        <v>394</v>
      </c>
      <c r="L1232" s="104" t="s">
        <v>395</v>
      </c>
      <c r="M1232" s="104" t="s">
        <v>108</v>
      </c>
      <c r="N1232" s="108"/>
      <c r="O1232" s="104"/>
      <c r="P1232" s="108">
        <v>18.3</v>
      </c>
      <c r="Q1232" s="108">
        <v>6.4</v>
      </c>
      <c r="R1232" s="104"/>
      <c r="S1232" s="113">
        <f>(EXP(((LN(P1232*10)*2.969)+-1.611)))/1000</f>
        <v>1041.2832323603702</v>
      </c>
      <c r="T1232" s="104" t="s">
        <v>396</v>
      </c>
      <c r="U1232" s="108">
        <v>0.94099999999999995</v>
      </c>
      <c r="V1232" s="107">
        <v>44.075000000000003</v>
      </c>
      <c r="W1232" s="106" t="s">
        <v>397</v>
      </c>
    </row>
    <row r="1233" spans="1:23" ht="21" customHeight="1">
      <c r="A1233" s="104" t="s">
        <v>218</v>
      </c>
      <c r="B1233" s="104" t="s">
        <v>389</v>
      </c>
      <c r="C1233" s="454" t="s">
        <v>390</v>
      </c>
      <c r="D1233" s="105" t="s">
        <v>391</v>
      </c>
      <c r="E1233" s="104">
        <v>892</v>
      </c>
      <c r="F1233" s="104" t="s">
        <v>275</v>
      </c>
      <c r="G1233" s="106" t="s">
        <v>276</v>
      </c>
      <c r="H1233" s="104" t="s">
        <v>277</v>
      </c>
      <c r="I1233" s="104" t="s">
        <v>104</v>
      </c>
      <c r="J1233" s="104" t="s">
        <v>105</v>
      </c>
      <c r="K1233" s="106" t="s">
        <v>733</v>
      </c>
      <c r="L1233" s="104" t="s">
        <v>734</v>
      </c>
      <c r="M1233" s="104"/>
      <c r="N1233" s="108"/>
      <c r="O1233" s="104"/>
      <c r="P1233" s="108">
        <v>4</v>
      </c>
      <c r="Q1233" s="108">
        <v>1.6</v>
      </c>
      <c r="R1233" s="104" t="s">
        <v>17</v>
      </c>
      <c r="S1233" s="113">
        <f>((10^((3.236*LOG((P1233))+0.745)) +( 10^((3.375*LOG((P1233))+1.119))) +10^((3.395*LOG((P1233))+1.061)))/3)</f>
        <v>1060.8664913246619</v>
      </c>
      <c r="T1233" s="104" t="s">
        <v>735</v>
      </c>
      <c r="U1233" s="108">
        <v>0.91</v>
      </c>
      <c r="V1233" s="107">
        <v>36</v>
      </c>
      <c r="W1233" s="106" t="s">
        <v>732</v>
      </c>
    </row>
    <row r="1234" spans="1:23" ht="21" customHeight="1">
      <c r="A1234" s="104" t="s">
        <v>218</v>
      </c>
      <c r="B1234" s="104" t="s">
        <v>389</v>
      </c>
      <c r="C1234" s="454" t="s">
        <v>390</v>
      </c>
      <c r="D1234" s="105" t="s">
        <v>391</v>
      </c>
      <c r="E1234" s="104">
        <v>892</v>
      </c>
      <c r="F1234" s="104" t="s">
        <v>275</v>
      </c>
      <c r="G1234" s="106" t="s">
        <v>276</v>
      </c>
      <c r="H1234" s="104" t="s">
        <v>277</v>
      </c>
      <c r="I1234" s="104" t="s">
        <v>104</v>
      </c>
      <c r="J1234" s="104" t="s">
        <v>105</v>
      </c>
      <c r="K1234" s="104" t="s">
        <v>729</v>
      </c>
      <c r="L1234" s="104" t="s">
        <v>730</v>
      </c>
      <c r="M1234" s="104"/>
      <c r="N1234" s="108"/>
      <c r="O1234" s="104"/>
      <c r="P1234" s="108">
        <v>3.4369999999999998</v>
      </c>
      <c r="Q1234" s="108">
        <v>2.0670000000000002</v>
      </c>
      <c r="R1234" s="104" t="s">
        <v>17</v>
      </c>
      <c r="S1234" s="113">
        <f>((10^((3.52*LOG((P1234))+1.372)) +( 10^((3.375*LOG((P1234))+1.119))) +10^((3.395*LOG((P1234))+1.061)))/3)</f>
        <v>1142.1004038169983</v>
      </c>
      <c r="T1234" s="104" t="s">
        <v>731</v>
      </c>
      <c r="U1234" s="108">
        <v>0.91</v>
      </c>
      <c r="V1234" s="107">
        <v>36</v>
      </c>
      <c r="W1234" s="106" t="s">
        <v>732</v>
      </c>
    </row>
    <row r="1235" spans="1:23" ht="21" customHeight="1">
      <c r="A1235" s="104" t="s">
        <v>218</v>
      </c>
      <c r="B1235" s="104" t="s">
        <v>389</v>
      </c>
      <c r="C1235" s="454" t="s">
        <v>390</v>
      </c>
      <c r="D1235" s="105" t="s">
        <v>391</v>
      </c>
      <c r="E1235" s="104">
        <v>892</v>
      </c>
      <c r="F1235" s="104" t="s">
        <v>275</v>
      </c>
      <c r="G1235" s="106" t="s">
        <v>276</v>
      </c>
      <c r="H1235" s="104" t="s">
        <v>277</v>
      </c>
      <c r="I1235" s="104" t="s">
        <v>104</v>
      </c>
      <c r="J1235" s="104" t="s">
        <v>105</v>
      </c>
      <c r="K1235" s="104" t="s">
        <v>729</v>
      </c>
      <c r="L1235" s="104" t="s">
        <v>730</v>
      </c>
      <c r="M1235" s="104"/>
      <c r="N1235" s="108"/>
      <c r="O1235" s="104"/>
      <c r="P1235" s="108">
        <v>3.45</v>
      </c>
      <c r="Q1235" s="108">
        <v>1.59</v>
      </c>
      <c r="R1235" s="104" t="s">
        <v>17</v>
      </c>
      <c r="S1235" s="113">
        <f>((10^((3.52*LOG((P1235))+1.372)) +( 10^((3.375*LOG((P1235))+1.119))) +10^((3.395*LOG((P1235))+1.061)))/3)</f>
        <v>1157.1007620840426</v>
      </c>
      <c r="T1235" s="104" t="s">
        <v>731</v>
      </c>
      <c r="U1235" s="108">
        <v>0.91</v>
      </c>
      <c r="V1235" s="107">
        <v>36</v>
      </c>
      <c r="W1235" s="106" t="s">
        <v>732</v>
      </c>
    </row>
    <row r="1236" spans="1:23" ht="21" customHeight="1">
      <c r="A1236" s="104" t="s">
        <v>218</v>
      </c>
      <c r="B1236" s="104" t="s">
        <v>389</v>
      </c>
      <c r="C1236" s="454" t="s">
        <v>390</v>
      </c>
      <c r="D1236" s="105" t="s">
        <v>391</v>
      </c>
      <c r="E1236" s="104">
        <v>892</v>
      </c>
      <c r="F1236" s="104" t="s">
        <v>275</v>
      </c>
      <c r="G1236" s="106" t="s">
        <v>276</v>
      </c>
      <c r="H1236" s="104" t="s">
        <v>277</v>
      </c>
      <c r="I1236" s="104" t="s">
        <v>104</v>
      </c>
      <c r="J1236" s="104" t="s">
        <v>105</v>
      </c>
      <c r="K1236" s="104" t="s">
        <v>209</v>
      </c>
      <c r="L1236" s="104" t="s">
        <v>684</v>
      </c>
      <c r="M1236" s="104" t="s">
        <v>108</v>
      </c>
      <c r="N1236" s="108"/>
      <c r="O1236" s="104"/>
      <c r="P1236" s="108">
        <v>3.774</v>
      </c>
      <c r="Q1236" s="108">
        <v>1.98</v>
      </c>
      <c r="R1236" s="104" t="s">
        <v>17</v>
      </c>
      <c r="S1236" s="113">
        <f>10^(((LOG(P1236))*3.375)+1.119)</f>
        <v>1163.339296567287</v>
      </c>
      <c r="T1236" s="104" t="s">
        <v>699</v>
      </c>
      <c r="U1236" s="108">
        <v>0.93</v>
      </c>
      <c r="V1236" s="107">
        <v>33.6</v>
      </c>
      <c r="W1236" s="106" t="s">
        <v>700</v>
      </c>
    </row>
    <row r="1237" spans="1:23" ht="21" customHeight="1">
      <c r="A1237" s="104" t="s">
        <v>218</v>
      </c>
      <c r="B1237" s="104" t="s">
        <v>389</v>
      </c>
      <c r="C1237" s="454" t="s">
        <v>390</v>
      </c>
      <c r="D1237" s="105" t="s">
        <v>391</v>
      </c>
      <c r="E1237" s="104">
        <v>892</v>
      </c>
      <c r="F1237" s="104" t="s">
        <v>736</v>
      </c>
      <c r="G1237" s="106" t="s">
        <v>276</v>
      </c>
      <c r="H1237" s="104" t="s">
        <v>277</v>
      </c>
      <c r="I1237" s="104" t="s">
        <v>104</v>
      </c>
      <c r="J1237" s="104" t="s">
        <v>105</v>
      </c>
      <c r="K1237" s="104" t="s">
        <v>233</v>
      </c>
      <c r="L1237" s="104" t="s">
        <v>653</v>
      </c>
      <c r="M1237" s="104" t="s">
        <v>108</v>
      </c>
      <c r="N1237" s="108"/>
      <c r="O1237" s="104"/>
      <c r="P1237" s="108">
        <v>2.7</v>
      </c>
      <c r="Q1237" s="108">
        <v>1.3900000000000001</v>
      </c>
      <c r="R1237" s="104" t="s">
        <v>17</v>
      </c>
      <c r="S1237" s="113">
        <f>(10^(((LOG(P1237))*2.988)+1.797))</f>
        <v>1218.7508379554704</v>
      </c>
      <c r="T1237" s="104" t="s">
        <v>727</v>
      </c>
      <c r="U1237" s="108">
        <v>0.751</v>
      </c>
      <c r="V1237" s="107">
        <v>67.3</v>
      </c>
      <c r="W1237" s="106" t="s">
        <v>700</v>
      </c>
    </row>
    <row r="1238" spans="1:23" ht="21" customHeight="1">
      <c r="A1238" s="104" t="s">
        <v>218</v>
      </c>
      <c r="B1238" s="104" t="s">
        <v>389</v>
      </c>
      <c r="C1238" s="454" t="s">
        <v>390</v>
      </c>
      <c r="D1238" s="105" t="s">
        <v>391</v>
      </c>
      <c r="E1238" s="104">
        <v>892</v>
      </c>
      <c r="F1238" s="104" t="s">
        <v>275</v>
      </c>
      <c r="G1238" s="106" t="s">
        <v>276</v>
      </c>
      <c r="H1238" s="104" t="s">
        <v>277</v>
      </c>
      <c r="I1238" s="104" t="s">
        <v>104</v>
      </c>
      <c r="J1238" s="104" t="s">
        <v>105</v>
      </c>
      <c r="K1238" s="104" t="s">
        <v>729</v>
      </c>
      <c r="L1238" s="104" t="s">
        <v>730</v>
      </c>
      <c r="M1238" s="104"/>
      <c r="N1238" s="108"/>
      <c r="O1238" s="104"/>
      <c r="P1238" s="108">
        <v>3.5049999999999999</v>
      </c>
      <c r="Q1238" s="108">
        <v>1.544</v>
      </c>
      <c r="R1238" s="104" t="s">
        <v>17</v>
      </c>
      <c r="S1238" s="113">
        <f>((10^((3.52*LOG((P1238))+1.372)) +( 10^((3.375*LOG((P1238))+1.119))) +10^((3.395*LOG((P1238))+1.061)))/3)</f>
        <v>1222.117239230794</v>
      </c>
      <c r="T1238" s="104" t="s">
        <v>731</v>
      </c>
      <c r="U1238" s="108">
        <v>0.91</v>
      </c>
      <c r="V1238" s="107">
        <v>36</v>
      </c>
      <c r="W1238" s="106" t="s">
        <v>732</v>
      </c>
    </row>
    <row r="1239" spans="1:23" ht="21" customHeight="1">
      <c r="A1239" s="104" t="s">
        <v>218</v>
      </c>
      <c r="B1239" s="104" t="s">
        <v>389</v>
      </c>
      <c r="C1239" s="454" t="s">
        <v>390</v>
      </c>
      <c r="D1239" s="105" t="s">
        <v>391</v>
      </c>
      <c r="E1239" s="104">
        <v>892</v>
      </c>
      <c r="F1239" s="104">
        <v>435</v>
      </c>
      <c r="G1239" s="106" t="s">
        <v>276</v>
      </c>
      <c r="H1239" s="104" t="s">
        <v>277</v>
      </c>
      <c r="I1239" s="104" t="s">
        <v>104</v>
      </c>
      <c r="J1239" s="104" t="s">
        <v>105</v>
      </c>
      <c r="K1239" s="104" t="s">
        <v>729</v>
      </c>
      <c r="L1239" s="104" t="s">
        <v>730</v>
      </c>
      <c r="M1239" s="104"/>
      <c r="N1239" s="108"/>
      <c r="O1239" s="104"/>
      <c r="P1239" s="108">
        <v>3.5700000000000003</v>
      </c>
      <c r="Q1239" s="108">
        <v>2.6850000000000001</v>
      </c>
      <c r="R1239" s="104" t="s">
        <v>17</v>
      </c>
      <c r="S1239" s="113">
        <f>((10^((3.52*LOG((P1239))+1.372)) +( 10^((3.375*LOG((P1239))+1.119))) +10^((3.395*LOG((P1239))+1.061)))/3)</f>
        <v>1302.2553855638291</v>
      </c>
      <c r="T1239" s="104" t="s">
        <v>731</v>
      </c>
      <c r="U1239" s="108">
        <v>0.91</v>
      </c>
      <c r="V1239" s="107">
        <v>36</v>
      </c>
      <c r="W1239" s="106" t="s">
        <v>732</v>
      </c>
    </row>
    <row r="1240" spans="1:23" ht="21" customHeight="1">
      <c r="A1240" s="104" t="s">
        <v>218</v>
      </c>
      <c r="B1240" s="104" t="s">
        <v>389</v>
      </c>
      <c r="C1240" s="454" t="s">
        <v>390</v>
      </c>
      <c r="D1240" s="105" t="s">
        <v>391</v>
      </c>
      <c r="E1240" s="104">
        <v>892</v>
      </c>
      <c r="F1240" s="104">
        <v>439</v>
      </c>
      <c r="G1240" s="106" t="s">
        <v>276</v>
      </c>
      <c r="H1240" s="104" t="s">
        <v>277</v>
      </c>
      <c r="I1240" s="104" t="s">
        <v>104</v>
      </c>
      <c r="J1240" s="104" t="s">
        <v>105</v>
      </c>
      <c r="K1240" s="104" t="s">
        <v>729</v>
      </c>
      <c r="L1240" s="104" t="s">
        <v>730</v>
      </c>
      <c r="M1240" s="104"/>
      <c r="N1240" s="108"/>
      <c r="O1240" s="104"/>
      <c r="P1240" s="108">
        <v>3.7</v>
      </c>
      <c r="Q1240" s="108">
        <v>2.4219999999999997</v>
      </c>
      <c r="R1240" s="104" t="s">
        <v>17</v>
      </c>
      <c r="S1240" s="113">
        <f>((10^((3.52*LOG((P1240))+1.372)) +( 10^((3.375*LOG((P1240))+1.119))) +10^((3.395*LOG((P1240))+1.061)))/3)</f>
        <v>1473.6325055681448</v>
      </c>
      <c r="T1240" s="104" t="s">
        <v>731</v>
      </c>
      <c r="U1240" s="108">
        <v>0.91</v>
      </c>
      <c r="V1240" s="107">
        <v>36</v>
      </c>
      <c r="W1240" s="106" t="s">
        <v>732</v>
      </c>
    </row>
    <row r="1241" spans="1:23" ht="21" customHeight="1">
      <c r="A1241" s="104" t="s">
        <v>218</v>
      </c>
      <c r="B1241" s="104" t="s">
        <v>389</v>
      </c>
      <c r="C1241" s="454" t="s">
        <v>390</v>
      </c>
      <c r="D1241" s="105" t="s">
        <v>391</v>
      </c>
      <c r="E1241" s="104">
        <v>892</v>
      </c>
      <c r="F1241" s="104">
        <v>436</v>
      </c>
      <c r="G1241" s="106" t="s">
        <v>276</v>
      </c>
      <c r="H1241" s="104" t="s">
        <v>277</v>
      </c>
      <c r="I1241" s="104" t="s">
        <v>104</v>
      </c>
      <c r="J1241" s="104" t="s">
        <v>105</v>
      </c>
      <c r="K1241" s="104" t="s">
        <v>729</v>
      </c>
      <c r="L1241" s="104" t="s">
        <v>730</v>
      </c>
      <c r="M1241" s="104"/>
      <c r="N1241" s="108"/>
      <c r="O1241" s="104"/>
      <c r="P1241" s="108">
        <v>3.7170000000000001</v>
      </c>
      <c r="Q1241" s="108">
        <v>2.4319999999999999</v>
      </c>
      <c r="R1241" s="104" t="s">
        <v>17</v>
      </c>
      <c r="S1241" s="113">
        <f>((10^((3.52*LOG((P1241))+1.372)) +( 10^((3.375*LOG((P1241))+1.119))) +10^((3.395*LOG((P1241))+1.061)))/3)</f>
        <v>1497.1692325022548</v>
      </c>
      <c r="T1241" s="104" t="s">
        <v>731</v>
      </c>
      <c r="U1241" s="108">
        <v>0.91</v>
      </c>
      <c r="V1241" s="107">
        <v>36</v>
      </c>
      <c r="W1241" s="106" t="s">
        <v>732</v>
      </c>
    </row>
    <row r="1242" spans="1:23" ht="21" customHeight="1">
      <c r="A1242" s="103" t="s">
        <v>218</v>
      </c>
      <c r="B1242" s="103" t="s">
        <v>389</v>
      </c>
      <c r="C1242" s="421" t="s">
        <v>390</v>
      </c>
      <c r="D1242" s="396" t="s">
        <v>470</v>
      </c>
      <c r="E1242" s="103">
        <v>892</v>
      </c>
      <c r="F1242" s="103" t="s">
        <v>737</v>
      </c>
      <c r="G1242" s="414" t="s">
        <v>276</v>
      </c>
      <c r="H1242" s="103" t="s">
        <v>277</v>
      </c>
      <c r="I1242" s="104" t="s">
        <v>225</v>
      </c>
      <c r="J1242" s="103" t="s">
        <v>393</v>
      </c>
      <c r="K1242" s="103" t="s">
        <v>691</v>
      </c>
      <c r="L1242" s="103" t="s">
        <v>692</v>
      </c>
      <c r="M1242" s="103" t="s">
        <v>108</v>
      </c>
      <c r="N1242" s="254"/>
      <c r="O1242" s="103"/>
      <c r="P1242" s="254">
        <v>33.6</v>
      </c>
      <c r="Q1242" s="254"/>
      <c r="R1242" s="103"/>
      <c r="S1242" s="113">
        <f>10^(((LOG(P1242))*3.9842)+-3.8078)</f>
        <v>187.68991990286602</v>
      </c>
      <c r="T1242" s="103" t="s">
        <v>698</v>
      </c>
      <c r="U1242" s="254">
        <v>0.84499999999999997</v>
      </c>
      <c r="V1242" s="386">
        <v>46</v>
      </c>
      <c r="W1242" s="414" t="s">
        <v>694</v>
      </c>
    </row>
    <row r="1243" spans="1:23" ht="21" customHeight="1">
      <c r="A1243" s="103" t="s">
        <v>218</v>
      </c>
      <c r="B1243" s="103" t="s">
        <v>389</v>
      </c>
      <c r="C1243" s="421" t="s">
        <v>390</v>
      </c>
      <c r="D1243" s="396" t="s">
        <v>470</v>
      </c>
      <c r="E1243" s="103">
        <v>892</v>
      </c>
      <c r="F1243" s="103" t="s">
        <v>738</v>
      </c>
      <c r="G1243" s="414" t="s">
        <v>276</v>
      </c>
      <c r="H1243" s="103" t="s">
        <v>277</v>
      </c>
      <c r="I1243" s="104" t="s">
        <v>225</v>
      </c>
      <c r="J1243" s="103" t="s">
        <v>393</v>
      </c>
      <c r="K1243" s="103" t="s">
        <v>691</v>
      </c>
      <c r="L1243" s="103" t="s">
        <v>692</v>
      </c>
      <c r="M1243" s="103" t="s">
        <v>114</v>
      </c>
      <c r="N1243" s="254"/>
      <c r="O1243" s="103"/>
      <c r="P1243" s="254">
        <v>33.700000000000003</v>
      </c>
      <c r="Q1243" s="254"/>
      <c r="R1243" s="103"/>
      <c r="S1243" s="113">
        <f>10^(((LOG(P1243))*3.9842)+-3.8078)</f>
        <v>189.92540057332755</v>
      </c>
      <c r="T1243" s="103" t="s">
        <v>698</v>
      </c>
      <c r="U1243" s="254">
        <v>0.84499999999999997</v>
      </c>
      <c r="V1243" s="386">
        <v>46</v>
      </c>
      <c r="W1243" s="414" t="s">
        <v>694</v>
      </c>
    </row>
    <row r="1244" spans="1:23" ht="21" customHeight="1">
      <c r="A1244" s="103" t="s">
        <v>218</v>
      </c>
      <c r="B1244" s="103" t="s">
        <v>389</v>
      </c>
      <c r="C1244" s="421" t="s">
        <v>390</v>
      </c>
      <c r="D1244" s="396" t="s">
        <v>470</v>
      </c>
      <c r="E1244" s="103">
        <v>892</v>
      </c>
      <c r="F1244" s="103" t="s">
        <v>739</v>
      </c>
      <c r="G1244" s="414" t="s">
        <v>276</v>
      </c>
      <c r="H1244" s="103" t="s">
        <v>277</v>
      </c>
      <c r="I1244" s="104" t="s">
        <v>225</v>
      </c>
      <c r="J1244" s="103" t="s">
        <v>393</v>
      </c>
      <c r="K1244" s="103" t="s">
        <v>401</v>
      </c>
      <c r="L1244" s="103" t="s">
        <v>402</v>
      </c>
      <c r="M1244" s="103" t="s">
        <v>108</v>
      </c>
      <c r="N1244" s="254"/>
      <c r="O1244" s="103"/>
      <c r="P1244" s="254">
        <v>6.9</v>
      </c>
      <c r="Q1244" s="254"/>
      <c r="R1244" s="103"/>
      <c r="S1244" s="113">
        <f>(10^((3.125*LOG((P1244*10))+-0.463)))/1000</f>
        <v>192.04517865221101</v>
      </c>
      <c r="T1244" s="103" t="s">
        <v>403</v>
      </c>
      <c r="U1244" s="414">
        <v>0.97</v>
      </c>
      <c r="V1244" s="414">
        <v>47.5</v>
      </c>
      <c r="W1244" s="414" t="s">
        <v>404</v>
      </c>
    </row>
    <row r="1245" spans="1:23" ht="21" customHeight="1">
      <c r="A1245" s="103" t="s">
        <v>218</v>
      </c>
      <c r="B1245" s="103" t="s">
        <v>389</v>
      </c>
      <c r="C1245" s="421" t="s">
        <v>390</v>
      </c>
      <c r="D1245" s="396" t="s">
        <v>470</v>
      </c>
      <c r="E1245" s="103">
        <v>892</v>
      </c>
      <c r="F1245" s="103" t="s">
        <v>740</v>
      </c>
      <c r="G1245" s="414" t="s">
        <v>276</v>
      </c>
      <c r="H1245" s="103" t="s">
        <v>277</v>
      </c>
      <c r="I1245" s="104" t="s">
        <v>225</v>
      </c>
      <c r="J1245" s="103" t="s">
        <v>393</v>
      </c>
      <c r="K1245" s="103" t="s">
        <v>401</v>
      </c>
      <c r="L1245" s="103" t="s">
        <v>402</v>
      </c>
      <c r="M1245" s="103" t="s">
        <v>108</v>
      </c>
      <c r="N1245" s="254"/>
      <c r="O1245" s="103"/>
      <c r="P1245" s="254">
        <v>6.9</v>
      </c>
      <c r="Q1245" s="254"/>
      <c r="R1245" s="103"/>
      <c r="S1245" s="113">
        <f>(10^((3.125*LOG((P1245*10))+-0.463)))/1000</f>
        <v>192.04517865221101</v>
      </c>
      <c r="T1245" s="103" t="s">
        <v>403</v>
      </c>
      <c r="U1245" s="414">
        <v>0.97</v>
      </c>
      <c r="V1245" s="414">
        <v>47.5</v>
      </c>
      <c r="W1245" s="414" t="s">
        <v>404</v>
      </c>
    </row>
    <row r="1246" spans="1:23" ht="21" customHeight="1">
      <c r="A1246" s="103" t="s">
        <v>218</v>
      </c>
      <c r="B1246" s="103" t="s">
        <v>389</v>
      </c>
      <c r="C1246" s="421" t="s">
        <v>390</v>
      </c>
      <c r="D1246" s="396" t="s">
        <v>470</v>
      </c>
      <c r="E1246" s="103">
        <v>892</v>
      </c>
      <c r="F1246" s="103" t="s">
        <v>741</v>
      </c>
      <c r="G1246" s="414" t="s">
        <v>276</v>
      </c>
      <c r="H1246" s="103" t="s">
        <v>277</v>
      </c>
      <c r="I1246" s="104" t="s">
        <v>225</v>
      </c>
      <c r="J1246" s="103" t="s">
        <v>393</v>
      </c>
      <c r="K1246" s="103" t="s">
        <v>401</v>
      </c>
      <c r="L1246" s="103" t="s">
        <v>402</v>
      </c>
      <c r="M1246" s="103" t="s">
        <v>114</v>
      </c>
      <c r="N1246" s="254"/>
      <c r="O1246" s="103"/>
      <c r="P1246" s="254">
        <v>7</v>
      </c>
      <c r="Q1246" s="254"/>
      <c r="R1246" s="103"/>
      <c r="S1246" s="113">
        <f>(10^(((LOG((P1246*10)))*3.125)+-0.463))/1000</f>
        <v>200.87753712918047</v>
      </c>
      <c r="T1246" s="103" t="s">
        <v>403</v>
      </c>
      <c r="U1246" s="414">
        <v>0.97</v>
      </c>
      <c r="V1246" s="414">
        <v>47.5</v>
      </c>
      <c r="W1246" s="414" t="s">
        <v>404</v>
      </c>
    </row>
    <row r="1247" spans="1:23" ht="21" customHeight="1">
      <c r="A1247" s="103" t="s">
        <v>218</v>
      </c>
      <c r="B1247" s="103" t="s">
        <v>389</v>
      </c>
      <c r="C1247" s="421" t="s">
        <v>390</v>
      </c>
      <c r="D1247" s="396" t="s">
        <v>470</v>
      </c>
      <c r="E1247" s="103">
        <v>892</v>
      </c>
      <c r="F1247" s="103" t="s">
        <v>742</v>
      </c>
      <c r="G1247" s="414" t="s">
        <v>276</v>
      </c>
      <c r="H1247" s="103" t="s">
        <v>277</v>
      </c>
      <c r="I1247" s="104" t="s">
        <v>225</v>
      </c>
      <c r="J1247" s="103" t="s">
        <v>393</v>
      </c>
      <c r="K1247" s="103" t="s">
        <v>401</v>
      </c>
      <c r="L1247" s="103" t="s">
        <v>402</v>
      </c>
      <c r="M1247" s="103" t="s">
        <v>114</v>
      </c>
      <c r="N1247" s="254"/>
      <c r="O1247" s="103"/>
      <c r="P1247" s="254">
        <v>7.2</v>
      </c>
      <c r="Q1247" s="254"/>
      <c r="R1247" s="103"/>
      <c r="S1247" s="113">
        <f>(10^(((LOG((P1247*10)))*3.125)+-0.463))/1000</f>
        <v>219.36334067484444</v>
      </c>
      <c r="T1247" s="103" t="s">
        <v>403</v>
      </c>
      <c r="U1247" s="414">
        <v>0.97</v>
      </c>
      <c r="V1247" s="414">
        <v>47.5</v>
      </c>
      <c r="W1247" s="414" t="s">
        <v>404</v>
      </c>
    </row>
    <row r="1248" spans="1:23" ht="21" customHeight="1">
      <c r="A1248" s="103" t="s">
        <v>218</v>
      </c>
      <c r="B1248" s="103" t="s">
        <v>389</v>
      </c>
      <c r="C1248" s="421" t="s">
        <v>390</v>
      </c>
      <c r="D1248" s="396" t="s">
        <v>470</v>
      </c>
      <c r="E1248" s="103">
        <v>892</v>
      </c>
      <c r="F1248" s="103" t="s">
        <v>743</v>
      </c>
      <c r="G1248" s="414" t="s">
        <v>276</v>
      </c>
      <c r="H1248" s="103" t="s">
        <v>277</v>
      </c>
      <c r="I1248" s="104" t="s">
        <v>225</v>
      </c>
      <c r="J1248" s="103" t="s">
        <v>393</v>
      </c>
      <c r="K1248" s="103" t="s">
        <v>691</v>
      </c>
      <c r="L1248" s="103" t="s">
        <v>692</v>
      </c>
      <c r="M1248" s="103" t="s">
        <v>108</v>
      </c>
      <c r="N1248" s="254"/>
      <c r="O1248" s="103"/>
      <c r="P1248" s="254">
        <v>35.200000000000003</v>
      </c>
      <c r="Q1248" s="254"/>
      <c r="R1248" s="103"/>
      <c r="S1248" s="113">
        <f t="shared" ref="S1248:S1253" si="16">10^(((LOG(P1248))*3.9842)+-3.8078)</f>
        <v>225.9099085830982</v>
      </c>
      <c r="T1248" s="103" t="s">
        <v>698</v>
      </c>
      <c r="U1248" s="254">
        <v>0.84499999999999997</v>
      </c>
      <c r="V1248" s="386">
        <v>46</v>
      </c>
      <c r="W1248" s="414" t="s">
        <v>694</v>
      </c>
    </row>
    <row r="1249" spans="1:23" ht="21" customHeight="1">
      <c r="A1249" s="103" t="s">
        <v>218</v>
      </c>
      <c r="B1249" s="103" t="s">
        <v>389</v>
      </c>
      <c r="C1249" s="421" t="s">
        <v>390</v>
      </c>
      <c r="D1249" s="396" t="s">
        <v>470</v>
      </c>
      <c r="E1249" s="103">
        <v>892</v>
      </c>
      <c r="F1249" s="103" t="s">
        <v>743</v>
      </c>
      <c r="G1249" s="414" t="s">
        <v>276</v>
      </c>
      <c r="H1249" s="103" t="s">
        <v>277</v>
      </c>
      <c r="I1249" s="104" t="s">
        <v>225</v>
      </c>
      <c r="J1249" s="103" t="s">
        <v>393</v>
      </c>
      <c r="K1249" s="103" t="s">
        <v>691</v>
      </c>
      <c r="L1249" s="103" t="s">
        <v>692</v>
      </c>
      <c r="M1249" s="103" t="s">
        <v>108</v>
      </c>
      <c r="N1249" s="254"/>
      <c r="O1249" s="103"/>
      <c r="P1249" s="254">
        <v>35.5</v>
      </c>
      <c r="Q1249" s="254"/>
      <c r="R1249" s="103"/>
      <c r="S1249" s="113">
        <f t="shared" si="16"/>
        <v>233.67906391224395</v>
      </c>
      <c r="T1249" s="103" t="s">
        <v>698</v>
      </c>
      <c r="U1249" s="254">
        <v>0.84499999999999997</v>
      </c>
      <c r="V1249" s="386">
        <v>46</v>
      </c>
      <c r="W1249" s="414" t="s">
        <v>694</v>
      </c>
    </row>
    <row r="1250" spans="1:23" ht="21" customHeight="1">
      <c r="A1250" s="103" t="s">
        <v>218</v>
      </c>
      <c r="B1250" s="103" t="s">
        <v>389</v>
      </c>
      <c r="C1250" s="421" t="s">
        <v>390</v>
      </c>
      <c r="D1250" s="396" t="s">
        <v>470</v>
      </c>
      <c r="E1250" s="103">
        <v>892</v>
      </c>
      <c r="F1250" s="103" t="s">
        <v>737</v>
      </c>
      <c r="G1250" s="414" t="s">
        <v>276</v>
      </c>
      <c r="H1250" s="103" t="s">
        <v>277</v>
      </c>
      <c r="I1250" s="104" t="s">
        <v>225</v>
      </c>
      <c r="J1250" s="103" t="s">
        <v>393</v>
      </c>
      <c r="K1250" s="103" t="s">
        <v>691</v>
      </c>
      <c r="L1250" s="103" t="s">
        <v>692</v>
      </c>
      <c r="M1250" s="103" t="s">
        <v>114</v>
      </c>
      <c r="N1250" s="254"/>
      <c r="O1250" s="103"/>
      <c r="P1250" s="254">
        <v>35.6</v>
      </c>
      <c r="Q1250" s="254"/>
      <c r="R1250" s="103"/>
      <c r="S1250" s="113">
        <f t="shared" si="16"/>
        <v>236.31271069629611</v>
      </c>
      <c r="T1250" s="103" t="s">
        <v>698</v>
      </c>
      <c r="U1250" s="254">
        <v>0.84499999999999997</v>
      </c>
      <c r="V1250" s="386">
        <v>46</v>
      </c>
      <c r="W1250" s="414" t="s">
        <v>694</v>
      </c>
    </row>
    <row r="1251" spans="1:23" ht="21" customHeight="1">
      <c r="A1251" s="103" t="s">
        <v>218</v>
      </c>
      <c r="B1251" s="103" t="s">
        <v>389</v>
      </c>
      <c r="C1251" s="421" t="s">
        <v>390</v>
      </c>
      <c r="D1251" s="396" t="s">
        <v>470</v>
      </c>
      <c r="E1251" s="103">
        <v>892</v>
      </c>
      <c r="F1251" s="103" t="s">
        <v>743</v>
      </c>
      <c r="G1251" s="414" t="s">
        <v>276</v>
      </c>
      <c r="H1251" s="103" t="s">
        <v>277</v>
      </c>
      <c r="I1251" s="104" t="s">
        <v>225</v>
      </c>
      <c r="J1251" s="103" t="s">
        <v>393</v>
      </c>
      <c r="K1251" s="103" t="s">
        <v>691</v>
      </c>
      <c r="L1251" s="103" t="s">
        <v>692</v>
      </c>
      <c r="M1251" s="103" t="s">
        <v>108</v>
      </c>
      <c r="N1251" s="254"/>
      <c r="O1251" s="103"/>
      <c r="P1251" s="254">
        <v>35.700000000000003</v>
      </c>
      <c r="Q1251" s="254"/>
      <c r="R1251" s="103"/>
      <c r="S1251" s="113">
        <f t="shared" si="16"/>
        <v>238.9685270213113</v>
      </c>
      <c r="T1251" s="103" t="s">
        <v>698</v>
      </c>
      <c r="U1251" s="254">
        <v>0.84499999999999997</v>
      </c>
      <c r="V1251" s="386">
        <v>46</v>
      </c>
      <c r="W1251" s="414" t="s">
        <v>694</v>
      </c>
    </row>
    <row r="1252" spans="1:23" ht="21" customHeight="1">
      <c r="A1252" s="103" t="s">
        <v>218</v>
      </c>
      <c r="B1252" s="103" t="s">
        <v>389</v>
      </c>
      <c r="C1252" s="421" t="s">
        <v>390</v>
      </c>
      <c r="D1252" s="396" t="s">
        <v>470</v>
      </c>
      <c r="E1252" s="103">
        <v>892</v>
      </c>
      <c r="F1252" s="103" t="s">
        <v>744</v>
      </c>
      <c r="G1252" s="414" t="s">
        <v>276</v>
      </c>
      <c r="H1252" s="103" t="s">
        <v>277</v>
      </c>
      <c r="I1252" s="104" t="s">
        <v>225</v>
      </c>
      <c r="J1252" s="103" t="s">
        <v>393</v>
      </c>
      <c r="K1252" s="103" t="s">
        <v>691</v>
      </c>
      <c r="L1252" s="103" t="s">
        <v>692</v>
      </c>
      <c r="M1252" s="103" t="s">
        <v>108</v>
      </c>
      <c r="N1252" s="254"/>
      <c r="O1252" s="103"/>
      <c r="P1252" s="254">
        <v>36</v>
      </c>
      <c r="Q1252" s="254"/>
      <c r="R1252" s="103"/>
      <c r="S1252" s="113">
        <f t="shared" si="16"/>
        <v>247.07023229701232</v>
      </c>
      <c r="T1252" s="103" t="s">
        <v>698</v>
      </c>
      <c r="U1252" s="254">
        <v>0.84499999999999997</v>
      </c>
      <c r="V1252" s="386">
        <v>46</v>
      </c>
      <c r="W1252" s="414" t="s">
        <v>694</v>
      </c>
    </row>
    <row r="1253" spans="1:23" ht="21" customHeight="1">
      <c r="A1253" s="103" t="s">
        <v>218</v>
      </c>
      <c r="B1253" s="103" t="s">
        <v>389</v>
      </c>
      <c r="C1253" s="421" t="s">
        <v>390</v>
      </c>
      <c r="D1253" s="396" t="s">
        <v>470</v>
      </c>
      <c r="E1253" s="103">
        <v>892</v>
      </c>
      <c r="F1253" s="103" t="s">
        <v>745</v>
      </c>
      <c r="G1253" s="414" t="s">
        <v>276</v>
      </c>
      <c r="H1253" s="103" t="s">
        <v>277</v>
      </c>
      <c r="I1253" s="104" t="s">
        <v>225</v>
      </c>
      <c r="J1253" s="103" t="s">
        <v>393</v>
      </c>
      <c r="K1253" s="103" t="s">
        <v>691</v>
      </c>
      <c r="L1253" s="103" t="s">
        <v>692</v>
      </c>
      <c r="M1253" s="103" t="s">
        <v>108</v>
      </c>
      <c r="N1253" s="254"/>
      <c r="O1253" s="103"/>
      <c r="P1253" s="254">
        <v>36</v>
      </c>
      <c r="Q1253" s="254"/>
      <c r="R1253" s="103"/>
      <c r="S1253" s="113">
        <f t="shared" si="16"/>
        <v>247.07023229701232</v>
      </c>
      <c r="T1253" s="103" t="s">
        <v>698</v>
      </c>
      <c r="U1253" s="254">
        <v>0.84499999999999997</v>
      </c>
      <c r="V1253" s="386">
        <v>46</v>
      </c>
      <c r="W1253" s="414" t="s">
        <v>694</v>
      </c>
    </row>
    <row r="1254" spans="1:23" ht="21" customHeight="1">
      <c r="A1254" s="103" t="s">
        <v>218</v>
      </c>
      <c r="B1254" s="103" t="s">
        <v>389</v>
      </c>
      <c r="C1254" s="421" t="s">
        <v>390</v>
      </c>
      <c r="D1254" s="396" t="s">
        <v>470</v>
      </c>
      <c r="E1254" s="103">
        <v>892</v>
      </c>
      <c r="F1254" s="103" t="s">
        <v>746</v>
      </c>
      <c r="G1254" s="414" t="s">
        <v>276</v>
      </c>
      <c r="H1254" s="103" t="s">
        <v>277</v>
      </c>
      <c r="I1254" s="104" t="s">
        <v>225</v>
      </c>
      <c r="J1254" s="103" t="s">
        <v>393</v>
      </c>
      <c r="K1254" s="103" t="s">
        <v>401</v>
      </c>
      <c r="L1254" s="103" t="s">
        <v>402</v>
      </c>
      <c r="M1254" s="103" t="s">
        <v>108</v>
      </c>
      <c r="N1254" s="254"/>
      <c r="O1254" s="103"/>
      <c r="P1254" s="254">
        <v>7.5</v>
      </c>
      <c r="Q1254" s="254"/>
      <c r="R1254" s="103"/>
      <c r="S1254" s="113">
        <f>(10^(((LOG((P1254*10)))*3.125)+-0.463))/1000</f>
        <v>249.21056402355137</v>
      </c>
      <c r="T1254" s="103" t="s">
        <v>403</v>
      </c>
      <c r="U1254" s="414">
        <v>0.97</v>
      </c>
      <c r="V1254" s="414">
        <v>47.5</v>
      </c>
      <c r="W1254" s="414" t="s">
        <v>404</v>
      </c>
    </row>
    <row r="1255" spans="1:23" ht="21" customHeight="1">
      <c r="A1255" s="103" t="s">
        <v>218</v>
      </c>
      <c r="B1255" s="103" t="s">
        <v>389</v>
      </c>
      <c r="C1255" s="421" t="s">
        <v>390</v>
      </c>
      <c r="D1255" s="396" t="s">
        <v>470</v>
      </c>
      <c r="E1255" s="103">
        <v>892</v>
      </c>
      <c r="F1255" s="103" t="s">
        <v>747</v>
      </c>
      <c r="G1255" s="414" t="s">
        <v>276</v>
      </c>
      <c r="H1255" s="103" t="s">
        <v>277</v>
      </c>
      <c r="I1255" s="104" t="s">
        <v>225</v>
      </c>
      <c r="J1255" s="103" t="s">
        <v>393</v>
      </c>
      <c r="K1255" s="103" t="s">
        <v>401</v>
      </c>
      <c r="L1255" s="103" t="s">
        <v>402</v>
      </c>
      <c r="M1255" s="103" t="s">
        <v>108</v>
      </c>
      <c r="N1255" s="254"/>
      <c r="O1255" s="103"/>
      <c r="P1255" s="254">
        <v>7.5</v>
      </c>
      <c r="Q1255" s="254"/>
      <c r="R1255" s="103"/>
      <c r="S1255" s="113">
        <f>(10^(((LOG((P1255*10)))*3.125)+-0.463))/1000</f>
        <v>249.21056402355137</v>
      </c>
      <c r="T1255" s="103" t="s">
        <v>403</v>
      </c>
      <c r="U1255" s="414">
        <v>0.97</v>
      </c>
      <c r="V1255" s="414">
        <v>47.5</v>
      </c>
      <c r="W1255" s="414" t="s">
        <v>404</v>
      </c>
    </row>
    <row r="1256" spans="1:23" ht="21" customHeight="1">
      <c r="A1256" s="103" t="s">
        <v>218</v>
      </c>
      <c r="B1256" s="103" t="s">
        <v>389</v>
      </c>
      <c r="C1256" s="421" t="s">
        <v>390</v>
      </c>
      <c r="D1256" s="396" t="s">
        <v>470</v>
      </c>
      <c r="E1256" s="103">
        <v>892</v>
      </c>
      <c r="F1256" s="103" t="s">
        <v>748</v>
      </c>
      <c r="G1256" s="414" t="s">
        <v>276</v>
      </c>
      <c r="H1256" s="103" t="s">
        <v>277</v>
      </c>
      <c r="I1256" s="104" t="s">
        <v>225</v>
      </c>
      <c r="J1256" s="103" t="s">
        <v>393</v>
      </c>
      <c r="K1256" s="103" t="s">
        <v>691</v>
      </c>
      <c r="L1256" s="103" t="s">
        <v>692</v>
      </c>
      <c r="M1256" s="103" t="s">
        <v>114</v>
      </c>
      <c r="N1256" s="254"/>
      <c r="O1256" s="103"/>
      <c r="P1256" s="254">
        <v>36.299999999999997</v>
      </c>
      <c r="Q1256" s="254"/>
      <c r="R1256" s="103"/>
      <c r="S1256" s="113">
        <f>10^(((LOG(P1256))*3.9842)+-3.8078)</f>
        <v>255.37593838498341</v>
      </c>
      <c r="T1256" s="103" t="s">
        <v>698</v>
      </c>
      <c r="U1256" s="254">
        <v>0.84499999999999997</v>
      </c>
      <c r="V1256" s="386">
        <v>46</v>
      </c>
      <c r="W1256" s="414" t="s">
        <v>694</v>
      </c>
    </row>
    <row r="1257" spans="1:23" ht="21" customHeight="1">
      <c r="A1257" s="103" t="s">
        <v>218</v>
      </c>
      <c r="B1257" s="103" t="s">
        <v>389</v>
      </c>
      <c r="C1257" s="421" t="s">
        <v>390</v>
      </c>
      <c r="D1257" s="396" t="s">
        <v>470</v>
      </c>
      <c r="E1257" s="103">
        <v>892</v>
      </c>
      <c r="F1257" s="103" t="s">
        <v>749</v>
      </c>
      <c r="G1257" s="414" t="s">
        <v>276</v>
      </c>
      <c r="H1257" s="103" t="s">
        <v>277</v>
      </c>
      <c r="I1257" s="104" t="s">
        <v>225</v>
      </c>
      <c r="J1257" s="103" t="s">
        <v>393</v>
      </c>
      <c r="K1257" s="103" t="s">
        <v>401</v>
      </c>
      <c r="L1257" s="103" t="s">
        <v>402</v>
      </c>
      <c r="M1257" s="103" t="s">
        <v>108</v>
      </c>
      <c r="N1257" s="254"/>
      <c r="O1257" s="103"/>
      <c r="P1257" s="254">
        <v>7.6</v>
      </c>
      <c r="Q1257" s="254"/>
      <c r="R1257" s="103"/>
      <c r="S1257" s="113">
        <f>(10^(((LOG((P1257*10)))*3.125)+-0.463))/1000</f>
        <v>259.74217680550589</v>
      </c>
      <c r="T1257" s="103" t="s">
        <v>403</v>
      </c>
      <c r="U1257" s="414">
        <v>0.97</v>
      </c>
      <c r="V1257" s="414">
        <v>47.5</v>
      </c>
      <c r="W1257" s="414" t="s">
        <v>404</v>
      </c>
    </row>
    <row r="1258" spans="1:23" ht="21" customHeight="1">
      <c r="A1258" s="103" t="s">
        <v>218</v>
      </c>
      <c r="B1258" s="103" t="s">
        <v>389</v>
      </c>
      <c r="C1258" s="421" t="s">
        <v>390</v>
      </c>
      <c r="D1258" s="396" t="s">
        <v>470</v>
      </c>
      <c r="E1258" s="103">
        <v>892</v>
      </c>
      <c r="F1258" s="103" t="s">
        <v>750</v>
      </c>
      <c r="G1258" s="414" t="s">
        <v>276</v>
      </c>
      <c r="H1258" s="103" t="s">
        <v>277</v>
      </c>
      <c r="I1258" s="104" t="s">
        <v>225</v>
      </c>
      <c r="J1258" s="103" t="s">
        <v>393</v>
      </c>
      <c r="K1258" s="103" t="s">
        <v>691</v>
      </c>
      <c r="L1258" s="103" t="s">
        <v>692</v>
      </c>
      <c r="M1258" s="103" t="s">
        <v>114</v>
      </c>
      <c r="N1258" s="254"/>
      <c r="O1258" s="103"/>
      <c r="P1258" s="254">
        <v>37</v>
      </c>
      <c r="Q1258" s="254"/>
      <c r="R1258" s="103"/>
      <c r="S1258" s="113">
        <f>10^(((LOG(P1258))*3.9842)+-3.8078)</f>
        <v>275.56833298582575</v>
      </c>
      <c r="T1258" s="103" t="s">
        <v>698</v>
      </c>
      <c r="U1258" s="254">
        <v>0.84499999999999997</v>
      </c>
      <c r="V1258" s="386">
        <v>46</v>
      </c>
      <c r="W1258" s="414" t="s">
        <v>694</v>
      </c>
    </row>
    <row r="1259" spans="1:23" ht="21" customHeight="1">
      <c r="A1259" s="103" t="s">
        <v>218</v>
      </c>
      <c r="B1259" s="103" t="s">
        <v>389</v>
      </c>
      <c r="C1259" s="421" t="s">
        <v>390</v>
      </c>
      <c r="D1259" s="396" t="s">
        <v>470</v>
      </c>
      <c r="E1259" s="103">
        <v>892</v>
      </c>
      <c r="F1259" s="103" t="s">
        <v>751</v>
      </c>
      <c r="G1259" s="414" t="s">
        <v>276</v>
      </c>
      <c r="H1259" s="103" t="s">
        <v>277</v>
      </c>
      <c r="I1259" s="104" t="s">
        <v>225</v>
      </c>
      <c r="J1259" s="103" t="s">
        <v>393</v>
      </c>
      <c r="K1259" s="103" t="s">
        <v>401</v>
      </c>
      <c r="L1259" s="103" t="s">
        <v>402</v>
      </c>
      <c r="M1259" s="103" t="s">
        <v>108</v>
      </c>
      <c r="N1259" s="254"/>
      <c r="O1259" s="103"/>
      <c r="P1259" s="254">
        <v>8</v>
      </c>
      <c r="Q1259" s="254"/>
      <c r="R1259" s="103"/>
      <c r="S1259" s="113">
        <f>(10^(((LOG((P1259*10)))*3.125)+-0.463))/1000</f>
        <v>304.89914698956477</v>
      </c>
      <c r="T1259" s="103" t="s">
        <v>403</v>
      </c>
      <c r="U1259" s="414">
        <v>0.97</v>
      </c>
      <c r="V1259" s="414">
        <v>47.5</v>
      </c>
      <c r="W1259" s="414" t="s">
        <v>404</v>
      </c>
    </row>
    <row r="1260" spans="1:23" ht="21" customHeight="1">
      <c r="A1260" s="103" t="s">
        <v>218</v>
      </c>
      <c r="B1260" s="103" t="s">
        <v>389</v>
      </c>
      <c r="C1260" s="421" t="s">
        <v>390</v>
      </c>
      <c r="D1260" s="396" t="s">
        <v>470</v>
      </c>
      <c r="E1260" s="103">
        <v>892</v>
      </c>
      <c r="F1260" s="103">
        <v>207</v>
      </c>
      <c r="G1260" s="414" t="s">
        <v>276</v>
      </c>
      <c r="H1260" s="103" t="s">
        <v>277</v>
      </c>
      <c r="I1260" s="104" t="s">
        <v>225</v>
      </c>
      <c r="J1260" s="103" t="s">
        <v>393</v>
      </c>
      <c r="K1260" s="103" t="s">
        <v>691</v>
      </c>
      <c r="L1260" s="103" t="s">
        <v>692</v>
      </c>
      <c r="M1260" s="103" t="s">
        <v>114</v>
      </c>
      <c r="N1260" s="254"/>
      <c r="O1260" s="103"/>
      <c r="P1260" s="254">
        <v>38.5</v>
      </c>
      <c r="Q1260" s="254"/>
      <c r="R1260" s="103"/>
      <c r="S1260" s="113">
        <f>10^(((LOG(P1260))*3.9842)+-3.8078)</f>
        <v>322.84393977086216</v>
      </c>
      <c r="T1260" s="103" t="s">
        <v>698</v>
      </c>
      <c r="U1260" s="254">
        <v>0.84499999999999997</v>
      </c>
      <c r="V1260" s="386">
        <v>46</v>
      </c>
      <c r="W1260" s="414" t="s">
        <v>694</v>
      </c>
    </row>
    <row r="1261" spans="1:23" s="336" customFormat="1" ht="37" customHeight="1">
      <c r="A1261" s="103" t="s">
        <v>218</v>
      </c>
      <c r="B1261" s="103" t="s">
        <v>389</v>
      </c>
      <c r="C1261" s="421" t="s">
        <v>390</v>
      </c>
      <c r="D1261" s="396" t="s">
        <v>470</v>
      </c>
      <c r="E1261" s="103">
        <v>892</v>
      </c>
      <c r="F1261" s="103" t="s">
        <v>752</v>
      </c>
      <c r="G1261" s="414" t="s">
        <v>276</v>
      </c>
      <c r="H1261" s="103" t="s">
        <v>277</v>
      </c>
      <c r="I1261" s="104" t="s">
        <v>225</v>
      </c>
      <c r="J1261" s="103" t="s">
        <v>393</v>
      </c>
      <c r="K1261" s="103" t="s">
        <v>691</v>
      </c>
      <c r="L1261" s="103" t="s">
        <v>692</v>
      </c>
      <c r="M1261" s="103" t="s">
        <v>114</v>
      </c>
      <c r="N1261" s="254"/>
      <c r="O1261" s="103"/>
      <c r="P1261" s="254">
        <v>38.700000000000003</v>
      </c>
      <c r="Q1261" s="254"/>
      <c r="R1261" s="103"/>
      <c r="S1261" s="113">
        <f>10^(((LOG(P1261))*3.9842)+-3.8078)</f>
        <v>329.5778579930676</v>
      </c>
      <c r="T1261" s="103" t="s">
        <v>698</v>
      </c>
      <c r="U1261" s="254">
        <v>0.84499999999999997</v>
      </c>
      <c r="V1261" s="386">
        <v>46</v>
      </c>
      <c r="W1261" s="414" t="s">
        <v>694</v>
      </c>
    </row>
    <row r="1262" spans="1:23" s="336" customFormat="1" ht="37" customHeight="1">
      <c r="A1262" s="103" t="s">
        <v>218</v>
      </c>
      <c r="B1262" s="103" t="s">
        <v>389</v>
      </c>
      <c r="C1262" s="421" t="s">
        <v>390</v>
      </c>
      <c r="D1262" s="396" t="s">
        <v>470</v>
      </c>
      <c r="E1262" s="103">
        <v>892</v>
      </c>
      <c r="F1262" s="103" t="s">
        <v>737</v>
      </c>
      <c r="G1262" s="414" t="s">
        <v>276</v>
      </c>
      <c r="H1262" s="103" t="s">
        <v>277</v>
      </c>
      <c r="I1262" s="104" t="s">
        <v>225</v>
      </c>
      <c r="J1262" s="103" t="s">
        <v>393</v>
      </c>
      <c r="K1262" s="103" t="s">
        <v>710</v>
      </c>
      <c r="L1262" s="103" t="s">
        <v>711</v>
      </c>
      <c r="M1262" s="103" t="s">
        <v>108</v>
      </c>
      <c r="N1262" s="254"/>
      <c r="O1262" s="103"/>
      <c r="P1262" s="254">
        <v>30.3</v>
      </c>
      <c r="Q1262" s="254"/>
      <c r="R1262" s="103"/>
      <c r="S1262" s="113">
        <f>10^((LOG(P1262)*3.3633)+-2.4637)</f>
        <v>330.24480338901355</v>
      </c>
      <c r="T1262" s="103" t="s">
        <v>712</v>
      </c>
      <c r="U1262" s="254">
        <v>0.93</v>
      </c>
      <c r="V1262" s="386">
        <v>24</v>
      </c>
      <c r="W1262" s="414" t="s">
        <v>713</v>
      </c>
    </row>
    <row r="1263" spans="1:23" ht="21" customHeight="1">
      <c r="A1263" s="103" t="s">
        <v>218</v>
      </c>
      <c r="B1263" s="103" t="s">
        <v>389</v>
      </c>
      <c r="C1263" s="421" t="s">
        <v>390</v>
      </c>
      <c r="D1263" s="396" t="s">
        <v>470</v>
      </c>
      <c r="E1263" s="103">
        <v>892</v>
      </c>
      <c r="F1263" s="103" t="s">
        <v>753</v>
      </c>
      <c r="G1263" s="414" t="s">
        <v>276</v>
      </c>
      <c r="H1263" s="103" t="s">
        <v>277</v>
      </c>
      <c r="I1263" s="104" t="s">
        <v>225</v>
      </c>
      <c r="J1263" s="103" t="s">
        <v>393</v>
      </c>
      <c r="K1263" s="103" t="s">
        <v>710</v>
      </c>
      <c r="L1263" s="103" t="s">
        <v>711</v>
      </c>
      <c r="M1263" s="103" t="s">
        <v>108</v>
      </c>
      <c r="N1263" s="254"/>
      <c r="O1263" s="103"/>
      <c r="P1263" s="254">
        <v>30.3</v>
      </c>
      <c r="Q1263" s="254"/>
      <c r="R1263" s="103"/>
      <c r="S1263" s="113">
        <f>10^((LOG(P1263)*3.3633)+-2.4637)</f>
        <v>330.24480338901355</v>
      </c>
      <c r="T1263" s="103" t="s">
        <v>712</v>
      </c>
      <c r="U1263" s="254">
        <v>0.93</v>
      </c>
      <c r="V1263" s="386">
        <v>24</v>
      </c>
      <c r="W1263" s="414" t="s">
        <v>713</v>
      </c>
    </row>
    <row r="1264" spans="1:23" ht="21" customHeight="1">
      <c r="A1264" s="103" t="s">
        <v>218</v>
      </c>
      <c r="B1264" s="103" t="s">
        <v>389</v>
      </c>
      <c r="C1264" s="421" t="s">
        <v>390</v>
      </c>
      <c r="D1264" s="396" t="s">
        <v>470</v>
      </c>
      <c r="E1264" s="103">
        <v>892</v>
      </c>
      <c r="F1264" s="103" t="s">
        <v>737</v>
      </c>
      <c r="G1264" s="414" t="s">
        <v>276</v>
      </c>
      <c r="H1264" s="103" t="s">
        <v>277</v>
      </c>
      <c r="I1264" s="104" t="s">
        <v>225</v>
      </c>
      <c r="J1264" s="103" t="s">
        <v>393</v>
      </c>
      <c r="K1264" s="103" t="s">
        <v>691</v>
      </c>
      <c r="L1264" s="103" t="s">
        <v>692</v>
      </c>
      <c r="M1264" s="103" t="s">
        <v>108</v>
      </c>
      <c r="N1264" s="254"/>
      <c r="O1264" s="103"/>
      <c r="P1264" s="254">
        <v>39.5</v>
      </c>
      <c r="Q1264" s="254"/>
      <c r="R1264" s="103"/>
      <c r="S1264" s="113">
        <f t="shared" ref="S1264:S1273" si="17">10^(((LOG(P1264))*3.9842)+-3.8078)</f>
        <v>357.57088418113761</v>
      </c>
      <c r="T1264" s="103" t="s">
        <v>698</v>
      </c>
      <c r="U1264" s="254">
        <v>0.84499999999999997</v>
      </c>
      <c r="V1264" s="386">
        <v>46</v>
      </c>
      <c r="W1264" s="414" t="s">
        <v>694</v>
      </c>
    </row>
    <row r="1265" spans="1:23" ht="21" customHeight="1">
      <c r="A1265" s="103" t="s">
        <v>218</v>
      </c>
      <c r="B1265" s="103" t="s">
        <v>389</v>
      </c>
      <c r="C1265" s="421" t="s">
        <v>390</v>
      </c>
      <c r="D1265" s="396" t="s">
        <v>470</v>
      </c>
      <c r="E1265" s="103">
        <v>892</v>
      </c>
      <c r="F1265" s="103" t="s">
        <v>737</v>
      </c>
      <c r="G1265" s="414" t="s">
        <v>276</v>
      </c>
      <c r="H1265" s="103" t="s">
        <v>277</v>
      </c>
      <c r="I1265" s="104" t="s">
        <v>225</v>
      </c>
      <c r="J1265" s="103" t="s">
        <v>393</v>
      </c>
      <c r="K1265" s="103" t="s">
        <v>691</v>
      </c>
      <c r="L1265" s="103" t="s">
        <v>692</v>
      </c>
      <c r="M1265" s="103" t="s">
        <v>108</v>
      </c>
      <c r="N1265" s="254"/>
      <c r="O1265" s="103"/>
      <c r="P1265" s="254">
        <v>39.6</v>
      </c>
      <c r="Q1265" s="254"/>
      <c r="R1265" s="103"/>
      <c r="S1265" s="113">
        <f t="shared" si="17"/>
        <v>361.1911992263727</v>
      </c>
      <c r="T1265" s="103" t="s">
        <v>698</v>
      </c>
      <c r="U1265" s="254">
        <v>0.84499999999999997</v>
      </c>
      <c r="V1265" s="386">
        <v>46</v>
      </c>
      <c r="W1265" s="414" t="s">
        <v>694</v>
      </c>
    </row>
    <row r="1266" spans="1:23" ht="21" customHeight="1">
      <c r="A1266" s="103" t="s">
        <v>218</v>
      </c>
      <c r="B1266" s="103" t="s">
        <v>389</v>
      </c>
      <c r="C1266" s="421" t="s">
        <v>390</v>
      </c>
      <c r="D1266" s="396" t="s">
        <v>470</v>
      </c>
      <c r="E1266" s="103">
        <v>892</v>
      </c>
      <c r="F1266" s="103" t="s">
        <v>737</v>
      </c>
      <c r="G1266" s="414" t="s">
        <v>276</v>
      </c>
      <c r="H1266" s="103" t="s">
        <v>277</v>
      </c>
      <c r="I1266" s="104" t="s">
        <v>225</v>
      </c>
      <c r="J1266" s="103" t="s">
        <v>393</v>
      </c>
      <c r="K1266" s="103" t="s">
        <v>691</v>
      </c>
      <c r="L1266" s="103" t="s">
        <v>692</v>
      </c>
      <c r="M1266" s="103" t="s">
        <v>108</v>
      </c>
      <c r="N1266" s="254"/>
      <c r="O1266" s="103"/>
      <c r="P1266" s="254">
        <v>39.700000000000003</v>
      </c>
      <c r="Q1266" s="254"/>
      <c r="R1266" s="103"/>
      <c r="S1266" s="113">
        <f t="shared" si="17"/>
        <v>364.83889949549081</v>
      </c>
      <c r="T1266" s="103" t="s">
        <v>698</v>
      </c>
      <c r="U1266" s="254">
        <v>0.84499999999999997</v>
      </c>
      <c r="V1266" s="386">
        <v>46</v>
      </c>
      <c r="W1266" s="414" t="s">
        <v>694</v>
      </c>
    </row>
    <row r="1267" spans="1:23" ht="21" customHeight="1">
      <c r="A1267" s="103" t="s">
        <v>218</v>
      </c>
      <c r="B1267" s="103" t="s">
        <v>389</v>
      </c>
      <c r="C1267" s="421" t="s">
        <v>390</v>
      </c>
      <c r="D1267" s="396" t="s">
        <v>470</v>
      </c>
      <c r="E1267" s="103">
        <v>892</v>
      </c>
      <c r="F1267" s="103" t="s">
        <v>754</v>
      </c>
      <c r="G1267" s="414" t="s">
        <v>276</v>
      </c>
      <c r="H1267" s="103" t="s">
        <v>277</v>
      </c>
      <c r="I1267" s="104" t="s">
        <v>225</v>
      </c>
      <c r="J1267" s="103" t="s">
        <v>393</v>
      </c>
      <c r="K1267" s="103" t="s">
        <v>691</v>
      </c>
      <c r="L1267" s="103" t="s">
        <v>692</v>
      </c>
      <c r="M1267" s="103" t="s">
        <v>114</v>
      </c>
      <c r="N1267" s="254"/>
      <c r="O1267" s="103"/>
      <c r="P1267" s="254">
        <v>40</v>
      </c>
      <c r="Q1267" s="254"/>
      <c r="R1267" s="103"/>
      <c r="S1267" s="113">
        <f t="shared" si="17"/>
        <v>375.9476872206032</v>
      </c>
      <c r="T1267" s="103" t="s">
        <v>698</v>
      </c>
      <c r="U1267" s="254">
        <v>0.84499999999999997</v>
      </c>
      <c r="V1267" s="386">
        <v>46</v>
      </c>
      <c r="W1267" s="414" t="s">
        <v>694</v>
      </c>
    </row>
    <row r="1268" spans="1:23" ht="21" customHeight="1">
      <c r="A1268" s="103" t="s">
        <v>218</v>
      </c>
      <c r="B1268" s="103" t="s">
        <v>389</v>
      </c>
      <c r="C1268" s="421" t="s">
        <v>390</v>
      </c>
      <c r="D1268" s="396" t="s">
        <v>470</v>
      </c>
      <c r="E1268" s="103">
        <v>892</v>
      </c>
      <c r="F1268" s="103" t="s">
        <v>755</v>
      </c>
      <c r="G1268" s="414" t="s">
        <v>276</v>
      </c>
      <c r="H1268" s="103" t="s">
        <v>277</v>
      </c>
      <c r="I1268" s="104" t="s">
        <v>225</v>
      </c>
      <c r="J1268" s="103" t="s">
        <v>393</v>
      </c>
      <c r="K1268" s="103" t="s">
        <v>691</v>
      </c>
      <c r="L1268" s="103" t="s">
        <v>692</v>
      </c>
      <c r="M1268" s="103" t="s">
        <v>114</v>
      </c>
      <c r="N1268" s="254"/>
      <c r="O1268" s="103"/>
      <c r="P1268" s="254">
        <v>40</v>
      </c>
      <c r="Q1268" s="254"/>
      <c r="R1268" s="103"/>
      <c r="S1268" s="113">
        <f t="shared" si="17"/>
        <v>375.9476872206032</v>
      </c>
      <c r="T1268" s="103" t="s">
        <v>698</v>
      </c>
      <c r="U1268" s="254">
        <v>0.84499999999999997</v>
      </c>
      <c r="V1268" s="386">
        <v>46</v>
      </c>
      <c r="W1268" s="414" t="s">
        <v>694</v>
      </c>
    </row>
    <row r="1269" spans="1:23" ht="21" customHeight="1">
      <c r="A1269" s="103" t="s">
        <v>218</v>
      </c>
      <c r="B1269" s="103" t="s">
        <v>389</v>
      </c>
      <c r="C1269" s="421" t="s">
        <v>390</v>
      </c>
      <c r="D1269" s="396" t="s">
        <v>470</v>
      </c>
      <c r="E1269" s="103">
        <v>892</v>
      </c>
      <c r="F1269" s="103" t="s">
        <v>697</v>
      </c>
      <c r="G1269" s="414" t="s">
        <v>276</v>
      </c>
      <c r="H1269" s="103" t="s">
        <v>277</v>
      </c>
      <c r="I1269" s="104" t="s">
        <v>225</v>
      </c>
      <c r="J1269" s="103" t="s">
        <v>393</v>
      </c>
      <c r="K1269" s="103" t="s">
        <v>691</v>
      </c>
      <c r="L1269" s="103" t="s">
        <v>692</v>
      </c>
      <c r="M1269" s="103" t="s">
        <v>108</v>
      </c>
      <c r="N1269" s="254"/>
      <c r="O1269" s="103"/>
      <c r="P1269" s="254">
        <v>40.799999999999997</v>
      </c>
      <c r="Q1269" s="254"/>
      <c r="R1269" s="103"/>
      <c r="S1269" s="113">
        <f t="shared" si="17"/>
        <v>406.81056370682097</v>
      </c>
      <c r="T1269" s="103" t="s">
        <v>698</v>
      </c>
      <c r="U1269" s="254">
        <v>0.84499999999999997</v>
      </c>
      <c r="V1269" s="386">
        <v>46</v>
      </c>
      <c r="W1269" s="414" t="s">
        <v>694</v>
      </c>
    </row>
    <row r="1270" spans="1:23" ht="21" customHeight="1">
      <c r="A1270" s="103" t="s">
        <v>218</v>
      </c>
      <c r="B1270" s="103" t="s">
        <v>389</v>
      </c>
      <c r="C1270" s="421" t="s">
        <v>390</v>
      </c>
      <c r="D1270" s="396" t="s">
        <v>470</v>
      </c>
      <c r="E1270" s="103">
        <v>892</v>
      </c>
      <c r="F1270" s="103" t="s">
        <v>738</v>
      </c>
      <c r="G1270" s="414" t="s">
        <v>276</v>
      </c>
      <c r="H1270" s="103" t="s">
        <v>277</v>
      </c>
      <c r="I1270" s="104" t="s">
        <v>225</v>
      </c>
      <c r="J1270" s="103" t="s">
        <v>393</v>
      </c>
      <c r="K1270" s="103" t="s">
        <v>691</v>
      </c>
      <c r="L1270" s="103" t="s">
        <v>692</v>
      </c>
      <c r="M1270" s="103" t="s">
        <v>114</v>
      </c>
      <c r="N1270" s="254"/>
      <c r="O1270" s="103"/>
      <c r="P1270" s="254">
        <v>41</v>
      </c>
      <c r="Q1270" s="254"/>
      <c r="R1270" s="103"/>
      <c r="S1270" s="113">
        <f t="shared" si="17"/>
        <v>414.81403487315015</v>
      </c>
      <c r="T1270" s="103" t="s">
        <v>698</v>
      </c>
      <c r="U1270" s="254">
        <v>0.84499999999999997</v>
      </c>
      <c r="V1270" s="386">
        <v>46</v>
      </c>
      <c r="W1270" s="414" t="s">
        <v>694</v>
      </c>
    </row>
    <row r="1271" spans="1:23" ht="21" customHeight="1">
      <c r="A1271" s="103" t="s">
        <v>218</v>
      </c>
      <c r="B1271" s="103" t="s">
        <v>389</v>
      </c>
      <c r="C1271" s="421" t="s">
        <v>390</v>
      </c>
      <c r="D1271" s="396" t="s">
        <v>470</v>
      </c>
      <c r="E1271" s="103">
        <v>892</v>
      </c>
      <c r="F1271" s="103" t="s">
        <v>756</v>
      </c>
      <c r="G1271" s="414" t="s">
        <v>276</v>
      </c>
      <c r="H1271" s="103" t="s">
        <v>277</v>
      </c>
      <c r="I1271" s="104" t="s">
        <v>225</v>
      </c>
      <c r="J1271" s="103" t="s">
        <v>393</v>
      </c>
      <c r="K1271" s="103" t="s">
        <v>691</v>
      </c>
      <c r="L1271" s="103" t="s">
        <v>692</v>
      </c>
      <c r="M1271" s="103" t="s">
        <v>114</v>
      </c>
      <c r="N1271" s="254"/>
      <c r="O1271" s="103"/>
      <c r="P1271" s="254">
        <v>41</v>
      </c>
      <c r="Q1271" s="254"/>
      <c r="R1271" s="103"/>
      <c r="S1271" s="113">
        <f t="shared" si="17"/>
        <v>414.81403487315015</v>
      </c>
      <c r="T1271" s="103" t="s">
        <v>698</v>
      </c>
      <c r="U1271" s="254">
        <v>0.84499999999999997</v>
      </c>
      <c r="V1271" s="386">
        <v>46</v>
      </c>
      <c r="W1271" s="414" t="s">
        <v>694</v>
      </c>
    </row>
    <row r="1272" spans="1:23" ht="21" customHeight="1">
      <c r="A1272" s="103" t="s">
        <v>218</v>
      </c>
      <c r="B1272" s="103" t="s">
        <v>389</v>
      </c>
      <c r="C1272" s="421" t="s">
        <v>390</v>
      </c>
      <c r="D1272" s="396" t="s">
        <v>470</v>
      </c>
      <c r="E1272" s="103">
        <v>892</v>
      </c>
      <c r="F1272" s="103" t="s">
        <v>757</v>
      </c>
      <c r="G1272" s="414" t="s">
        <v>276</v>
      </c>
      <c r="H1272" s="103" t="s">
        <v>277</v>
      </c>
      <c r="I1272" s="104" t="s">
        <v>225</v>
      </c>
      <c r="J1272" s="103" t="s">
        <v>393</v>
      </c>
      <c r="K1272" s="103" t="s">
        <v>691</v>
      </c>
      <c r="L1272" s="103" t="s">
        <v>692</v>
      </c>
      <c r="M1272" s="103" t="s">
        <v>114</v>
      </c>
      <c r="N1272" s="254"/>
      <c r="O1272" s="103"/>
      <c r="P1272" s="254">
        <v>41</v>
      </c>
      <c r="Q1272" s="254"/>
      <c r="R1272" s="103"/>
      <c r="S1272" s="113">
        <f t="shared" si="17"/>
        <v>414.81403487315015</v>
      </c>
      <c r="T1272" s="103" t="s">
        <v>698</v>
      </c>
      <c r="U1272" s="254">
        <v>0.84499999999999997</v>
      </c>
      <c r="V1272" s="386">
        <v>46</v>
      </c>
      <c r="W1272" s="414" t="s">
        <v>694</v>
      </c>
    </row>
    <row r="1273" spans="1:23" ht="21" customHeight="1">
      <c r="A1273" s="103" t="s">
        <v>218</v>
      </c>
      <c r="B1273" s="103" t="s">
        <v>389</v>
      </c>
      <c r="C1273" s="421" t="s">
        <v>390</v>
      </c>
      <c r="D1273" s="396" t="s">
        <v>470</v>
      </c>
      <c r="E1273" s="103">
        <v>892</v>
      </c>
      <c r="F1273" s="103" t="s">
        <v>737</v>
      </c>
      <c r="G1273" s="414" t="s">
        <v>276</v>
      </c>
      <c r="H1273" s="103" t="s">
        <v>277</v>
      </c>
      <c r="I1273" s="104" t="s">
        <v>225</v>
      </c>
      <c r="J1273" s="103" t="s">
        <v>393</v>
      </c>
      <c r="K1273" s="103" t="s">
        <v>691</v>
      </c>
      <c r="L1273" s="103" t="s">
        <v>692</v>
      </c>
      <c r="M1273" s="103" t="s">
        <v>108</v>
      </c>
      <c r="N1273" s="254"/>
      <c r="O1273" s="103"/>
      <c r="P1273" s="254">
        <v>41.1</v>
      </c>
      <c r="Q1273" s="254"/>
      <c r="R1273" s="103"/>
      <c r="S1273" s="113">
        <f t="shared" si="17"/>
        <v>418.85970904986323</v>
      </c>
      <c r="T1273" s="103" t="s">
        <v>698</v>
      </c>
      <c r="U1273" s="254">
        <v>0.84499999999999997</v>
      </c>
      <c r="V1273" s="386">
        <v>46</v>
      </c>
      <c r="W1273" s="414" t="s">
        <v>694</v>
      </c>
    </row>
    <row r="1274" spans="1:23" ht="21" customHeight="1">
      <c r="A1274" s="103" t="s">
        <v>218</v>
      </c>
      <c r="B1274" s="103" t="s">
        <v>389</v>
      </c>
      <c r="C1274" s="421" t="s">
        <v>390</v>
      </c>
      <c r="D1274" s="396" t="s">
        <v>470</v>
      </c>
      <c r="E1274" s="103">
        <v>892</v>
      </c>
      <c r="F1274" s="103" t="s">
        <v>758</v>
      </c>
      <c r="G1274" s="414" t="s">
        <v>276</v>
      </c>
      <c r="H1274" s="103" t="s">
        <v>277</v>
      </c>
      <c r="I1274" s="104" t="s">
        <v>225</v>
      </c>
      <c r="J1274" s="103" t="s">
        <v>393</v>
      </c>
      <c r="K1274" s="103" t="s">
        <v>714</v>
      </c>
      <c r="L1274" s="103" t="s">
        <v>715</v>
      </c>
      <c r="M1274" s="103" t="s">
        <v>114</v>
      </c>
      <c r="N1274" s="254"/>
      <c r="O1274" s="103"/>
      <c r="P1274" s="254">
        <v>39</v>
      </c>
      <c r="Q1274" s="254"/>
      <c r="R1274" s="103"/>
      <c r="S1274" s="113">
        <f>10^(((LOG(P1274))*3.5526)+-2.9997)</f>
        <v>449.48595184961022</v>
      </c>
      <c r="T1274" s="103" t="s">
        <v>716</v>
      </c>
      <c r="U1274" s="254">
        <v>0.93</v>
      </c>
      <c r="V1274" s="386">
        <v>26</v>
      </c>
      <c r="W1274" s="414" t="s">
        <v>694</v>
      </c>
    </row>
    <row r="1275" spans="1:23" ht="21" customHeight="1">
      <c r="A1275" s="103" t="s">
        <v>218</v>
      </c>
      <c r="B1275" s="103" t="s">
        <v>389</v>
      </c>
      <c r="C1275" s="421" t="s">
        <v>390</v>
      </c>
      <c r="D1275" s="396" t="s">
        <v>470</v>
      </c>
      <c r="E1275" s="103">
        <v>892</v>
      </c>
      <c r="F1275" s="103" t="s">
        <v>738</v>
      </c>
      <c r="G1275" s="414" t="s">
        <v>276</v>
      </c>
      <c r="H1275" s="103" t="s">
        <v>277</v>
      </c>
      <c r="I1275" s="104" t="s">
        <v>225</v>
      </c>
      <c r="J1275" s="103" t="s">
        <v>105</v>
      </c>
      <c r="K1275" s="103" t="s">
        <v>126</v>
      </c>
      <c r="L1275" s="103" t="s">
        <v>636</v>
      </c>
      <c r="M1275" s="103" t="s">
        <v>108</v>
      </c>
      <c r="N1275" s="254"/>
      <c r="O1275" s="103"/>
      <c r="P1275" s="254">
        <v>3.8899999999999997</v>
      </c>
      <c r="Q1275" s="254">
        <v>1.4670000000000001</v>
      </c>
      <c r="R1275" s="103" t="s">
        <v>17</v>
      </c>
      <c r="S1275" s="113">
        <f>10^(((LOG(P1275))*3.236)+0.745)</f>
        <v>450.89654744727864</v>
      </c>
      <c r="T1275" s="103" t="s">
        <v>717</v>
      </c>
      <c r="U1275" s="254">
        <v>0.92900000000000005</v>
      </c>
      <c r="V1275" s="386">
        <v>33.299999999999997</v>
      </c>
      <c r="W1275" s="414" t="s">
        <v>700</v>
      </c>
    </row>
    <row r="1276" spans="1:23" ht="21" customHeight="1">
      <c r="A1276" s="103" t="s">
        <v>218</v>
      </c>
      <c r="B1276" s="103" t="s">
        <v>389</v>
      </c>
      <c r="C1276" s="421" t="s">
        <v>390</v>
      </c>
      <c r="D1276" s="396" t="s">
        <v>470</v>
      </c>
      <c r="E1276" s="103">
        <v>892</v>
      </c>
      <c r="F1276" s="103" t="s">
        <v>759</v>
      </c>
      <c r="G1276" s="414" t="s">
        <v>276</v>
      </c>
      <c r="H1276" s="103" t="s">
        <v>277</v>
      </c>
      <c r="I1276" s="104" t="s">
        <v>225</v>
      </c>
      <c r="J1276" s="103" t="s">
        <v>393</v>
      </c>
      <c r="K1276" s="103" t="s">
        <v>691</v>
      </c>
      <c r="L1276" s="103" t="s">
        <v>692</v>
      </c>
      <c r="M1276" s="103" t="s">
        <v>114</v>
      </c>
      <c r="N1276" s="254"/>
      <c r="O1276" s="103"/>
      <c r="P1276" s="254">
        <v>41.9</v>
      </c>
      <c r="Q1276" s="254"/>
      <c r="R1276" s="103"/>
      <c r="S1276" s="113">
        <f>10^(((LOG(P1276))*3.9842)+-3.8078)</f>
        <v>452.29846130532707</v>
      </c>
      <c r="T1276" s="103" t="s">
        <v>698</v>
      </c>
      <c r="U1276" s="254">
        <v>0.84499999999999997</v>
      </c>
      <c r="V1276" s="386">
        <v>46</v>
      </c>
      <c r="W1276" s="414" t="s">
        <v>694</v>
      </c>
    </row>
    <row r="1277" spans="1:23" ht="21" customHeight="1">
      <c r="A1277" s="103" t="s">
        <v>218</v>
      </c>
      <c r="B1277" s="103" t="s">
        <v>389</v>
      </c>
      <c r="C1277" s="421" t="s">
        <v>390</v>
      </c>
      <c r="D1277" s="396" t="s">
        <v>470</v>
      </c>
      <c r="E1277" s="103">
        <v>892</v>
      </c>
      <c r="F1277" s="103" t="s">
        <v>760</v>
      </c>
      <c r="G1277" s="414" t="s">
        <v>276</v>
      </c>
      <c r="H1277" s="103" t="s">
        <v>277</v>
      </c>
      <c r="I1277" s="104" t="s">
        <v>225</v>
      </c>
      <c r="J1277" s="103" t="s">
        <v>393</v>
      </c>
      <c r="K1277" s="103" t="s">
        <v>710</v>
      </c>
      <c r="L1277" s="103" t="s">
        <v>711</v>
      </c>
      <c r="M1277" s="103" t="s">
        <v>108</v>
      </c>
      <c r="N1277" s="254"/>
      <c r="O1277" s="103"/>
      <c r="P1277" s="254">
        <v>33.5</v>
      </c>
      <c r="Q1277" s="254"/>
      <c r="R1277" s="103"/>
      <c r="S1277" s="113">
        <f>10^((LOG(P1277)*3.3633)+-2.4637)</f>
        <v>462.89575651040496</v>
      </c>
      <c r="T1277" s="103" t="s">
        <v>712</v>
      </c>
      <c r="U1277" s="254">
        <v>0.93</v>
      </c>
      <c r="V1277" s="386">
        <v>24</v>
      </c>
      <c r="W1277" s="414" t="s">
        <v>713</v>
      </c>
    </row>
    <row r="1278" spans="1:23" ht="21" customHeight="1">
      <c r="A1278" s="103" t="s">
        <v>218</v>
      </c>
      <c r="B1278" s="103" t="s">
        <v>389</v>
      </c>
      <c r="C1278" s="421" t="s">
        <v>390</v>
      </c>
      <c r="D1278" s="396" t="s">
        <v>470</v>
      </c>
      <c r="E1278" s="103">
        <v>892</v>
      </c>
      <c r="F1278" s="103">
        <v>296</v>
      </c>
      <c r="G1278" s="414" t="s">
        <v>276</v>
      </c>
      <c r="H1278" s="103" t="s">
        <v>277</v>
      </c>
      <c r="I1278" s="104" t="s">
        <v>225</v>
      </c>
      <c r="J1278" s="103" t="s">
        <v>393</v>
      </c>
      <c r="K1278" s="103" t="s">
        <v>660</v>
      </c>
      <c r="L1278" s="103" t="s">
        <v>661</v>
      </c>
      <c r="M1278" s="103" t="s">
        <v>114</v>
      </c>
      <c r="N1278" s="254"/>
      <c r="O1278" s="103"/>
      <c r="P1278" s="254">
        <v>36.799999999999997</v>
      </c>
      <c r="Q1278" s="254"/>
      <c r="R1278" s="103"/>
      <c r="S1278" s="113">
        <f>10^(((LOG(P1278))*3.2052)+-2.3203)</f>
        <v>499.52292957020524</v>
      </c>
      <c r="T1278" s="103" t="s">
        <v>761</v>
      </c>
      <c r="U1278" s="254">
        <v>0.84899999999999998</v>
      </c>
      <c r="V1278" s="386">
        <v>43</v>
      </c>
      <c r="W1278" s="414" t="s">
        <v>694</v>
      </c>
    </row>
    <row r="1279" spans="1:23" ht="21" customHeight="1">
      <c r="A1279" s="103" t="s">
        <v>218</v>
      </c>
      <c r="B1279" s="103" t="s">
        <v>389</v>
      </c>
      <c r="C1279" s="421" t="s">
        <v>390</v>
      </c>
      <c r="D1279" s="396" t="s">
        <v>470</v>
      </c>
      <c r="E1279" s="103">
        <v>892</v>
      </c>
      <c r="F1279" s="103">
        <v>189</v>
      </c>
      <c r="G1279" s="414" t="s">
        <v>276</v>
      </c>
      <c r="H1279" s="103" t="s">
        <v>277</v>
      </c>
      <c r="I1279" s="104" t="s">
        <v>225</v>
      </c>
      <c r="J1279" s="103" t="s">
        <v>393</v>
      </c>
      <c r="K1279" s="103" t="s">
        <v>660</v>
      </c>
      <c r="L1279" s="103" t="s">
        <v>661</v>
      </c>
      <c r="M1279" s="103" t="s">
        <v>108</v>
      </c>
      <c r="N1279" s="254"/>
      <c r="O1279" s="103"/>
      <c r="P1279" s="254">
        <v>37.1</v>
      </c>
      <c r="Q1279" s="254"/>
      <c r="R1279" s="103"/>
      <c r="S1279" s="113">
        <f>10^(((LOG(P1279))*3.2052)+-2.3203)</f>
        <v>512.69284324045202</v>
      </c>
      <c r="T1279" s="103" t="s">
        <v>761</v>
      </c>
      <c r="U1279" s="254">
        <v>0.84899999999999998</v>
      </c>
      <c r="V1279" s="386">
        <v>43</v>
      </c>
      <c r="W1279" s="414" t="s">
        <v>694</v>
      </c>
    </row>
    <row r="1280" spans="1:23" ht="21" customHeight="1">
      <c r="A1280" s="103" t="s">
        <v>218</v>
      </c>
      <c r="B1280" s="103" t="s">
        <v>389</v>
      </c>
      <c r="C1280" s="421" t="s">
        <v>390</v>
      </c>
      <c r="D1280" s="396" t="s">
        <v>470</v>
      </c>
      <c r="E1280" s="103">
        <v>892</v>
      </c>
      <c r="F1280" s="103" t="s">
        <v>738</v>
      </c>
      <c r="G1280" s="414" t="s">
        <v>276</v>
      </c>
      <c r="H1280" s="103" t="s">
        <v>277</v>
      </c>
      <c r="I1280" s="104" t="s">
        <v>225</v>
      </c>
      <c r="J1280" s="103" t="s">
        <v>393</v>
      </c>
      <c r="K1280" s="103" t="s">
        <v>714</v>
      </c>
      <c r="L1280" s="103" t="s">
        <v>715</v>
      </c>
      <c r="M1280" s="103" t="s">
        <v>108</v>
      </c>
      <c r="N1280" s="254"/>
      <c r="O1280" s="103"/>
      <c r="P1280" s="254">
        <v>40.799999999999997</v>
      </c>
      <c r="Q1280" s="254"/>
      <c r="R1280" s="103"/>
      <c r="S1280" s="113">
        <f>10^(((LOG(P1280))*3.5526)+-2.9997)</f>
        <v>527.63220469505461</v>
      </c>
      <c r="T1280" s="103" t="s">
        <v>716</v>
      </c>
      <c r="U1280" s="254">
        <v>0.93</v>
      </c>
      <c r="V1280" s="386">
        <v>26</v>
      </c>
      <c r="W1280" s="414" t="s">
        <v>694</v>
      </c>
    </row>
    <row r="1281" spans="1:23" ht="21" customHeight="1">
      <c r="A1281" s="103" t="s">
        <v>218</v>
      </c>
      <c r="B1281" s="103" t="s">
        <v>389</v>
      </c>
      <c r="C1281" s="421" t="s">
        <v>390</v>
      </c>
      <c r="D1281" s="396" t="s">
        <v>470</v>
      </c>
      <c r="E1281" s="103">
        <v>892</v>
      </c>
      <c r="F1281" s="103" t="s">
        <v>765</v>
      </c>
      <c r="G1281" s="414" t="s">
        <v>276</v>
      </c>
      <c r="H1281" s="103" t="s">
        <v>277</v>
      </c>
      <c r="I1281" s="104" t="s">
        <v>225</v>
      </c>
      <c r="J1281" s="103" t="s">
        <v>393</v>
      </c>
      <c r="K1281" s="103" t="s">
        <v>710</v>
      </c>
      <c r="L1281" s="103" t="s">
        <v>711</v>
      </c>
      <c r="M1281" s="103" t="s">
        <v>108</v>
      </c>
      <c r="N1281" s="254"/>
      <c r="O1281" s="103"/>
      <c r="P1281" s="254">
        <v>35.200000000000003</v>
      </c>
      <c r="Q1281" s="254"/>
      <c r="R1281" s="103"/>
      <c r="S1281" s="113">
        <f>10^((LOG(P1281)*3.3633)+-2.4637)</f>
        <v>546.74766891223283</v>
      </c>
      <c r="T1281" s="103" t="s">
        <v>712</v>
      </c>
      <c r="U1281" s="254">
        <v>0.93</v>
      </c>
      <c r="V1281" s="386">
        <v>24</v>
      </c>
      <c r="W1281" s="414" t="s">
        <v>713</v>
      </c>
    </row>
    <row r="1282" spans="1:23" s="342" customFormat="1" ht="21" customHeight="1">
      <c r="A1282" s="103" t="s">
        <v>218</v>
      </c>
      <c r="B1282" s="103" t="s">
        <v>389</v>
      </c>
      <c r="C1282" s="421" t="s">
        <v>390</v>
      </c>
      <c r="D1282" s="396" t="s">
        <v>470</v>
      </c>
      <c r="E1282" s="103">
        <v>892</v>
      </c>
      <c r="F1282" s="103" t="s">
        <v>766</v>
      </c>
      <c r="G1282" s="414" t="s">
        <v>276</v>
      </c>
      <c r="H1282" s="103" t="s">
        <v>277</v>
      </c>
      <c r="I1282" s="104" t="s">
        <v>225</v>
      </c>
      <c r="J1282" s="103" t="s">
        <v>393</v>
      </c>
      <c r="K1282" s="103" t="s">
        <v>710</v>
      </c>
      <c r="L1282" s="103" t="s">
        <v>711</v>
      </c>
      <c r="M1282" s="103" t="s">
        <v>108</v>
      </c>
      <c r="N1282" s="254"/>
      <c r="O1282" s="103"/>
      <c r="P1282" s="254">
        <v>35.200000000000003</v>
      </c>
      <c r="Q1282" s="254"/>
      <c r="R1282" s="103"/>
      <c r="S1282" s="113">
        <f>10^((LOG(P1282)*3.3633)+-2.4637)</f>
        <v>546.74766891223283</v>
      </c>
      <c r="T1282" s="103" t="s">
        <v>712</v>
      </c>
      <c r="U1282" s="254">
        <v>0.93</v>
      </c>
      <c r="V1282" s="386">
        <v>24</v>
      </c>
      <c r="W1282" s="414" t="s">
        <v>713</v>
      </c>
    </row>
    <row r="1283" spans="1:23" s="342" customFormat="1" ht="21" customHeight="1">
      <c r="A1283" s="103" t="s">
        <v>218</v>
      </c>
      <c r="B1283" s="103" t="s">
        <v>389</v>
      </c>
      <c r="C1283" s="421" t="s">
        <v>390</v>
      </c>
      <c r="D1283" s="396" t="s">
        <v>470</v>
      </c>
      <c r="E1283" s="103">
        <v>892</v>
      </c>
      <c r="F1283" s="103" t="s">
        <v>767</v>
      </c>
      <c r="G1283" s="414" t="s">
        <v>276</v>
      </c>
      <c r="H1283" s="103" t="s">
        <v>277</v>
      </c>
      <c r="I1283" s="104" t="s">
        <v>225</v>
      </c>
      <c r="J1283" s="103" t="s">
        <v>393</v>
      </c>
      <c r="K1283" s="103" t="s">
        <v>691</v>
      </c>
      <c r="L1283" s="103" t="s">
        <v>692</v>
      </c>
      <c r="M1283" s="103" t="s">
        <v>108</v>
      </c>
      <c r="N1283" s="254"/>
      <c r="O1283" s="103"/>
      <c r="P1283" s="254">
        <v>44.2</v>
      </c>
      <c r="Q1283" s="254"/>
      <c r="R1283" s="103"/>
      <c r="S1283" s="113">
        <f>10^(((LOG(P1283))*3.9842)+-3.8078)</f>
        <v>559.61765273341518</v>
      </c>
      <c r="T1283" s="103" t="s">
        <v>698</v>
      </c>
      <c r="U1283" s="254">
        <v>0.84499999999999997</v>
      </c>
      <c r="V1283" s="386">
        <v>46</v>
      </c>
      <c r="W1283" s="414" t="s">
        <v>694</v>
      </c>
    </row>
    <row r="1284" spans="1:23" s="342" customFormat="1" ht="21" customHeight="1">
      <c r="A1284" s="103" t="s">
        <v>218</v>
      </c>
      <c r="B1284" s="103" t="s">
        <v>389</v>
      </c>
      <c r="C1284" s="421" t="s">
        <v>390</v>
      </c>
      <c r="D1284" s="396" t="s">
        <v>470</v>
      </c>
      <c r="E1284" s="103">
        <v>892</v>
      </c>
      <c r="F1284" s="103" t="s">
        <v>768</v>
      </c>
      <c r="G1284" s="414" t="s">
        <v>276</v>
      </c>
      <c r="H1284" s="103" t="s">
        <v>277</v>
      </c>
      <c r="I1284" s="104" t="s">
        <v>225</v>
      </c>
      <c r="J1284" s="103" t="s">
        <v>393</v>
      </c>
      <c r="K1284" s="103" t="s">
        <v>714</v>
      </c>
      <c r="L1284" s="103" t="s">
        <v>715</v>
      </c>
      <c r="M1284" s="103" t="s">
        <v>108</v>
      </c>
      <c r="N1284" s="254"/>
      <c r="O1284" s="103"/>
      <c r="P1284" s="254">
        <v>42</v>
      </c>
      <c r="Q1284" s="254"/>
      <c r="R1284" s="103"/>
      <c r="S1284" s="113">
        <f>10^(((LOG(P1284))*3.5526)+-2.9997)</f>
        <v>584.8647257507165</v>
      </c>
      <c r="T1284" s="103" t="s">
        <v>716</v>
      </c>
      <c r="U1284" s="254">
        <v>0.93</v>
      </c>
      <c r="V1284" s="386">
        <v>26</v>
      </c>
      <c r="W1284" s="414" t="s">
        <v>694</v>
      </c>
    </row>
    <row r="1285" spans="1:23" ht="21" customHeight="1">
      <c r="A1285" s="103" t="s">
        <v>218</v>
      </c>
      <c r="B1285" s="103" t="s">
        <v>389</v>
      </c>
      <c r="C1285" s="421" t="s">
        <v>390</v>
      </c>
      <c r="D1285" s="396" t="s">
        <v>470</v>
      </c>
      <c r="E1285" s="103">
        <v>892</v>
      </c>
      <c r="F1285" s="103" t="s">
        <v>738</v>
      </c>
      <c r="G1285" s="414" t="s">
        <v>276</v>
      </c>
      <c r="H1285" s="103" t="s">
        <v>277</v>
      </c>
      <c r="I1285" s="104" t="s">
        <v>225</v>
      </c>
      <c r="J1285" s="103" t="s">
        <v>105</v>
      </c>
      <c r="K1285" s="103" t="s">
        <v>209</v>
      </c>
      <c r="L1285" s="103" t="s">
        <v>684</v>
      </c>
      <c r="M1285" s="103" t="s">
        <v>108</v>
      </c>
      <c r="N1285" s="254"/>
      <c r="O1285" s="103"/>
      <c r="P1285" s="254">
        <v>3.08</v>
      </c>
      <c r="Q1285" s="254">
        <v>1.7</v>
      </c>
      <c r="R1285" s="103" t="s">
        <v>17</v>
      </c>
      <c r="S1285" s="113">
        <f>10^(((LOG(P1285))*3.375)+1.119)</f>
        <v>585.94744947168715</v>
      </c>
      <c r="T1285" s="103" t="s">
        <v>699</v>
      </c>
      <c r="U1285" s="254">
        <v>0.93</v>
      </c>
      <c r="V1285" s="386">
        <v>33.6</v>
      </c>
      <c r="W1285" s="414" t="s">
        <v>700</v>
      </c>
    </row>
    <row r="1286" spans="1:23" ht="21" customHeight="1">
      <c r="A1286" s="103" t="s">
        <v>218</v>
      </c>
      <c r="B1286" s="103" t="s">
        <v>389</v>
      </c>
      <c r="C1286" s="421" t="s">
        <v>390</v>
      </c>
      <c r="D1286" s="396" t="s">
        <v>470</v>
      </c>
      <c r="E1286" s="103">
        <v>892</v>
      </c>
      <c r="F1286" s="103" t="s">
        <v>743</v>
      </c>
      <c r="G1286" s="414" t="s">
        <v>276</v>
      </c>
      <c r="H1286" s="103" t="s">
        <v>277</v>
      </c>
      <c r="I1286" s="104" t="s">
        <v>225</v>
      </c>
      <c r="J1286" s="103" t="s">
        <v>393</v>
      </c>
      <c r="K1286" s="103" t="s">
        <v>714</v>
      </c>
      <c r="L1286" s="103" t="s">
        <v>715</v>
      </c>
      <c r="M1286" s="103" t="s">
        <v>114</v>
      </c>
      <c r="N1286" s="254"/>
      <c r="O1286" s="103"/>
      <c r="P1286" s="254">
        <v>42.3</v>
      </c>
      <c r="Q1286" s="254"/>
      <c r="R1286" s="103"/>
      <c r="S1286" s="113">
        <f>10^(((LOG(P1286))*3.5526)+-2.9997)</f>
        <v>599.84188678008536</v>
      </c>
      <c r="T1286" s="103" t="s">
        <v>716</v>
      </c>
      <c r="U1286" s="254">
        <v>0.93</v>
      </c>
      <c r="V1286" s="386">
        <v>26</v>
      </c>
      <c r="W1286" s="414" t="s">
        <v>694</v>
      </c>
    </row>
    <row r="1287" spans="1:23" ht="21" customHeight="1">
      <c r="A1287" s="103" t="s">
        <v>218</v>
      </c>
      <c r="B1287" s="103" t="s">
        <v>389</v>
      </c>
      <c r="C1287" s="421" t="s">
        <v>390</v>
      </c>
      <c r="D1287" s="396" t="s">
        <v>470</v>
      </c>
      <c r="E1287" s="103">
        <v>892</v>
      </c>
      <c r="F1287" s="103" t="s">
        <v>769</v>
      </c>
      <c r="G1287" s="414" t="s">
        <v>276</v>
      </c>
      <c r="H1287" s="103" t="s">
        <v>277</v>
      </c>
      <c r="I1287" s="104" t="s">
        <v>225</v>
      </c>
      <c r="J1287" s="103" t="s">
        <v>393</v>
      </c>
      <c r="K1287" s="103" t="s">
        <v>714</v>
      </c>
      <c r="L1287" s="103" t="s">
        <v>715</v>
      </c>
      <c r="M1287" s="103" t="s">
        <v>108</v>
      </c>
      <c r="N1287" s="254"/>
      <c r="O1287" s="103"/>
      <c r="P1287" s="254">
        <v>42.8</v>
      </c>
      <c r="Q1287" s="254"/>
      <c r="R1287" s="103"/>
      <c r="S1287" s="113">
        <f>10^(((LOG(P1287))*3.5526)+-2.9997)</f>
        <v>625.41333040251777</v>
      </c>
      <c r="T1287" s="103" t="s">
        <v>716</v>
      </c>
      <c r="U1287" s="254">
        <v>0.93</v>
      </c>
      <c r="V1287" s="386">
        <v>26</v>
      </c>
      <c r="W1287" s="414" t="s">
        <v>694</v>
      </c>
    </row>
    <row r="1288" spans="1:23" ht="21" customHeight="1">
      <c r="A1288" s="103" t="s">
        <v>218</v>
      </c>
      <c r="B1288" s="103" t="s">
        <v>389</v>
      </c>
      <c r="C1288" s="421" t="s">
        <v>390</v>
      </c>
      <c r="D1288" s="396" t="s">
        <v>470</v>
      </c>
      <c r="E1288" s="103">
        <v>892</v>
      </c>
      <c r="F1288" s="103" t="s">
        <v>738</v>
      </c>
      <c r="G1288" s="414" t="s">
        <v>276</v>
      </c>
      <c r="H1288" s="103" t="s">
        <v>277</v>
      </c>
      <c r="I1288" s="104" t="s">
        <v>225</v>
      </c>
      <c r="J1288" s="103" t="s">
        <v>393</v>
      </c>
      <c r="K1288" s="103" t="s">
        <v>714</v>
      </c>
      <c r="L1288" s="103" t="s">
        <v>715</v>
      </c>
      <c r="M1288" s="103" t="s">
        <v>108</v>
      </c>
      <c r="N1288" s="254"/>
      <c r="O1288" s="103"/>
      <c r="P1288" s="254">
        <v>43</v>
      </c>
      <c r="Q1288" s="254"/>
      <c r="R1288" s="103"/>
      <c r="S1288" s="113">
        <f>10^(((LOG(P1288))*3.5526)+-2.9997)</f>
        <v>635.85784713174121</v>
      </c>
      <c r="T1288" s="103" t="s">
        <v>716</v>
      </c>
      <c r="U1288" s="254">
        <v>0.93</v>
      </c>
      <c r="V1288" s="386">
        <v>26</v>
      </c>
      <c r="W1288" s="414" t="s">
        <v>694</v>
      </c>
    </row>
    <row r="1289" spans="1:23" ht="21" customHeight="1">
      <c r="A1289" s="103" t="s">
        <v>218</v>
      </c>
      <c r="B1289" s="103" t="s">
        <v>389</v>
      </c>
      <c r="C1289" s="421" t="s">
        <v>390</v>
      </c>
      <c r="D1289" s="396" t="s">
        <v>470</v>
      </c>
      <c r="E1289" s="103">
        <v>892</v>
      </c>
      <c r="F1289" s="103" t="s">
        <v>770</v>
      </c>
      <c r="G1289" s="414" t="s">
        <v>276</v>
      </c>
      <c r="H1289" s="103" t="s">
        <v>277</v>
      </c>
      <c r="I1289" s="104" t="s">
        <v>225</v>
      </c>
      <c r="J1289" s="103" t="s">
        <v>393</v>
      </c>
      <c r="K1289" s="103" t="s">
        <v>710</v>
      </c>
      <c r="L1289" s="103" t="s">
        <v>711</v>
      </c>
      <c r="M1289" s="103" t="s">
        <v>108</v>
      </c>
      <c r="N1289" s="254"/>
      <c r="O1289" s="103"/>
      <c r="P1289" s="254">
        <v>37.1</v>
      </c>
      <c r="Q1289" s="254"/>
      <c r="R1289" s="103"/>
      <c r="S1289" s="113">
        <f>10^((LOG(P1289)*3.3633)+-2.4637)</f>
        <v>652.49211856171894</v>
      </c>
      <c r="T1289" s="103" t="s">
        <v>712</v>
      </c>
      <c r="U1289" s="254">
        <v>0.93</v>
      </c>
      <c r="V1289" s="386">
        <v>24</v>
      </c>
      <c r="W1289" s="414" t="s">
        <v>713</v>
      </c>
    </row>
    <row r="1290" spans="1:23" ht="21" customHeight="1">
      <c r="A1290" s="103" t="s">
        <v>218</v>
      </c>
      <c r="B1290" s="103" t="s">
        <v>389</v>
      </c>
      <c r="C1290" s="421" t="s">
        <v>390</v>
      </c>
      <c r="D1290" s="396" t="s">
        <v>470</v>
      </c>
      <c r="E1290" s="103">
        <v>892</v>
      </c>
      <c r="F1290" s="103" t="s">
        <v>737</v>
      </c>
      <c r="G1290" s="414" t="s">
        <v>276</v>
      </c>
      <c r="H1290" s="103" t="s">
        <v>277</v>
      </c>
      <c r="I1290" s="104" t="s">
        <v>225</v>
      </c>
      <c r="J1290" s="103" t="s">
        <v>393</v>
      </c>
      <c r="K1290" s="103" t="s">
        <v>660</v>
      </c>
      <c r="L1290" s="103" t="s">
        <v>661</v>
      </c>
      <c r="M1290" s="103" t="s">
        <v>108</v>
      </c>
      <c r="N1290" s="254"/>
      <c r="O1290" s="103"/>
      <c r="P1290" s="254">
        <v>40.4</v>
      </c>
      <c r="Q1290" s="254"/>
      <c r="R1290" s="103"/>
      <c r="S1290" s="113">
        <f>10^(((LOG(P1290))*3.2052)+-2.3203)</f>
        <v>673.71086520852566</v>
      </c>
      <c r="T1290" s="103" t="s">
        <v>761</v>
      </c>
      <c r="U1290" s="254">
        <v>0.84899999999999998</v>
      </c>
      <c r="V1290" s="386">
        <v>43</v>
      </c>
      <c r="W1290" s="414" t="s">
        <v>694</v>
      </c>
    </row>
    <row r="1291" spans="1:23" ht="51" customHeight="1">
      <c r="A1291" s="103" t="s">
        <v>218</v>
      </c>
      <c r="B1291" s="103" t="s">
        <v>389</v>
      </c>
      <c r="C1291" s="421" t="s">
        <v>390</v>
      </c>
      <c r="D1291" s="396" t="s">
        <v>470</v>
      </c>
      <c r="E1291" s="103">
        <v>892</v>
      </c>
      <c r="F1291" s="103" t="s">
        <v>771</v>
      </c>
      <c r="G1291" s="414" t="s">
        <v>276</v>
      </c>
      <c r="H1291" s="103" t="s">
        <v>277</v>
      </c>
      <c r="I1291" s="104" t="s">
        <v>225</v>
      </c>
      <c r="J1291" s="103" t="s">
        <v>105</v>
      </c>
      <c r="K1291" s="103" t="s">
        <v>126</v>
      </c>
      <c r="L1291" s="103" t="s">
        <v>636</v>
      </c>
      <c r="M1291" s="103" t="s">
        <v>114</v>
      </c>
      <c r="N1291" s="254"/>
      <c r="O1291" s="103"/>
      <c r="P1291" s="254">
        <v>4.4130000000000003</v>
      </c>
      <c r="Q1291" s="254">
        <v>1.702</v>
      </c>
      <c r="R1291" s="103" t="s">
        <v>17</v>
      </c>
      <c r="S1291" s="113">
        <f>10^(((LOG(P1291))*3.236)+0.745)</f>
        <v>678.20187983674566</v>
      </c>
      <c r="T1291" s="103" t="s">
        <v>717</v>
      </c>
      <c r="U1291" s="254">
        <v>0.92900000000000005</v>
      </c>
      <c r="V1291" s="386">
        <v>33.299999999999997</v>
      </c>
      <c r="W1291" s="414" t="s">
        <v>700</v>
      </c>
    </row>
    <row r="1292" spans="1:23" ht="21" customHeight="1">
      <c r="A1292" s="103" t="s">
        <v>218</v>
      </c>
      <c r="B1292" s="103" t="s">
        <v>389</v>
      </c>
      <c r="C1292" s="421" t="s">
        <v>390</v>
      </c>
      <c r="D1292" s="396" t="s">
        <v>470</v>
      </c>
      <c r="E1292" s="103">
        <v>892</v>
      </c>
      <c r="F1292" s="103">
        <v>493</v>
      </c>
      <c r="G1292" s="414" t="s">
        <v>276</v>
      </c>
      <c r="H1292" s="103" t="s">
        <v>277</v>
      </c>
      <c r="I1292" s="104" t="s">
        <v>225</v>
      </c>
      <c r="J1292" s="103" t="s">
        <v>105</v>
      </c>
      <c r="K1292" s="103" t="s">
        <v>126</v>
      </c>
      <c r="L1292" s="103" t="s">
        <v>636</v>
      </c>
      <c r="M1292" s="103" t="s">
        <v>114</v>
      </c>
      <c r="N1292" s="254"/>
      <c r="O1292" s="103"/>
      <c r="P1292" s="254">
        <v>4.4249999999999998</v>
      </c>
      <c r="Q1292" s="254">
        <v>1.675</v>
      </c>
      <c r="R1292" s="103" t="s">
        <v>17</v>
      </c>
      <c r="S1292" s="113">
        <f>10^(((LOG(P1292))*3.236)+0.745)</f>
        <v>684.18785065439556</v>
      </c>
      <c r="T1292" s="103" t="s">
        <v>717</v>
      </c>
      <c r="U1292" s="254">
        <v>0.92900000000000005</v>
      </c>
      <c r="V1292" s="386">
        <v>33.299999999999997</v>
      </c>
      <c r="W1292" s="414" t="s">
        <v>700</v>
      </c>
    </row>
    <row r="1293" spans="1:23" ht="21" customHeight="1">
      <c r="A1293" s="103" t="s">
        <v>218</v>
      </c>
      <c r="B1293" s="103" t="s">
        <v>389</v>
      </c>
      <c r="C1293" s="421" t="s">
        <v>390</v>
      </c>
      <c r="D1293" s="396" t="s">
        <v>470</v>
      </c>
      <c r="E1293" s="103">
        <v>892</v>
      </c>
      <c r="F1293" s="103" t="s">
        <v>772</v>
      </c>
      <c r="G1293" s="414" t="s">
        <v>276</v>
      </c>
      <c r="H1293" s="103" t="s">
        <v>277</v>
      </c>
      <c r="I1293" s="104" t="s">
        <v>225</v>
      </c>
      <c r="J1293" s="103" t="s">
        <v>105</v>
      </c>
      <c r="K1293" s="103" t="s">
        <v>126</v>
      </c>
      <c r="L1293" s="103" t="s">
        <v>636</v>
      </c>
      <c r="M1293" s="103" t="s">
        <v>108</v>
      </c>
      <c r="N1293" s="254"/>
      <c r="O1293" s="103"/>
      <c r="P1293" s="254">
        <v>4.43</v>
      </c>
      <c r="Q1293" s="254">
        <v>1.81</v>
      </c>
      <c r="R1293" s="103" t="s">
        <v>17</v>
      </c>
      <c r="S1293" s="113">
        <f>10^(((LOG(P1293))*3.236)+0.745)</f>
        <v>686.69274344770031</v>
      </c>
      <c r="T1293" s="103" t="s">
        <v>717</v>
      </c>
      <c r="U1293" s="254">
        <v>0.92900000000000005</v>
      </c>
      <c r="V1293" s="386">
        <v>33.299999999999997</v>
      </c>
      <c r="W1293" s="414" t="s">
        <v>700</v>
      </c>
    </row>
    <row r="1294" spans="1:23" ht="21" customHeight="1">
      <c r="A1294" s="103" t="s">
        <v>218</v>
      </c>
      <c r="B1294" s="103" t="s">
        <v>389</v>
      </c>
      <c r="C1294" s="421" t="s">
        <v>390</v>
      </c>
      <c r="D1294" s="396" t="s">
        <v>470</v>
      </c>
      <c r="E1294" s="103">
        <v>892</v>
      </c>
      <c r="F1294" s="103" t="s">
        <v>737</v>
      </c>
      <c r="G1294" s="414" t="s">
        <v>276</v>
      </c>
      <c r="H1294" s="103" t="s">
        <v>277</v>
      </c>
      <c r="I1294" s="104" t="s">
        <v>225</v>
      </c>
      <c r="J1294" s="103" t="s">
        <v>393</v>
      </c>
      <c r="K1294" s="103" t="s">
        <v>710</v>
      </c>
      <c r="L1294" s="103" t="s">
        <v>711</v>
      </c>
      <c r="M1294" s="103" t="s">
        <v>108</v>
      </c>
      <c r="N1294" s="254"/>
      <c r="O1294" s="103"/>
      <c r="P1294" s="254">
        <v>38</v>
      </c>
      <c r="Q1294" s="254"/>
      <c r="R1294" s="103"/>
      <c r="S1294" s="113">
        <f>10^((LOG(P1294)*3.3633)+-2.4637)</f>
        <v>707.27151997636906</v>
      </c>
      <c r="T1294" s="103" t="s">
        <v>712</v>
      </c>
      <c r="U1294" s="254">
        <v>0.93</v>
      </c>
      <c r="V1294" s="386">
        <v>24</v>
      </c>
      <c r="W1294" s="414" t="s">
        <v>713</v>
      </c>
    </row>
    <row r="1295" spans="1:23" ht="21" customHeight="1">
      <c r="A1295" s="103" t="s">
        <v>218</v>
      </c>
      <c r="B1295" s="103" t="s">
        <v>389</v>
      </c>
      <c r="C1295" s="421" t="s">
        <v>390</v>
      </c>
      <c r="D1295" s="396" t="s">
        <v>470</v>
      </c>
      <c r="E1295" s="103">
        <v>892</v>
      </c>
      <c r="F1295" s="103" t="s">
        <v>737</v>
      </c>
      <c r="G1295" s="414" t="s">
        <v>276</v>
      </c>
      <c r="H1295" s="103" t="s">
        <v>277</v>
      </c>
      <c r="I1295" s="104" t="s">
        <v>225</v>
      </c>
      <c r="J1295" s="103" t="s">
        <v>393</v>
      </c>
      <c r="K1295" s="103" t="s">
        <v>660</v>
      </c>
      <c r="L1295" s="103" t="s">
        <v>661</v>
      </c>
      <c r="M1295" s="103" t="s">
        <v>114</v>
      </c>
      <c r="N1295" s="254"/>
      <c r="O1295" s="103"/>
      <c r="P1295" s="254">
        <v>41.1</v>
      </c>
      <c r="Q1295" s="254"/>
      <c r="R1295" s="103"/>
      <c r="S1295" s="113">
        <f>10^(((LOG(P1295))*3.2052)+-2.3203)</f>
        <v>711.84560412981136</v>
      </c>
      <c r="T1295" s="103" t="s">
        <v>761</v>
      </c>
      <c r="U1295" s="254">
        <v>0.84899999999999998</v>
      </c>
      <c r="V1295" s="386">
        <v>43</v>
      </c>
      <c r="W1295" s="414" t="s">
        <v>694</v>
      </c>
    </row>
    <row r="1296" spans="1:23" ht="21" customHeight="1">
      <c r="A1296" s="103" t="s">
        <v>218</v>
      </c>
      <c r="B1296" s="103" t="s">
        <v>389</v>
      </c>
      <c r="C1296" s="421" t="s">
        <v>390</v>
      </c>
      <c r="D1296" s="396" t="s">
        <v>470</v>
      </c>
      <c r="E1296" s="103">
        <v>892</v>
      </c>
      <c r="F1296" s="103" t="s">
        <v>737</v>
      </c>
      <c r="G1296" s="414" t="s">
        <v>276</v>
      </c>
      <c r="H1296" s="103" t="s">
        <v>277</v>
      </c>
      <c r="I1296" s="104" t="s">
        <v>225</v>
      </c>
      <c r="J1296" s="103" t="s">
        <v>393</v>
      </c>
      <c r="K1296" s="103" t="s">
        <v>710</v>
      </c>
      <c r="L1296" s="103" t="s">
        <v>711</v>
      </c>
      <c r="M1296" s="103" t="s">
        <v>114</v>
      </c>
      <c r="N1296" s="254"/>
      <c r="O1296" s="103"/>
      <c r="P1296" s="254">
        <v>38.1</v>
      </c>
      <c r="Q1296" s="254"/>
      <c r="R1296" s="103"/>
      <c r="S1296" s="113">
        <f>10^((LOG(P1296)*3.3633)+-2.4637)</f>
        <v>713.55092043794536</v>
      </c>
      <c r="T1296" s="103" t="s">
        <v>712</v>
      </c>
      <c r="U1296" s="254">
        <v>0.93</v>
      </c>
      <c r="V1296" s="386">
        <v>24</v>
      </c>
      <c r="W1296" s="414" t="s">
        <v>713</v>
      </c>
    </row>
    <row r="1297" spans="1:23" ht="21" customHeight="1">
      <c r="A1297" s="103" t="s">
        <v>218</v>
      </c>
      <c r="B1297" s="103" t="s">
        <v>389</v>
      </c>
      <c r="C1297" s="421" t="s">
        <v>390</v>
      </c>
      <c r="D1297" s="396" t="s">
        <v>470</v>
      </c>
      <c r="E1297" s="103">
        <v>892</v>
      </c>
      <c r="F1297" s="103" t="s">
        <v>737</v>
      </c>
      <c r="G1297" s="414" t="s">
        <v>276</v>
      </c>
      <c r="H1297" s="103" t="s">
        <v>277</v>
      </c>
      <c r="I1297" s="104" t="s">
        <v>225</v>
      </c>
      <c r="J1297" s="103" t="s">
        <v>393</v>
      </c>
      <c r="K1297" s="103" t="s">
        <v>710</v>
      </c>
      <c r="L1297" s="103" t="s">
        <v>711</v>
      </c>
      <c r="M1297" s="103" t="s">
        <v>114</v>
      </c>
      <c r="N1297" s="254"/>
      <c r="O1297" s="103"/>
      <c r="P1297" s="254">
        <v>38.700000000000003</v>
      </c>
      <c r="Q1297" s="254"/>
      <c r="R1297" s="103"/>
      <c r="S1297" s="113">
        <f>10^((LOG(P1297)*3.3633)+-2.4637)</f>
        <v>752.05272399737237</v>
      </c>
      <c r="T1297" s="103" t="s">
        <v>712</v>
      </c>
      <c r="U1297" s="254">
        <v>0.93</v>
      </c>
      <c r="V1297" s="386">
        <v>24</v>
      </c>
      <c r="W1297" s="414" t="s">
        <v>713</v>
      </c>
    </row>
    <row r="1298" spans="1:23" ht="21" customHeight="1">
      <c r="A1298" s="103" t="s">
        <v>218</v>
      </c>
      <c r="B1298" s="103" t="s">
        <v>389</v>
      </c>
      <c r="C1298" s="421" t="s">
        <v>390</v>
      </c>
      <c r="D1298" s="396" t="s">
        <v>470</v>
      </c>
      <c r="E1298" s="103">
        <v>892</v>
      </c>
      <c r="F1298" s="103" t="s">
        <v>743</v>
      </c>
      <c r="G1298" s="414" t="s">
        <v>276</v>
      </c>
      <c r="H1298" s="103" t="s">
        <v>277</v>
      </c>
      <c r="I1298" s="104" t="s">
        <v>225</v>
      </c>
      <c r="J1298" s="103" t="s">
        <v>393</v>
      </c>
      <c r="K1298" s="103" t="s">
        <v>660</v>
      </c>
      <c r="L1298" s="103" t="s">
        <v>661</v>
      </c>
      <c r="M1298" s="103" t="s">
        <v>114</v>
      </c>
      <c r="N1298" s="254"/>
      <c r="O1298" s="103"/>
      <c r="P1298" s="254">
        <v>42.8</v>
      </c>
      <c r="Q1298" s="254"/>
      <c r="R1298" s="103"/>
      <c r="S1298" s="113">
        <f>10^(((LOG(P1298))*3.2052)+-2.3203)</f>
        <v>810.59434279854258</v>
      </c>
      <c r="T1298" s="103" t="s">
        <v>761</v>
      </c>
      <c r="U1298" s="254">
        <v>0.84899999999999998</v>
      </c>
      <c r="V1298" s="386">
        <v>43</v>
      </c>
      <c r="W1298" s="414" t="s">
        <v>694</v>
      </c>
    </row>
    <row r="1299" spans="1:23" ht="21" customHeight="1">
      <c r="A1299" s="103" t="s">
        <v>218</v>
      </c>
      <c r="B1299" s="103" t="s">
        <v>389</v>
      </c>
      <c r="C1299" s="421" t="s">
        <v>390</v>
      </c>
      <c r="D1299" s="396" t="s">
        <v>470</v>
      </c>
      <c r="E1299" s="103">
        <v>892</v>
      </c>
      <c r="F1299" s="103" t="s">
        <v>738</v>
      </c>
      <c r="G1299" s="414" t="s">
        <v>276</v>
      </c>
      <c r="H1299" s="103" t="s">
        <v>277</v>
      </c>
      <c r="I1299" s="104" t="s">
        <v>225</v>
      </c>
      <c r="J1299" s="103" t="s">
        <v>393</v>
      </c>
      <c r="K1299" s="103" t="s">
        <v>660</v>
      </c>
      <c r="L1299" s="103" t="s">
        <v>661</v>
      </c>
      <c r="M1299" s="103" t="s">
        <v>114</v>
      </c>
      <c r="N1299" s="254"/>
      <c r="O1299" s="103"/>
      <c r="P1299" s="254">
        <v>42.9</v>
      </c>
      <c r="Q1299" s="254"/>
      <c r="R1299" s="103"/>
      <c r="S1299" s="113">
        <f>10^(((LOG(P1299))*3.2052)+-2.3203)</f>
        <v>816.68036255820971</v>
      </c>
      <c r="T1299" s="103" t="s">
        <v>761</v>
      </c>
      <c r="U1299" s="254">
        <v>0.84899999999999998</v>
      </c>
      <c r="V1299" s="386">
        <v>43</v>
      </c>
      <c r="W1299" s="414" t="s">
        <v>694</v>
      </c>
    </row>
    <row r="1300" spans="1:23" ht="21" customHeight="1">
      <c r="A1300" s="103" t="s">
        <v>218</v>
      </c>
      <c r="B1300" s="103" t="s">
        <v>389</v>
      </c>
      <c r="C1300" s="421" t="s">
        <v>390</v>
      </c>
      <c r="D1300" s="396" t="s">
        <v>470</v>
      </c>
      <c r="E1300" s="103">
        <v>892</v>
      </c>
      <c r="F1300" s="103" t="s">
        <v>737</v>
      </c>
      <c r="G1300" s="414" t="s">
        <v>276</v>
      </c>
      <c r="H1300" s="103" t="s">
        <v>277</v>
      </c>
      <c r="I1300" s="104" t="s">
        <v>225</v>
      </c>
      <c r="J1300" s="103" t="s">
        <v>393</v>
      </c>
      <c r="K1300" s="103" t="s">
        <v>710</v>
      </c>
      <c r="L1300" s="103" t="s">
        <v>711</v>
      </c>
      <c r="M1300" s="103" t="s">
        <v>114</v>
      </c>
      <c r="N1300" s="254"/>
      <c r="O1300" s="103"/>
      <c r="P1300" s="254">
        <v>39.700000000000003</v>
      </c>
      <c r="Q1300" s="254"/>
      <c r="R1300" s="103"/>
      <c r="S1300" s="113">
        <f>10^((LOG(P1300)*3.3633)+-2.4637)</f>
        <v>819.43047474602702</v>
      </c>
      <c r="T1300" s="103" t="s">
        <v>712</v>
      </c>
      <c r="U1300" s="254">
        <v>0.93</v>
      </c>
      <c r="V1300" s="386">
        <v>24</v>
      </c>
      <c r="W1300" s="414" t="s">
        <v>713</v>
      </c>
    </row>
    <row r="1301" spans="1:23" ht="21" customHeight="1">
      <c r="A1301" s="103" t="s">
        <v>218</v>
      </c>
      <c r="B1301" s="103" t="s">
        <v>389</v>
      </c>
      <c r="C1301" s="421" t="s">
        <v>390</v>
      </c>
      <c r="D1301" s="396" t="s">
        <v>470</v>
      </c>
      <c r="E1301" s="103">
        <v>892</v>
      </c>
      <c r="F1301" s="103" t="s">
        <v>737</v>
      </c>
      <c r="G1301" s="414" t="s">
        <v>276</v>
      </c>
      <c r="H1301" s="103" t="s">
        <v>277</v>
      </c>
      <c r="I1301" s="104" t="s">
        <v>225</v>
      </c>
      <c r="J1301" s="103" t="s">
        <v>393</v>
      </c>
      <c r="K1301" s="103" t="s">
        <v>660</v>
      </c>
      <c r="L1301" s="103" t="s">
        <v>661</v>
      </c>
      <c r="M1301" s="103" t="s">
        <v>108</v>
      </c>
      <c r="N1301" s="254"/>
      <c r="O1301" s="103"/>
      <c r="P1301" s="254">
        <v>45.6</v>
      </c>
      <c r="Q1301" s="254"/>
      <c r="R1301" s="103"/>
      <c r="S1301" s="113">
        <f>10^(((LOG(P1301))*3.2052)+-2.3203)</f>
        <v>993.1483232443685</v>
      </c>
      <c r="T1301" s="103" t="s">
        <v>761</v>
      </c>
      <c r="U1301" s="254">
        <v>0.84899999999999998</v>
      </c>
      <c r="V1301" s="386">
        <v>43</v>
      </c>
      <c r="W1301" s="414" t="s">
        <v>694</v>
      </c>
    </row>
    <row r="1302" spans="1:23" ht="21" customHeight="1">
      <c r="A1302" s="104" t="s">
        <v>218</v>
      </c>
      <c r="B1302" s="104" t="s">
        <v>389</v>
      </c>
      <c r="C1302" s="454" t="s">
        <v>390</v>
      </c>
      <c r="D1302" s="105" t="s">
        <v>777</v>
      </c>
      <c r="E1302" s="104">
        <v>892</v>
      </c>
      <c r="F1302" s="104" t="s">
        <v>753</v>
      </c>
      <c r="G1302" s="106" t="s">
        <v>276</v>
      </c>
      <c r="H1302" s="104" t="s">
        <v>277</v>
      </c>
      <c r="I1302" s="104" t="s">
        <v>104</v>
      </c>
      <c r="J1302" s="104" t="s">
        <v>105</v>
      </c>
      <c r="K1302" s="104" t="s">
        <v>126</v>
      </c>
      <c r="L1302" s="104" t="s">
        <v>636</v>
      </c>
      <c r="M1302" s="104" t="s">
        <v>108</v>
      </c>
      <c r="N1302" s="108"/>
      <c r="O1302" s="104"/>
      <c r="P1302" s="108">
        <v>5</v>
      </c>
      <c r="Q1302" s="108">
        <v>1.925</v>
      </c>
      <c r="R1302" s="104" t="s">
        <v>17</v>
      </c>
      <c r="S1302" s="113">
        <f>10^(((LOG(P1302))*3.236)+0.745)</f>
        <v>1015.937366322028</v>
      </c>
      <c r="T1302" s="104" t="s">
        <v>717</v>
      </c>
      <c r="U1302" s="108">
        <v>0.92900000000000005</v>
      </c>
      <c r="V1302" s="107">
        <v>33.299999999999997</v>
      </c>
      <c r="W1302" s="106" t="s">
        <v>700</v>
      </c>
    </row>
    <row r="1303" spans="1:23" ht="21" customHeight="1">
      <c r="A1303" s="104" t="s">
        <v>218</v>
      </c>
      <c r="B1303" s="104" t="s">
        <v>389</v>
      </c>
      <c r="C1303" s="454" t="s">
        <v>390</v>
      </c>
      <c r="D1303" s="105" t="s">
        <v>777</v>
      </c>
      <c r="E1303" s="104">
        <v>892</v>
      </c>
      <c r="F1303" s="104">
        <v>434</v>
      </c>
      <c r="G1303" s="106" t="s">
        <v>276</v>
      </c>
      <c r="H1303" s="104" t="s">
        <v>277</v>
      </c>
      <c r="I1303" s="104" t="s">
        <v>104</v>
      </c>
      <c r="J1303" s="104" t="s">
        <v>105</v>
      </c>
      <c r="K1303" s="104" t="s">
        <v>126</v>
      </c>
      <c r="L1303" s="104" t="s">
        <v>636</v>
      </c>
      <c r="M1303" s="104"/>
      <c r="N1303" s="108"/>
      <c r="O1303" s="104"/>
      <c r="P1303" s="108">
        <v>5.0540000000000003</v>
      </c>
      <c r="Q1303" s="108">
        <v>1.6160000000000001</v>
      </c>
      <c r="R1303" s="104" t="s">
        <v>17</v>
      </c>
      <c r="S1303" s="113">
        <f>10^(((LOG(P1303))*3.236)+0.745)</f>
        <v>1051.8737780895681</v>
      </c>
      <c r="T1303" s="104" t="s">
        <v>717</v>
      </c>
      <c r="U1303" s="108">
        <v>0.92900000000000005</v>
      </c>
      <c r="V1303" s="107">
        <v>33.299999999999997</v>
      </c>
      <c r="W1303" s="106" t="s">
        <v>700</v>
      </c>
    </row>
    <row r="1304" spans="1:23" ht="21" customHeight="1">
      <c r="A1304" s="104" t="s">
        <v>218</v>
      </c>
      <c r="B1304" s="104" t="s">
        <v>389</v>
      </c>
      <c r="C1304" s="454" t="s">
        <v>390</v>
      </c>
      <c r="D1304" s="105" t="s">
        <v>777</v>
      </c>
      <c r="E1304" s="104">
        <v>892</v>
      </c>
      <c r="F1304" s="104" t="s">
        <v>753</v>
      </c>
      <c r="G1304" s="106" t="s">
        <v>276</v>
      </c>
      <c r="H1304" s="104" t="s">
        <v>277</v>
      </c>
      <c r="I1304" s="104" t="s">
        <v>104</v>
      </c>
      <c r="J1304" s="104" t="s">
        <v>105</v>
      </c>
      <c r="K1304" s="104" t="s">
        <v>126</v>
      </c>
      <c r="L1304" s="104" t="s">
        <v>636</v>
      </c>
      <c r="M1304" s="104" t="s">
        <v>108</v>
      </c>
      <c r="N1304" s="108"/>
      <c r="O1304" s="104"/>
      <c r="P1304" s="108">
        <v>5.1899999999999995</v>
      </c>
      <c r="Q1304" s="108">
        <v>1.623</v>
      </c>
      <c r="R1304" s="104" t="s">
        <v>17</v>
      </c>
      <c r="S1304" s="113">
        <f>10^(((LOG(P1304))*3.236)+0.745)</f>
        <v>1146.2558628284075</v>
      </c>
      <c r="T1304" s="104" t="s">
        <v>717</v>
      </c>
      <c r="U1304" s="108">
        <v>0.92900000000000005</v>
      </c>
      <c r="V1304" s="107">
        <v>33.299999999999997</v>
      </c>
      <c r="W1304" s="106" t="s">
        <v>700</v>
      </c>
    </row>
    <row r="1305" spans="1:23" ht="21" customHeight="1">
      <c r="A1305" s="104" t="s">
        <v>218</v>
      </c>
      <c r="B1305" s="104" t="s">
        <v>389</v>
      </c>
      <c r="C1305" s="454" t="s">
        <v>390</v>
      </c>
      <c r="D1305" s="105" t="s">
        <v>151</v>
      </c>
      <c r="E1305" s="104">
        <v>892</v>
      </c>
      <c r="F1305" s="104">
        <v>258</v>
      </c>
      <c r="G1305" s="106" t="s">
        <v>276</v>
      </c>
      <c r="H1305" s="104" t="s">
        <v>277</v>
      </c>
      <c r="I1305" s="104" t="s">
        <v>104</v>
      </c>
      <c r="J1305" s="104" t="s">
        <v>105</v>
      </c>
      <c r="K1305" s="104" t="s">
        <v>810</v>
      </c>
      <c r="L1305" s="104" t="s">
        <v>734</v>
      </c>
      <c r="M1305" s="104" t="s">
        <v>114</v>
      </c>
      <c r="N1305" s="108"/>
      <c r="O1305" s="104"/>
      <c r="P1305" s="108">
        <v>2.4950000000000001</v>
      </c>
      <c r="Q1305" s="108">
        <v>1.573</v>
      </c>
      <c r="R1305" s="104" t="s">
        <v>17</v>
      </c>
      <c r="S1305" s="113">
        <f>10^(((LOG(P1305))*3.375)+1.119)</f>
        <v>287.81478917545957</v>
      </c>
      <c r="T1305" s="104" t="s">
        <v>699</v>
      </c>
      <c r="U1305" s="108">
        <v>0.93</v>
      </c>
      <c r="V1305" s="107">
        <v>33.6</v>
      </c>
      <c r="W1305" s="106" t="s">
        <v>700</v>
      </c>
    </row>
    <row r="1306" spans="1:23" ht="21" customHeight="1">
      <c r="A1306" s="104" t="s">
        <v>218</v>
      </c>
      <c r="B1306" s="104" t="s">
        <v>389</v>
      </c>
      <c r="C1306" s="454" t="s">
        <v>390</v>
      </c>
      <c r="D1306" s="105" t="s">
        <v>151</v>
      </c>
      <c r="E1306" s="104">
        <v>892</v>
      </c>
      <c r="F1306" s="104" t="s">
        <v>753</v>
      </c>
      <c r="G1306" s="106" t="s">
        <v>276</v>
      </c>
      <c r="H1306" s="104" t="s">
        <v>277</v>
      </c>
      <c r="I1306" s="104" t="s">
        <v>104</v>
      </c>
      <c r="J1306" s="104" t="s">
        <v>105</v>
      </c>
      <c r="K1306" s="104" t="s">
        <v>126</v>
      </c>
      <c r="L1306" s="104" t="s">
        <v>636</v>
      </c>
      <c r="M1306" s="104" t="s">
        <v>108</v>
      </c>
      <c r="N1306" s="108"/>
      <c r="O1306" s="104"/>
      <c r="P1306" s="108">
        <v>3.9889999999999999</v>
      </c>
      <c r="Q1306" s="108">
        <v>1.3240000000000001</v>
      </c>
      <c r="R1306" s="104" t="s">
        <v>17</v>
      </c>
      <c r="S1306" s="113">
        <f>10^(((LOG(P1306))*3.236)+0.745)</f>
        <v>489.09815155517663</v>
      </c>
      <c r="T1306" s="104" t="s">
        <v>717</v>
      </c>
      <c r="U1306" s="108">
        <v>0.92900000000000005</v>
      </c>
      <c r="V1306" s="107">
        <v>33.299999999999997</v>
      </c>
      <c r="W1306" s="106" t="s">
        <v>700</v>
      </c>
    </row>
    <row r="1307" spans="1:23" ht="21" customHeight="1">
      <c r="A1307" s="104" t="s">
        <v>218</v>
      </c>
      <c r="B1307" s="104" t="s">
        <v>389</v>
      </c>
      <c r="C1307" s="454" t="s">
        <v>390</v>
      </c>
      <c r="D1307" s="105" t="s">
        <v>151</v>
      </c>
      <c r="E1307" s="104">
        <v>892</v>
      </c>
      <c r="F1307" s="104" t="s">
        <v>753</v>
      </c>
      <c r="G1307" s="106" t="s">
        <v>276</v>
      </c>
      <c r="H1307" s="104" t="s">
        <v>277</v>
      </c>
      <c r="I1307" s="104" t="s">
        <v>104</v>
      </c>
      <c r="J1307" s="104" t="s">
        <v>105</v>
      </c>
      <c r="K1307" s="104" t="s">
        <v>209</v>
      </c>
      <c r="L1307" s="104" t="s">
        <v>684</v>
      </c>
      <c r="M1307" s="104" t="s">
        <v>108</v>
      </c>
      <c r="N1307" s="108"/>
      <c r="O1307" s="104"/>
      <c r="P1307" s="108">
        <v>3.0489999999999999</v>
      </c>
      <c r="Q1307" s="108">
        <v>1.5130000000000001</v>
      </c>
      <c r="R1307" s="104" t="s">
        <v>17</v>
      </c>
      <c r="S1307" s="113">
        <f>10^(((LOG(P1307))*3.375)+1.119)</f>
        <v>566.2801093230197</v>
      </c>
      <c r="T1307" s="104" t="s">
        <v>699</v>
      </c>
      <c r="U1307" s="108">
        <v>0.93</v>
      </c>
      <c r="V1307" s="107">
        <v>33.6</v>
      </c>
      <c r="W1307" s="106" t="s">
        <v>700</v>
      </c>
    </row>
    <row r="1308" spans="1:23" ht="21" customHeight="1">
      <c r="A1308" s="104" t="s">
        <v>218</v>
      </c>
      <c r="B1308" s="104" t="s">
        <v>389</v>
      </c>
      <c r="C1308" s="454" t="s">
        <v>390</v>
      </c>
      <c r="D1308" s="105" t="s">
        <v>151</v>
      </c>
      <c r="E1308" s="104">
        <v>892</v>
      </c>
      <c r="F1308" s="104">
        <v>77</v>
      </c>
      <c r="G1308" s="106" t="s">
        <v>276</v>
      </c>
      <c r="H1308" s="104" t="s">
        <v>277</v>
      </c>
      <c r="I1308" s="104" t="s">
        <v>104</v>
      </c>
      <c r="J1308" s="104" t="s">
        <v>105</v>
      </c>
      <c r="K1308" s="106" t="s">
        <v>143</v>
      </c>
      <c r="L1308" s="104" t="s">
        <v>708</v>
      </c>
      <c r="M1308" s="104" t="s">
        <v>108</v>
      </c>
      <c r="N1308" s="108"/>
      <c r="O1308" s="104"/>
      <c r="P1308" s="108">
        <v>3.2299999999999995</v>
      </c>
      <c r="Q1308" s="108">
        <v>2.8170000000000002</v>
      </c>
      <c r="R1308" s="104" t="s">
        <v>17</v>
      </c>
      <c r="S1308" s="113">
        <f>((10^((3.395*LOG((P1308))+1.061))))</f>
        <v>616.22961122606364</v>
      </c>
      <c r="T1308" s="104" t="s">
        <v>709</v>
      </c>
      <c r="U1308" s="108">
        <v>0.91200000000000003</v>
      </c>
      <c r="V1308" s="107">
        <v>36.5</v>
      </c>
      <c r="W1308" s="106" t="s">
        <v>700</v>
      </c>
    </row>
    <row r="1309" spans="1:23" ht="21" customHeight="1">
      <c r="A1309" s="104" t="s">
        <v>218</v>
      </c>
      <c r="B1309" s="104" t="s">
        <v>389</v>
      </c>
      <c r="C1309" s="454" t="s">
        <v>390</v>
      </c>
      <c r="D1309" s="105" t="s">
        <v>151</v>
      </c>
      <c r="E1309" s="104">
        <v>892</v>
      </c>
      <c r="F1309" s="104" t="s">
        <v>753</v>
      </c>
      <c r="G1309" s="106" t="s">
        <v>276</v>
      </c>
      <c r="H1309" s="104" t="s">
        <v>277</v>
      </c>
      <c r="I1309" s="104" t="s">
        <v>104</v>
      </c>
      <c r="J1309" s="104" t="s">
        <v>105</v>
      </c>
      <c r="K1309" s="104" t="s">
        <v>209</v>
      </c>
      <c r="L1309" s="104" t="s">
        <v>684</v>
      </c>
      <c r="M1309" s="104" t="s">
        <v>114</v>
      </c>
      <c r="N1309" s="108"/>
      <c r="O1309" s="104"/>
      <c r="P1309" s="108">
        <v>3.1930000000000001</v>
      </c>
      <c r="Q1309" s="108">
        <v>2.13</v>
      </c>
      <c r="R1309" s="104" t="s">
        <v>17</v>
      </c>
      <c r="S1309" s="113">
        <f>10^(((LOG(P1309))*3.375)+1.119)</f>
        <v>661.71556461766761</v>
      </c>
      <c r="T1309" s="104" t="s">
        <v>699</v>
      </c>
      <c r="U1309" s="108">
        <v>0.93</v>
      </c>
      <c r="V1309" s="107">
        <v>33.6</v>
      </c>
      <c r="W1309" s="106" t="s">
        <v>700</v>
      </c>
    </row>
    <row r="1310" spans="1:23" ht="21" customHeight="1">
      <c r="A1310" s="104" t="s">
        <v>218</v>
      </c>
      <c r="B1310" s="104" t="s">
        <v>389</v>
      </c>
      <c r="C1310" s="454" t="s">
        <v>390</v>
      </c>
      <c r="D1310" s="105" t="s">
        <v>151</v>
      </c>
      <c r="E1310" s="104">
        <v>892</v>
      </c>
      <c r="F1310" s="104" t="s">
        <v>753</v>
      </c>
      <c r="G1310" s="106" t="s">
        <v>276</v>
      </c>
      <c r="H1310" s="104" t="s">
        <v>277</v>
      </c>
      <c r="I1310" s="104" t="s">
        <v>104</v>
      </c>
      <c r="J1310" s="104" t="s">
        <v>105</v>
      </c>
      <c r="K1310" s="104" t="s">
        <v>112</v>
      </c>
      <c r="L1310" s="104" t="s">
        <v>663</v>
      </c>
      <c r="M1310" s="104" t="s">
        <v>108</v>
      </c>
      <c r="N1310" s="108"/>
      <c r="O1310" s="104"/>
      <c r="P1310" s="108">
        <v>2.6190000000000002</v>
      </c>
      <c r="Q1310" s="108">
        <v>1.6800000000000002</v>
      </c>
      <c r="R1310" s="104" t="s">
        <v>17</v>
      </c>
      <c r="S1310" s="113">
        <f>10^((3.52*LOG((P1310))+1.372))</f>
        <v>697.97031851298664</v>
      </c>
      <c r="T1310" s="104" t="s">
        <v>718</v>
      </c>
      <c r="U1310" s="108">
        <v>0.93</v>
      </c>
      <c r="V1310" s="107">
        <v>34</v>
      </c>
      <c r="W1310" s="106" t="s">
        <v>700</v>
      </c>
    </row>
    <row r="1311" spans="1:23" ht="21" customHeight="1">
      <c r="A1311" s="104" t="s">
        <v>218</v>
      </c>
      <c r="B1311" s="104" t="s">
        <v>389</v>
      </c>
      <c r="C1311" s="454" t="s">
        <v>390</v>
      </c>
      <c r="D1311" s="105" t="s">
        <v>151</v>
      </c>
      <c r="E1311" s="104">
        <v>892</v>
      </c>
      <c r="F1311" s="104">
        <v>258</v>
      </c>
      <c r="G1311" s="106" t="s">
        <v>276</v>
      </c>
      <c r="H1311" s="104" t="s">
        <v>277</v>
      </c>
      <c r="I1311" s="104" t="s">
        <v>104</v>
      </c>
      <c r="J1311" s="104" t="s">
        <v>105</v>
      </c>
      <c r="K1311" s="104" t="s">
        <v>126</v>
      </c>
      <c r="L1311" s="104" t="s">
        <v>636</v>
      </c>
      <c r="M1311" s="104" t="s">
        <v>108</v>
      </c>
      <c r="N1311" s="108"/>
      <c r="O1311" s="104"/>
      <c r="P1311" s="108">
        <v>4.5140000000000002</v>
      </c>
      <c r="Q1311" s="108">
        <v>1.59</v>
      </c>
      <c r="R1311" s="104" t="s">
        <v>17</v>
      </c>
      <c r="S1311" s="113">
        <f>10^(((LOG(P1311))*3.236)+0.745)</f>
        <v>729.72830327417103</v>
      </c>
      <c r="T1311" s="104" t="s">
        <v>717</v>
      </c>
      <c r="U1311" s="108">
        <v>0.92900000000000005</v>
      </c>
      <c r="V1311" s="107">
        <v>33.299999999999997</v>
      </c>
      <c r="W1311" s="106" t="s">
        <v>700</v>
      </c>
    </row>
    <row r="1312" spans="1:23" ht="21" customHeight="1">
      <c r="A1312" s="104" t="s">
        <v>218</v>
      </c>
      <c r="B1312" s="104" t="s">
        <v>389</v>
      </c>
      <c r="C1312" s="454" t="s">
        <v>390</v>
      </c>
      <c r="D1312" s="105" t="s">
        <v>151</v>
      </c>
      <c r="E1312" s="104">
        <v>892</v>
      </c>
      <c r="F1312" s="104">
        <v>2</v>
      </c>
      <c r="G1312" s="106" t="s">
        <v>276</v>
      </c>
      <c r="H1312" s="104" t="s">
        <v>277</v>
      </c>
      <c r="I1312" s="104" t="s">
        <v>104</v>
      </c>
      <c r="J1312" s="104" t="s">
        <v>105</v>
      </c>
      <c r="K1312" s="104" t="s">
        <v>126</v>
      </c>
      <c r="L1312" s="104" t="s">
        <v>636</v>
      </c>
      <c r="M1312" s="104" t="s">
        <v>108</v>
      </c>
      <c r="N1312" s="108"/>
      <c r="O1312" s="104"/>
      <c r="P1312" s="108">
        <v>4.5529999999999999</v>
      </c>
      <c r="Q1312" s="108">
        <v>1.9300000000000002</v>
      </c>
      <c r="R1312" s="104" t="s">
        <v>17</v>
      </c>
      <c r="S1312" s="113">
        <f>10^(((LOG(P1312))*3.236)+0.745)</f>
        <v>750.32807441482225</v>
      </c>
      <c r="T1312" s="104" t="s">
        <v>717</v>
      </c>
      <c r="U1312" s="108">
        <v>0.92900000000000005</v>
      </c>
      <c r="V1312" s="107">
        <v>33.299999999999997</v>
      </c>
      <c r="W1312" s="106" t="s">
        <v>700</v>
      </c>
    </row>
    <row r="1313" spans="1:23" ht="21" customHeight="1">
      <c r="A1313" s="104" t="s">
        <v>218</v>
      </c>
      <c r="B1313" s="104" t="s">
        <v>389</v>
      </c>
      <c r="C1313" s="454" t="s">
        <v>390</v>
      </c>
      <c r="D1313" s="105" t="s">
        <v>151</v>
      </c>
      <c r="E1313" s="104">
        <v>892</v>
      </c>
      <c r="F1313" s="104">
        <v>474</v>
      </c>
      <c r="G1313" s="106" t="s">
        <v>276</v>
      </c>
      <c r="H1313" s="104" t="s">
        <v>277</v>
      </c>
      <c r="I1313" s="104" t="s">
        <v>104</v>
      </c>
      <c r="J1313" s="104" t="s">
        <v>105</v>
      </c>
      <c r="K1313" s="104" t="s">
        <v>209</v>
      </c>
      <c r="L1313" s="104" t="s">
        <v>684</v>
      </c>
      <c r="M1313" s="104" t="s">
        <v>108</v>
      </c>
      <c r="N1313" s="108"/>
      <c r="O1313" s="104"/>
      <c r="P1313" s="108">
        <v>3.3380000000000001</v>
      </c>
      <c r="Q1313" s="108">
        <v>1.3980000000000001</v>
      </c>
      <c r="R1313" s="104" t="s">
        <v>17</v>
      </c>
      <c r="S1313" s="113">
        <f>10^(((LOG(P1313))*3.375)+1.119)</f>
        <v>768.71679849935811</v>
      </c>
      <c r="T1313" s="104" t="s">
        <v>699</v>
      </c>
      <c r="U1313" s="108">
        <v>0.93</v>
      </c>
      <c r="V1313" s="107">
        <v>33.6</v>
      </c>
      <c r="W1313" s="106" t="s">
        <v>700</v>
      </c>
    </row>
    <row r="1314" spans="1:23" ht="21" customHeight="1">
      <c r="A1314" s="104" t="s">
        <v>218</v>
      </c>
      <c r="B1314" s="104" t="s">
        <v>389</v>
      </c>
      <c r="C1314" s="454" t="s">
        <v>390</v>
      </c>
      <c r="D1314" s="105" t="s">
        <v>151</v>
      </c>
      <c r="E1314" s="104">
        <v>892</v>
      </c>
      <c r="F1314" s="104">
        <v>348</v>
      </c>
      <c r="G1314" s="106" t="s">
        <v>276</v>
      </c>
      <c r="H1314" s="104" t="s">
        <v>277</v>
      </c>
      <c r="I1314" s="104" t="s">
        <v>104</v>
      </c>
      <c r="J1314" s="104" t="s">
        <v>105</v>
      </c>
      <c r="K1314" s="104" t="s">
        <v>729</v>
      </c>
      <c r="L1314" s="104" t="s">
        <v>730</v>
      </c>
      <c r="M1314" s="104"/>
      <c r="N1314" s="108"/>
      <c r="O1314" s="104"/>
      <c r="P1314" s="108">
        <v>3.125</v>
      </c>
      <c r="Q1314" s="108">
        <v>1.45</v>
      </c>
      <c r="R1314" s="104" t="s">
        <v>17</v>
      </c>
      <c r="S1314" s="113">
        <f>((10^((3.52*LOG((P1314))+1.372)) +( 10^((3.375*LOG((P1314))+1.119))) +10^((3.395*LOG((P1314))+1.061)))/3)</f>
        <v>821.98654557532257</v>
      </c>
      <c r="T1314" s="104" t="s">
        <v>901</v>
      </c>
      <c r="U1314" s="108">
        <v>0.91</v>
      </c>
      <c r="V1314" s="107">
        <v>36</v>
      </c>
      <c r="W1314" s="106" t="s">
        <v>732</v>
      </c>
    </row>
    <row r="1315" spans="1:23" ht="21" customHeight="1">
      <c r="A1315" s="104" t="s">
        <v>218</v>
      </c>
      <c r="B1315" s="104" t="s">
        <v>389</v>
      </c>
      <c r="C1315" s="454" t="s">
        <v>390</v>
      </c>
      <c r="D1315" s="105" t="s">
        <v>151</v>
      </c>
      <c r="E1315" s="104">
        <v>892</v>
      </c>
      <c r="F1315" s="104" t="s">
        <v>753</v>
      </c>
      <c r="G1315" s="106" t="s">
        <v>276</v>
      </c>
      <c r="H1315" s="104" t="s">
        <v>277</v>
      </c>
      <c r="I1315" s="104" t="s">
        <v>104</v>
      </c>
      <c r="J1315" s="104" t="s">
        <v>105</v>
      </c>
      <c r="K1315" s="104" t="s">
        <v>209</v>
      </c>
      <c r="L1315" s="104" t="s">
        <v>684</v>
      </c>
      <c r="M1315" s="104" t="s">
        <v>108</v>
      </c>
      <c r="N1315" s="108"/>
      <c r="O1315" s="104"/>
      <c r="P1315" s="108">
        <v>3.45</v>
      </c>
      <c r="Q1315" s="108">
        <v>2.17</v>
      </c>
      <c r="R1315" s="104" t="s">
        <v>17</v>
      </c>
      <c r="S1315" s="113">
        <f>10^(((LOG(P1315))*3.375)+1.119)</f>
        <v>859.28938299491574</v>
      </c>
      <c r="T1315" s="104" t="s">
        <v>699</v>
      </c>
      <c r="U1315" s="108">
        <v>0.93</v>
      </c>
      <c r="V1315" s="107">
        <v>33.6</v>
      </c>
      <c r="W1315" s="106" t="s">
        <v>700</v>
      </c>
    </row>
    <row r="1316" spans="1:23" ht="21" customHeight="1">
      <c r="A1316" s="104" t="s">
        <v>218</v>
      </c>
      <c r="B1316" s="104" t="s">
        <v>389</v>
      </c>
      <c r="C1316" s="454" t="s">
        <v>390</v>
      </c>
      <c r="D1316" s="105" t="s">
        <v>151</v>
      </c>
      <c r="E1316" s="104">
        <v>892</v>
      </c>
      <c r="F1316" s="104">
        <v>19</v>
      </c>
      <c r="G1316" s="106" t="s">
        <v>276</v>
      </c>
      <c r="H1316" s="104" t="s">
        <v>277</v>
      </c>
      <c r="I1316" s="104" t="s">
        <v>104</v>
      </c>
      <c r="J1316" s="104" t="s">
        <v>105</v>
      </c>
      <c r="K1316" s="104" t="s">
        <v>126</v>
      </c>
      <c r="L1316" s="104" t="s">
        <v>636</v>
      </c>
      <c r="M1316" s="104" t="s">
        <v>114</v>
      </c>
      <c r="N1316" s="108"/>
      <c r="O1316" s="104"/>
      <c r="P1316" s="108">
        <v>4.8100000000000005</v>
      </c>
      <c r="Q1316" s="108">
        <v>1.732</v>
      </c>
      <c r="R1316" s="104" t="s">
        <v>17</v>
      </c>
      <c r="S1316" s="113">
        <f>10^(((LOG(P1316))*3.236)+0.745)</f>
        <v>896.23410655564328</v>
      </c>
      <c r="T1316" s="104" t="s">
        <v>717</v>
      </c>
      <c r="U1316" s="108">
        <v>0.92900000000000005</v>
      </c>
      <c r="V1316" s="107">
        <v>33.299999999999997</v>
      </c>
      <c r="W1316" s="106" t="s">
        <v>700</v>
      </c>
    </row>
    <row r="1317" spans="1:23" ht="21" customHeight="1">
      <c r="A1317" s="104" t="s">
        <v>218</v>
      </c>
      <c r="B1317" s="104" t="s">
        <v>389</v>
      </c>
      <c r="C1317" s="454" t="s">
        <v>390</v>
      </c>
      <c r="D1317" s="105" t="s">
        <v>151</v>
      </c>
      <c r="E1317" s="104">
        <v>892</v>
      </c>
      <c r="F1317" s="104">
        <v>437</v>
      </c>
      <c r="G1317" s="106" t="s">
        <v>276</v>
      </c>
      <c r="H1317" s="104" t="s">
        <v>277</v>
      </c>
      <c r="I1317" s="104" t="s">
        <v>104</v>
      </c>
      <c r="J1317" s="104" t="s">
        <v>105</v>
      </c>
      <c r="K1317" s="104" t="s">
        <v>126</v>
      </c>
      <c r="L1317" s="104" t="s">
        <v>636</v>
      </c>
      <c r="M1317" s="104"/>
      <c r="N1317" s="108"/>
      <c r="O1317" s="104"/>
      <c r="P1317" s="108">
        <v>4.84</v>
      </c>
      <c r="Q1317" s="108">
        <v>1.6879999999999999</v>
      </c>
      <c r="R1317" s="104" t="s">
        <v>17</v>
      </c>
      <c r="S1317" s="113">
        <f>10^(((LOG(P1317))*3.236)+0.745)</f>
        <v>914.44921257433589</v>
      </c>
      <c r="T1317" s="104" t="s">
        <v>717</v>
      </c>
      <c r="U1317" s="108">
        <v>0.92900000000000005</v>
      </c>
      <c r="V1317" s="107">
        <v>33.299999999999997</v>
      </c>
      <c r="W1317" s="106" t="s">
        <v>700</v>
      </c>
    </row>
    <row r="1318" spans="1:23" ht="21" customHeight="1">
      <c r="A1318" s="104" t="s">
        <v>218</v>
      </c>
      <c r="B1318" s="104" t="s">
        <v>389</v>
      </c>
      <c r="C1318" s="454" t="s">
        <v>390</v>
      </c>
      <c r="D1318" s="105" t="s">
        <v>151</v>
      </c>
      <c r="E1318" s="104">
        <v>892</v>
      </c>
      <c r="F1318" s="104">
        <v>568</v>
      </c>
      <c r="G1318" s="106" t="s">
        <v>276</v>
      </c>
      <c r="H1318" s="104" t="s">
        <v>277</v>
      </c>
      <c r="I1318" s="104" t="s">
        <v>104</v>
      </c>
      <c r="J1318" s="104" t="s">
        <v>105</v>
      </c>
      <c r="K1318" s="104" t="s">
        <v>166</v>
      </c>
      <c r="L1318" s="104" t="s">
        <v>939</v>
      </c>
      <c r="M1318" s="104" t="s">
        <v>108</v>
      </c>
      <c r="N1318" s="108"/>
      <c r="O1318" s="104"/>
      <c r="P1318" s="108">
        <v>3.5869999999999997</v>
      </c>
      <c r="Q1318" s="108">
        <v>2.4699999999999998</v>
      </c>
      <c r="R1318" s="104" t="s">
        <v>17</v>
      </c>
      <c r="S1318" s="113">
        <f>((( 10^((3.375*LOG((P1318))+1.119))) +10^((3.395*LOG((P1318))+1.061)))/2)</f>
        <v>929.81949213834469</v>
      </c>
      <c r="T1318" s="104" t="s">
        <v>940</v>
      </c>
      <c r="U1318" s="108">
        <v>0.91</v>
      </c>
      <c r="V1318" s="107">
        <v>36</v>
      </c>
      <c r="W1318" s="106" t="s">
        <v>732</v>
      </c>
    </row>
    <row r="1319" spans="1:23" ht="21" customHeight="1">
      <c r="A1319" s="104" t="s">
        <v>218</v>
      </c>
      <c r="B1319" s="104" t="s">
        <v>389</v>
      </c>
      <c r="C1319" s="454" t="s">
        <v>390</v>
      </c>
      <c r="D1319" s="105" t="s">
        <v>151</v>
      </c>
      <c r="E1319" s="104">
        <v>892</v>
      </c>
      <c r="F1319" s="104">
        <v>433.1</v>
      </c>
      <c r="G1319" s="106" t="s">
        <v>276</v>
      </c>
      <c r="H1319" s="104" t="s">
        <v>277</v>
      </c>
      <c r="I1319" s="104" t="s">
        <v>104</v>
      </c>
      <c r="J1319" s="104" t="s">
        <v>105</v>
      </c>
      <c r="K1319" s="104" t="s">
        <v>126</v>
      </c>
      <c r="L1319" s="104" t="s">
        <v>636</v>
      </c>
      <c r="M1319" s="104" t="s">
        <v>108</v>
      </c>
      <c r="N1319" s="108"/>
      <c r="O1319" s="104"/>
      <c r="P1319" s="108">
        <v>4.8689999999999998</v>
      </c>
      <c r="Q1319" s="108">
        <v>1.7440000000000002</v>
      </c>
      <c r="R1319" s="104" t="s">
        <v>17</v>
      </c>
      <c r="S1319" s="113">
        <f>10^(((LOG(P1319))*3.236)+0.745)</f>
        <v>932.29876824506744</v>
      </c>
      <c r="T1319" s="104" t="s">
        <v>717</v>
      </c>
      <c r="U1319" s="108">
        <v>0.92900000000000005</v>
      </c>
      <c r="V1319" s="107">
        <v>33.299999999999997</v>
      </c>
      <c r="W1319" s="106" t="s">
        <v>700</v>
      </c>
    </row>
    <row r="1320" spans="1:23" ht="21" customHeight="1">
      <c r="A1320" s="104" t="s">
        <v>218</v>
      </c>
      <c r="B1320" s="104" t="s">
        <v>389</v>
      </c>
      <c r="C1320" s="454" t="s">
        <v>390</v>
      </c>
      <c r="D1320" s="105" t="s">
        <v>151</v>
      </c>
      <c r="E1320" s="104">
        <v>892</v>
      </c>
      <c r="F1320" s="104" t="s">
        <v>753</v>
      </c>
      <c r="G1320" s="106" t="s">
        <v>276</v>
      </c>
      <c r="H1320" s="104" t="s">
        <v>277</v>
      </c>
      <c r="I1320" s="104" t="s">
        <v>104</v>
      </c>
      <c r="J1320" s="104" t="s">
        <v>105</v>
      </c>
      <c r="K1320" s="104" t="s">
        <v>112</v>
      </c>
      <c r="L1320" s="104" t="s">
        <v>663</v>
      </c>
      <c r="M1320" s="104" t="s">
        <v>114</v>
      </c>
      <c r="N1320" s="108"/>
      <c r="O1320" s="104"/>
      <c r="P1320" s="108">
        <v>2.851</v>
      </c>
      <c r="Q1320" s="108">
        <v>1.9600000000000002</v>
      </c>
      <c r="R1320" s="104" t="s">
        <v>17</v>
      </c>
      <c r="S1320" s="113">
        <f>10^((3.52*LOG((P1320))+1.372))</f>
        <v>941.00125996025974</v>
      </c>
      <c r="T1320" s="104" t="s">
        <v>718</v>
      </c>
      <c r="U1320" s="108">
        <v>0.93</v>
      </c>
      <c r="V1320" s="107">
        <v>34</v>
      </c>
      <c r="W1320" s="106" t="s">
        <v>700</v>
      </c>
    </row>
    <row r="1321" spans="1:23" ht="21" customHeight="1">
      <c r="A1321" s="104" t="s">
        <v>218</v>
      </c>
      <c r="B1321" s="104" t="s">
        <v>389</v>
      </c>
      <c r="C1321" s="454" t="s">
        <v>390</v>
      </c>
      <c r="D1321" s="105" t="s">
        <v>151</v>
      </c>
      <c r="E1321" s="104">
        <v>892</v>
      </c>
      <c r="F1321" s="104" t="s">
        <v>753</v>
      </c>
      <c r="G1321" s="106" t="s">
        <v>276</v>
      </c>
      <c r="H1321" s="104" t="s">
        <v>277</v>
      </c>
      <c r="I1321" s="104" t="s">
        <v>104</v>
      </c>
      <c r="J1321" s="104" t="s">
        <v>105</v>
      </c>
      <c r="K1321" s="104" t="s">
        <v>126</v>
      </c>
      <c r="L1321" s="104" t="s">
        <v>636</v>
      </c>
      <c r="M1321" s="104"/>
      <c r="N1321" s="108"/>
      <c r="O1321" s="104"/>
      <c r="P1321" s="108">
        <v>4.9030000000000005</v>
      </c>
      <c r="Q1321" s="108">
        <v>1.552</v>
      </c>
      <c r="R1321" s="104" t="s">
        <v>17</v>
      </c>
      <c r="S1321" s="113">
        <f>10^(((LOG(P1321))*3.236)+0.745)</f>
        <v>953.53071390941761</v>
      </c>
      <c r="T1321" s="104" t="s">
        <v>717</v>
      </c>
      <c r="U1321" s="108">
        <v>0.92900000000000005</v>
      </c>
      <c r="V1321" s="107">
        <v>33.299999999999997</v>
      </c>
      <c r="W1321" s="106" t="s">
        <v>700</v>
      </c>
    </row>
    <row r="1322" spans="1:23" ht="21" customHeight="1">
      <c r="A1322" s="104" t="s">
        <v>218</v>
      </c>
      <c r="B1322" s="104" t="s">
        <v>389</v>
      </c>
      <c r="C1322" s="454" t="s">
        <v>390</v>
      </c>
      <c r="D1322" s="105" t="s">
        <v>151</v>
      </c>
      <c r="E1322" s="104">
        <v>892</v>
      </c>
      <c r="F1322" s="104" t="s">
        <v>753</v>
      </c>
      <c r="G1322" s="106" t="s">
        <v>276</v>
      </c>
      <c r="H1322" s="104" t="s">
        <v>277</v>
      </c>
      <c r="I1322" s="104" t="s">
        <v>104</v>
      </c>
      <c r="J1322" s="104" t="s">
        <v>105</v>
      </c>
      <c r="K1322" s="104" t="s">
        <v>729</v>
      </c>
      <c r="L1322" s="104" t="s">
        <v>730</v>
      </c>
      <c r="M1322" s="104"/>
      <c r="N1322" s="108"/>
      <c r="O1322" s="104"/>
      <c r="P1322" s="108">
        <v>3.274</v>
      </c>
      <c r="Q1322" s="108">
        <v>1.5740000000000001</v>
      </c>
      <c r="R1322" s="104" t="s">
        <v>17</v>
      </c>
      <c r="S1322" s="113">
        <f>((10^((3.52*LOG((P1322))+1.372)) +( 10^((3.375*LOG((P1322))+1.119))) +10^((3.395*LOG((P1322))+1.061)))/3)</f>
        <v>965.55052797338556</v>
      </c>
      <c r="T1322" s="104" t="s">
        <v>731</v>
      </c>
      <c r="U1322" s="108">
        <v>0.91</v>
      </c>
      <c r="V1322" s="107">
        <v>36</v>
      </c>
      <c r="W1322" s="106" t="s">
        <v>732</v>
      </c>
    </row>
    <row r="1323" spans="1:23" ht="21" customHeight="1">
      <c r="A1323" s="104" t="s">
        <v>218</v>
      </c>
      <c r="B1323" s="104" t="s">
        <v>389</v>
      </c>
      <c r="C1323" s="454" t="s">
        <v>390</v>
      </c>
      <c r="D1323" s="105" t="s">
        <v>151</v>
      </c>
      <c r="E1323" s="104">
        <v>892</v>
      </c>
      <c r="F1323" s="104" t="s">
        <v>753</v>
      </c>
      <c r="G1323" s="106" t="s">
        <v>276</v>
      </c>
      <c r="H1323" s="104" t="s">
        <v>277</v>
      </c>
      <c r="I1323" s="104" t="s">
        <v>104</v>
      </c>
      <c r="J1323" s="104" t="s">
        <v>105</v>
      </c>
      <c r="K1323" s="106" t="s">
        <v>733</v>
      </c>
      <c r="L1323" s="104" t="s">
        <v>734</v>
      </c>
      <c r="M1323" s="104"/>
      <c r="N1323" s="108"/>
      <c r="O1323" s="104"/>
      <c r="P1323" s="108">
        <v>3.9049999999999998</v>
      </c>
      <c r="Q1323" s="108">
        <v>2.73</v>
      </c>
      <c r="R1323" s="104" t="s">
        <v>17</v>
      </c>
      <c r="S1323" s="113">
        <f>((10^((3.236*LOG((P1323))+0.745)) +( 10^((3.375*LOG((P1323))+1.119))) +10^((3.395*LOG((P1323))+1.061)))/3)</f>
        <v>978.52310285337751</v>
      </c>
      <c r="T1323" s="104" t="s">
        <v>735</v>
      </c>
      <c r="U1323" s="108">
        <v>0.91</v>
      </c>
      <c r="V1323" s="107">
        <v>36</v>
      </c>
      <c r="W1323" s="106" t="s">
        <v>732</v>
      </c>
    </row>
    <row r="1324" spans="1:23" ht="21" customHeight="1">
      <c r="A1324" s="104" t="s">
        <v>218</v>
      </c>
      <c r="B1324" s="104" t="s">
        <v>389</v>
      </c>
      <c r="C1324" s="454" t="s">
        <v>390</v>
      </c>
      <c r="D1324" s="105" t="s">
        <v>151</v>
      </c>
      <c r="E1324" s="104">
        <v>892</v>
      </c>
      <c r="F1324" s="104" t="s">
        <v>753</v>
      </c>
      <c r="G1324" s="106" t="s">
        <v>276</v>
      </c>
      <c r="H1324" s="104" t="s">
        <v>277</v>
      </c>
      <c r="I1324" s="104" t="s">
        <v>104</v>
      </c>
      <c r="J1324" s="104" t="s">
        <v>105</v>
      </c>
      <c r="K1324" s="104" t="s">
        <v>729</v>
      </c>
      <c r="L1324" s="104" t="s">
        <v>730</v>
      </c>
      <c r="M1324" s="104"/>
      <c r="N1324" s="108"/>
      <c r="O1324" s="104"/>
      <c r="P1324" s="108">
        <v>3.2920000000000003</v>
      </c>
      <c r="Q1324" s="108">
        <v>2.29</v>
      </c>
      <c r="R1324" s="104" t="s">
        <v>17</v>
      </c>
      <c r="S1324" s="113">
        <f>((10^((3.52*LOG((P1324))+1.372)) +( 10^((3.375*LOG((P1324))+1.119))) +10^((3.395*LOG((P1324))+1.061)))/3)</f>
        <v>984.02143806007325</v>
      </c>
      <c r="T1324" s="104" t="s">
        <v>731</v>
      </c>
      <c r="U1324" s="108">
        <v>0.91</v>
      </c>
      <c r="V1324" s="107">
        <v>36</v>
      </c>
      <c r="W1324" s="106" t="s">
        <v>732</v>
      </c>
    </row>
    <row r="1325" spans="1:23" ht="21" customHeight="1">
      <c r="A1325" s="104" t="s">
        <v>218</v>
      </c>
      <c r="B1325" s="104" t="s">
        <v>389</v>
      </c>
      <c r="C1325" s="454" t="s">
        <v>390</v>
      </c>
      <c r="D1325" s="105" t="s">
        <v>151</v>
      </c>
      <c r="E1325" s="104">
        <v>892</v>
      </c>
      <c r="F1325" s="104">
        <v>386</v>
      </c>
      <c r="G1325" s="106" t="s">
        <v>276</v>
      </c>
      <c r="H1325" s="104" t="s">
        <v>277</v>
      </c>
      <c r="I1325" s="104" t="s">
        <v>104</v>
      </c>
      <c r="J1325" s="104" t="s">
        <v>105</v>
      </c>
      <c r="K1325" s="104" t="s">
        <v>126</v>
      </c>
      <c r="L1325" s="104" t="s">
        <v>636</v>
      </c>
      <c r="M1325" s="104" t="s">
        <v>114</v>
      </c>
      <c r="N1325" s="108"/>
      <c r="O1325" s="104"/>
      <c r="P1325" s="108">
        <v>4.9740000000000002</v>
      </c>
      <c r="Q1325" s="108">
        <v>2</v>
      </c>
      <c r="R1325" s="104" t="s">
        <v>17</v>
      </c>
      <c r="S1325" s="113">
        <f>10^(((LOG(P1325))*3.236)+0.745)</f>
        <v>998.94115792132754</v>
      </c>
      <c r="T1325" s="104" t="s">
        <v>717</v>
      </c>
      <c r="U1325" s="108">
        <v>0.92900000000000005</v>
      </c>
      <c r="V1325" s="107">
        <v>33.299999999999997</v>
      </c>
      <c r="W1325" s="106" t="s">
        <v>700</v>
      </c>
    </row>
    <row r="1326" spans="1:23" ht="21" customHeight="1">
      <c r="A1326" s="104" t="s">
        <v>218</v>
      </c>
      <c r="B1326" s="104" t="s">
        <v>389</v>
      </c>
      <c r="C1326" s="454" t="s">
        <v>390</v>
      </c>
      <c r="D1326" s="105" t="s">
        <v>151</v>
      </c>
      <c r="E1326" s="104">
        <v>892</v>
      </c>
      <c r="F1326" s="104" t="s">
        <v>753</v>
      </c>
      <c r="G1326" s="106" t="s">
        <v>276</v>
      </c>
      <c r="H1326" s="104" t="s">
        <v>277</v>
      </c>
      <c r="I1326" s="104" t="s">
        <v>104</v>
      </c>
      <c r="J1326" s="104" t="s">
        <v>105</v>
      </c>
      <c r="K1326" s="104" t="s">
        <v>209</v>
      </c>
      <c r="L1326" s="104" t="s">
        <v>684</v>
      </c>
      <c r="M1326" s="104" t="s">
        <v>108</v>
      </c>
      <c r="N1326" s="108"/>
      <c r="O1326" s="104"/>
      <c r="P1326" s="108">
        <v>3.6100000000000003</v>
      </c>
      <c r="Q1326" s="108">
        <v>1.528</v>
      </c>
      <c r="R1326" s="104" t="s">
        <v>17</v>
      </c>
      <c r="S1326" s="113">
        <f>10^(((LOG(P1326))*3.375)+1.119)</f>
        <v>1001.3520849856736</v>
      </c>
      <c r="T1326" s="104" t="s">
        <v>699</v>
      </c>
      <c r="U1326" s="108">
        <v>0.93</v>
      </c>
      <c r="V1326" s="107">
        <v>33.6</v>
      </c>
      <c r="W1326" s="106" t="s">
        <v>700</v>
      </c>
    </row>
    <row r="1327" spans="1:23" ht="21" customHeight="1">
      <c r="A1327" s="104" t="s">
        <v>218</v>
      </c>
      <c r="B1327" s="104" t="s">
        <v>389</v>
      </c>
      <c r="C1327" s="454" t="s">
        <v>390</v>
      </c>
      <c r="D1327" s="105" t="s">
        <v>151</v>
      </c>
      <c r="E1327" s="104">
        <v>892</v>
      </c>
      <c r="F1327" s="104">
        <v>228</v>
      </c>
      <c r="G1327" s="106" t="s">
        <v>276</v>
      </c>
      <c r="H1327" s="104" t="s">
        <v>277</v>
      </c>
      <c r="I1327" s="104" t="s">
        <v>104</v>
      </c>
      <c r="J1327" s="104" t="s">
        <v>105</v>
      </c>
      <c r="K1327" s="104" t="s">
        <v>729</v>
      </c>
      <c r="L1327" s="104" t="s">
        <v>730</v>
      </c>
      <c r="M1327" s="104"/>
      <c r="N1327" s="108"/>
      <c r="O1327" s="104"/>
      <c r="P1327" s="108">
        <v>3.3560000000000003</v>
      </c>
      <c r="Q1327" s="108">
        <v>2.5070000000000001</v>
      </c>
      <c r="R1327" s="104" t="s">
        <v>17</v>
      </c>
      <c r="S1327" s="113">
        <f>((10^((3.52*LOG((P1327))+1.372)) +( 10^((3.375*LOG((P1327))+1.119))) +10^((3.395*LOG((P1327))+1.061)))/3)</f>
        <v>1051.7331932241752</v>
      </c>
      <c r="T1327" s="104" t="s">
        <v>731</v>
      </c>
      <c r="U1327" s="108">
        <v>0.91</v>
      </c>
      <c r="V1327" s="107">
        <v>36</v>
      </c>
      <c r="W1327" s="106" t="s">
        <v>732</v>
      </c>
    </row>
    <row r="1328" spans="1:23" ht="21" customHeight="1">
      <c r="A1328" s="104" t="s">
        <v>218</v>
      </c>
      <c r="B1328" s="104" t="s">
        <v>389</v>
      </c>
      <c r="C1328" s="454" t="s">
        <v>390</v>
      </c>
      <c r="D1328" s="105" t="s">
        <v>151</v>
      </c>
      <c r="E1328" s="104">
        <v>892</v>
      </c>
      <c r="F1328" s="104" t="s">
        <v>753</v>
      </c>
      <c r="G1328" s="106" t="s">
        <v>276</v>
      </c>
      <c r="H1328" s="104" t="s">
        <v>277</v>
      </c>
      <c r="I1328" s="104" t="s">
        <v>104</v>
      </c>
      <c r="J1328" s="104" t="s">
        <v>105</v>
      </c>
      <c r="K1328" s="104" t="s">
        <v>112</v>
      </c>
      <c r="L1328" s="104" t="s">
        <v>663</v>
      </c>
      <c r="M1328" s="104" t="s">
        <v>108</v>
      </c>
      <c r="N1328" s="108"/>
      <c r="O1328" s="104"/>
      <c r="P1328" s="108">
        <v>2.9609999999999999</v>
      </c>
      <c r="Q1328" s="108">
        <v>1.8699999999999999</v>
      </c>
      <c r="R1328" s="104" t="s">
        <v>17</v>
      </c>
      <c r="S1328" s="113">
        <f>10^((3.52*LOG((P1328))+1.372))</f>
        <v>1075.135479957446</v>
      </c>
      <c r="T1328" s="104" t="s">
        <v>718</v>
      </c>
      <c r="U1328" s="108">
        <v>0.93</v>
      </c>
      <c r="V1328" s="107">
        <v>34</v>
      </c>
      <c r="W1328" s="106" t="s">
        <v>700</v>
      </c>
    </row>
    <row r="1329" spans="1:23" ht="21" customHeight="1">
      <c r="A1329" s="104" t="s">
        <v>218</v>
      </c>
      <c r="B1329" s="104" t="s">
        <v>389</v>
      </c>
      <c r="C1329" s="454" t="s">
        <v>390</v>
      </c>
      <c r="D1329" s="105" t="s">
        <v>151</v>
      </c>
      <c r="E1329" s="104">
        <v>892</v>
      </c>
      <c r="F1329" s="104" t="s">
        <v>753</v>
      </c>
      <c r="G1329" s="106" t="s">
        <v>276</v>
      </c>
      <c r="H1329" s="104" t="s">
        <v>277</v>
      </c>
      <c r="I1329" s="104" t="s">
        <v>104</v>
      </c>
      <c r="J1329" s="104" t="s">
        <v>105</v>
      </c>
      <c r="K1329" s="104" t="s">
        <v>729</v>
      </c>
      <c r="L1329" s="104" t="s">
        <v>730</v>
      </c>
      <c r="M1329" s="104"/>
      <c r="N1329" s="108"/>
      <c r="O1329" s="104"/>
      <c r="P1329" s="108">
        <v>3.4299999999999997</v>
      </c>
      <c r="Q1329" s="108">
        <v>2.117</v>
      </c>
      <c r="R1329" s="104" t="s">
        <v>17</v>
      </c>
      <c r="S1329" s="113">
        <f>((10^((3.52*LOG((P1329))+1.372)) +( 10^((3.375*LOG((P1329))+1.119))) +10^((3.395*LOG((P1329))+1.061)))/3)</f>
        <v>1134.0808255055515</v>
      </c>
      <c r="T1329" s="104" t="s">
        <v>731</v>
      </c>
      <c r="U1329" s="108">
        <v>0.91</v>
      </c>
      <c r="V1329" s="107">
        <v>36</v>
      </c>
      <c r="W1329" s="106" t="s">
        <v>732</v>
      </c>
    </row>
    <row r="1330" spans="1:23" ht="21" customHeight="1">
      <c r="A1330" s="104" t="s">
        <v>218</v>
      </c>
      <c r="B1330" s="104" t="s">
        <v>389</v>
      </c>
      <c r="C1330" s="454" t="s">
        <v>390</v>
      </c>
      <c r="D1330" s="105" t="s">
        <v>151</v>
      </c>
      <c r="E1330" s="104">
        <v>892</v>
      </c>
      <c r="F1330" s="104" t="s">
        <v>168</v>
      </c>
      <c r="G1330" s="106" t="s">
        <v>276</v>
      </c>
      <c r="H1330" s="104" t="s">
        <v>277</v>
      </c>
      <c r="I1330" s="104" t="s">
        <v>104</v>
      </c>
      <c r="J1330" s="104" t="s">
        <v>105</v>
      </c>
      <c r="K1330" s="104" t="s">
        <v>112</v>
      </c>
      <c r="L1330" s="104" t="s">
        <v>663</v>
      </c>
      <c r="M1330" s="104" t="s">
        <v>114</v>
      </c>
      <c r="N1330" s="108"/>
      <c r="O1330" s="104"/>
      <c r="P1330" s="108">
        <v>3.0100000000000002</v>
      </c>
      <c r="Q1330" s="108">
        <v>2.1100000000000003</v>
      </c>
      <c r="R1330" s="104" t="s">
        <v>17</v>
      </c>
      <c r="S1330" s="113">
        <f>10^((3.52*LOG((P1330))+1.372))</f>
        <v>1139.0795748898111</v>
      </c>
      <c r="T1330" s="104" t="s">
        <v>718</v>
      </c>
      <c r="U1330" s="108">
        <v>0.93</v>
      </c>
      <c r="V1330" s="107">
        <v>34</v>
      </c>
      <c r="W1330" s="106" t="s">
        <v>700</v>
      </c>
    </row>
    <row r="1331" spans="1:23" ht="21" customHeight="1">
      <c r="A1331" s="104" t="s">
        <v>218</v>
      </c>
      <c r="B1331" s="104" t="s">
        <v>389</v>
      </c>
      <c r="C1331" s="454" t="s">
        <v>390</v>
      </c>
      <c r="D1331" s="105" t="s">
        <v>151</v>
      </c>
      <c r="E1331" s="104">
        <v>892</v>
      </c>
      <c r="F1331" s="104" t="s">
        <v>753</v>
      </c>
      <c r="G1331" s="106" t="s">
        <v>276</v>
      </c>
      <c r="H1331" s="104" t="s">
        <v>277</v>
      </c>
      <c r="I1331" s="104" t="s">
        <v>104</v>
      </c>
      <c r="J1331" s="104" t="s">
        <v>105</v>
      </c>
      <c r="K1331" s="106" t="s">
        <v>733</v>
      </c>
      <c r="L1331" s="104" t="s">
        <v>734</v>
      </c>
      <c r="M1331" s="104"/>
      <c r="N1331" s="108"/>
      <c r="O1331" s="104"/>
      <c r="P1331" s="108">
        <v>4.0860000000000003</v>
      </c>
      <c r="Q1331" s="108">
        <v>1.5760000000000001</v>
      </c>
      <c r="R1331" s="104" t="s">
        <v>17</v>
      </c>
      <c r="S1331" s="113">
        <f>((10^((3.236*LOG((P1331))+0.745)) +( 10^((3.375*LOG((P1331))+1.119))) +10^((3.395*LOG((P1331))+1.061)))/3)</f>
        <v>1139.5026723411956</v>
      </c>
      <c r="T1331" s="104" t="s">
        <v>735</v>
      </c>
      <c r="U1331" s="108">
        <v>0.91</v>
      </c>
      <c r="V1331" s="107">
        <v>36</v>
      </c>
      <c r="W1331" s="106" t="s">
        <v>732</v>
      </c>
    </row>
    <row r="1332" spans="1:23" ht="21" customHeight="1">
      <c r="A1332" s="104" t="s">
        <v>218</v>
      </c>
      <c r="B1332" s="104" t="s">
        <v>389</v>
      </c>
      <c r="C1332" s="454" t="s">
        <v>390</v>
      </c>
      <c r="D1332" s="105" t="s">
        <v>151</v>
      </c>
      <c r="E1332" s="104">
        <v>892</v>
      </c>
      <c r="F1332" s="104" t="s">
        <v>753</v>
      </c>
      <c r="G1332" s="106" t="s">
        <v>276</v>
      </c>
      <c r="H1332" s="104" t="s">
        <v>277</v>
      </c>
      <c r="I1332" s="104" t="s">
        <v>104</v>
      </c>
      <c r="J1332" s="104" t="s">
        <v>105</v>
      </c>
      <c r="K1332" s="106" t="s">
        <v>733</v>
      </c>
      <c r="L1332" s="104" t="s">
        <v>734</v>
      </c>
      <c r="M1332" s="104"/>
      <c r="N1332" s="108"/>
      <c r="O1332" s="104"/>
      <c r="P1332" s="108">
        <v>4.1270000000000007</v>
      </c>
      <c r="Q1332" s="108">
        <v>2.044</v>
      </c>
      <c r="R1332" s="104" t="s">
        <v>17</v>
      </c>
      <c r="S1332" s="113">
        <f>((10^((3.236*LOG((P1332))+0.745)) +( 10^((3.375*LOG((P1332))+1.119))) +10^((3.395*LOG((P1332))+1.061)))/3)</f>
        <v>1178.3960892487689</v>
      </c>
      <c r="T1332" s="104" t="s">
        <v>735</v>
      </c>
      <c r="U1332" s="108">
        <v>0.91</v>
      </c>
      <c r="V1332" s="107">
        <v>36</v>
      </c>
      <c r="W1332" s="106" t="s">
        <v>732</v>
      </c>
    </row>
    <row r="1333" spans="1:23" ht="21" customHeight="1">
      <c r="A1333" s="104" t="s">
        <v>218</v>
      </c>
      <c r="B1333" s="104" t="s">
        <v>389</v>
      </c>
      <c r="C1333" s="454" t="s">
        <v>390</v>
      </c>
      <c r="D1333" s="105" t="s">
        <v>151</v>
      </c>
      <c r="E1333" s="104">
        <v>892</v>
      </c>
      <c r="F1333" s="104" t="s">
        <v>753</v>
      </c>
      <c r="G1333" s="106" t="s">
        <v>276</v>
      </c>
      <c r="H1333" s="104" t="s">
        <v>277</v>
      </c>
      <c r="I1333" s="104" t="s">
        <v>104</v>
      </c>
      <c r="J1333" s="104" t="s">
        <v>105</v>
      </c>
      <c r="K1333" s="104" t="s">
        <v>209</v>
      </c>
      <c r="L1333" s="104" t="s">
        <v>684</v>
      </c>
      <c r="M1333" s="104" t="s">
        <v>108</v>
      </c>
      <c r="N1333" s="108"/>
      <c r="O1333" s="104"/>
      <c r="P1333" s="108">
        <v>3.8310000000000004</v>
      </c>
      <c r="Q1333" s="108">
        <v>1.6170000000000002</v>
      </c>
      <c r="R1333" s="104" t="s">
        <v>17</v>
      </c>
      <c r="S1333" s="113">
        <f>10^(((LOG(P1333))*3.375)+1.119)</f>
        <v>1223.7100109699697</v>
      </c>
      <c r="T1333" s="104" t="s">
        <v>699</v>
      </c>
      <c r="U1333" s="108">
        <v>0.93</v>
      </c>
      <c r="V1333" s="107">
        <v>33.6</v>
      </c>
      <c r="W1333" s="106" t="s">
        <v>700</v>
      </c>
    </row>
    <row r="1334" spans="1:23" ht="21" customHeight="1">
      <c r="A1334" s="104" t="s">
        <v>218</v>
      </c>
      <c r="B1334" s="104" t="s">
        <v>389</v>
      </c>
      <c r="C1334" s="454" t="s">
        <v>390</v>
      </c>
      <c r="D1334" s="105" t="s">
        <v>151</v>
      </c>
      <c r="E1334" s="104">
        <v>892</v>
      </c>
      <c r="F1334" s="104" t="s">
        <v>753</v>
      </c>
      <c r="G1334" s="106" t="s">
        <v>276</v>
      </c>
      <c r="H1334" s="104" t="s">
        <v>277</v>
      </c>
      <c r="I1334" s="104" t="s">
        <v>104</v>
      </c>
      <c r="J1334" s="104" t="s">
        <v>105</v>
      </c>
      <c r="K1334" s="104" t="s">
        <v>729</v>
      </c>
      <c r="L1334" s="104" t="s">
        <v>730</v>
      </c>
      <c r="M1334" s="104"/>
      <c r="N1334" s="108"/>
      <c r="O1334" s="104"/>
      <c r="P1334" s="108">
        <v>3.5310000000000001</v>
      </c>
      <c r="Q1334" s="108">
        <v>2.3340000000000001</v>
      </c>
      <c r="R1334" s="104" t="s">
        <v>17</v>
      </c>
      <c r="S1334" s="113">
        <f>((10^((3.52*LOG((P1334))+1.372)) +( 10^((3.375*LOG((P1334))+1.119))) +10^((3.395*LOG((P1334))+1.061)))/3)</f>
        <v>1253.7386105372079</v>
      </c>
      <c r="T1334" s="104" t="s">
        <v>731</v>
      </c>
      <c r="U1334" s="108">
        <v>0.91</v>
      </c>
      <c r="V1334" s="107">
        <v>36</v>
      </c>
      <c r="W1334" s="106" t="s">
        <v>732</v>
      </c>
    </row>
    <row r="1335" spans="1:23" ht="21" customHeight="1">
      <c r="A1335" s="104" t="s">
        <v>218</v>
      </c>
      <c r="B1335" s="104" t="s">
        <v>389</v>
      </c>
      <c r="C1335" s="454" t="s">
        <v>390</v>
      </c>
      <c r="D1335" s="105" t="s">
        <v>151</v>
      </c>
      <c r="E1335" s="104">
        <v>892</v>
      </c>
      <c r="F1335" s="104" t="s">
        <v>753</v>
      </c>
      <c r="G1335" s="106" t="s">
        <v>276</v>
      </c>
      <c r="H1335" s="104" t="s">
        <v>277</v>
      </c>
      <c r="I1335" s="104" t="s">
        <v>104</v>
      </c>
      <c r="J1335" s="104" t="s">
        <v>105</v>
      </c>
      <c r="K1335" s="104" t="s">
        <v>729</v>
      </c>
      <c r="L1335" s="104" t="s">
        <v>730</v>
      </c>
      <c r="M1335" s="104"/>
      <c r="N1335" s="108"/>
      <c r="O1335" s="104"/>
      <c r="P1335" s="108">
        <v>3.5340000000000003</v>
      </c>
      <c r="Q1335" s="108">
        <v>2.3170000000000002</v>
      </c>
      <c r="R1335" s="104" t="s">
        <v>17</v>
      </c>
      <c r="S1335" s="113">
        <f>((10^((3.52*LOG((P1335))+1.372)) +( 10^((3.375*LOG((P1335))+1.119))) +10^((3.395*LOG((P1335))+1.061)))/3)</f>
        <v>1257.4242728784702</v>
      </c>
      <c r="T1335" s="104" t="s">
        <v>731</v>
      </c>
      <c r="U1335" s="108">
        <v>0.91</v>
      </c>
      <c r="V1335" s="107">
        <v>36</v>
      </c>
      <c r="W1335" s="106" t="s">
        <v>732</v>
      </c>
    </row>
    <row r="1336" spans="1:23" ht="21" customHeight="1">
      <c r="A1336" s="104" t="s">
        <v>218</v>
      </c>
      <c r="B1336" s="104" t="s">
        <v>389</v>
      </c>
      <c r="C1336" s="454" t="s">
        <v>390</v>
      </c>
      <c r="D1336" s="105" t="s">
        <v>151</v>
      </c>
      <c r="E1336" s="104">
        <v>892</v>
      </c>
      <c r="F1336" s="104" t="s">
        <v>753</v>
      </c>
      <c r="G1336" s="106" t="s">
        <v>276</v>
      </c>
      <c r="H1336" s="104" t="s">
        <v>277</v>
      </c>
      <c r="I1336" s="104" t="s">
        <v>104</v>
      </c>
      <c r="J1336" s="104" t="s">
        <v>105</v>
      </c>
      <c r="K1336" s="104" t="s">
        <v>112</v>
      </c>
      <c r="L1336" s="104" t="s">
        <v>663</v>
      </c>
      <c r="M1336" s="104" t="s">
        <v>108</v>
      </c>
      <c r="N1336" s="108"/>
      <c r="O1336" s="104"/>
      <c r="P1336" s="108">
        <v>3.1320000000000001</v>
      </c>
      <c r="Q1336" s="108">
        <v>1.514</v>
      </c>
      <c r="R1336" s="104" t="s">
        <v>17</v>
      </c>
      <c r="S1336" s="113">
        <f>10^((3.52*LOG((P1336))+1.372))</f>
        <v>1310.0641790028151</v>
      </c>
      <c r="T1336" s="104" t="s">
        <v>718</v>
      </c>
      <c r="U1336" s="108">
        <v>0.93</v>
      </c>
      <c r="V1336" s="107">
        <v>34</v>
      </c>
      <c r="W1336" s="106" t="s">
        <v>700</v>
      </c>
    </row>
    <row r="1337" spans="1:23" ht="21" customHeight="1">
      <c r="A1337" s="104" t="s">
        <v>218</v>
      </c>
      <c r="B1337" s="104" t="s">
        <v>389</v>
      </c>
      <c r="C1337" s="454" t="s">
        <v>390</v>
      </c>
      <c r="D1337" s="105" t="s">
        <v>151</v>
      </c>
      <c r="E1337" s="104">
        <v>892</v>
      </c>
      <c r="F1337" s="104" t="s">
        <v>753</v>
      </c>
      <c r="G1337" s="106" t="s">
        <v>276</v>
      </c>
      <c r="H1337" s="104" t="s">
        <v>277</v>
      </c>
      <c r="I1337" s="104" t="s">
        <v>104</v>
      </c>
      <c r="J1337" s="104" t="s">
        <v>105</v>
      </c>
      <c r="K1337" s="104" t="s">
        <v>729</v>
      </c>
      <c r="L1337" s="104" t="s">
        <v>730</v>
      </c>
      <c r="M1337" s="104"/>
      <c r="N1337" s="108"/>
      <c r="O1337" s="104"/>
      <c r="P1337" s="108">
        <v>3.585</v>
      </c>
      <c r="Q1337" s="108">
        <v>2.395</v>
      </c>
      <c r="R1337" s="104" t="s">
        <v>17</v>
      </c>
      <c r="S1337" s="113">
        <f>((10^((3.52*LOG((P1337))+1.372)) +( 10^((3.375*LOG((P1337))+1.119))) +10^((3.395*LOG((P1337))+1.061)))/3)</f>
        <v>1321.2661022225416</v>
      </c>
      <c r="T1337" s="104" t="s">
        <v>731</v>
      </c>
      <c r="U1337" s="108">
        <v>0.91</v>
      </c>
      <c r="V1337" s="107">
        <v>36</v>
      </c>
      <c r="W1337" s="106" t="s">
        <v>732</v>
      </c>
    </row>
    <row r="1338" spans="1:23" ht="21" customHeight="1">
      <c r="A1338" s="104" t="s">
        <v>218</v>
      </c>
      <c r="B1338" s="104" t="s">
        <v>389</v>
      </c>
      <c r="C1338" s="454" t="s">
        <v>390</v>
      </c>
      <c r="D1338" s="105" t="s">
        <v>151</v>
      </c>
      <c r="E1338" s="104">
        <v>892</v>
      </c>
      <c r="F1338" s="104" t="s">
        <v>753</v>
      </c>
      <c r="G1338" s="106" t="s">
        <v>276</v>
      </c>
      <c r="H1338" s="104" t="s">
        <v>277</v>
      </c>
      <c r="I1338" s="104" t="s">
        <v>104</v>
      </c>
      <c r="J1338" s="104" t="s">
        <v>105</v>
      </c>
      <c r="K1338" s="104" t="s">
        <v>729</v>
      </c>
      <c r="L1338" s="104" t="s">
        <v>730</v>
      </c>
      <c r="M1338" s="104"/>
      <c r="N1338" s="108"/>
      <c r="O1338" s="104"/>
      <c r="P1338" s="108">
        <v>3.7270000000000003</v>
      </c>
      <c r="Q1338" s="108">
        <v>2.4300000000000002</v>
      </c>
      <c r="R1338" s="104" t="s">
        <v>17</v>
      </c>
      <c r="S1338" s="113">
        <f>((10^((3.52*LOG((P1338))+1.372)) +( 10^((3.375*LOG((P1338))+1.119))) +10^((3.395*LOG((P1338))+1.061)))/3)</f>
        <v>1511.1385515389013</v>
      </c>
      <c r="T1338" s="104" t="s">
        <v>731</v>
      </c>
      <c r="U1338" s="108">
        <v>0.91</v>
      </c>
      <c r="V1338" s="107">
        <v>36</v>
      </c>
      <c r="W1338" s="106" t="s">
        <v>732</v>
      </c>
    </row>
    <row r="1339" spans="1:23" ht="21" customHeight="1">
      <c r="A1339" s="104" t="s">
        <v>218</v>
      </c>
      <c r="B1339" s="104" t="s">
        <v>389</v>
      </c>
      <c r="C1339" s="454" t="s">
        <v>390</v>
      </c>
      <c r="D1339" s="105" t="s">
        <v>151</v>
      </c>
      <c r="E1339" s="104">
        <v>892</v>
      </c>
      <c r="F1339" s="104">
        <v>438</v>
      </c>
      <c r="G1339" s="106" t="s">
        <v>276</v>
      </c>
      <c r="H1339" s="104" t="s">
        <v>277</v>
      </c>
      <c r="I1339" s="104" t="s">
        <v>104</v>
      </c>
      <c r="J1339" s="104" t="s">
        <v>105</v>
      </c>
      <c r="K1339" s="104" t="s">
        <v>729</v>
      </c>
      <c r="L1339" s="104" t="s">
        <v>730</v>
      </c>
      <c r="M1339" s="104"/>
      <c r="N1339" s="108"/>
      <c r="O1339" s="104"/>
      <c r="P1339" s="108">
        <v>3.9850000000000003</v>
      </c>
      <c r="Q1339" s="108">
        <v>1.6600000000000001</v>
      </c>
      <c r="R1339" s="104" t="s">
        <v>17</v>
      </c>
      <c r="S1339" s="113">
        <f>((10^((3.52*LOG((P1339))+1.372)) +( 10^((3.375*LOG((P1339))+1.119))) +10^((3.395*LOG((P1339))+1.061)))/3)</f>
        <v>1904.5468276367621</v>
      </c>
      <c r="T1339" s="104" t="s">
        <v>731</v>
      </c>
      <c r="U1339" s="108">
        <v>0.91</v>
      </c>
      <c r="V1339" s="107">
        <v>36</v>
      </c>
      <c r="W1339" s="106" t="s">
        <v>732</v>
      </c>
    </row>
    <row r="1340" spans="1:23" ht="21" customHeight="1">
      <c r="A1340" s="104" t="s">
        <v>273</v>
      </c>
      <c r="B1340" s="104" t="s">
        <v>74</v>
      </c>
      <c r="C1340" s="454" t="s">
        <v>266</v>
      </c>
      <c r="D1340" s="105" t="s">
        <v>505</v>
      </c>
      <c r="E1340" s="104">
        <v>892</v>
      </c>
      <c r="F1340" s="104" t="s">
        <v>1232</v>
      </c>
      <c r="G1340" s="106" t="s">
        <v>276</v>
      </c>
      <c r="H1340" s="104" t="s">
        <v>277</v>
      </c>
      <c r="I1340" s="104" t="s">
        <v>104</v>
      </c>
      <c r="J1340" s="104" t="s">
        <v>393</v>
      </c>
      <c r="K1340" s="104" t="s">
        <v>691</v>
      </c>
      <c r="L1340" s="104" t="s">
        <v>1233</v>
      </c>
      <c r="M1340" s="104" t="s">
        <v>114</v>
      </c>
      <c r="N1340" s="108" t="s">
        <v>17</v>
      </c>
      <c r="O1340" s="104" t="s">
        <v>17</v>
      </c>
      <c r="P1340" s="108">
        <v>19.899999999999999</v>
      </c>
      <c r="Q1340" s="108">
        <v>3.6</v>
      </c>
      <c r="R1340" s="104" t="s">
        <v>17</v>
      </c>
      <c r="S1340" s="253">
        <v>18.77965317074208</v>
      </c>
      <c r="T1340" s="104" t="s">
        <v>1218</v>
      </c>
      <c r="U1340" s="108">
        <v>0.98</v>
      </c>
      <c r="V1340" s="107">
        <v>11</v>
      </c>
      <c r="W1340" s="114" t="s">
        <v>284</v>
      </c>
    </row>
    <row r="1341" spans="1:23" ht="21" customHeight="1">
      <c r="A1341" s="104" t="s">
        <v>273</v>
      </c>
      <c r="B1341" s="104" t="s">
        <v>74</v>
      </c>
      <c r="C1341" s="454" t="s">
        <v>266</v>
      </c>
      <c r="D1341" s="105" t="s">
        <v>505</v>
      </c>
      <c r="E1341" s="104">
        <v>892</v>
      </c>
      <c r="F1341" s="104" t="s">
        <v>1235</v>
      </c>
      <c r="G1341" s="106" t="s">
        <v>276</v>
      </c>
      <c r="H1341" s="104" t="s">
        <v>277</v>
      </c>
      <c r="I1341" s="104" t="s">
        <v>104</v>
      </c>
      <c r="J1341" s="104" t="s">
        <v>393</v>
      </c>
      <c r="K1341" s="104" t="s">
        <v>691</v>
      </c>
      <c r="L1341" s="104" t="s">
        <v>1233</v>
      </c>
      <c r="M1341" s="104" t="s">
        <v>108</v>
      </c>
      <c r="N1341" s="108"/>
      <c r="O1341" s="104" t="s">
        <v>17</v>
      </c>
      <c r="P1341" s="108">
        <v>21.3</v>
      </c>
      <c r="Q1341" s="108">
        <v>3.8</v>
      </c>
      <c r="R1341" s="104" t="s">
        <v>17</v>
      </c>
      <c r="S1341" s="253">
        <v>24.249752416471246</v>
      </c>
      <c r="T1341" s="104" t="s">
        <v>1218</v>
      </c>
      <c r="U1341" s="108">
        <v>0.98</v>
      </c>
      <c r="V1341" s="107">
        <v>11</v>
      </c>
      <c r="W1341" s="114" t="s">
        <v>284</v>
      </c>
    </row>
    <row r="1342" spans="1:23" s="333" customFormat="1" ht="21" customHeight="1">
      <c r="A1342" s="104" t="s">
        <v>273</v>
      </c>
      <c r="B1342" s="104" t="s">
        <v>74</v>
      </c>
      <c r="C1342" s="454" t="s">
        <v>266</v>
      </c>
      <c r="D1342" s="105" t="s">
        <v>505</v>
      </c>
      <c r="E1342" s="104">
        <v>892</v>
      </c>
      <c r="F1342" s="104">
        <v>255</v>
      </c>
      <c r="G1342" s="106" t="s">
        <v>276</v>
      </c>
      <c r="H1342" s="111" t="s">
        <v>277</v>
      </c>
      <c r="I1342" s="104" t="s">
        <v>104</v>
      </c>
      <c r="J1342" s="104" t="s">
        <v>105</v>
      </c>
      <c r="K1342" s="104" t="s">
        <v>112</v>
      </c>
      <c r="L1342" s="104" t="s">
        <v>663</v>
      </c>
      <c r="M1342" s="104" t="s">
        <v>108</v>
      </c>
      <c r="N1342" s="108" t="s">
        <v>17</v>
      </c>
      <c r="O1342" s="104" t="s">
        <v>17</v>
      </c>
      <c r="P1342" s="108">
        <v>2.722</v>
      </c>
      <c r="Q1342" s="108">
        <v>1.103</v>
      </c>
      <c r="R1342" s="104" t="s">
        <v>17</v>
      </c>
      <c r="S1342" s="253">
        <v>29.800406906258953</v>
      </c>
      <c r="T1342" s="104" t="s">
        <v>1167</v>
      </c>
      <c r="U1342" s="108">
        <v>0.96</v>
      </c>
      <c r="V1342" s="107">
        <v>12.4</v>
      </c>
      <c r="W1342" s="114" t="s">
        <v>279</v>
      </c>
    </row>
    <row r="1343" spans="1:23" s="333" customFormat="1" ht="21" customHeight="1">
      <c r="A1343" s="104" t="s">
        <v>273</v>
      </c>
      <c r="B1343" s="104" t="s">
        <v>74</v>
      </c>
      <c r="C1343" s="454" t="s">
        <v>274</v>
      </c>
      <c r="D1343" s="105" t="s">
        <v>1249</v>
      </c>
      <c r="E1343" s="104">
        <v>892</v>
      </c>
      <c r="F1343" s="104">
        <v>291</v>
      </c>
      <c r="G1343" s="106" t="s">
        <v>276</v>
      </c>
      <c r="H1343" s="104" t="s">
        <v>277</v>
      </c>
      <c r="I1343" s="104" t="s">
        <v>104</v>
      </c>
      <c r="J1343" s="104" t="s">
        <v>105</v>
      </c>
      <c r="K1343" s="104" t="s">
        <v>112</v>
      </c>
      <c r="L1343" s="104" t="s">
        <v>663</v>
      </c>
      <c r="M1343" s="104"/>
      <c r="N1343" s="108" t="s">
        <v>17</v>
      </c>
      <c r="O1343" s="104" t="s">
        <v>17</v>
      </c>
      <c r="P1343" s="108">
        <v>1.1910000000000001</v>
      </c>
      <c r="Q1343" s="108">
        <v>0.47300000000000003</v>
      </c>
      <c r="R1343" s="104" t="s">
        <v>17</v>
      </c>
      <c r="S1343" s="253">
        <v>2.6449743279712523</v>
      </c>
      <c r="T1343" s="104" t="s">
        <v>1167</v>
      </c>
      <c r="U1343" s="108">
        <v>0.96</v>
      </c>
      <c r="V1343" s="107">
        <v>12.4</v>
      </c>
      <c r="W1343" s="114" t="s">
        <v>279</v>
      </c>
    </row>
    <row r="1344" spans="1:23" s="333" customFormat="1" ht="21" customHeight="1">
      <c r="A1344" s="104" t="s">
        <v>169</v>
      </c>
      <c r="B1344" s="104" t="s">
        <v>149</v>
      </c>
      <c r="C1344" s="454" t="s">
        <v>150</v>
      </c>
      <c r="D1344" s="105" t="s">
        <v>151</v>
      </c>
      <c r="E1344" s="104">
        <v>892</v>
      </c>
      <c r="F1344" s="104">
        <v>458</v>
      </c>
      <c r="G1344" s="106" t="s">
        <v>276</v>
      </c>
      <c r="H1344" s="104" t="s">
        <v>277</v>
      </c>
      <c r="I1344" s="104" t="s">
        <v>104</v>
      </c>
      <c r="J1344" s="104" t="s">
        <v>105</v>
      </c>
      <c r="K1344" s="104" t="s">
        <v>158</v>
      </c>
      <c r="L1344" s="104" t="s">
        <v>686</v>
      </c>
      <c r="M1344" s="104" t="s">
        <v>108</v>
      </c>
      <c r="N1344" s="108" t="s">
        <v>17</v>
      </c>
      <c r="O1344" s="104" t="s">
        <v>17</v>
      </c>
      <c r="P1344" s="113">
        <v>2.327</v>
      </c>
      <c r="Q1344" s="113">
        <v>2.1399999999999997</v>
      </c>
      <c r="R1344" s="104" t="s">
        <v>17</v>
      </c>
      <c r="S1344" s="253">
        <f>(10^((2.9*LOG((P1344))+1.209)))</f>
        <v>187.3740791544748</v>
      </c>
      <c r="T1344" s="103" t="s">
        <v>1386</v>
      </c>
      <c r="U1344" s="108">
        <v>0.96399999999999997</v>
      </c>
      <c r="V1344" s="107">
        <v>30.5</v>
      </c>
      <c r="W1344" s="414" t="s">
        <v>1385</v>
      </c>
    </row>
    <row r="1345" spans="1:24" s="333" customFormat="1" ht="21" customHeight="1">
      <c r="A1345" s="104" t="s">
        <v>169</v>
      </c>
      <c r="B1345" s="104" t="s">
        <v>149</v>
      </c>
      <c r="C1345" s="454" t="s">
        <v>150</v>
      </c>
      <c r="D1345" s="105" t="s">
        <v>151</v>
      </c>
      <c r="E1345" s="104">
        <v>892</v>
      </c>
      <c r="F1345" s="104">
        <v>457</v>
      </c>
      <c r="G1345" s="106" t="s">
        <v>276</v>
      </c>
      <c r="H1345" s="104" t="s">
        <v>277</v>
      </c>
      <c r="I1345" s="104" t="s">
        <v>104</v>
      </c>
      <c r="J1345" s="104" t="s">
        <v>105</v>
      </c>
      <c r="K1345" s="104" t="s">
        <v>883</v>
      </c>
      <c r="L1345" s="104" t="s">
        <v>884</v>
      </c>
      <c r="M1345" s="104" t="s">
        <v>108</v>
      </c>
      <c r="N1345" s="108" t="s">
        <v>17</v>
      </c>
      <c r="O1345" s="104" t="s">
        <v>17</v>
      </c>
      <c r="P1345" s="113">
        <v>2.3600000000000003</v>
      </c>
      <c r="Q1345" s="113">
        <v>2.3600000000000003</v>
      </c>
      <c r="R1345" s="104" t="s">
        <v>17</v>
      </c>
      <c r="S1345" s="253">
        <f>(10^((2.9*LOG((P1345))+1.209)))</f>
        <v>195.18426725240568</v>
      </c>
      <c r="T1345" s="103" t="s">
        <v>1386</v>
      </c>
      <c r="U1345" s="108">
        <v>0.96399999999999997</v>
      </c>
      <c r="V1345" s="107">
        <v>30.5</v>
      </c>
      <c r="W1345" s="414" t="s">
        <v>1388</v>
      </c>
    </row>
    <row r="1346" spans="1:24" s="333" customFormat="1" ht="21" customHeight="1">
      <c r="A1346" s="104" t="s">
        <v>169</v>
      </c>
      <c r="B1346" s="104" t="s">
        <v>149</v>
      </c>
      <c r="C1346" s="454" t="s">
        <v>150</v>
      </c>
      <c r="D1346" s="105" t="s">
        <v>151</v>
      </c>
      <c r="E1346" s="104">
        <v>892</v>
      </c>
      <c r="F1346" s="104">
        <v>450</v>
      </c>
      <c r="G1346" s="106" t="s">
        <v>276</v>
      </c>
      <c r="H1346" s="104" t="s">
        <v>277</v>
      </c>
      <c r="I1346" s="104" t="s">
        <v>104</v>
      </c>
      <c r="J1346" s="104" t="s">
        <v>105</v>
      </c>
      <c r="K1346" s="104" t="s">
        <v>785</v>
      </c>
      <c r="L1346" s="104" t="s">
        <v>1313</v>
      </c>
      <c r="M1346" s="104" t="s">
        <v>114</v>
      </c>
      <c r="N1346" s="108" t="s">
        <v>17</v>
      </c>
      <c r="O1346" s="104" t="s">
        <v>17</v>
      </c>
      <c r="P1346" s="113">
        <v>4.2299999999999995</v>
      </c>
      <c r="Q1346" s="113">
        <v>3.2350000000000003</v>
      </c>
      <c r="R1346" s="104" t="s">
        <v>17</v>
      </c>
      <c r="S1346" s="253">
        <f>(10^((2.7422*LOG((P1346))+0.6135)))</f>
        <v>214.31400655634795</v>
      </c>
      <c r="T1346" s="104" t="s">
        <v>1390</v>
      </c>
      <c r="U1346" s="108">
        <v>0.84</v>
      </c>
      <c r="V1346" s="107">
        <v>18</v>
      </c>
      <c r="W1346" s="106" t="s">
        <v>1391</v>
      </c>
    </row>
    <row r="1347" spans="1:24" s="333" customFormat="1" ht="21" customHeight="1">
      <c r="A1347" s="104" t="s">
        <v>169</v>
      </c>
      <c r="B1347" s="104" t="s">
        <v>149</v>
      </c>
      <c r="C1347" s="454" t="s">
        <v>150</v>
      </c>
      <c r="D1347" s="105" t="s">
        <v>151</v>
      </c>
      <c r="E1347" s="104">
        <v>892</v>
      </c>
      <c r="F1347" s="104">
        <v>223</v>
      </c>
      <c r="G1347" s="106" t="s">
        <v>276</v>
      </c>
      <c r="H1347" s="104" t="s">
        <v>277</v>
      </c>
      <c r="I1347" s="104" t="s">
        <v>104</v>
      </c>
      <c r="J1347" s="104" t="s">
        <v>105</v>
      </c>
      <c r="K1347" s="104" t="s">
        <v>143</v>
      </c>
      <c r="L1347" s="104" t="s">
        <v>408</v>
      </c>
      <c r="M1347" s="104" t="s">
        <v>114</v>
      </c>
      <c r="N1347" s="108" t="s">
        <v>17</v>
      </c>
      <c r="O1347" s="104" t="s">
        <v>17</v>
      </c>
      <c r="P1347" s="113">
        <v>2.931</v>
      </c>
      <c r="Q1347" s="113">
        <v>2.08</v>
      </c>
      <c r="R1347" s="104" t="s">
        <v>17</v>
      </c>
      <c r="S1347" s="253">
        <f>(10^((2.9*LOG((P1347))+1.209)))</f>
        <v>365.88606840978611</v>
      </c>
      <c r="T1347" s="103" t="s">
        <v>1386</v>
      </c>
      <c r="U1347" s="108">
        <v>0.96399999999999997</v>
      </c>
      <c r="V1347" s="107">
        <v>30.5</v>
      </c>
      <c r="W1347" s="414" t="s">
        <v>1385</v>
      </c>
    </row>
    <row r="1348" spans="1:24" s="333" customFormat="1" ht="21" customHeight="1">
      <c r="A1348" s="104" t="s">
        <v>169</v>
      </c>
      <c r="B1348" s="104" t="s">
        <v>149</v>
      </c>
      <c r="C1348" s="454" t="s">
        <v>150</v>
      </c>
      <c r="D1348" s="105" t="s">
        <v>151</v>
      </c>
      <c r="E1348" s="104">
        <v>892</v>
      </c>
      <c r="F1348" s="104">
        <v>223</v>
      </c>
      <c r="G1348" s="106" t="s">
        <v>276</v>
      </c>
      <c r="H1348" s="104" t="s">
        <v>277</v>
      </c>
      <c r="I1348" s="104" t="s">
        <v>104</v>
      </c>
      <c r="J1348" s="104" t="s">
        <v>105</v>
      </c>
      <c r="K1348" s="104" t="s">
        <v>155</v>
      </c>
      <c r="L1348" s="104" t="s">
        <v>658</v>
      </c>
      <c r="M1348" s="104" t="s">
        <v>114</v>
      </c>
      <c r="N1348" s="108" t="s">
        <v>17</v>
      </c>
      <c r="O1348" s="104" t="s">
        <v>17</v>
      </c>
      <c r="P1348" s="113">
        <v>3.2749999999999999</v>
      </c>
      <c r="Q1348" s="113">
        <v>2.1190000000000002</v>
      </c>
      <c r="R1348" s="104" t="s">
        <v>17</v>
      </c>
      <c r="S1348" s="253">
        <f>(10^((2.9*LOG((P1348))+1.209)))</f>
        <v>504.79237079098056</v>
      </c>
      <c r="T1348" s="103" t="s">
        <v>1386</v>
      </c>
      <c r="U1348" s="108">
        <v>0.96399999999999997</v>
      </c>
      <c r="V1348" s="107">
        <v>30.5</v>
      </c>
      <c r="W1348" s="414" t="s">
        <v>1385</v>
      </c>
    </row>
    <row r="1349" spans="1:24" s="333" customFormat="1" ht="21" customHeight="1">
      <c r="A1349" s="104" t="s">
        <v>169</v>
      </c>
      <c r="B1349" s="104" t="s">
        <v>149</v>
      </c>
      <c r="C1349" s="454" t="s">
        <v>150</v>
      </c>
      <c r="D1349" s="105" t="s">
        <v>151</v>
      </c>
      <c r="E1349" s="104">
        <v>892</v>
      </c>
      <c r="F1349" s="104">
        <v>299</v>
      </c>
      <c r="G1349" s="106" t="s">
        <v>276</v>
      </c>
      <c r="H1349" s="104" t="s">
        <v>277</v>
      </c>
      <c r="I1349" s="104" t="s">
        <v>104</v>
      </c>
      <c r="J1349" s="104" t="s">
        <v>105</v>
      </c>
      <c r="K1349" s="104" t="s">
        <v>174</v>
      </c>
      <c r="L1349" s="104" t="s">
        <v>340</v>
      </c>
      <c r="M1349" s="104"/>
      <c r="N1349" s="108" t="s">
        <v>17</v>
      </c>
      <c r="O1349" s="104" t="s">
        <v>17</v>
      </c>
      <c r="P1349" s="113">
        <v>3.4549999999999996</v>
      </c>
      <c r="Q1349" s="113">
        <v>1.3900000000000001</v>
      </c>
      <c r="R1349" s="104" t="s">
        <v>17</v>
      </c>
      <c r="S1349" s="253">
        <f xml:space="preserve"> (10^((2.999*LOG((P1349))+1.162)))</f>
        <v>598.14393996001616</v>
      </c>
      <c r="T1349" s="103" t="s">
        <v>1392</v>
      </c>
      <c r="U1349" s="108">
        <v>0.98699999999999999</v>
      </c>
      <c r="V1349" s="107">
        <v>18</v>
      </c>
      <c r="W1349" s="414" t="s">
        <v>1388</v>
      </c>
    </row>
    <row r="1350" spans="1:24" s="333" customFormat="1" ht="21" customHeight="1">
      <c r="A1350" s="104" t="s">
        <v>169</v>
      </c>
      <c r="B1350" s="104" t="s">
        <v>149</v>
      </c>
      <c r="C1350" s="454" t="s">
        <v>150</v>
      </c>
      <c r="D1350" s="105" t="s">
        <v>151</v>
      </c>
      <c r="E1350" s="104">
        <v>892</v>
      </c>
      <c r="F1350" s="104">
        <v>223</v>
      </c>
      <c r="G1350" s="106" t="s">
        <v>276</v>
      </c>
      <c r="H1350" s="104" t="s">
        <v>277</v>
      </c>
      <c r="I1350" s="104" t="s">
        <v>104</v>
      </c>
      <c r="J1350" s="104" t="s">
        <v>105</v>
      </c>
      <c r="K1350" s="104" t="s">
        <v>158</v>
      </c>
      <c r="L1350" s="104" t="s">
        <v>686</v>
      </c>
      <c r="M1350" s="104" t="s">
        <v>114</v>
      </c>
      <c r="N1350" s="108" t="s">
        <v>17</v>
      </c>
      <c r="O1350" s="104" t="s">
        <v>17</v>
      </c>
      <c r="P1350" s="113">
        <v>3.79</v>
      </c>
      <c r="Q1350" s="113">
        <v>1.8719999999999999</v>
      </c>
      <c r="R1350" s="104" t="s">
        <v>17</v>
      </c>
      <c r="S1350" s="253">
        <f>(10^((2.9*LOG((P1350))+1.209)))</f>
        <v>770.99881207498947</v>
      </c>
      <c r="T1350" s="103" t="s">
        <v>1386</v>
      </c>
      <c r="U1350" s="108">
        <v>0.96399999999999997</v>
      </c>
      <c r="V1350" s="107">
        <v>30.5</v>
      </c>
      <c r="W1350" s="414" t="s">
        <v>1385</v>
      </c>
    </row>
    <row r="1351" spans="1:24" s="333" customFormat="1" ht="21" customHeight="1">
      <c r="A1351" s="104" t="s">
        <v>218</v>
      </c>
      <c r="B1351" s="104" t="s">
        <v>202</v>
      </c>
      <c r="C1351" s="454" t="s">
        <v>203</v>
      </c>
      <c r="D1351" s="105" t="s">
        <v>204</v>
      </c>
      <c r="E1351" s="104">
        <v>31205</v>
      </c>
      <c r="F1351" s="104">
        <v>3</v>
      </c>
      <c r="G1351" s="106" t="s">
        <v>207</v>
      </c>
      <c r="H1351" s="104" t="s">
        <v>208</v>
      </c>
      <c r="I1351" s="104" t="s">
        <v>104</v>
      </c>
      <c r="J1351" s="104" t="s">
        <v>105</v>
      </c>
      <c r="K1351" s="104" t="s">
        <v>112</v>
      </c>
      <c r="L1351" s="104" t="s">
        <v>663</v>
      </c>
      <c r="M1351" s="104" t="s">
        <v>108</v>
      </c>
      <c r="N1351" s="108" t="s">
        <v>17</v>
      </c>
      <c r="O1351" s="104" t="s">
        <v>17</v>
      </c>
      <c r="P1351" s="113">
        <v>3.2009999999999996</v>
      </c>
      <c r="Q1351" s="113">
        <v>1.9600000000000002</v>
      </c>
      <c r="R1351" s="104" t="s">
        <v>17</v>
      </c>
      <c r="S1351" s="253">
        <f>(10^((3.263*LOG((P1351))+1.337)))</f>
        <v>967.71429114663226</v>
      </c>
      <c r="T1351" s="104" t="s">
        <v>977</v>
      </c>
      <c r="U1351" s="108">
        <v>0.93300000000000005</v>
      </c>
      <c r="V1351" s="107">
        <v>34.6</v>
      </c>
      <c r="W1351" s="106" t="s">
        <v>978</v>
      </c>
    </row>
    <row r="1352" spans="1:24" s="333" customFormat="1" ht="21" customHeight="1">
      <c r="A1352" s="104" t="s">
        <v>218</v>
      </c>
      <c r="B1352" s="104" t="s">
        <v>202</v>
      </c>
      <c r="C1352" s="454" t="s">
        <v>203</v>
      </c>
      <c r="D1352" s="105" t="s">
        <v>204</v>
      </c>
      <c r="E1352" s="104">
        <v>31205</v>
      </c>
      <c r="F1352" s="104">
        <v>3</v>
      </c>
      <c r="G1352" s="106" t="s">
        <v>207</v>
      </c>
      <c r="H1352" s="104" t="s">
        <v>208</v>
      </c>
      <c r="I1352" s="104" t="s">
        <v>104</v>
      </c>
      <c r="J1352" s="104" t="s">
        <v>105</v>
      </c>
      <c r="K1352" s="104" t="s">
        <v>126</v>
      </c>
      <c r="L1352" s="104" t="s">
        <v>636</v>
      </c>
      <c r="M1352" s="104" t="s">
        <v>108</v>
      </c>
      <c r="N1352" s="108" t="s">
        <v>17</v>
      </c>
      <c r="O1352" s="104" t="s">
        <v>17</v>
      </c>
      <c r="P1352" s="113">
        <v>5.282</v>
      </c>
      <c r="Q1352" s="113">
        <v>1.7260000000000002</v>
      </c>
      <c r="R1352" s="104" t="s">
        <v>17</v>
      </c>
      <c r="S1352" s="253">
        <f>(10^((3.19*LOG((P1352*10))+0.51)))/1000</f>
        <v>1013.2739695719772</v>
      </c>
      <c r="T1352" s="104" t="s">
        <v>979</v>
      </c>
      <c r="U1352" s="108">
        <v>0.9</v>
      </c>
      <c r="V1352" s="107">
        <v>39.4</v>
      </c>
      <c r="W1352" s="106" t="s">
        <v>982</v>
      </c>
    </row>
    <row r="1353" spans="1:24" s="333" customFormat="1" ht="21" customHeight="1">
      <c r="A1353" s="103" t="s">
        <v>601</v>
      </c>
      <c r="B1353" s="103" t="s">
        <v>602</v>
      </c>
      <c r="C1353" s="421" t="s">
        <v>603</v>
      </c>
      <c r="D1353" s="105" t="s">
        <v>151</v>
      </c>
      <c r="E1353" s="103">
        <v>47256</v>
      </c>
      <c r="F1353" s="103">
        <v>1</v>
      </c>
      <c r="G1353" s="103" t="s">
        <v>1520</v>
      </c>
      <c r="H1353" s="103" t="s">
        <v>1521</v>
      </c>
      <c r="I1353" s="104" t="s">
        <v>104</v>
      </c>
      <c r="J1353" s="103" t="s">
        <v>105</v>
      </c>
      <c r="K1353" s="103" t="s">
        <v>129</v>
      </c>
      <c r="L1353" s="103" t="s">
        <v>130</v>
      </c>
      <c r="M1353" s="103" t="s">
        <v>108</v>
      </c>
      <c r="N1353" s="103"/>
      <c r="O1353" s="103"/>
      <c r="P1353" s="103">
        <v>22.3</v>
      </c>
      <c r="Q1353" s="103">
        <v>8.8000000000000007</v>
      </c>
      <c r="R1353" s="103"/>
      <c r="S1353" s="476"/>
      <c r="T1353" s="103"/>
      <c r="U1353" s="103"/>
      <c r="V1353" s="103"/>
      <c r="W1353" s="414"/>
    </row>
    <row r="1354" spans="1:24" s="333" customFormat="1" ht="21" customHeight="1">
      <c r="A1354" s="104" t="s">
        <v>218</v>
      </c>
      <c r="B1354" s="104" t="s">
        <v>1121</v>
      </c>
      <c r="C1354" s="454" t="s">
        <v>1122</v>
      </c>
      <c r="D1354" s="105" t="s">
        <v>1123</v>
      </c>
      <c r="E1354" s="104">
        <v>40540</v>
      </c>
      <c r="F1354" s="104">
        <v>-999</v>
      </c>
      <c r="G1354" s="106" t="s">
        <v>144</v>
      </c>
      <c r="H1354" s="104" t="s">
        <v>145</v>
      </c>
      <c r="I1354" s="104" t="s">
        <v>407</v>
      </c>
      <c r="J1354" s="104" t="s">
        <v>105</v>
      </c>
      <c r="K1354" s="104" t="s">
        <v>155</v>
      </c>
      <c r="L1354" s="104" t="s">
        <v>658</v>
      </c>
      <c r="M1354" s="104" t="s">
        <v>114</v>
      </c>
      <c r="N1354" s="108" t="s">
        <v>17</v>
      </c>
      <c r="O1354" s="104" t="s">
        <v>17</v>
      </c>
      <c r="P1354" s="113">
        <v>1.2490000000000001</v>
      </c>
      <c r="Q1354" s="113">
        <v>1.038</v>
      </c>
      <c r="R1354" s="104" t="s">
        <v>17</v>
      </c>
      <c r="S1354" s="253">
        <f>(10^((3.11*LOG((P1354*10))+1.11)))/1000</f>
        <v>33.136694460153301</v>
      </c>
      <c r="T1354" s="104" t="s">
        <v>1124</v>
      </c>
      <c r="U1354" s="108">
        <v>0.97</v>
      </c>
      <c r="V1354" s="107">
        <v>34.6</v>
      </c>
      <c r="W1354" s="106" t="s">
        <v>1125</v>
      </c>
    </row>
    <row r="1355" spans="1:24" s="333" customFormat="1" ht="21" customHeight="1">
      <c r="A1355" s="104" t="s">
        <v>273</v>
      </c>
      <c r="B1355" s="104" t="s">
        <v>74</v>
      </c>
      <c r="C1355" s="454" t="s">
        <v>266</v>
      </c>
      <c r="D1355" s="105" t="s">
        <v>406</v>
      </c>
      <c r="E1355" s="104">
        <v>40540</v>
      </c>
      <c r="F1355" s="104">
        <v>65</v>
      </c>
      <c r="G1355" s="106" t="s">
        <v>144</v>
      </c>
      <c r="H1355" s="104" t="s">
        <v>145</v>
      </c>
      <c r="I1355" s="104" t="s">
        <v>104</v>
      </c>
      <c r="J1355" s="104" t="s">
        <v>105</v>
      </c>
      <c r="K1355" s="104" t="s">
        <v>143</v>
      </c>
      <c r="L1355" s="104" t="s">
        <v>408</v>
      </c>
      <c r="M1355" s="104" t="s">
        <v>108</v>
      </c>
      <c r="N1355" s="108" t="s">
        <v>17</v>
      </c>
      <c r="O1355" s="104" t="s">
        <v>17</v>
      </c>
      <c r="P1355" s="108">
        <v>1.242</v>
      </c>
      <c r="Q1355" s="108">
        <v>0.78600000000000003</v>
      </c>
      <c r="R1355" s="104" t="s">
        <v>17</v>
      </c>
      <c r="S1355" s="253">
        <f>((10^(((LOG((P1355*10)))*3.413)+1.2869)))/1000</f>
        <v>104.98735793656037</v>
      </c>
      <c r="T1355" s="104" t="s">
        <v>409</v>
      </c>
      <c r="U1355" s="108">
        <v>0.82</v>
      </c>
      <c r="V1355" s="107" t="s">
        <v>287</v>
      </c>
      <c r="W1355" s="114" t="s">
        <v>410</v>
      </c>
    </row>
    <row r="1356" spans="1:24" s="333" customFormat="1" ht="21" customHeight="1">
      <c r="A1356" s="104" t="s">
        <v>273</v>
      </c>
      <c r="B1356" s="104" t="s">
        <v>534</v>
      </c>
      <c r="C1356" s="454" t="s">
        <v>539</v>
      </c>
      <c r="D1356" s="105" t="s">
        <v>540</v>
      </c>
      <c r="E1356" s="104">
        <v>40540</v>
      </c>
      <c r="F1356" s="104">
        <v>71</v>
      </c>
      <c r="G1356" s="106" t="s">
        <v>144</v>
      </c>
      <c r="H1356" s="104" t="s">
        <v>145</v>
      </c>
      <c r="I1356" s="104" t="s">
        <v>104</v>
      </c>
      <c r="J1356" s="104" t="s">
        <v>105</v>
      </c>
      <c r="K1356" s="104" t="s">
        <v>112</v>
      </c>
      <c r="L1356" s="104" t="s">
        <v>663</v>
      </c>
      <c r="M1356" s="104"/>
      <c r="N1356" s="108" t="s">
        <v>17</v>
      </c>
      <c r="O1356" s="104" t="s">
        <v>17</v>
      </c>
      <c r="P1356" s="113">
        <v>0.49299999999999999</v>
      </c>
      <c r="Q1356" s="113">
        <v>0.46299999999999997</v>
      </c>
      <c r="R1356" s="104" t="s">
        <v>17</v>
      </c>
      <c r="S1356" s="253">
        <f>(10^((3.9287*LOG(P1356*10))+-0.5516))/1000</f>
        <v>0.14804293678101277</v>
      </c>
      <c r="T1356" s="104" t="s">
        <v>1292</v>
      </c>
      <c r="U1356" s="108">
        <v>0.81</v>
      </c>
      <c r="V1356" s="107"/>
      <c r="W1356" s="114" t="s">
        <v>1293</v>
      </c>
    </row>
    <row r="1357" spans="1:24" s="333" customFormat="1" ht="21" customHeight="1">
      <c r="A1357" s="104" t="s">
        <v>273</v>
      </c>
      <c r="B1357" s="104" t="s">
        <v>534</v>
      </c>
      <c r="C1357" s="454" t="s">
        <v>539</v>
      </c>
      <c r="D1357" s="105" t="s">
        <v>540</v>
      </c>
      <c r="E1357" s="104">
        <v>40540</v>
      </c>
      <c r="F1357" s="104">
        <v>69</v>
      </c>
      <c r="G1357" s="106" t="s">
        <v>144</v>
      </c>
      <c r="H1357" s="104" t="s">
        <v>145</v>
      </c>
      <c r="I1357" s="104" t="s">
        <v>104</v>
      </c>
      <c r="J1357" s="104" t="s">
        <v>105</v>
      </c>
      <c r="K1357" s="104" t="s">
        <v>155</v>
      </c>
      <c r="L1357" s="104" t="s">
        <v>658</v>
      </c>
      <c r="M1357" s="104"/>
      <c r="N1357" s="108" t="s">
        <v>17</v>
      </c>
      <c r="O1357" s="104" t="s">
        <v>17</v>
      </c>
      <c r="P1357" s="113">
        <v>0.97599999999999998</v>
      </c>
      <c r="Q1357" s="113">
        <v>0.74299999999999999</v>
      </c>
      <c r="R1357" s="104" t="s">
        <v>17</v>
      </c>
      <c r="S1357" s="253">
        <f>(10^((3.9287*LOG(P1357*10))+-0.5516))/1000</f>
        <v>2.1659653197872202</v>
      </c>
      <c r="T1357" s="104" t="s">
        <v>1292</v>
      </c>
      <c r="U1357" s="108">
        <v>0.81</v>
      </c>
      <c r="V1357" s="107"/>
      <c r="W1357" s="114" t="s">
        <v>1293</v>
      </c>
    </row>
    <row r="1358" spans="1:24" ht="21" customHeight="1">
      <c r="A1358" s="104" t="s">
        <v>273</v>
      </c>
      <c r="B1358" s="104" t="s">
        <v>534</v>
      </c>
      <c r="C1358" s="454" t="s">
        <v>539</v>
      </c>
      <c r="D1358" s="105" t="s">
        <v>540</v>
      </c>
      <c r="E1358" s="104">
        <v>40540</v>
      </c>
      <c r="F1358" s="104">
        <v>70</v>
      </c>
      <c r="G1358" s="106" t="s">
        <v>144</v>
      </c>
      <c r="H1358" s="104" t="s">
        <v>145</v>
      </c>
      <c r="I1358" s="104" t="s">
        <v>104</v>
      </c>
      <c r="J1358" s="104" t="s">
        <v>105</v>
      </c>
      <c r="K1358" s="104" t="s">
        <v>252</v>
      </c>
      <c r="L1358" s="104" t="s">
        <v>415</v>
      </c>
      <c r="M1358" s="104"/>
      <c r="N1358" s="108" t="s">
        <v>17</v>
      </c>
      <c r="O1358" s="104" t="s">
        <v>17</v>
      </c>
      <c r="P1358" s="113">
        <v>0.627</v>
      </c>
      <c r="Q1358" s="113">
        <v>0.58099999999999996</v>
      </c>
      <c r="R1358" s="104" t="s">
        <v>17</v>
      </c>
      <c r="S1358" s="253"/>
      <c r="T1358" s="104"/>
      <c r="U1358" s="108"/>
      <c r="V1358" s="107"/>
      <c r="W1358" s="114"/>
    </row>
    <row r="1359" spans="1:24" s="674" customFormat="1" ht="21" customHeight="1">
      <c r="A1359" s="674" t="s">
        <v>273</v>
      </c>
      <c r="B1359" s="674" t="s">
        <v>534</v>
      </c>
      <c r="C1359" s="675" t="s">
        <v>544</v>
      </c>
      <c r="D1359" s="676" t="s">
        <v>151</v>
      </c>
      <c r="E1359" s="674">
        <v>40540</v>
      </c>
      <c r="F1359" s="674" t="s">
        <v>1300</v>
      </c>
      <c r="G1359" s="677" t="s">
        <v>144</v>
      </c>
      <c r="H1359" s="674" t="s">
        <v>145</v>
      </c>
      <c r="I1359" s="674" t="s">
        <v>104</v>
      </c>
      <c r="J1359" s="674" t="s">
        <v>105</v>
      </c>
      <c r="K1359" s="674" t="s">
        <v>112</v>
      </c>
      <c r="L1359" s="674" t="s">
        <v>663</v>
      </c>
      <c r="M1359" s="674" t="s">
        <v>114</v>
      </c>
      <c r="N1359" s="678" t="s">
        <v>17</v>
      </c>
      <c r="O1359" s="674" t="s">
        <v>17</v>
      </c>
      <c r="P1359" s="682">
        <v>0.70199999999999996</v>
      </c>
      <c r="Q1359" s="682">
        <v>0.33300000000000002</v>
      </c>
      <c r="R1359" s="674" t="s">
        <v>17</v>
      </c>
      <c r="S1359" s="679">
        <f>(10^((3.9287*LOG(P1359*10))+-0.5516))/1000</f>
        <v>0.593477983552264</v>
      </c>
      <c r="T1359" s="674" t="s">
        <v>1292</v>
      </c>
      <c r="U1359" s="678">
        <v>0.81</v>
      </c>
      <c r="V1359" s="680"/>
      <c r="W1359" s="681" t="s">
        <v>105</v>
      </c>
      <c r="X1359" s="674" t="s">
        <v>3692</v>
      </c>
    </row>
    <row r="1360" spans="1:24" s="674" customFormat="1" ht="21" customHeight="1">
      <c r="A1360" s="674" t="s">
        <v>273</v>
      </c>
      <c r="B1360" s="674" t="s">
        <v>534</v>
      </c>
      <c r="C1360" s="675" t="s">
        <v>544</v>
      </c>
      <c r="D1360" s="676" t="s">
        <v>151</v>
      </c>
      <c r="E1360" s="674">
        <v>40540</v>
      </c>
      <c r="F1360" s="674" t="s">
        <v>1301</v>
      </c>
      <c r="G1360" s="677" t="s">
        <v>144</v>
      </c>
      <c r="H1360" s="674" t="s">
        <v>145</v>
      </c>
      <c r="I1360" s="674" t="s">
        <v>104</v>
      </c>
      <c r="J1360" s="674" t="s">
        <v>105</v>
      </c>
      <c r="K1360" s="674" t="s">
        <v>112</v>
      </c>
      <c r="L1360" s="674" t="s">
        <v>663</v>
      </c>
      <c r="M1360" s="674" t="s">
        <v>114</v>
      </c>
      <c r="N1360" s="678" t="s">
        <v>17</v>
      </c>
      <c r="O1360" s="674" t="s">
        <v>17</v>
      </c>
      <c r="P1360" s="682">
        <v>0.71699999999999997</v>
      </c>
      <c r="Q1360" s="682">
        <v>0.314</v>
      </c>
      <c r="R1360" s="674" t="s">
        <v>17</v>
      </c>
      <c r="S1360" s="679">
        <f>(10^((3.9287*LOG(P1360*10))+-0.5516))/1000</f>
        <v>0.64487881019843496</v>
      </c>
      <c r="T1360" s="674" t="s">
        <v>1292</v>
      </c>
      <c r="U1360" s="678">
        <v>0.81</v>
      </c>
      <c r="V1360" s="680"/>
      <c r="W1360" s="681" t="s">
        <v>105</v>
      </c>
      <c r="X1360" s="674" t="s">
        <v>3692</v>
      </c>
    </row>
    <row r="1361" spans="1:24" s="674" customFormat="1" ht="21" customHeight="1">
      <c r="A1361" s="674" t="s">
        <v>273</v>
      </c>
      <c r="B1361" s="674" t="s">
        <v>534</v>
      </c>
      <c r="C1361" s="675" t="s">
        <v>544</v>
      </c>
      <c r="D1361" s="676" t="s">
        <v>151</v>
      </c>
      <c r="E1361" s="674">
        <v>40540</v>
      </c>
      <c r="F1361" s="674" t="s">
        <v>1302</v>
      </c>
      <c r="G1361" s="677" t="s">
        <v>144</v>
      </c>
      <c r="H1361" s="674" t="s">
        <v>145</v>
      </c>
      <c r="I1361" s="674" t="s">
        <v>104</v>
      </c>
      <c r="J1361" s="674" t="s">
        <v>105</v>
      </c>
      <c r="K1361" s="674" t="s">
        <v>112</v>
      </c>
      <c r="L1361" s="674" t="s">
        <v>663</v>
      </c>
      <c r="M1361" s="674" t="s">
        <v>108</v>
      </c>
      <c r="N1361" s="678" t="s">
        <v>17</v>
      </c>
      <c r="O1361" s="674" t="s">
        <v>17</v>
      </c>
      <c r="P1361" s="682">
        <v>0.77300000000000002</v>
      </c>
      <c r="Q1361" s="682">
        <v>0.307</v>
      </c>
      <c r="R1361" s="674" t="s">
        <v>17</v>
      </c>
      <c r="S1361" s="679">
        <f>(10^((3.9287*LOG(P1361*10))+-0.5516))/1000</f>
        <v>0.86654431571328805</v>
      </c>
      <c r="T1361" s="674" t="s">
        <v>1292</v>
      </c>
      <c r="U1361" s="678">
        <v>0.81</v>
      </c>
      <c r="V1361" s="680"/>
      <c r="W1361" s="681" t="s">
        <v>105</v>
      </c>
      <c r="X1361" s="674" t="s">
        <v>3692</v>
      </c>
    </row>
    <row r="1362" spans="1:24" s="683" customFormat="1" ht="21" customHeight="1">
      <c r="A1362" s="674" t="s">
        <v>273</v>
      </c>
      <c r="B1362" s="674" t="s">
        <v>534</v>
      </c>
      <c r="C1362" s="675" t="s">
        <v>544</v>
      </c>
      <c r="D1362" s="676" t="s">
        <v>151</v>
      </c>
      <c r="E1362" s="674">
        <v>40540</v>
      </c>
      <c r="F1362" s="674" t="s">
        <v>1303</v>
      </c>
      <c r="G1362" s="677" t="s">
        <v>144</v>
      </c>
      <c r="H1362" s="674" t="s">
        <v>145</v>
      </c>
      <c r="I1362" s="674" t="s">
        <v>104</v>
      </c>
      <c r="J1362" s="674" t="s">
        <v>105</v>
      </c>
      <c r="K1362" s="674" t="s">
        <v>112</v>
      </c>
      <c r="L1362" s="674" t="s">
        <v>663</v>
      </c>
      <c r="M1362" s="674" t="s">
        <v>108</v>
      </c>
      <c r="N1362" s="678" t="s">
        <v>17</v>
      </c>
      <c r="O1362" s="674" t="s">
        <v>17</v>
      </c>
      <c r="P1362" s="682">
        <v>0.8</v>
      </c>
      <c r="Q1362" s="682">
        <v>0.31900000000000001</v>
      </c>
      <c r="R1362" s="674" t="s">
        <v>17</v>
      </c>
      <c r="S1362" s="679">
        <f>(10^((3.9287*LOG(P1362*10))+-0.5516))/1000</f>
        <v>0.99167560974584035</v>
      </c>
      <c r="T1362" s="674" t="s">
        <v>1292</v>
      </c>
      <c r="U1362" s="678">
        <v>0.81</v>
      </c>
      <c r="V1362" s="680"/>
      <c r="W1362" s="681" t="s">
        <v>105</v>
      </c>
      <c r="X1362" s="674" t="s">
        <v>3692</v>
      </c>
    </row>
    <row r="1363" spans="1:24" s="333" customFormat="1" ht="21" customHeight="1">
      <c r="A1363" s="416" t="s">
        <v>273</v>
      </c>
      <c r="B1363" s="416" t="s">
        <v>80</v>
      </c>
      <c r="C1363" s="455" t="s">
        <v>132</v>
      </c>
      <c r="D1363" s="461" t="s">
        <v>133</v>
      </c>
      <c r="E1363" s="416">
        <v>40540</v>
      </c>
      <c r="F1363" s="416">
        <v>60</v>
      </c>
      <c r="G1363" s="456" t="s">
        <v>144</v>
      </c>
      <c r="H1363" s="416" t="s">
        <v>145</v>
      </c>
      <c r="I1363" s="104" t="s">
        <v>104</v>
      </c>
      <c r="J1363" s="416" t="s">
        <v>105</v>
      </c>
      <c r="K1363" s="416" t="s">
        <v>112</v>
      </c>
      <c r="L1363" s="416" t="s">
        <v>663</v>
      </c>
      <c r="M1363" s="416" t="s">
        <v>114</v>
      </c>
      <c r="N1363" s="458" t="s">
        <v>17</v>
      </c>
      <c r="O1363" s="416" t="s">
        <v>17</v>
      </c>
      <c r="P1363" s="457">
        <v>2.2410000000000001</v>
      </c>
      <c r="Q1363" s="457">
        <v>1.4039999999999999</v>
      </c>
      <c r="R1363" s="416" t="s">
        <v>17</v>
      </c>
      <c r="S1363" s="459">
        <f>(10^((LOG(P1363*10)*1.9336)+2.6699))/1000</f>
        <v>191.03562949673218</v>
      </c>
      <c r="T1363" s="416" t="s">
        <v>1327</v>
      </c>
      <c r="U1363" s="458">
        <v>0.57999999999999996</v>
      </c>
      <c r="V1363" s="460" t="s">
        <v>287</v>
      </c>
      <c r="W1363" s="456" t="s">
        <v>105</v>
      </c>
    </row>
    <row r="1364" spans="1:24" s="333" customFormat="1" ht="21" customHeight="1">
      <c r="A1364" s="104" t="s">
        <v>273</v>
      </c>
      <c r="B1364" s="104" t="s">
        <v>80</v>
      </c>
      <c r="C1364" s="454" t="s">
        <v>132</v>
      </c>
      <c r="D1364" s="105" t="s">
        <v>133</v>
      </c>
      <c r="E1364" s="104">
        <v>40540</v>
      </c>
      <c r="F1364" s="104" t="s">
        <v>1333</v>
      </c>
      <c r="G1364" s="106" t="s">
        <v>144</v>
      </c>
      <c r="H1364" s="104" t="s">
        <v>145</v>
      </c>
      <c r="I1364" s="104" t="s">
        <v>104</v>
      </c>
      <c r="J1364" s="104" t="s">
        <v>105</v>
      </c>
      <c r="K1364" s="104" t="s">
        <v>1334</v>
      </c>
      <c r="L1364" s="104" t="s">
        <v>308</v>
      </c>
      <c r="M1364" s="104"/>
      <c r="N1364" s="108" t="s">
        <v>17</v>
      </c>
      <c r="O1364" s="104" t="s">
        <v>17</v>
      </c>
      <c r="P1364" s="113">
        <v>1.3180000000000001</v>
      </c>
      <c r="Q1364" s="113">
        <v>0.88400000000000001</v>
      </c>
      <c r="R1364" s="104" t="s">
        <v>17</v>
      </c>
      <c r="S1364" s="253"/>
      <c r="T1364" s="104"/>
      <c r="U1364" s="108"/>
      <c r="V1364" s="107"/>
      <c r="W1364" s="114"/>
    </row>
    <row r="1365" spans="1:24" s="333" customFormat="1" ht="21" customHeight="1">
      <c r="A1365" s="104" t="s">
        <v>273</v>
      </c>
      <c r="B1365" s="104" t="s">
        <v>80</v>
      </c>
      <c r="C1365" s="454" t="s">
        <v>132</v>
      </c>
      <c r="D1365" s="105" t="s">
        <v>133</v>
      </c>
      <c r="E1365" s="104">
        <v>40540</v>
      </c>
      <c r="F1365" s="104" t="s">
        <v>1335</v>
      </c>
      <c r="G1365" s="106" t="s">
        <v>144</v>
      </c>
      <c r="H1365" s="104" t="s">
        <v>145</v>
      </c>
      <c r="I1365" s="104" t="s">
        <v>104</v>
      </c>
      <c r="J1365" s="104" t="s">
        <v>105</v>
      </c>
      <c r="K1365" s="104" t="s">
        <v>1334</v>
      </c>
      <c r="L1365" s="104" t="s">
        <v>308</v>
      </c>
      <c r="M1365" s="104"/>
      <c r="N1365" s="108" t="s">
        <v>17</v>
      </c>
      <c r="O1365" s="104" t="s">
        <v>17</v>
      </c>
      <c r="P1365" s="113">
        <v>1.141</v>
      </c>
      <c r="Q1365" s="113">
        <v>0.92100000000000004</v>
      </c>
      <c r="R1365" s="104" t="s">
        <v>17</v>
      </c>
      <c r="S1365" s="253"/>
      <c r="T1365" s="104"/>
      <c r="U1365" s="108"/>
      <c r="V1365" s="107"/>
      <c r="W1365" s="114"/>
    </row>
    <row r="1366" spans="1:24" s="333" customFormat="1" ht="21" customHeight="1">
      <c r="A1366" s="104" t="s">
        <v>218</v>
      </c>
      <c r="B1366" s="104" t="s">
        <v>221</v>
      </c>
      <c r="C1366" s="454" t="s">
        <v>1025</v>
      </c>
      <c r="D1366" s="105" t="s">
        <v>485</v>
      </c>
      <c r="E1366" s="104">
        <v>804</v>
      </c>
      <c r="F1366" s="104">
        <v>85</v>
      </c>
      <c r="G1366" s="106" t="s">
        <v>1026</v>
      </c>
      <c r="H1366" s="104" t="s">
        <v>251</v>
      </c>
      <c r="I1366" s="104" t="s">
        <v>104</v>
      </c>
      <c r="J1366" s="104" t="s">
        <v>105</v>
      </c>
      <c r="K1366" s="104" t="s">
        <v>112</v>
      </c>
      <c r="L1366" s="104" t="s">
        <v>663</v>
      </c>
      <c r="M1366" s="104" t="s">
        <v>108</v>
      </c>
      <c r="N1366" s="108" t="s">
        <v>17</v>
      </c>
      <c r="O1366" s="104" t="s">
        <v>17</v>
      </c>
      <c r="P1366" s="108">
        <v>1.911</v>
      </c>
      <c r="Q1366" s="108">
        <v>1.264</v>
      </c>
      <c r="R1366" s="104" t="s">
        <v>17</v>
      </c>
      <c r="S1366" s="253">
        <f>(10^((3.334*LOG((P1366))+1.27)))</f>
        <v>161.33297066036707</v>
      </c>
      <c r="T1366" s="104" t="s">
        <v>1027</v>
      </c>
      <c r="U1366" s="108">
        <v>0.93</v>
      </c>
      <c r="V1366" s="107">
        <v>23.9</v>
      </c>
      <c r="W1366" s="106" t="s">
        <v>1028</v>
      </c>
    </row>
    <row r="1367" spans="1:24" s="333" customFormat="1" ht="21" customHeight="1">
      <c r="A1367" s="104" t="s">
        <v>273</v>
      </c>
      <c r="B1367" s="104" t="s">
        <v>74</v>
      </c>
      <c r="C1367" s="454" t="s">
        <v>266</v>
      </c>
      <c r="D1367" s="105" t="s">
        <v>267</v>
      </c>
      <c r="E1367" s="104">
        <v>804</v>
      </c>
      <c r="F1367" s="104">
        <v>107</v>
      </c>
      <c r="G1367" s="106" t="s">
        <v>1209</v>
      </c>
      <c r="H1367" s="104"/>
      <c r="I1367" s="104" t="s">
        <v>225</v>
      </c>
      <c r="J1367" s="104" t="s">
        <v>284</v>
      </c>
      <c r="K1367" s="104" t="s">
        <v>112</v>
      </c>
      <c r="L1367" s="104" t="s">
        <v>663</v>
      </c>
      <c r="M1367" s="104" t="s">
        <v>114</v>
      </c>
      <c r="N1367" s="108"/>
      <c r="O1367" s="104"/>
      <c r="P1367" s="108"/>
      <c r="Q1367" s="108"/>
      <c r="R1367" s="104"/>
      <c r="S1367" s="253">
        <v>8.6724800000000002</v>
      </c>
      <c r="T1367" s="104"/>
      <c r="U1367" s="108"/>
      <c r="V1367" s="107"/>
      <c r="W1367" s="106"/>
    </row>
    <row r="1368" spans="1:24" s="333" customFormat="1" ht="21" customHeight="1">
      <c r="A1368" s="104" t="s">
        <v>169</v>
      </c>
      <c r="B1368" s="104" t="s">
        <v>246</v>
      </c>
      <c r="C1368" s="454" t="s">
        <v>247</v>
      </c>
      <c r="D1368" s="105" t="s">
        <v>248</v>
      </c>
      <c r="E1368" s="104">
        <v>804</v>
      </c>
      <c r="F1368" s="104">
        <v>83</v>
      </c>
      <c r="G1368" s="106" t="s">
        <v>1026</v>
      </c>
      <c r="H1368" s="104" t="s">
        <v>251</v>
      </c>
      <c r="I1368" s="104" t="s">
        <v>104</v>
      </c>
      <c r="J1368" s="104" t="s">
        <v>105</v>
      </c>
      <c r="K1368" s="104" t="s">
        <v>883</v>
      </c>
      <c r="L1368" s="104" t="s">
        <v>884</v>
      </c>
      <c r="M1368" s="104"/>
      <c r="N1368" s="108" t="s">
        <v>17</v>
      </c>
      <c r="O1368" s="104" t="s">
        <v>17</v>
      </c>
      <c r="P1368" s="113">
        <v>2.371</v>
      </c>
      <c r="Q1368" s="113">
        <v>2.0270000000000001</v>
      </c>
      <c r="R1368" s="104" t="s">
        <v>17</v>
      </c>
      <c r="S1368" s="253">
        <f>(10^((2.9*LOG((P1368))+1.209)))</f>
        <v>197.83426168616728</v>
      </c>
      <c r="T1368" s="103" t="s">
        <v>1386</v>
      </c>
      <c r="U1368" s="108">
        <v>0.96399999999999997</v>
      </c>
      <c r="V1368" s="107">
        <v>30.5</v>
      </c>
      <c r="W1368" s="414" t="s">
        <v>1388</v>
      </c>
    </row>
    <row r="1369" spans="1:24" s="333" customFormat="1" ht="21" customHeight="1">
      <c r="A1369" s="104" t="s">
        <v>218</v>
      </c>
      <c r="B1369" s="104" t="s">
        <v>193</v>
      </c>
      <c r="C1369" s="454" t="s">
        <v>194</v>
      </c>
      <c r="D1369" s="105" t="s">
        <v>195</v>
      </c>
      <c r="E1369" s="104">
        <v>30839</v>
      </c>
      <c r="F1369" s="104">
        <v>46</v>
      </c>
      <c r="G1369" s="106" t="s">
        <v>196</v>
      </c>
      <c r="H1369" s="104" t="s">
        <v>197</v>
      </c>
      <c r="I1369" s="104" t="s">
        <v>104</v>
      </c>
      <c r="J1369" s="104" t="s">
        <v>105</v>
      </c>
      <c r="K1369" s="104" t="s">
        <v>655</v>
      </c>
      <c r="L1369" s="104" t="s">
        <v>656</v>
      </c>
      <c r="M1369" s="104" t="s">
        <v>108</v>
      </c>
      <c r="N1369" s="254"/>
      <c r="O1369" s="103"/>
      <c r="P1369" s="108">
        <v>3.37</v>
      </c>
      <c r="Q1369" s="108">
        <v>1.9359999999999999</v>
      </c>
      <c r="R1369" s="104" t="s">
        <v>17</v>
      </c>
      <c r="S1369" s="253">
        <f>(10^((1.463*LOG((P1369*Q1369*100))+0.633)))/1000</f>
        <v>56.320315158183881</v>
      </c>
      <c r="T1369" s="104" t="s">
        <v>657</v>
      </c>
      <c r="U1369" s="108">
        <v>0.97660000000000002</v>
      </c>
      <c r="V1369" s="107">
        <v>33.36</v>
      </c>
      <c r="W1369" s="106" t="s">
        <v>404</v>
      </c>
    </row>
    <row r="1370" spans="1:24" s="333" customFormat="1" ht="21" customHeight="1">
      <c r="A1370" s="104" t="s">
        <v>218</v>
      </c>
      <c r="B1370" s="104" t="s">
        <v>193</v>
      </c>
      <c r="C1370" s="454" t="s">
        <v>194</v>
      </c>
      <c r="D1370" s="105" t="s">
        <v>195</v>
      </c>
      <c r="E1370" s="104">
        <v>30839</v>
      </c>
      <c r="F1370" s="104">
        <v>27</v>
      </c>
      <c r="G1370" s="106" t="s">
        <v>196</v>
      </c>
      <c r="H1370" s="104" t="s">
        <v>197</v>
      </c>
      <c r="I1370" s="104" t="s">
        <v>104</v>
      </c>
      <c r="J1370" s="104" t="s">
        <v>105</v>
      </c>
      <c r="K1370" s="104" t="s">
        <v>660</v>
      </c>
      <c r="L1370" s="104" t="s">
        <v>661</v>
      </c>
      <c r="M1370" s="104" t="s">
        <v>108</v>
      </c>
      <c r="N1370" s="113" t="s">
        <v>17</v>
      </c>
      <c r="O1370" s="104" t="s">
        <v>17</v>
      </c>
      <c r="P1370" s="108">
        <v>19.5</v>
      </c>
      <c r="Q1370" s="108" t="s">
        <v>17</v>
      </c>
      <c r="R1370" s="104" t="s">
        <v>17</v>
      </c>
      <c r="S1370" s="253">
        <f>(10^((3.0795*LOG(P1370)-2.1515)))</f>
        <v>66.246293699652227</v>
      </c>
      <c r="T1370" s="104" t="s">
        <v>662</v>
      </c>
      <c r="U1370" s="108">
        <v>0.85489999999999999</v>
      </c>
      <c r="V1370" s="107">
        <v>45</v>
      </c>
      <c r="W1370" s="106" t="s">
        <v>650</v>
      </c>
    </row>
    <row r="1371" spans="1:24" s="333" customFormat="1" ht="21" customHeight="1">
      <c r="A1371" s="104" t="s">
        <v>218</v>
      </c>
      <c r="B1371" s="104" t="s">
        <v>193</v>
      </c>
      <c r="C1371" s="454" t="s">
        <v>466</v>
      </c>
      <c r="D1371" s="105" t="s">
        <v>151</v>
      </c>
      <c r="E1371" s="104">
        <v>30839</v>
      </c>
      <c r="F1371" s="104">
        <v>42</v>
      </c>
      <c r="G1371" s="106" t="s">
        <v>196</v>
      </c>
      <c r="H1371" s="104" t="s">
        <v>197</v>
      </c>
      <c r="I1371" s="104" t="s">
        <v>104</v>
      </c>
      <c r="J1371" s="104" t="s">
        <v>105</v>
      </c>
      <c r="K1371" s="104" t="s">
        <v>679</v>
      </c>
      <c r="L1371" s="104" t="s">
        <v>680</v>
      </c>
      <c r="M1371" s="104" t="s">
        <v>108</v>
      </c>
      <c r="N1371" s="113" t="s">
        <v>17</v>
      </c>
      <c r="O1371" s="104" t="s">
        <v>17</v>
      </c>
      <c r="P1371" s="108">
        <v>4.57</v>
      </c>
      <c r="Q1371" s="108">
        <v>2.181</v>
      </c>
      <c r="R1371" s="104" t="s">
        <v>17</v>
      </c>
      <c r="S1371" s="253"/>
      <c r="T1371" s="104"/>
      <c r="U1371" s="108"/>
      <c r="V1371" s="107"/>
      <c r="W1371" s="106"/>
    </row>
    <row r="1372" spans="1:24" s="333" customFormat="1" ht="21" customHeight="1">
      <c r="A1372" s="104" t="s">
        <v>218</v>
      </c>
      <c r="B1372" s="104" t="s">
        <v>193</v>
      </c>
      <c r="C1372" s="454" t="s">
        <v>681</v>
      </c>
      <c r="D1372" s="105" t="s">
        <v>151</v>
      </c>
      <c r="E1372" s="104">
        <v>30839</v>
      </c>
      <c r="F1372" s="104">
        <v>47</v>
      </c>
      <c r="G1372" s="106" t="s">
        <v>196</v>
      </c>
      <c r="H1372" s="104" t="s">
        <v>197</v>
      </c>
      <c r="I1372" s="104" t="s">
        <v>104</v>
      </c>
      <c r="J1372" s="104" t="s">
        <v>105</v>
      </c>
      <c r="K1372" s="104" t="s">
        <v>158</v>
      </c>
      <c r="L1372" s="104" t="s">
        <v>686</v>
      </c>
      <c r="M1372" s="104" t="s">
        <v>114</v>
      </c>
      <c r="N1372" s="113" t="s">
        <v>17</v>
      </c>
      <c r="O1372" s="104" t="s">
        <v>17</v>
      </c>
      <c r="P1372" s="108">
        <v>2.1760000000000002</v>
      </c>
      <c r="Q1372" s="108">
        <v>1.1240000000000001</v>
      </c>
      <c r="R1372" s="104" t="s">
        <v>17</v>
      </c>
      <c r="S1372" s="253">
        <f>(10^((3.29*LOG((P1372*10))+0.8)))/1000</f>
        <v>158.81727916444231</v>
      </c>
      <c r="T1372" s="104" t="s">
        <v>687</v>
      </c>
      <c r="U1372" s="108">
        <v>0.93</v>
      </c>
      <c r="V1372" s="107">
        <v>44.7</v>
      </c>
      <c r="W1372" s="106" t="s">
        <v>644</v>
      </c>
    </row>
    <row r="1373" spans="1:24" s="333" customFormat="1" ht="21" customHeight="1">
      <c r="A1373" s="104" t="s">
        <v>218</v>
      </c>
      <c r="B1373" s="104" t="s">
        <v>202</v>
      </c>
      <c r="C1373" s="454" t="s">
        <v>203</v>
      </c>
      <c r="D1373" s="105" t="s">
        <v>204</v>
      </c>
      <c r="E1373" s="104">
        <v>30839</v>
      </c>
      <c r="F1373" s="104">
        <v>51</v>
      </c>
      <c r="G1373" s="106" t="s">
        <v>196</v>
      </c>
      <c r="H1373" s="104" t="s">
        <v>197</v>
      </c>
      <c r="I1373" s="104" t="s">
        <v>104</v>
      </c>
      <c r="J1373" s="104" t="s">
        <v>105</v>
      </c>
      <c r="K1373" s="104" t="s">
        <v>394</v>
      </c>
      <c r="L1373" s="104" t="s">
        <v>671</v>
      </c>
      <c r="M1373" s="104" t="s">
        <v>108</v>
      </c>
      <c r="N1373" s="108" t="s">
        <v>17</v>
      </c>
      <c r="O1373" s="104" t="s">
        <v>17</v>
      </c>
      <c r="P1373" s="108">
        <v>14.4</v>
      </c>
      <c r="Q1373" s="108" t="s">
        <v>17</v>
      </c>
      <c r="R1373" s="104" t="s">
        <v>17</v>
      </c>
      <c r="S1373" s="253">
        <f>(EXP((((LN((P1373*10)))*2.969)-1.611)))/1000</f>
        <v>511.12818369212852</v>
      </c>
      <c r="T1373" s="104" t="s">
        <v>396</v>
      </c>
      <c r="U1373" s="108">
        <v>0.94099999999999995</v>
      </c>
      <c r="V1373" s="107">
        <v>44.075000000000003</v>
      </c>
      <c r="W1373" s="106" t="s">
        <v>397</v>
      </c>
    </row>
    <row r="1374" spans="1:24" s="333" customFormat="1" ht="21" customHeight="1">
      <c r="A1374" s="104" t="s">
        <v>218</v>
      </c>
      <c r="B1374" s="104" t="s">
        <v>202</v>
      </c>
      <c r="C1374" s="454" t="s">
        <v>203</v>
      </c>
      <c r="D1374" s="105" t="s">
        <v>204</v>
      </c>
      <c r="E1374" s="104">
        <v>30839</v>
      </c>
      <c r="F1374" s="104">
        <v>16</v>
      </c>
      <c r="G1374" s="106" t="s">
        <v>196</v>
      </c>
      <c r="H1374" s="104" t="s">
        <v>197</v>
      </c>
      <c r="I1374" s="104" t="s">
        <v>104</v>
      </c>
      <c r="J1374" s="104" t="s">
        <v>105</v>
      </c>
      <c r="K1374" s="104" t="s">
        <v>655</v>
      </c>
      <c r="L1374" s="104" t="s">
        <v>656</v>
      </c>
      <c r="M1374" s="104" t="s">
        <v>114</v>
      </c>
      <c r="N1374" s="254"/>
      <c r="O1374" s="103"/>
      <c r="P1374" s="108">
        <v>6.9700000000000006</v>
      </c>
      <c r="Q1374" s="108">
        <v>4.32</v>
      </c>
      <c r="R1374" s="104" t="s">
        <v>17</v>
      </c>
      <c r="S1374" s="253">
        <f>(10^((1.463*LOG((P1374*Q1374*100))+0.633)))/1000</f>
        <v>527.66984487240711</v>
      </c>
      <c r="T1374" s="104" t="s">
        <v>657</v>
      </c>
      <c r="U1374" s="108">
        <v>0.97660000000000002</v>
      </c>
      <c r="V1374" s="107">
        <v>33.36</v>
      </c>
      <c r="W1374" s="106" t="s">
        <v>404</v>
      </c>
    </row>
    <row r="1375" spans="1:24" s="333" customFormat="1" ht="21" customHeight="1">
      <c r="A1375" s="104" t="s">
        <v>169</v>
      </c>
      <c r="B1375" s="104" t="s">
        <v>149</v>
      </c>
      <c r="C1375" s="454" t="s">
        <v>150</v>
      </c>
      <c r="D1375" s="105" t="s">
        <v>151</v>
      </c>
      <c r="E1375" s="104">
        <v>30839</v>
      </c>
      <c r="F1375" s="104">
        <v>35</v>
      </c>
      <c r="G1375" s="106" t="s">
        <v>196</v>
      </c>
      <c r="H1375" s="104" t="s">
        <v>197</v>
      </c>
      <c r="I1375" s="104" t="s">
        <v>104</v>
      </c>
      <c r="J1375" s="104" t="s">
        <v>105</v>
      </c>
      <c r="K1375" s="104" t="s">
        <v>683</v>
      </c>
      <c r="L1375" s="104" t="s">
        <v>728</v>
      </c>
      <c r="M1375" s="104" t="s">
        <v>114</v>
      </c>
      <c r="N1375" s="108" t="s">
        <v>17</v>
      </c>
      <c r="O1375" s="104" t="s">
        <v>17</v>
      </c>
      <c r="P1375" s="108">
        <v>2.6079999999999997</v>
      </c>
      <c r="Q1375" s="108">
        <v>1.4910000000000001</v>
      </c>
      <c r="R1375" s="104" t="s">
        <v>17</v>
      </c>
      <c r="S1375" s="253">
        <f>(((10^((3.187*LOG((P1375))+1.264)))+(10^(3.01*LOG((P1375))+1.216)))/2)</f>
        <v>342.11897050272103</v>
      </c>
      <c r="T1375" s="103" t="s">
        <v>1407</v>
      </c>
      <c r="U1375" s="108">
        <v>0.98499999999999999</v>
      </c>
      <c r="V1375" s="107">
        <v>16.5</v>
      </c>
      <c r="W1375" s="414" t="s">
        <v>1388</v>
      </c>
    </row>
    <row r="1376" spans="1:24" s="333" customFormat="1" ht="21" customHeight="1">
      <c r="A1376" s="104" t="s">
        <v>169</v>
      </c>
      <c r="B1376" s="104" t="s">
        <v>149</v>
      </c>
      <c r="C1376" s="454" t="s">
        <v>150</v>
      </c>
      <c r="D1376" s="105" t="s">
        <v>151</v>
      </c>
      <c r="E1376" s="104">
        <v>30839</v>
      </c>
      <c r="F1376" s="104">
        <v>64</v>
      </c>
      <c r="G1376" s="106" t="s">
        <v>196</v>
      </c>
      <c r="H1376" s="104" t="s">
        <v>197</v>
      </c>
      <c r="I1376" s="104" t="s">
        <v>104</v>
      </c>
      <c r="J1376" s="104" t="s">
        <v>105</v>
      </c>
      <c r="K1376" s="104" t="s">
        <v>112</v>
      </c>
      <c r="L1376" s="104" t="s">
        <v>663</v>
      </c>
      <c r="M1376" s="104" t="s">
        <v>108</v>
      </c>
      <c r="N1376" s="108" t="s">
        <v>17</v>
      </c>
      <c r="O1376" s="104" t="s">
        <v>17</v>
      </c>
      <c r="P1376" s="108">
        <v>2.9829999999999997</v>
      </c>
      <c r="Q1376" s="108">
        <v>1.996</v>
      </c>
      <c r="R1376" s="104" t="s">
        <v>17</v>
      </c>
      <c r="S1376" s="253">
        <f>(10^((3.187*LOG((P1376))+1.264)))</f>
        <v>598.02579691671815</v>
      </c>
      <c r="T1376" s="103" t="s">
        <v>1387</v>
      </c>
      <c r="U1376" s="108">
        <v>0.98499999999999999</v>
      </c>
      <c r="V1376" s="107">
        <v>16.5</v>
      </c>
      <c r="W1376" s="414" t="s">
        <v>1385</v>
      </c>
    </row>
    <row r="1377" spans="1:23" s="333" customFormat="1" ht="21" customHeight="1">
      <c r="A1377" s="104" t="s">
        <v>169</v>
      </c>
      <c r="B1377" s="104" t="s">
        <v>149</v>
      </c>
      <c r="C1377" s="454" t="s">
        <v>150</v>
      </c>
      <c r="D1377" s="105" t="s">
        <v>151</v>
      </c>
      <c r="E1377" s="104">
        <v>30839</v>
      </c>
      <c r="F1377" s="104">
        <v>133</v>
      </c>
      <c r="G1377" s="106" t="s">
        <v>196</v>
      </c>
      <c r="H1377" s="104" t="s">
        <v>197</v>
      </c>
      <c r="I1377" s="104" t="s">
        <v>104</v>
      </c>
      <c r="J1377" s="104" t="s">
        <v>105</v>
      </c>
      <c r="K1377" s="104" t="s">
        <v>683</v>
      </c>
      <c r="L1377" s="104" t="s">
        <v>728</v>
      </c>
      <c r="M1377" s="104" t="s">
        <v>108</v>
      </c>
      <c r="N1377" s="108" t="s">
        <v>17</v>
      </c>
      <c r="O1377" s="104" t="s">
        <v>17</v>
      </c>
      <c r="P1377" s="108">
        <v>3.5350000000000001</v>
      </c>
      <c r="Q1377" s="108">
        <v>1.542</v>
      </c>
      <c r="R1377" s="104" t="s">
        <v>17</v>
      </c>
      <c r="S1377" s="253">
        <f>(((10^((3.187*LOG((P1377))+1.264)))+(10^(3.01*LOG((P1377))+1.216)))/2)</f>
        <v>881.48223512735649</v>
      </c>
      <c r="T1377" s="103" t="s">
        <v>1407</v>
      </c>
      <c r="U1377" s="108">
        <v>0.98499999999999999</v>
      </c>
      <c r="V1377" s="107">
        <v>16.5</v>
      </c>
      <c r="W1377" s="414" t="s">
        <v>1388</v>
      </c>
    </row>
    <row r="1378" spans="1:23" s="333" customFormat="1" ht="21" customHeight="1">
      <c r="A1378" s="104" t="s">
        <v>218</v>
      </c>
      <c r="B1378" s="104" t="s">
        <v>389</v>
      </c>
      <c r="C1378" s="454" t="s">
        <v>390</v>
      </c>
      <c r="D1378" s="105" t="s">
        <v>471</v>
      </c>
      <c r="E1378" s="104">
        <v>1273</v>
      </c>
      <c r="F1378" s="104">
        <v>1</v>
      </c>
      <c r="G1378" s="106" t="s">
        <v>205</v>
      </c>
      <c r="H1378" s="104" t="s">
        <v>205</v>
      </c>
      <c r="I1378" s="104" t="s">
        <v>104</v>
      </c>
      <c r="J1378" s="104" t="s">
        <v>105</v>
      </c>
      <c r="K1378" s="104" t="s">
        <v>775</v>
      </c>
      <c r="L1378" s="104" t="s">
        <v>776</v>
      </c>
      <c r="M1378" s="104"/>
      <c r="N1378" s="108"/>
      <c r="O1378" s="104" t="s">
        <v>17</v>
      </c>
      <c r="P1378" s="108" t="s">
        <v>17</v>
      </c>
      <c r="Q1378" s="108">
        <v>37.200000000000003</v>
      </c>
      <c r="R1378" s="104" t="s">
        <v>17</v>
      </c>
      <c r="S1378" s="113"/>
      <c r="T1378" s="104"/>
      <c r="U1378" s="108"/>
      <c r="V1378" s="107"/>
      <c r="W1378" s="106"/>
    </row>
    <row r="1379" spans="1:23" s="333" customFormat="1" ht="21" customHeight="1">
      <c r="A1379" s="104" t="s">
        <v>218</v>
      </c>
      <c r="B1379" s="104" t="s">
        <v>202</v>
      </c>
      <c r="C1379" s="454" t="s">
        <v>203</v>
      </c>
      <c r="D1379" s="105" t="s">
        <v>204</v>
      </c>
      <c r="E1379" s="104">
        <v>42263</v>
      </c>
      <c r="F1379" s="104">
        <v>1</v>
      </c>
      <c r="G1379" s="106" t="s">
        <v>205</v>
      </c>
      <c r="H1379" s="104" t="s">
        <v>206</v>
      </c>
      <c r="I1379" s="104" t="s">
        <v>104</v>
      </c>
      <c r="J1379" s="104" t="s">
        <v>105</v>
      </c>
      <c r="K1379" s="104" t="s">
        <v>1000</v>
      </c>
      <c r="L1379" s="104" t="s">
        <v>686</v>
      </c>
      <c r="M1379" s="104" t="s">
        <v>114</v>
      </c>
      <c r="N1379" s="108" t="s">
        <v>17</v>
      </c>
      <c r="O1379" s="104" t="s">
        <v>17</v>
      </c>
      <c r="P1379" s="113">
        <v>4.7320000000000002</v>
      </c>
      <c r="Q1379" s="113">
        <v>2.8980000000000001</v>
      </c>
      <c r="R1379" s="104" t="s">
        <v>17</v>
      </c>
      <c r="S1379" s="253">
        <f>((((10^(3.12*LOG((P1379*10))+0.94))))/1000)</f>
        <v>1466.0189232639898</v>
      </c>
      <c r="T1379" s="104" t="s">
        <v>1001</v>
      </c>
      <c r="U1379" s="108">
        <v>0.88</v>
      </c>
      <c r="V1379" s="107">
        <v>42.47</v>
      </c>
      <c r="W1379" s="106" t="s">
        <v>980</v>
      </c>
    </row>
    <row r="1380" spans="1:23" s="333" customFormat="1" ht="21" customHeight="1">
      <c r="A1380" s="104" t="s">
        <v>169</v>
      </c>
      <c r="B1380" s="104" t="s">
        <v>149</v>
      </c>
      <c r="C1380" s="454" t="s">
        <v>150</v>
      </c>
      <c r="D1380" s="105" t="s">
        <v>151</v>
      </c>
      <c r="E1380" s="104">
        <v>101</v>
      </c>
      <c r="F1380" s="104">
        <v>3047</v>
      </c>
      <c r="G1380" s="106" t="s">
        <v>205</v>
      </c>
      <c r="H1380" s="104" t="s">
        <v>205</v>
      </c>
      <c r="I1380" s="104" t="s">
        <v>104</v>
      </c>
      <c r="J1380" s="104" t="s">
        <v>105</v>
      </c>
      <c r="K1380" s="104" t="s">
        <v>209</v>
      </c>
      <c r="L1380" s="104" t="s">
        <v>684</v>
      </c>
      <c r="M1380" s="104"/>
      <c r="N1380" s="108" t="s">
        <v>17</v>
      </c>
      <c r="O1380" s="104" t="s">
        <v>17</v>
      </c>
      <c r="P1380" s="113">
        <v>2.7</v>
      </c>
      <c r="Q1380" s="113">
        <v>1.7440000000000002</v>
      </c>
      <c r="R1380" s="104" t="s">
        <v>17</v>
      </c>
      <c r="S1380" s="253">
        <f xml:space="preserve"> (10^((3.01*LOG((P1380))+1.216)))</f>
        <v>326.89248011535875</v>
      </c>
      <c r="T1380" s="103" t="s">
        <v>1405</v>
      </c>
      <c r="U1380" s="108">
        <v>0.98599999999999999</v>
      </c>
      <c r="V1380" s="107">
        <v>16.899999999999999</v>
      </c>
      <c r="W1380" s="414" t="s">
        <v>1388</v>
      </c>
    </row>
    <row r="1381" spans="1:23" s="333" customFormat="1" ht="21" customHeight="1">
      <c r="A1381" s="104" t="s">
        <v>169</v>
      </c>
      <c r="B1381" s="104" t="s">
        <v>149</v>
      </c>
      <c r="C1381" s="454" t="s">
        <v>150</v>
      </c>
      <c r="D1381" s="105" t="s">
        <v>151</v>
      </c>
      <c r="E1381" s="104">
        <v>101</v>
      </c>
      <c r="F1381" s="104">
        <v>3047</v>
      </c>
      <c r="G1381" s="106" t="s">
        <v>205</v>
      </c>
      <c r="H1381" s="104" t="s">
        <v>205</v>
      </c>
      <c r="I1381" s="104" t="s">
        <v>104</v>
      </c>
      <c r="J1381" s="104" t="s">
        <v>105</v>
      </c>
      <c r="K1381" s="104" t="s">
        <v>112</v>
      </c>
      <c r="L1381" s="104" t="s">
        <v>663</v>
      </c>
      <c r="M1381" s="104"/>
      <c r="N1381" s="108" t="s">
        <v>17</v>
      </c>
      <c r="O1381" s="104" t="s">
        <v>17</v>
      </c>
      <c r="P1381" s="113">
        <v>2.6579999999999999</v>
      </c>
      <c r="Q1381" s="113">
        <v>1.9600000000000002</v>
      </c>
      <c r="R1381" s="104" t="s">
        <v>17</v>
      </c>
      <c r="S1381" s="253">
        <f>(10^((3.187*LOG((P1381))+1.264)))</f>
        <v>414.05373868646859</v>
      </c>
      <c r="T1381" s="103" t="s">
        <v>1387</v>
      </c>
      <c r="U1381" s="108">
        <v>0.98499999999999999</v>
      </c>
      <c r="V1381" s="107">
        <v>16.5</v>
      </c>
      <c r="W1381" s="414" t="s">
        <v>1385</v>
      </c>
    </row>
    <row r="1382" spans="1:23" s="333" customFormat="1" ht="21" customHeight="1">
      <c r="A1382" s="104" t="s">
        <v>169</v>
      </c>
      <c r="B1382" s="104" t="s">
        <v>149</v>
      </c>
      <c r="C1382" s="454" t="s">
        <v>150</v>
      </c>
      <c r="D1382" s="105" t="s">
        <v>151</v>
      </c>
      <c r="E1382" s="104">
        <v>101</v>
      </c>
      <c r="F1382" s="104">
        <v>3047</v>
      </c>
      <c r="G1382" s="106" t="s">
        <v>205</v>
      </c>
      <c r="H1382" s="104" t="s">
        <v>205</v>
      </c>
      <c r="I1382" s="104" t="s">
        <v>104</v>
      </c>
      <c r="J1382" s="104" t="s">
        <v>105</v>
      </c>
      <c r="K1382" s="104" t="s">
        <v>243</v>
      </c>
      <c r="L1382" s="104" t="s">
        <v>421</v>
      </c>
      <c r="M1382" s="104"/>
      <c r="N1382" s="108" t="s">
        <v>17</v>
      </c>
      <c r="O1382" s="104" t="s">
        <v>17</v>
      </c>
      <c r="P1382" s="113">
        <v>2.8029999999999999</v>
      </c>
      <c r="Q1382" s="113">
        <v>2.1510000000000002</v>
      </c>
      <c r="R1382" s="104" t="s">
        <v>17</v>
      </c>
      <c r="S1382" s="253">
        <f>(10^((3.09*LOG((P1382))+1.29)))</f>
        <v>471.14585218041992</v>
      </c>
      <c r="T1382" s="103" t="s">
        <v>1416</v>
      </c>
      <c r="U1382" s="108">
        <v>0.98599999999999999</v>
      </c>
      <c r="V1382" s="107">
        <v>21</v>
      </c>
      <c r="W1382" s="414" t="s">
        <v>1385</v>
      </c>
    </row>
    <row r="1383" spans="1:23" s="333" customFormat="1" ht="21" customHeight="1">
      <c r="A1383" s="104" t="s">
        <v>169</v>
      </c>
      <c r="B1383" s="104" t="s">
        <v>149</v>
      </c>
      <c r="C1383" s="454" t="s">
        <v>150</v>
      </c>
      <c r="D1383" s="105" t="s">
        <v>151</v>
      </c>
      <c r="E1383" s="104">
        <v>101</v>
      </c>
      <c r="F1383" s="104">
        <v>3047</v>
      </c>
      <c r="G1383" s="106" t="s">
        <v>205</v>
      </c>
      <c r="H1383" s="104" t="s">
        <v>205</v>
      </c>
      <c r="I1383" s="104" t="s">
        <v>104</v>
      </c>
      <c r="J1383" s="104" t="s">
        <v>105</v>
      </c>
      <c r="K1383" s="104" t="s">
        <v>126</v>
      </c>
      <c r="L1383" s="104" t="s">
        <v>636</v>
      </c>
      <c r="M1383" s="104"/>
      <c r="N1383" s="108" t="s">
        <v>17</v>
      </c>
      <c r="O1383" s="104" t="s">
        <v>17</v>
      </c>
      <c r="P1383" s="113">
        <v>3.3029999999999999</v>
      </c>
      <c r="Q1383" s="113">
        <v>1.4039999999999999</v>
      </c>
      <c r="R1383" s="104" t="s">
        <v>17</v>
      </c>
      <c r="S1383" s="253">
        <f xml:space="preserve"> (10^((2.999*LOG((P1383))+1.162)))</f>
        <v>522.6450150716521</v>
      </c>
      <c r="T1383" s="104" t="s">
        <v>1418</v>
      </c>
      <c r="U1383" s="108">
        <v>0.98699999999999999</v>
      </c>
      <c r="V1383" s="107">
        <v>18</v>
      </c>
      <c r="W1383" s="414" t="s">
        <v>1385</v>
      </c>
    </row>
    <row r="1384" spans="1:23" s="333" customFormat="1" ht="21" customHeight="1">
      <c r="A1384" s="104" t="s">
        <v>169</v>
      </c>
      <c r="B1384" s="104" t="s">
        <v>149</v>
      </c>
      <c r="C1384" s="454" t="s">
        <v>150</v>
      </c>
      <c r="D1384" s="105" t="s">
        <v>151</v>
      </c>
      <c r="E1384" s="104">
        <v>101</v>
      </c>
      <c r="F1384" s="104">
        <v>3047</v>
      </c>
      <c r="G1384" s="106" t="s">
        <v>205</v>
      </c>
      <c r="H1384" s="104" t="s">
        <v>205</v>
      </c>
      <c r="I1384" s="104" t="s">
        <v>104</v>
      </c>
      <c r="J1384" s="104" t="s">
        <v>105</v>
      </c>
      <c r="K1384" s="104" t="s">
        <v>233</v>
      </c>
      <c r="L1384" s="104" t="s">
        <v>653</v>
      </c>
      <c r="M1384" s="104"/>
      <c r="N1384" s="108" t="s">
        <v>17</v>
      </c>
      <c r="O1384" s="104" t="s">
        <v>17</v>
      </c>
      <c r="P1384" s="113">
        <v>3.0460000000000003</v>
      </c>
      <c r="Q1384" s="113">
        <v>2.258</v>
      </c>
      <c r="R1384" s="104" t="s">
        <v>17</v>
      </c>
      <c r="S1384" s="253">
        <f>(10^((2.965*LOG((P1384))+1.383)))</f>
        <v>656.53691562601</v>
      </c>
      <c r="T1384" s="103" t="s">
        <v>1410</v>
      </c>
      <c r="U1384" s="108">
        <v>0.95699999999999996</v>
      </c>
      <c r="V1384" s="108">
        <v>37.6</v>
      </c>
      <c r="W1384" s="414" t="s">
        <v>1385</v>
      </c>
    </row>
    <row r="1385" spans="1:23" s="333" customFormat="1" ht="21" customHeight="1">
      <c r="A1385" s="104" t="s">
        <v>169</v>
      </c>
      <c r="B1385" s="104" t="s">
        <v>149</v>
      </c>
      <c r="C1385" s="454" t="s">
        <v>150</v>
      </c>
      <c r="D1385" s="105" t="s">
        <v>151</v>
      </c>
      <c r="E1385" s="104">
        <v>101</v>
      </c>
      <c r="F1385" s="104">
        <v>3047</v>
      </c>
      <c r="G1385" s="106" t="s">
        <v>205</v>
      </c>
      <c r="H1385" s="104" t="s">
        <v>205</v>
      </c>
      <c r="I1385" s="104" t="s">
        <v>104</v>
      </c>
      <c r="J1385" s="104" t="s">
        <v>105</v>
      </c>
      <c r="K1385" s="104" t="s">
        <v>229</v>
      </c>
      <c r="L1385" s="104" t="s">
        <v>720</v>
      </c>
      <c r="M1385" s="104"/>
      <c r="N1385" s="108" t="s">
        <v>17</v>
      </c>
      <c r="O1385" s="104" t="s">
        <v>17</v>
      </c>
      <c r="P1385" s="113">
        <v>3.9859999999999998</v>
      </c>
      <c r="Q1385" s="113">
        <v>2.1360000000000001</v>
      </c>
      <c r="R1385" s="104" t="s">
        <v>17</v>
      </c>
      <c r="S1385" s="253">
        <f>(10^(((LOG(P1385)*2.637)+1.527)))</f>
        <v>1290.0806023733455</v>
      </c>
      <c r="T1385" s="104" t="s">
        <v>1432</v>
      </c>
      <c r="U1385" s="108">
        <v>0.84</v>
      </c>
      <c r="V1385" s="107">
        <v>88.6</v>
      </c>
      <c r="W1385" s="414" t="s">
        <v>1385</v>
      </c>
    </row>
    <row r="1386" spans="1:23" s="333" customFormat="1" ht="21" customHeight="1">
      <c r="A1386" s="104" t="s">
        <v>169</v>
      </c>
      <c r="B1386" s="104" t="s">
        <v>149</v>
      </c>
      <c r="C1386" s="454" t="s">
        <v>150</v>
      </c>
      <c r="D1386" s="105" t="s">
        <v>151</v>
      </c>
      <c r="E1386" s="104" t="s">
        <v>205</v>
      </c>
      <c r="F1386" s="104" t="s">
        <v>205</v>
      </c>
      <c r="G1386" s="106" t="s">
        <v>205</v>
      </c>
      <c r="H1386" s="104" t="s">
        <v>206</v>
      </c>
      <c r="I1386" s="104" t="s">
        <v>104</v>
      </c>
      <c r="J1386" s="104" t="s">
        <v>105</v>
      </c>
      <c r="K1386" s="104" t="s">
        <v>172</v>
      </c>
      <c r="L1386" s="104" t="s">
        <v>1238</v>
      </c>
      <c r="M1386" s="104"/>
      <c r="N1386" s="108" t="s">
        <v>17</v>
      </c>
      <c r="O1386" s="104" t="s">
        <v>17</v>
      </c>
      <c r="P1386" s="113">
        <v>2.847</v>
      </c>
      <c r="Q1386" s="113">
        <v>1.72</v>
      </c>
      <c r="R1386" s="104" t="s">
        <v>17</v>
      </c>
      <c r="S1386" s="253">
        <f>(10^((3.187*LOG((P1386))+1.264)))</f>
        <v>515.3862855767153</v>
      </c>
      <c r="T1386" s="103" t="s">
        <v>1387</v>
      </c>
      <c r="U1386" s="108">
        <v>0.98499999999999999</v>
      </c>
      <c r="V1386" s="107">
        <v>16.5</v>
      </c>
      <c r="W1386" s="414" t="s">
        <v>1385</v>
      </c>
    </row>
    <row r="1387" spans="1:23" ht="21" customHeight="1">
      <c r="A1387" s="103" t="s">
        <v>601</v>
      </c>
      <c r="B1387" s="103" t="s">
        <v>602</v>
      </c>
      <c r="C1387" s="421" t="s">
        <v>609</v>
      </c>
      <c r="D1387" s="396" t="s">
        <v>610</v>
      </c>
      <c r="E1387" s="103" t="s">
        <v>205</v>
      </c>
      <c r="F1387" s="103" t="s">
        <v>205</v>
      </c>
      <c r="G1387" s="103" t="s">
        <v>205</v>
      </c>
      <c r="H1387" s="103" t="s">
        <v>205</v>
      </c>
      <c r="I1387" s="104" t="s">
        <v>104</v>
      </c>
      <c r="J1387" s="103" t="s">
        <v>105</v>
      </c>
      <c r="K1387" s="103" t="s">
        <v>1474</v>
      </c>
      <c r="L1387" s="103" t="s">
        <v>1475</v>
      </c>
      <c r="M1387" s="103" t="s">
        <v>108</v>
      </c>
      <c r="N1387" s="103"/>
      <c r="O1387" s="103"/>
      <c r="P1387" s="103">
        <v>16.86</v>
      </c>
      <c r="Q1387" s="103">
        <v>8.8000000000000007</v>
      </c>
      <c r="R1387" s="103"/>
      <c r="S1387" s="476"/>
      <c r="T1387" s="103"/>
      <c r="U1387" s="103"/>
      <c r="V1387" s="103"/>
      <c r="W1387" s="414"/>
    </row>
    <row r="1388" spans="1:23" ht="21" customHeight="1">
      <c r="A1388" s="103" t="s">
        <v>601</v>
      </c>
      <c r="B1388" s="103" t="s">
        <v>602</v>
      </c>
      <c r="C1388" s="421" t="s">
        <v>609</v>
      </c>
      <c r="D1388" s="396" t="s">
        <v>610</v>
      </c>
      <c r="E1388" s="103" t="s">
        <v>205</v>
      </c>
      <c r="F1388" s="103" t="s">
        <v>205</v>
      </c>
      <c r="G1388" s="103" t="s">
        <v>205</v>
      </c>
      <c r="H1388" s="103" t="s">
        <v>205</v>
      </c>
      <c r="I1388" s="104" t="s">
        <v>104</v>
      </c>
      <c r="J1388" s="103" t="s">
        <v>105</v>
      </c>
      <c r="K1388" s="103" t="s">
        <v>1474</v>
      </c>
      <c r="L1388" s="103" t="s">
        <v>1475</v>
      </c>
      <c r="M1388" s="103"/>
      <c r="N1388" s="103"/>
      <c r="O1388" s="103"/>
      <c r="P1388" s="103">
        <v>11.12</v>
      </c>
      <c r="Q1388" s="103">
        <v>7.88</v>
      </c>
      <c r="R1388" s="103"/>
      <c r="S1388" s="476"/>
      <c r="T1388" s="103"/>
      <c r="U1388" s="103"/>
      <c r="V1388" s="103"/>
      <c r="W1388" s="414"/>
    </row>
    <row r="1389" spans="1:23" ht="21" customHeight="1">
      <c r="A1389" s="103" t="s">
        <v>601</v>
      </c>
      <c r="B1389" s="103" t="s">
        <v>602</v>
      </c>
      <c r="C1389" s="421" t="s">
        <v>603</v>
      </c>
      <c r="D1389" s="105" t="s">
        <v>151</v>
      </c>
      <c r="E1389" s="103">
        <v>43108</v>
      </c>
      <c r="F1389" s="103">
        <v>1</v>
      </c>
      <c r="G1389" s="103" t="s">
        <v>205</v>
      </c>
      <c r="H1389" s="103" t="s">
        <v>205</v>
      </c>
      <c r="I1389" s="104" t="s">
        <v>104</v>
      </c>
      <c r="J1389" s="103" t="s">
        <v>105</v>
      </c>
      <c r="K1389" s="103" t="s">
        <v>126</v>
      </c>
      <c r="L1389" s="103" t="s">
        <v>175</v>
      </c>
      <c r="M1389" s="103" t="s">
        <v>108</v>
      </c>
      <c r="N1389" s="103"/>
      <c r="O1389" s="103"/>
      <c r="P1389" s="103">
        <v>23.6</v>
      </c>
      <c r="Q1389" s="103">
        <v>9.07</v>
      </c>
      <c r="R1389" s="103"/>
      <c r="S1389" s="476"/>
      <c r="T1389" s="103"/>
      <c r="U1389" s="103"/>
      <c r="V1389" s="103"/>
      <c r="W1389" s="414"/>
    </row>
    <row r="1390" spans="1:23" s="333" customFormat="1" ht="21" customHeight="1">
      <c r="A1390" s="103" t="s">
        <v>601</v>
      </c>
      <c r="B1390" s="103" t="s">
        <v>602</v>
      </c>
      <c r="C1390" s="421" t="s">
        <v>603</v>
      </c>
      <c r="D1390" s="105" t="s">
        <v>151</v>
      </c>
      <c r="E1390" s="103" t="s">
        <v>205</v>
      </c>
      <c r="F1390" s="103" t="s">
        <v>205</v>
      </c>
      <c r="G1390" s="103" t="s">
        <v>205</v>
      </c>
      <c r="H1390" s="103" t="s">
        <v>205</v>
      </c>
      <c r="I1390" s="104" t="s">
        <v>104</v>
      </c>
      <c r="J1390" s="103" t="s">
        <v>105</v>
      </c>
      <c r="K1390" s="103" t="s">
        <v>986</v>
      </c>
      <c r="L1390" s="104" t="s">
        <v>987</v>
      </c>
      <c r="M1390" s="103"/>
      <c r="N1390" s="103"/>
      <c r="O1390" s="103">
        <v>36</v>
      </c>
      <c r="P1390" s="103"/>
      <c r="Q1390" s="103"/>
      <c r="R1390" s="103"/>
      <c r="S1390" s="476">
        <v>4634.3</v>
      </c>
      <c r="T1390" s="103" t="s">
        <v>1470</v>
      </c>
      <c r="U1390" s="103">
        <v>0.99</v>
      </c>
      <c r="V1390" s="103" t="s">
        <v>287</v>
      </c>
      <c r="W1390" s="414" t="s">
        <v>1471</v>
      </c>
    </row>
    <row r="1391" spans="1:23" s="333" customFormat="1" ht="21" customHeight="1">
      <c r="A1391" s="103" t="s">
        <v>601</v>
      </c>
      <c r="B1391" s="103" t="s">
        <v>602</v>
      </c>
      <c r="C1391" s="421" t="s">
        <v>603</v>
      </c>
      <c r="D1391" s="105" t="s">
        <v>151</v>
      </c>
      <c r="E1391" s="103" t="s">
        <v>205</v>
      </c>
      <c r="F1391" s="103">
        <v>40032</v>
      </c>
      <c r="G1391" s="103" t="s">
        <v>205</v>
      </c>
      <c r="H1391" s="103" t="s">
        <v>205</v>
      </c>
      <c r="I1391" s="104" t="s">
        <v>104</v>
      </c>
      <c r="J1391" s="103" t="s">
        <v>105</v>
      </c>
      <c r="K1391" s="103" t="s">
        <v>121</v>
      </c>
      <c r="L1391" s="103" t="s">
        <v>1041</v>
      </c>
      <c r="M1391" s="103"/>
      <c r="N1391" s="103">
        <v>18.73</v>
      </c>
      <c r="O1391" s="103"/>
      <c r="P1391" s="103">
        <v>20.3</v>
      </c>
      <c r="Q1391" s="103">
        <v>20.5</v>
      </c>
      <c r="R1391" s="103"/>
      <c r="S1391" s="253">
        <f>(10^(((LOG(P1391))*2.6454)+0.2538))</f>
        <v>5160.0037671985756</v>
      </c>
      <c r="T1391" s="104" t="s">
        <v>1143</v>
      </c>
      <c r="U1391" s="108">
        <v>0.96</v>
      </c>
      <c r="V1391" s="107">
        <v>19</v>
      </c>
      <c r="W1391" s="106" t="s">
        <v>1144</v>
      </c>
    </row>
    <row r="1392" spans="1:23" ht="21" customHeight="1">
      <c r="A1392" s="103" t="s">
        <v>601</v>
      </c>
      <c r="B1392" s="103" t="s">
        <v>602</v>
      </c>
      <c r="C1392" s="421" t="s">
        <v>603</v>
      </c>
      <c r="D1392" s="105" t="s">
        <v>151</v>
      </c>
      <c r="E1392" s="103" t="s">
        <v>205</v>
      </c>
      <c r="F1392" s="103" t="s">
        <v>205</v>
      </c>
      <c r="G1392" s="103" t="s">
        <v>205</v>
      </c>
      <c r="H1392" s="103" t="s">
        <v>205</v>
      </c>
      <c r="I1392" s="104" t="s">
        <v>104</v>
      </c>
      <c r="J1392" s="103" t="s">
        <v>105</v>
      </c>
      <c r="K1392" s="103" t="s">
        <v>129</v>
      </c>
      <c r="L1392" s="103" t="s">
        <v>130</v>
      </c>
      <c r="M1392" s="103" t="s">
        <v>114</v>
      </c>
      <c r="N1392" s="103"/>
      <c r="O1392" s="103"/>
      <c r="P1392" s="103">
        <v>25.9</v>
      </c>
      <c r="Q1392" s="103">
        <v>10.199999999999999</v>
      </c>
      <c r="R1392" s="103"/>
      <c r="S1392" s="476"/>
      <c r="T1392" s="103"/>
      <c r="U1392" s="103"/>
      <c r="V1392" s="103"/>
      <c r="W1392" s="414"/>
    </row>
    <row r="1393" spans="1:23" ht="21" customHeight="1">
      <c r="A1393" s="103" t="s">
        <v>601</v>
      </c>
      <c r="B1393" s="103" t="s">
        <v>602</v>
      </c>
      <c r="C1393" s="421" t="s">
        <v>603</v>
      </c>
      <c r="D1393" s="105" t="s">
        <v>151</v>
      </c>
      <c r="E1393" s="103" t="s">
        <v>205</v>
      </c>
      <c r="F1393" s="103" t="s">
        <v>205</v>
      </c>
      <c r="G1393" s="103" t="s">
        <v>205</v>
      </c>
      <c r="H1393" s="103" t="s">
        <v>205</v>
      </c>
      <c r="I1393" s="104" t="s">
        <v>104</v>
      </c>
      <c r="J1393" s="103" t="s">
        <v>105</v>
      </c>
      <c r="K1393" s="103" t="s">
        <v>129</v>
      </c>
      <c r="L1393" s="103" t="s">
        <v>130</v>
      </c>
      <c r="M1393" s="103" t="s">
        <v>108</v>
      </c>
      <c r="N1393" s="103"/>
      <c r="O1393" s="103"/>
      <c r="P1393" s="103">
        <v>24.5</v>
      </c>
      <c r="Q1393" s="103">
        <v>10</v>
      </c>
      <c r="R1393" s="103"/>
      <c r="S1393" s="476"/>
      <c r="T1393" s="103"/>
      <c r="U1393" s="103"/>
      <c r="V1393" s="103"/>
      <c r="W1393" s="414"/>
    </row>
    <row r="1394" spans="1:23" ht="21" customHeight="1">
      <c r="A1394" s="103" t="s">
        <v>601</v>
      </c>
      <c r="B1394" s="103" t="s">
        <v>602</v>
      </c>
      <c r="C1394" s="421" t="s">
        <v>603</v>
      </c>
      <c r="D1394" s="105" t="s">
        <v>151</v>
      </c>
      <c r="E1394" s="103" t="s">
        <v>205</v>
      </c>
      <c r="F1394" s="103" t="s">
        <v>205</v>
      </c>
      <c r="G1394" s="103" t="s">
        <v>205</v>
      </c>
      <c r="H1394" s="103" t="s">
        <v>205</v>
      </c>
      <c r="I1394" s="104" t="s">
        <v>104</v>
      </c>
      <c r="J1394" s="103" t="s">
        <v>105</v>
      </c>
      <c r="K1394" s="103" t="s">
        <v>129</v>
      </c>
      <c r="L1394" s="103" t="s">
        <v>130</v>
      </c>
      <c r="M1394" s="103" t="s">
        <v>114</v>
      </c>
      <c r="N1394" s="103"/>
      <c r="O1394" s="103"/>
      <c r="P1394" s="103">
        <v>22</v>
      </c>
      <c r="Q1394" s="103">
        <v>9.6999999999999993</v>
      </c>
      <c r="R1394" s="103"/>
      <c r="S1394" s="476"/>
      <c r="T1394" s="103"/>
      <c r="U1394" s="103"/>
      <c r="V1394" s="103"/>
      <c r="W1394" s="414"/>
    </row>
    <row r="1395" spans="1:23" ht="21" customHeight="1">
      <c r="A1395" s="104" t="s">
        <v>579</v>
      </c>
      <c r="B1395" s="104" t="s">
        <v>580</v>
      </c>
      <c r="C1395" s="454" t="s">
        <v>581</v>
      </c>
      <c r="D1395" s="105" t="s">
        <v>151</v>
      </c>
      <c r="E1395" s="104" t="s">
        <v>185</v>
      </c>
      <c r="F1395" s="104">
        <v>242</v>
      </c>
      <c r="G1395" s="106" t="s">
        <v>1354</v>
      </c>
      <c r="H1395" s="104"/>
      <c r="I1395" s="104" t="s">
        <v>289</v>
      </c>
      <c r="J1395" s="104" t="s">
        <v>105</v>
      </c>
      <c r="K1395" s="104" t="s">
        <v>714</v>
      </c>
      <c r="L1395" s="104" t="s">
        <v>715</v>
      </c>
      <c r="M1395" s="104" t="s">
        <v>114</v>
      </c>
      <c r="N1395" s="108"/>
      <c r="O1395" s="108"/>
      <c r="P1395" s="108">
        <v>11.163</v>
      </c>
      <c r="Q1395" s="108"/>
      <c r="R1395" s="108"/>
      <c r="S1395" s="253">
        <f>(10^(2.229*LOG(P1395*10)-1.11))/1000</f>
        <v>2.8477619388038957</v>
      </c>
      <c r="T1395" s="108" t="s">
        <v>1352</v>
      </c>
      <c r="U1395" s="108">
        <v>0.98030607465219755</v>
      </c>
      <c r="V1395" s="107">
        <v>19.079999999999998</v>
      </c>
      <c r="W1395" s="106" t="s">
        <v>1347</v>
      </c>
    </row>
    <row r="1396" spans="1:23" s="333" customFormat="1" ht="21" customHeight="1">
      <c r="A1396" s="103" t="s">
        <v>601</v>
      </c>
      <c r="B1396" s="103" t="s">
        <v>602</v>
      </c>
      <c r="C1396" s="421" t="s">
        <v>603</v>
      </c>
      <c r="D1396" s="105" t="s">
        <v>151</v>
      </c>
      <c r="E1396" s="103">
        <v>40545</v>
      </c>
      <c r="F1396" s="103">
        <v>17</v>
      </c>
      <c r="G1396" s="103" t="s">
        <v>1515</v>
      </c>
      <c r="H1396" s="103" t="s">
        <v>1516</v>
      </c>
      <c r="I1396" s="104" t="s">
        <v>104</v>
      </c>
      <c r="J1396" s="103" t="s">
        <v>105</v>
      </c>
      <c r="K1396" s="103" t="s">
        <v>883</v>
      </c>
      <c r="L1396" s="103" t="s">
        <v>1517</v>
      </c>
      <c r="M1396" s="103"/>
      <c r="N1396" s="103"/>
      <c r="O1396" s="103"/>
      <c r="P1396" s="103">
        <v>23</v>
      </c>
      <c r="Q1396" s="103">
        <v>10.7</v>
      </c>
      <c r="R1396" s="103"/>
      <c r="S1396" s="476"/>
      <c r="T1396" s="103"/>
      <c r="U1396" s="103"/>
      <c r="V1396" s="103"/>
      <c r="W1396" s="414"/>
    </row>
    <row r="1397" spans="1:23" s="333" customFormat="1" ht="21" customHeight="1">
      <c r="A1397" s="103" t="s">
        <v>601</v>
      </c>
      <c r="B1397" s="103" t="s">
        <v>602</v>
      </c>
      <c r="C1397" s="421" t="s">
        <v>603</v>
      </c>
      <c r="D1397" s="105" t="s">
        <v>151</v>
      </c>
      <c r="E1397" s="103">
        <v>40545</v>
      </c>
      <c r="F1397" s="103">
        <v>20</v>
      </c>
      <c r="G1397" s="103" t="s">
        <v>1515</v>
      </c>
      <c r="H1397" s="103" t="s">
        <v>1516</v>
      </c>
      <c r="I1397" s="104" t="s">
        <v>104</v>
      </c>
      <c r="J1397" s="103" t="s">
        <v>105</v>
      </c>
      <c r="K1397" s="103" t="s">
        <v>158</v>
      </c>
      <c r="L1397" s="103" t="s">
        <v>1494</v>
      </c>
      <c r="M1397" s="103" t="s">
        <v>114</v>
      </c>
      <c r="N1397" s="103"/>
      <c r="O1397" s="103"/>
      <c r="P1397" s="103">
        <v>22.5</v>
      </c>
      <c r="Q1397" s="103">
        <v>10.8</v>
      </c>
      <c r="R1397" s="103"/>
      <c r="S1397" s="476"/>
      <c r="T1397" s="103"/>
      <c r="U1397" s="103"/>
      <c r="V1397" s="103"/>
      <c r="W1397" s="414"/>
    </row>
    <row r="1398" spans="1:23" s="333" customFormat="1" ht="21" customHeight="1">
      <c r="A1398" s="104" t="s">
        <v>218</v>
      </c>
      <c r="B1398" s="104" t="s">
        <v>193</v>
      </c>
      <c r="C1398" s="454" t="s">
        <v>460</v>
      </c>
      <c r="D1398" s="105" t="s">
        <v>461</v>
      </c>
      <c r="E1398" s="104">
        <v>31034</v>
      </c>
      <c r="F1398" s="104">
        <v>91</v>
      </c>
      <c r="G1398" s="106" t="s">
        <v>183</v>
      </c>
      <c r="H1398" s="104" t="s">
        <v>184</v>
      </c>
      <c r="I1398" s="104" t="s">
        <v>104</v>
      </c>
      <c r="J1398" s="104" t="s">
        <v>105</v>
      </c>
      <c r="K1398" s="104" t="s">
        <v>670</v>
      </c>
      <c r="L1398" s="104" t="s">
        <v>671</v>
      </c>
      <c r="M1398" s="104" t="s">
        <v>108</v>
      </c>
      <c r="N1398" s="113" t="s">
        <v>17</v>
      </c>
      <c r="O1398" s="104" t="s">
        <v>17</v>
      </c>
      <c r="P1398" s="108">
        <v>3.3420000000000001</v>
      </c>
      <c r="Q1398" s="108" t="s">
        <v>17</v>
      </c>
      <c r="R1398" s="104" t="s">
        <v>17</v>
      </c>
      <c r="S1398" s="253">
        <f>(EXP((((LN((P1398*10)))*2.969)-1.611)))/1000</f>
        <v>6.6853896783191429</v>
      </c>
      <c r="T1398" s="104" t="s">
        <v>672</v>
      </c>
      <c r="U1398" s="108">
        <v>0.94099999999999995</v>
      </c>
      <c r="V1398" s="107">
        <v>44.075000000000003</v>
      </c>
      <c r="W1398" s="106" t="s">
        <v>397</v>
      </c>
    </row>
    <row r="1399" spans="1:23" ht="21" customHeight="1">
      <c r="A1399" s="104" t="s">
        <v>218</v>
      </c>
      <c r="B1399" s="104" t="s">
        <v>193</v>
      </c>
      <c r="C1399" s="454" t="s">
        <v>460</v>
      </c>
      <c r="D1399" s="105" t="s">
        <v>461</v>
      </c>
      <c r="E1399" s="104">
        <v>31034</v>
      </c>
      <c r="F1399" s="104">
        <v>123</v>
      </c>
      <c r="G1399" s="106" t="s">
        <v>183</v>
      </c>
      <c r="H1399" s="104" t="s">
        <v>184</v>
      </c>
      <c r="I1399" s="104" t="s">
        <v>104</v>
      </c>
      <c r="J1399" s="104" t="s">
        <v>105</v>
      </c>
      <c r="K1399" s="104" t="s">
        <v>126</v>
      </c>
      <c r="L1399" s="104" t="s">
        <v>636</v>
      </c>
      <c r="M1399" s="104" t="s">
        <v>114</v>
      </c>
      <c r="N1399" s="113" t="s">
        <v>17</v>
      </c>
      <c r="O1399" s="104" t="s">
        <v>17</v>
      </c>
      <c r="P1399" s="108">
        <v>1.212</v>
      </c>
      <c r="Q1399" s="108">
        <v>0.442</v>
      </c>
      <c r="R1399" s="104" t="s">
        <v>17</v>
      </c>
      <c r="S1399" s="253">
        <f>(10^((3.35*LOG((P1399*10))+0.35)))/1000</f>
        <v>9.5440735264773622</v>
      </c>
      <c r="T1399" s="104" t="s">
        <v>637</v>
      </c>
      <c r="U1399" s="108">
        <v>0.93</v>
      </c>
      <c r="V1399" s="107">
        <v>47.2</v>
      </c>
      <c r="W1399" s="106" t="s">
        <v>638</v>
      </c>
    </row>
    <row r="1400" spans="1:23" ht="21" customHeight="1">
      <c r="A1400" s="104" t="s">
        <v>218</v>
      </c>
      <c r="B1400" s="104" t="s">
        <v>193</v>
      </c>
      <c r="C1400" s="454" t="s">
        <v>460</v>
      </c>
      <c r="D1400" s="105" t="s">
        <v>461</v>
      </c>
      <c r="E1400" s="104">
        <v>31034</v>
      </c>
      <c r="F1400" s="104">
        <v>95</v>
      </c>
      <c r="G1400" s="106" t="s">
        <v>183</v>
      </c>
      <c r="H1400" s="104" t="s">
        <v>184</v>
      </c>
      <c r="I1400" s="104" t="s">
        <v>104</v>
      </c>
      <c r="J1400" s="104" t="s">
        <v>105</v>
      </c>
      <c r="K1400" s="104" t="s">
        <v>112</v>
      </c>
      <c r="L1400" s="104" t="s">
        <v>663</v>
      </c>
      <c r="M1400" s="104" t="s">
        <v>108</v>
      </c>
      <c r="N1400" s="113" t="s">
        <v>17</v>
      </c>
      <c r="O1400" s="104" t="s">
        <v>17</v>
      </c>
      <c r="P1400" s="108">
        <v>0.95600000000000007</v>
      </c>
      <c r="Q1400" s="108">
        <v>0.72899999999999998</v>
      </c>
      <c r="R1400" s="104" t="s">
        <v>17</v>
      </c>
      <c r="S1400" s="253">
        <f>(10^((3.21*LOG((P1400*10))+1.12)))/1000</f>
        <v>18.504179565820447</v>
      </c>
      <c r="T1400" s="104" t="s">
        <v>664</v>
      </c>
      <c r="U1400" s="108">
        <v>0.94</v>
      </c>
      <c r="V1400" s="107">
        <v>46.4</v>
      </c>
      <c r="W1400" s="106" t="s">
        <v>644</v>
      </c>
    </row>
    <row r="1401" spans="1:23" ht="21" customHeight="1">
      <c r="A1401" s="104" t="s">
        <v>218</v>
      </c>
      <c r="B1401" s="104" t="s">
        <v>193</v>
      </c>
      <c r="C1401" s="454" t="s">
        <v>466</v>
      </c>
      <c r="D1401" s="105" t="s">
        <v>151</v>
      </c>
      <c r="E1401" s="104">
        <v>31034</v>
      </c>
      <c r="F1401" s="104">
        <v>108</v>
      </c>
      <c r="G1401" s="106" t="s">
        <v>183</v>
      </c>
      <c r="H1401" s="104" t="s">
        <v>184</v>
      </c>
      <c r="I1401" s="104" t="s">
        <v>104</v>
      </c>
      <c r="J1401" s="104" t="s">
        <v>105</v>
      </c>
      <c r="K1401" s="104" t="s">
        <v>126</v>
      </c>
      <c r="L1401" s="104" t="s">
        <v>636</v>
      </c>
      <c r="M1401" s="104" t="s">
        <v>108</v>
      </c>
      <c r="N1401" s="113" t="s">
        <v>17</v>
      </c>
      <c r="O1401" s="104" t="s">
        <v>17</v>
      </c>
      <c r="P1401" s="108">
        <v>2.4329999999999998</v>
      </c>
      <c r="Q1401" s="108">
        <v>1.2250000000000001</v>
      </c>
      <c r="R1401" s="104" t="s">
        <v>17</v>
      </c>
      <c r="S1401" s="253">
        <f>(10^((3.35*LOG((P1401*10))+0.35)))/1000</f>
        <v>98.531720200635817</v>
      </c>
      <c r="T1401" s="104" t="s">
        <v>637</v>
      </c>
      <c r="U1401" s="108">
        <v>0.93</v>
      </c>
      <c r="V1401" s="107">
        <v>47.2</v>
      </c>
      <c r="W1401" s="106" t="s">
        <v>638</v>
      </c>
    </row>
    <row r="1402" spans="1:23" ht="21" customHeight="1">
      <c r="A1402" s="416" t="s">
        <v>218</v>
      </c>
      <c r="B1402" s="416" t="s">
        <v>193</v>
      </c>
      <c r="C1402" s="455" t="s">
        <v>466</v>
      </c>
      <c r="D1402" s="105" t="s">
        <v>151</v>
      </c>
      <c r="E1402" s="416">
        <v>31034</v>
      </c>
      <c r="F1402" s="416">
        <v>20</v>
      </c>
      <c r="G1402" s="456" t="s">
        <v>183</v>
      </c>
      <c r="H1402" s="416" t="s">
        <v>184</v>
      </c>
      <c r="I1402" s="104" t="s">
        <v>104</v>
      </c>
      <c r="J1402" s="416" t="s">
        <v>105</v>
      </c>
      <c r="K1402" s="416" t="s">
        <v>126</v>
      </c>
      <c r="L1402" s="416" t="s">
        <v>636</v>
      </c>
      <c r="M1402" s="416" t="s">
        <v>114</v>
      </c>
      <c r="N1402" s="457" t="s">
        <v>17</v>
      </c>
      <c r="O1402" s="416" t="s">
        <v>17</v>
      </c>
      <c r="P1402" s="458">
        <v>3</v>
      </c>
      <c r="Q1402" s="458">
        <v>0.93</v>
      </c>
      <c r="R1402" s="416" t="s">
        <v>17</v>
      </c>
      <c r="S1402" s="459">
        <f>(10^((3.35*LOG((P1402*10))+0.35)))/1000</f>
        <v>198.77245576514892</v>
      </c>
      <c r="T1402" s="416" t="s">
        <v>637</v>
      </c>
      <c r="U1402" s="458">
        <v>0.93</v>
      </c>
      <c r="V1402" s="460">
        <v>47.2</v>
      </c>
      <c r="W1402" s="456" t="s">
        <v>638</v>
      </c>
    </row>
    <row r="1403" spans="1:23" ht="21" customHeight="1">
      <c r="A1403" s="104" t="s">
        <v>218</v>
      </c>
      <c r="B1403" s="104" t="s">
        <v>389</v>
      </c>
      <c r="C1403" s="454" t="s">
        <v>390</v>
      </c>
      <c r="D1403" s="105" t="s">
        <v>151</v>
      </c>
      <c r="E1403" s="104">
        <v>31034</v>
      </c>
      <c r="F1403" s="104">
        <v>14</v>
      </c>
      <c r="G1403" s="106" t="s">
        <v>183</v>
      </c>
      <c r="H1403" s="104" t="s">
        <v>184</v>
      </c>
      <c r="I1403" s="104" t="s">
        <v>104</v>
      </c>
      <c r="J1403" s="104" t="s">
        <v>105</v>
      </c>
      <c r="K1403" s="104" t="s">
        <v>112</v>
      </c>
      <c r="L1403" s="104" t="s">
        <v>663</v>
      </c>
      <c r="M1403" s="104" t="s">
        <v>114</v>
      </c>
      <c r="N1403" s="108"/>
      <c r="O1403" s="104"/>
      <c r="P1403" s="108">
        <v>2.6190000000000002</v>
      </c>
      <c r="Q1403" s="108">
        <v>1.86</v>
      </c>
      <c r="R1403" s="104" t="s">
        <v>17</v>
      </c>
      <c r="S1403" s="113">
        <f>10^((3.52*LOG((P1403))+1.372))</f>
        <v>697.97031851298664</v>
      </c>
      <c r="T1403" s="104" t="s">
        <v>718</v>
      </c>
      <c r="U1403" s="108">
        <v>0.93</v>
      </c>
      <c r="V1403" s="107">
        <v>34</v>
      </c>
      <c r="W1403" s="106" t="s">
        <v>700</v>
      </c>
    </row>
    <row r="1404" spans="1:23" ht="21" customHeight="1">
      <c r="A1404" s="104" t="s">
        <v>218</v>
      </c>
      <c r="B1404" s="104" t="s">
        <v>389</v>
      </c>
      <c r="C1404" s="454" t="s">
        <v>390</v>
      </c>
      <c r="D1404" s="105" t="s">
        <v>151</v>
      </c>
      <c r="E1404" s="104">
        <v>31034</v>
      </c>
      <c r="F1404" s="104">
        <v>141</v>
      </c>
      <c r="G1404" s="106" t="s">
        <v>183</v>
      </c>
      <c r="H1404" s="104" t="s">
        <v>184</v>
      </c>
      <c r="I1404" s="104" t="s">
        <v>104</v>
      </c>
      <c r="J1404" s="104" t="s">
        <v>105</v>
      </c>
      <c r="K1404" s="104" t="s">
        <v>126</v>
      </c>
      <c r="L1404" s="104" t="s">
        <v>636</v>
      </c>
      <c r="M1404" s="104" t="s">
        <v>108</v>
      </c>
      <c r="N1404" s="108"/>
      <c r="O1404" s="104"/>
      <c r="P1404" s="108">
        <v>4.8310000000000004</v>
      </c>
      <c r="Q1404" s="108">
        <v>1.893</v>
      </c>
      <c r="R1404" s="104" t="s">
        <v>17</v>
      </c>
      <c r="S1404" s="113">
        <f>10^(((LOG(P1404))*3.236)+0.745)</f>
        <v>908.95807735494645</v>
      </c>
      <c r="T1404" s="104" t="s">
        <v>717</v>
      </c>
      <c r="U1404" s="108">
        <v>0.92900000000000005</v>
      </c>
      <c r="V1404" s="107">
        <v>33.299999999999997</v>
      </c>
      <c r="W1404" s="106" t="s">
        <v>700</v>
      </c>
    </row>
    <row r="1405" spans="1:23" ht="21" customHeight="1">
      <c r="A1405" s="104" t="s">
        <v>218</v>
      </c>
      <c r="B1405" s="104" t="s">
        <v>389</v>
      </c>
      <c r="C1405" s="454" t="s">
        <v>390</v>
      </c>
      <c r="D1405" s="105" t="s">
        <v>151</v>
      </c>
      <c r="E1405" s="104">
        <v>31034</v>
      </c>
      <c r="F1405" s="104">
        <v>142</v>
      </c>
      <c r="G1405" s="106" t="s">
        <v>183</v>
      </c>
      <c r="H1405" s="104" t="s">
        <v>184</v>
      </c>
      <c r="I1405" s="104" t="s">
        <v>104</v>
      </c>
      <c r="J1405" s="104" t="s">
        <v>105</v>
      </c>
      <c r="K1405" s="104" t="s">
        <v>209</v>
      </c>
      <c r="L1405" s="104" t="s">
        <v>684</v>
      </c>
      <c r="M1405" s="104" t="s">
        <v>108</v>
      </c>
      <c r="N1405" s="108"/>
      <c r="O1405" s="104"/>
      <c r="P1405" s="108">
        <v>3.6350000000000002</v>
      </c>
      <c r="Q1405" s="108">
        <v>2.1350000000000002</v>
      </c>
      <c r="R1405" s="104" t="s">
        <v>17</v>
      </c>
      <c r="S1405" s="113">
        <f>10^(((LOG(P1405))*3.375)+1.119)</f>
        <v>1024.9493427422542</v>
      </c>
      <c r="T1405" s="104" t="s">
        <v>699</v>
      </c>
      <c r="U1405" s="108">
        <v>0.93</v>
      </c>
      <c r="V1405" s="107">
        <v>33.6</v>
      </c>
      <c r="W1405" s="106" t="s">
        <v>700</v>
      </c>
    </row>
    <row r="1406" spans="1:23" ht="21" customHeight="1">
      <c r="A1406" s="104" t="s">
        <v>218</v>
      </c>
      <c r="B1406" s="104" t="s">
        <v>202</v>
      </c>
      <c r="C1406" s="454" t="s">
        <v>203</v>
      </c>
      <c r="D1406" s="105" t="s">
        <v>204</v>
      </c>
      <c r="E1406" s="104">
        <v>31034</v>
      </c>
      <c r="F1406" s="104">
        <v>13</v>
      </c>
      <c r="G1406" s="106" t="s">
        <v>183</v>
      </c>
      <c r="H1406" s="104" t="s">
        <v>184</v>
      </c>
      <c r="I1406" s="104" t="s">
        <v>104</v>
      </c>
      <c r="J1406" s="104" t="s">
        <v>105</v>
      </c>
      <c r="K1406" s="104" t="s">
        <v>112</v>
      </c>
      <c r="L1406" s="104" t="s">
        <v>663</v>
      </c>
      <c r="M1406" s="104" t="s">
        <v>108</v>
      </c>
      <c r="N1406" s="108" t="s">
        <v>17</v>
      </c>
      <c r="O1406" s="104" t="s">
        <v>17</v>
      </c>
      <c r="P1406" s="108">
        <v>3.1739999999999999</v>
      </c>
      <c r="Q1406" s="108">
        <v>1.8660000000000001</v>
      </c>
      <c r="R1406" s="104" t="s">
        <v>17</v>
      </c>
      <c r="S1406" s="253">
        <f>(10^((3.263*LOG((P1406))+1.337)))</f>
        <v>941.3332253756588</v>
      </c>
      <c r="T1406" s="104" t="s">
        <v>977</v>
      </c>
      <c r="U1406" s="108">
        <v>0.93300000000000005</v>
      </c>
      <c r="V1406" s="107">
        <v>34.6</v>
      </c>
      <c r="W1406" s="106" t="s">
        <v>978</v>
      </c>
    </row>
    <row r="1407" spans="1:23" ht="21" customHeight="1">
      <c r="A1407" s="104" t="s">
        <v>218</v>
      </c>
      <c r="B1407" s="104" t="s">
        <v>202</v>
      </c>
      <c r="C1407" s="454" t="s">
        <v>203</v>
      </c>
      <c r="D1407" s="105" t="s">
        <v>204</v>
      </c>
      <c r="E1407" s="104">
        <v>31034</v>
      </c>
      <c r="F1407" s="104">
        <v>21</v>
      </c>
      <c r="G1407" s="106" t="s">
        <v>183</v>
      </c>
      <c r="H1407" s="104" t="s">
        <v>184</v>
      </c>
      <c r="I1407" s="104" t="s">
        <v>104</v>
      </c>
      <c r="J1407" s="104" t="s">
        <v>105</v>
      </c>
      <c r="K1407" s="104" t="s">
        <v>209</v>
      </c>
      <c r="L1407" s="104" t="s">
        <v>684</v>
      </c>
      <c r="M1407" s="104" t="s">
        <v>114</v>
      </c>
      <c r="N1407" s="108" t="s">
        <v>17</v>
      </c>
      <c r="O1407" s="104" t="s">
        <v>17</v>
      </c>
      <c r="P1407" s="108">
        <v>4.29</v>
      </c>
      <c r="Q1407" s="108">
        <v>1.86</v>
      </c>
      <c r="R1407" s="104" t="s">
        <v>17</v>
      </c>
      <c r="S1407" s="253">
        <f>(10^((3.21*LOG((P1407*10))+0.92)))/1000</f>
        <v>1446.065310211952</v>
      </c>
      <c r="T1407" s="104" t="s">
        <v>999</v>
      </c>
      <c r="U1407" s="108">
        <v>0.9</v>
      </c>
      <c r="V1407" s="107">
        <v>39.1</v>
      </c>
      <c r="W1407" s="106" t="s">
        <v>980</v>
      </c>
    </row>
    <row r="1408" spans="1:23" ht="21" customHeight="1">
      <c r="A1408" s="104" t="s">
        <v>218</v>
      </c>
      <c r="B1408" s="104" t="s">
        <v>202</v>
      </c>
      <c r="C1408" s="454" t="s">
        <v>203</v>
      </c>
      <c r="D1408" s="105" t="s">
        <v>204</v>
      </c>
      <c r="E1408" s="104">
        <v>31034</v>
      </c>
      <c r="F1408" s="104">
        <v>1</v>
      </c>
      <c r="G1408" s="106" t="s">
        <v>183</v>
      </c>
      <c r="H1408" s="104" t="s">
        <v>184</v>
      </c>
      <c r="I1408" s="104" t="s">
        <v>104</v>
      </c>
      <c r="J1408" s="104" t="s">
        <v>105</v>
      </c>
      <c r="K1408" s="104" t="s">
        <v>810</v>
      </c>
      <c r="L1408" s="104" t="s">
        <v>984</v>
      </c>
      <c r="M1408" s="104" t="s">
        <v>114</v>
      </c>
      <c r="N1408" s="108" t="s">
        <v>17</v>
      </c>
      <c r="O1408" s="104" t="s">
        <v>17</v>
      </c>
      <c r="P1408" s="108">
        <v>4.67</v>
      </c>
      <c r="Q1408" s="108">
        <v>1.722</v>
      </c>
      <c r="R1408" s="104" t="s">
        <v>17</v>
      </c>
      <c r="S1408" s="253">
        <f>((((10^(3.15*LOG((P1408*10))+0.94))+(10^(3.12*LOG((P1408*10))+0.94)))/2)/1000)</f>
        <v>1492.8970815358502</v>
      </c>
      <c r="T1408" s="104" t="s">
        <v>1002</v>
      </c>
      <c r="U1408" s="108">
        <v>0.88</v>
      </c>
      <c r="V1408" s="107">
        <v>42.47</v>
      </c>
      <c r="W1408" s="106" t="s">
        <v>980</v>
      </c>
    </row>
    <row r="1409" spans="1:23" ht="21" customHeight="1">
      <c r="A1409" s="104" t="s">
        <v>218</v>
      </c>
      <c r="B1409" s="104" t="s">
        <v>202</v>
      </c>
      <c r="C1409" s="454" t="s">
        <v>203</v>
      </c>
      <c r="D1409" s="105" t="s">
        <v>204</v>
      </c>
      <c r="E1409" s="104">
        <v>31034</v>
      </c>
      <c r="F1409" s="104">
        <v>13</v>
      </c>
      <c r="G1409" s="106" t="s">
        <v>183</v>
      </c>
      <c r="H1409" s="104" t="s">
        <v>184</v>
      </c>
      <c r="I1409" s="104" t="s">
        <v>104</v>
      </c>
      <c r="J1409" s="104" t="s">
        <v>105</v>
      </c>
      <c r="K1409" s="104" t="s">
        <v>126</v>
      </c>
      <c r="L1409" s="104" t="s">
        <v>636</v>
      </c>
      <c r="M1409" s="104" t="s">
        <v>108</v>
      </c>
      <c r="N1409" s="108" t="s">
        <v>17</v>
      </c>
      <c r="O1409" s="104" t="s">
        <v>17</v>
      </c>
      <c r="P1409" s="108">
        <v>6.33</v>
      </c>
      <c r="Q1409" s="108">
        <v>2.2999999999999998</v>
      </c>
      <c r="R1409" s="104" t="s">
        <v>17</v>
      </c>
      <c r="S1409" s="253">
        <f>(10^((3.19*LOG((P1409*10))+0.51)))/1000</f>
        <v>1805.0026130403935</v>
      </c>
      <c r="T1409" s="104" t="s">
        <v>979</v>
      </c>
      <c r="U1409" s="108">
        <v>0.9</v>
      </c>
      <c r="V1409" s="107">
        <v>39.4</v>
      </c>
      <c r="W1409" s="106" t="s">
        <v>980</v>
      </c>
    </row>
    <row r="1410" spans="1:23" ht="21" customHeight="1">
      <c r="A1410" s="104" t="s">
        <v>218</v>
      </c>
      <c r="B1410" s="104" t="s">
        <v>202</v>
      </c>
      <c r="C1410" s="454" t="s">
        <v>203</v>
      </c>
      <c r="D1410" s="105" t="s">
        <v>204</v>
      </c>
      <c r="E1410" s="104">
        <v>31034</v>
      </c>
      <c r="F1410" s="104">
        <v>156</v>
      </c>
      <c r="G1410" s="106" t="s">
        <v>183</v>
      </c>
      <c r="H1410" s="104" t="s">
        <v>184</v>
      </c>
      <c r="I1410" s="104" t="s">
        <v>104</v>
      </c>
      <c r="J1410" s="104" t="s">
        <v>105</v>
      </c>
      <c r="K1410" s="104" t="s">
        <v>209</v>
      </c>
      <c r="L1410" s="104" t="s">
        <v>939</v>
      </c>
      <c r="M1410" s="104" t="s">
        <v>108</v>
      </c>
      <c r="N1410" s="108" t="s">
        <v>17</v>
      </c>
      <c r="O1410" s="104" t="s">
        <v>17</v>
      </c>
      <c r="P1410" s="108">
        <v>4.9550000000000001</v>
      </c>
      <c r="Q1410" s="108">
        <v>2.8039999999999998</v>
      </c>
      <c r="R1410" s="104" t="s">
        <v>17</v>
      </c>
      <c r="S1410" s="253">
        <f>((10^(3.15*LOG((P1410*10))+0.94))/1000)</f>
        <v>1902.775388047274</v>
      </c>
      <c r="T1410" s="104" t="s">
        <v>1010</v>
      </c>
      <c r="U1410" s="108">
        <v>0.88</v>
      </c>
      <c r="V1410" s="107">
        <v>42.47</v>
      </c>
      <c r="W1410" s="106" t="s">
        <v>980</v>
      </c>
    </row>
    <row r="1411" spans="1:23" ht="21" customHeight="1">
      <c r="A1411" s="104" t="s">
        <v>218</v>
      </c>
      <c r="B1411" s="104" t="s">
        <v>221</v>
      </c>
      <c r="C1411" s="454" t="s">
        <v>222</v>
      </c>
      <c r="D1411" s="105" t="s">
        <v>151</v>
      </c>
      <c r="E1411" s="104">
        <v>31034</v>
      </c>
      <c r="F1411" s="104">
        <v>2</v>
      </c>
      <c r="G1411" s="106" t="s">
        <v>183</v>
      </c>
      <c r="H1411" s="104" t="s">
        <v>184</v>
      </c>
      <c r="I1411" s="104" t="s">
        <v>104</v>
      </c>
      <c r="J1411" s="104" t="s">
        <v>105</v>
      </c>
      <c r="K1411" s="104" t="s">
        <v>112</v>
      </c>
      <c r="L1411" s="104" t="s">
        <v>663</v>
      </c>
      <c r="M1411" s="104" t="s">
        <v>114</v>
      </c>
      <c r="N1411" s="113" t="s">
        <v>17</v>
      </c>
      <c r="O1411" s="104" t="s">
        <v>17</v>
      </c>
      <c r="P1411" s="108">
        <v>1.34</v>
      </c>
      <c r="Q1411" s="108">
        <v>0.72699999999999998</v>
      </c>
      <c r="R1411" s="104" t="s">
        <v>17</v>
      </c>
      <c r="S1411" s="253">
        <f>(10^((3.21*LOG((P1411*10))+1.12)))/1000</f>
        <v>54.702402754361756</v>
      </c>
      <c r="T1411" s="104" t="s">
        <v>664</v>
      </c>
      <c r="U1411" s="108">
        <v>0.94</v>
      </c>
      <c r="V1411" s="107">
        <v>46.4</v>
      </c>
      <c r="W1411" s="106" t="s">
        <v>644</v>
      </c>
    </row>
    <row r="1412" spans="1:23" ht="21" customHeight="1">
      <c r="A1412" s="104" t="s">
        <v>273</v>
      </c>
      <c r="B1412" s="104" t="s">
        <v>74</v>
      </c>
      <c r="C1412" s="454" t="s">
        <v>266</v>
      </c>
      <c r="D1412" s="105" t="s">
        <v>282</v>
      </c>
      <c r="E1412" s="104">
        <v>31034</v>
      </c>
      <c r="F1412" s="104">
        <v>25</v>
      </c>
      <c r="G1412" s="106" t="s">
        <v>183</v>
      </c>
      <c r="H1412" s="111" t="s">
        <v>184</v>
      </c>
      <c r="I1412" s="104" t="s">
        <v>104</v>
      </c>
      <c r="J1412" s="104" t="s">
        <v>105</v>
      </c>
      <c r="K1412" s="104" t="s">
        <v>112</v>
      </c>
      <c r="L1412" s="104" t="s">
        <v>663</v>
      </c>
      <c r="M1412" s="104" t="s">
        <v>108</v>
      </c>
      <c r="N1412" s="108" t="s">
        <v>17</v>
      </c>
      <c r="O1412" s="104" t="s">
        <v>17</v>
      </c>
      <c r="P1412" s="108">
        <v>3.2119999999999997</v>
      </c>
      <c r="Q1412" s="108">
        <v>1.357</v>
      </c>
      <c r="R1412" s="104" t="s">
        <v>17</v>
      </c>
      <c r="S1412" s="253">
        <v>48.400775732562956</v>
      </c>
      <c r="T1412" s="104" t="s">
        <v>1167</v>
      </c>
      <c r="U1412" s="108">
        <v>0.96</v>
      </c>
      <c r="V1412" s="107">
        <v>12.4</v>
      </c>
      <c r="W1412" s="114" t="s">
        <v>284</v>
      </c>
    </row>
    <row r="1413" spans="1:23" ht="21" customHeight="1">
      <c r="A1413" s="104" t="s">
        <v>562</v>
      </c>
      <c r="B1413" s="104" t="s">
        <v>180</v>
      </c>
      <c r="C1413" s="454" t="s">
        <v>181</v>
      </c>
      <c r="D1413" s="105" t="s">
        <v>182</v>
      </c>
      <c r="E1413" s="104">
        <v>31034</v>
      </c>
      <c r="F1413" s="104">
        <v>31</v>
      </c>
      <c r="G1413" s="106" t="s">
        <v>183</v>
      </c>
      <c r="H1413" s="104" t="s">
        <v>184</v>
      </c>
      <c r="I1413" s="104" t="s">
        <v>104</v>
      </c>
      <c r="J1413" s="104" t="s">
        <v>105</v>
      </c>
      <c r="K1413" s="104" t="s">
        <v>112</v>
      </c>
      <c r="L1413" s="104" t="s">
        <v>663</v>
      </c>
      <c r="M1413" s="104"/>
      <c r="N1413" s="108" t="s">
        <v>17</v>
      </c>
      <c r="O1413" s="104" t="s">
        <v>17</v>
      </c>
      <c r="P1413" s="108">
        <v>1.9949999999999999</v>
      </c>
      <c r="Q1413" s="108">
        <v>1.2470000000000001</v>
      </c>
      <c r="R1413" s="104" t="s">
        <v>17</v>
      </c>
      <c r="S1413" s="253"/>
      <c r="T1413" s="104"/>
      <c r="U1413" s="108"/>
      <c r="V1413" s="107"/>
      <c r="W1413" s="114"/>
    </row>
    <row r="1414" spans="1:23" ht="21" customHeight="1">
      <c r="A1414" s="104" t="s">
        <v>562</v>
      </c>
      <c r="B1414" s="104" t="s">
        <v>180</v>
      </c>
      <c r="C1414" s="454" t="s">
        <v>181</v>
      </c>
      <c r="D1414" s="105" t="s">
        <v>182</v>
      </c>
      <c r="E1414" s="104">
        <v>31034</v>
      </c>
      <c r="F1414" s="104">
        <v>30</v>
      </c>
      <c r="G1414" s="106" t="s">
        <v>183</v>
      </c>
      <c r="H1414" s="104" t="s">
        <v>184</v>
      </c>
      <c r="I1414" s="104" t="s">
        <v>104</v>
      </c>
      <c r="J1414" s="104" t="s">
        <v>105</v>
      </c>
      <c r="K1414" s="104" t="s">
        <v>1338</v>
      </c>
      <c r="L1414" s="104" t="s">
        <v>1339</v>
      </c>
      <c r="M1414" s="104" t="s">
        <v>108</v>
      </c>
      <c r="N1414" s="108" t="s">
        <v>17</v>
      </c>
      <c r="O1414" s="104" t="s">
        <v>17</v>
      </c>
      <c r="P1414" s="108">
        <v>1.8640000000000001</v>
      </c>
      <c r="Q1414" s="108">
        <v>1.23</v>
      </c>
      <c r="R1414" s="104" t="s">
        <v>17</v>
      </c>
      <c r="S1414" s="253"/>
      <c r="T1414" s="104"/>
      <c r="U1414" s="108"/>
      <c r="V1414" s="107"/>
      <c r="W1414" s="114"/>
    </row>
    <row r="1415" spans="1:23" ht="21" customHeight="1">
      <c r="A1415" s="104" t="s">
        <v>562</v>
      </c>
      <c r="B1415" s="104" t="s">
        <v>180</v>
      </c>
      <c r="C1415" s="454" t="s">
        <v>181</v>
      </c>
      <c r="D1415" s="105" t="s">
        <v>182</v>
      </c>
      <c r="E1415" s="104">
        <v>31034</v>
      </c>
      <c r="F1415" s="104">
        <v>125</v>
      </c>
      <c r="G1415" s="106" t="s">
        <v>183</v>
      </c>
      <c r="H1415" s="104" t="s">
        <v>184</v>
      </c>
      <c r="I1415" s="104" t="s">
        <v>104</v>
      </c>
      <c r="J1415" s="104" t="s">
        <v>105</v>
      </c>
      <c r="K1415" s="104" t="s">
        <v>1338</v>
      </c>
      <c r="L1415" s="104" t="s">
        <v>1339</v>
      </c>
      <c r="M1415" s="104" t="s">
        <v>108</v>
      </c>
      <c r="N1415" s="108" t="s">
        <v>17</v>
      </c>
      <c r="O1415" s="104" t="s">
        <v>17</v>
      </c>
      <c r="P1415" s="108">
        <v>2.1749999999999998</v>
      </c>
      <c r="Q1415" s="108">
        <v>1.1000000000000001</v>
      </c>
      <c r="R1415" s="104" t="s">
        <v>17</v>
      </c>
      <c r="S1415" s="253"/>
      <c r="T1415" s="104"/>
      <c r="U1415" s="108"/>
      <c r="V1415" s="107"/>
      <c r="W1415" s="114"/>
    </row>
    <row r="1416" spans="1:23" ht="21" customHeight="1">
      <c r="A1416" s="104" t="s">
        <v>169</v>
      </c>
      <c r="B1416" s="104" t="s">
        <v>149</v>
      </c>
      <c r="C1416" s="454" t="s">
        <v>150</v>
      </c>
      <c r="D1416" s="105" t="s">
        <v>151</v>
      </c>
      <c r="E1416" s="104">
        <v>31034</v>
      </c>
      <c r="F1416" s="104">
        <v>36</v>
      </c>
      <c r="G1416" s="106" t="s">
        <v>183</v>
      </c>
      <c r="H1416" s="104" t="s">
        <v>184</v>
      </c>
      <c r="I1416" s="104" t="s">
        <v>104</v>
      </c>
      <c r="J1416" s="104" t="s">
        <v>105</v>
      </c>
      <c r="K1416" s="104" t="s">
        <v>683</v>
      </c>
      <c r="L1416" s="104" t="s">
        <v>728</v>
      </c>
      <c r="M1416" s="104" t="s">
        <v>108</v>
      </c>
      <c r="N1416" s="108" t="s">
        <v>17</v>
      </c>
      <c r="O1416" s="104" t="s">
        <v>17</v>
      </c>
      <c r="P1416" s="108">
        <v>2.6550000000000002</v>
      </c>
      <c r="Q1416" s="108">
        <v>1.7909999999999999</v>
      </c>
      <c r="R1416" s="104" t="s">
        <v>17</v>
      </c>
      <c r="S1416" s="253">
        <f>(((10^((3.187*LOG((P1416))+1.264)))+(10^(3.01*LOG((P1416))+1.216)))/2)</f>
        <v>361.66635774200529</v>
      </c>
      <c r="T1416" s="103" t="s">
        <v>1407</v>
      </c>
      <c r="U1416" s="108">
        <v>0.98499999999999999</v>
      </c>
      <c r="V1416" s="107">
        <v>16.5</v>
      </c>
      <c r="W1416" s="414" t="s">
        <v>1388</v>
      </c>
    </row>
    <row r="1417" spans="1:23" s="663" customFormat="1" ht="21" customHeight="1">
      <c r="A1417" s="104" t="s">
        <v>169</v>
      </c>
      <c r="B1417" s="104" t="s">
        <v>149</v>
      </c>
      <c r="C1417" s="454" t="s">
        <v>150</v>
      </c>
      <c r="D1417" s="105" t="s">
        <v>151</v>
      </c>
      <c r="E1417" s="104">
        <v>31034</v>
      </c>
      <c r="F1417" s="104">
        <v>112</v>
      </c>
      <c r="G1417" s="106" t="s">
        <v>183</v>
      </c>
      <c r="H1417" s="104" t="s">
        <v>184</v>
      </c>
      <c r="I1417" s="104" t="s">
        <v>104</v>
      </c>
      <c r="J1417" s="104" t="s">
        <v>105</v>
      </c>
      <c r="K1417" s="104" t="s">
        <v>112</v>
      </c>
      <c r="L1417" s="104" t="s">
        <v>663</v>
      </c>
      <c r="M1417" s="104" t="s">
        <v>108</v>
      </c>
      <c r="N1417" s="108" t="s">
        <v>17</v>
      </c>
      <c r="O1417" s="104" t="s">
        <v>17</v>
      </c>
      <c r="P1417" s="108">
        <v>2.6239999999999997</v>
      </c>
      <c r="Q1417" s="108">
        <v>1.6829999999999998</v>
      </c>
      <c r="R1417" s="104" t="s">
        <v>17</v>
      </c>
      <c r="S1417" s="253">
        <f>(10^((3.187*LOG((P1417))+1.264)))</f>
        <v>397.40902766530627</v>
      </c>
      <c r="T1417" s="103" t="s">
        <v>1387</v>
      </c>
      <c r="U1417" s="108">
        <v>0.98499999999999999</v>
      </c>
      <c r="V1417" s="107">
        <v>16.5</v>
      </c>
      <c r="W1417" s="414" t="s">
        <v>1385</v>
      </c>
    </row>
    <row r="1418" spans="1:23" ht="21" customHeight="1">
      <c r="A1418" s="104" t="s">
        <v>169</v>
      </c>
      <c r="B1418" s="104" t="s">
        <v>149</v>
      </c>
      <c r="C1418" s="454" t="s">
        <v>150</v>
      </c>
      <c r="D1418" s="105" t="s">
        <v>151</v>
      </c>
      <c r="E1418" s="104">
        <v>31034</v>
      </c>
      <c r="F1418" s="104">
        <v>75</v>
      </c>
      <c r="G1418" s="106" t="s">
        <v>183</v>
      </c>
      <c r="H1418" s="104" t="s">
        <v>184</v>
      </c>
      <c r="I1418" s="104" t="s">
        <v>104</v>
      </c>
      <c r="J1418" s="104" t="s">
        <v>105</v>
      </c>
      <c r="K1418" s="104" t="s">
        <v>112</v>
      </c>
      <c r="L1418" s="104" t="s">
        <v>663</v>
      </c>
      <c r="M1418" s="104" t="s">
        <v>108</v>
      </c>
      <c r="N1418" s="108" t="s">
        <v>17</v>
      </c>
      <c r="O1418" s="104" t="s">
        <v>17</v>
      </c>
      <c r="P1418" s="108">
        <v>2.7090000000000001</v>
      </c>
      <c r="Q1418" s="108">
        <v>2.0789999999999997</v>
      </c>
      <c r="R1418" s="104" t="s">
        <v>17</v>
      </c>
      <c r="S1418" s="253">
        <f>(10^((3.187*LOG((P1418))+1.264)))</f>
        <v>439.9084447529043</v>
      </c>
      <c r="T1418" s="103" t="s">
        <v>1387</v>
      </c>
      <c r="U1418" s="108">
        <v>0.98499999999999999</v>
      </c>
      <c r="V1418" s="107">
        <v>16.5</v>
      </c>
      <c r="W1418" s="414" t="s">
        <v>1385</v>
      </c>
    </row>
    <row r="1419" spans="1:23" ht="21" customHeight="1">
      <c r="A1419" s="104" t="s">
        <v>169</v>
      </c>
      <c r="B1419" s="104" t="s">
        <v>149</v>
      </c>
      <c r="C1419" s="454" t="s">
        <v>150</v>
      </c>
      <c r="D1419" s="105" t="s">
        <v>151</v>
      </c>
      <c r="E1419" s="104">
        <v>31034</v>
      </c>
      <c r="F1419" s="104">
        <v>86</v>
      </c>
      <c r="G1419" s="106" t="s">
        <v>183</v>
      </c>
      <c r="H1419" s="104" t="s">
        <v>184</v>
      </c>
      <c r="I1419" s="104" t="s">
        <v>104</v>
      </c>
      <c r="J1419" s="104" t="s">
        <v>105</v>
      </c>
      <c r="K1419" s="104" t="s">
        <v>112</v>
      </c>
      <c r="L1419" s="104" t="s">
        <v>663</v>
      </c>
      <c r="M1419" s="104"/>
      <c r="N1419" s="108" t="s">
        <v>17</v>
      </c>
      <c r="O1419" s="104" t="s">
        <v>17</v>
      </c>
      <c r="P1419" s="108">
        <v>2.9829999999999997</v>
      </c>
      <c r="Q1419" s="108">
        <v>2.0620000000000003</v>
      </c>
      <c r="R1419" s="104" t="s">
        <v>17</v>
      </c>
      <c r="S1419" s="253">
        <f>(10^((3.187*LOG((P1419))+1.264)))</f>
        <v>598.02579691671815</v>
      </c>
      <c r="T1419" s="103" t="s">
        <v>1387</v>
      </c>
      <c r="U1419" s="108">
        <v>0.98499999999999999</v>
      </c>
      <c r="V1419" s="107">
        <v>16.5</v>
      </c>
      <c r="W1419" s="414" t="s">
        <v>1385</v>
      </c>
    </row>
    <row r="1420" spans="1:23" ht="21" customHeight="1">
      <c r="A1420" s="103" t="s">
        <v>601</v>
      </c>
      <c r="B1420" s="103" t="s">
        <v>602</v>
      </c>
      <c r="C1420" s="421" t="s">
        <v>603</v>
      </c>
      <c r="D1420" s="105" t="s">
        <v>151</v>
      </c>
      <c r="E1420" s="103">
        <v>31034</v>
      </c>
      <c r="F1420" s="103">
        <v>78</v>
      </c>
      <c r="G1420" s="103" t="s">
        <v>183</v>
      </c>
      <c r="H1420" s="103" t="s">
        <v>184</v>
      </c>
      <c r="I1420" s="104" t="s">
        <v>104</v>
      </c>
      <c r="J1420" s="103" t="s">
        <v>105</v>
      </c>
      <c r="K1420" s="103" t="s">
        <v>986</v>
      </c>
      <c r="L1420" s="104" t="s">
        <v>987</v>
      </c>
      <c r="M1420" s="103" t="s">
        <v>1497</v>
      </c>
      <c r="N1420" s="103"/>
      <c r="O1420" s="103">
        <v>41</v>
      </c>
      <c r="P1420" s="103"/>
      <c r="Q1420" s="103"/>
      <c r="R1420" s="103"/>
      <c r="S1420" s="476">
        <v>6058.1</v>
      </c>
      <c r="T1420" s="103" t="s">
        <v>1470</v>
      </c>
      <c r="U1420" s="103">
        <v>0.99</v>
      </c>
      <c r="V1420" s="103" t="s">
        <v>287</v>
      </c>
      <c r="W1420" s="414" t="s">
        <v>1471</v>
      </c>
    </row>
    <row r="1421" spans="1:23" ht="21" customHeight="1">
      <c r="A1421" s="103" t="s">
        <v>601</v>
      </c>
      <c r="B1421" s="103" t="s">
        <v>602</v>
      </c>
      <c r="C1421" s="421" t="s">
        <v>603</v>
      </c>
      <c r="D1421" s="105" t="s">
        <v>151</v>
      </c>
      <c r="E1421" s="103">
        <v>31034</v>
      </c>
      <c r="F1421" s="103">
        <v>79</v>
      </c>
      <c r="G1421" s="103" t="s">
        <v>183</v>
      </c>
      <c r="H1421" s="103" t="s">
        <v>184</v>
      </c>
      <c r="I1421" s="104" t="s">
        <v>104</v>
      </c>
      <c r="J1421" s="103" t="s">
        <v>105</v>
      </c>
      <c r="K1421" s="103" t="s">
        <v>1441</v>
      </c>
      <c r="L1421" s="103" t="s">
        <v>1503</v>
      </c>
      <c r="M1421" s="103" t="s">
        <v>114</v>
      </c>
      <c r="N1421" s="103">
        <v>14.34</v>
      </c>
      <c r="O1421" s="103">
        <v>39</v>
      </c>
      <c r="P1421" s="103"/>
      <c r="Q1421" s="103"/>
      <c r="R1421" s="103"/>
      <c r="S1421" s="253">
        <f>(10^(2.87355*LOG(O1421*10)-0.52682))/1000</f>
        <v>8293.4207981956934</v>
      </c>
      <c r="T1421" s="103" t="s">
        <v>1443</v>
      </c>
      <c r="U1421" s="103">
        <v>0.98</v>
      </c>
      <c r="V1421" s="103" t="s">
        <v>287</v>
      </c>
      <c r="W1421" s="414" t="s">
        <v>989</v>
      </c>
    </row>
    <row r="1422" spans="1:23" ht="21" customHeight="1">
      <c r="A1422" s="104" t="s">
        <v>1539</v>
      </c>
      <c r="B1422" s="104" t="s">
        <v>1540</v>
      </c>
      <c r="C1422" s="454" t="s">
        <v>1541</v>
      </c>
      <c r="D1422" s="105" t="s">
        <v>1542</v>
      </c>
      <c r="E1422" s="104">
        <v>31034</v>
      </c>
      <c r="F1422" s="104">
        <v>124</v>
      </c>
      <c r="G1422" s="106" t="s">
        <v>183</v>
      </c>
      <c r="H1422" s="104" t="s">
        <v>184</v>
      </c>
      <c r="I1422" s="104" t="s">
        <v>104</v>
      </c>
      <c r="J1422" s="104" t="s">
        <v>105</v>
      </c>
      <c r="K1422" s="104" t="s">
        <v>1544</v>
      </c>
      <c r="L1422" s="104" t="s">
        <v>1545</v>
      </c>
      <c r="M1422" s="104"/>
      <c r="N1422" s="108" t="s">
        <v>17</v>
      </c>
      <c r="O1422" s="104" t="s">
        <v>17</v>
      </c>
      <c r="P1422" s="108">
        <v>1.9179999999999999</v>
      </c>
      <c r="Q1422" s="108">
        <v>1.371</v>
      </c>
      <c r="R1422" s="104" t="s">
        <v>17</v>
      </c>
      <c r="S1422" s="253"/>
      <c r="T1422" s="104"/>
      <c r="U1422" s="108"/>
      <c r="V1422" s="107"/>
      <c r="W1422" s="114"/>
    </row>
    <row r="1423" spans="1:23" ht="21" customHeight="1">
      <c r="A1423" s="104" t="s">
        <v>273</v>
      </c>
      <c r="B1423" s="104" t="s">
        <v>74</v>
      </c>
      <c r="C1423" s="454" t="s">
        <v>266</v>
      </c>
      <c r="D1423" s="105" t="s">
        <v>267</v>
      </c>
      <c r="E1423" s="104">
        <v>40615</v>
      </c>
      <c r="F1423" s="104">
        <v>17</v>
      </c>
      <c r="G1423" s="106" t="s">
        <v>1222</v>
      </c>
      <c r="H1423" s="104" t="s">
        <v>224</v>
      </c>
      <c r="I1423" s="104" t="s">
        <v>104</v>
      </c>
      <c r="J1423" s="104" t="s">
        <v>105</v>
      </c>
      <c r="K1423" s="104" t="s">
        <v>112</v>
      </c>
      <c r="L1423" s="104" t="s">
        <v>663</v>
      </c>
      <c r="M1423" s="104" t="s">
        <v>108</v>
      </c>
      <c r="N1423" s="108" t="s">
        <v>17</v>
      </c>
      <c r="O1423" s="104" t="s">
        <v>17</v>
      </c>
      <c r="P1423" s="108">
        <v>2.2280000000000002</v>
      </c>
      <c r="Q1423" s="108">
        <v>0.81699999999999995</v>
      </c>
      <c r="R1423" s="104" t="s">
        <v>17</v>
      </c>
      <c r="S1423" s="253">
        <v>16.572632367007905</v>
      </c>
      <c r="T1423" s="104" t="s">
        <v>1167</v>
      </c>
      <c r="U1423" s="108">
        <v>0.96</v>
      </c>
      <c r="V1423" s="107">
        <v>12.4</v>
      </c>
      <c r="W1423" s="114" t="s">
        <v>284</v>
      </c>
    </row>
    <row r="1424" spans="1:23" ht="21" customHeight="1">
      <c r="A1424" s="104" t="s">
        <v>218</v>
      </c>
      <c r="B1424" s="104" t="s">
        <v>389</v>
      </c>
      <c r="C1424" s="454" t="s">
        <v>390</v>
      </c>
      <c r="D1424" s="105" t="s">
        <v>471</v>
      </c>
      <c r="E1424" s="104">
        <v>31135</v>
      </c>
      <c r="F1424" s="104">
        <v>55</v>
      </c>
      <c r="G1424" s="106" t="s">
        <v>212</v>
      </c>
      <c r="H1424" s="104" t="s">
        <v>171</v>
      </c>
      <c r="I1424" s="104" t="s">
        <v>104</v>
      </c>
      <c r="J1424" s="104" t="s">
        <v>105</v>
      </c>
      <c r="K1424" s="106" t="s">
        <v>143</v>
      </c>
      <c r="L1424" s="104" t="s">
        <v>708</v>
      </c>
      <c r="M1424" s="104" t="s">
        <v>108</v>
      </c>
      <c r="N1424" s="108"/>
      <c r="O1424" s="104"/>
      <c r="P1424" s="108">
        <v>3.8600000000000003</v>
      </c>
      <c r="Q1424" s="108">
        <v>2.63</v>
      </c>
      <c r="R1424" s="104" t="s">
        <v>17</v>
      </c>
      <c r="S1424" s="113">
        <f>((10^((3.395*LOG((P1424))+1.061))))</f>
        <v>1128.4021354339934</v>
      </c>
      <c r="T1424" s="104" t="s">
        <v>709</v>
      </c>
      <c r="U1424" s="108">
        <v>0.91200000000000003</v>
      </c>
      <c r="V1424" s="107">
        <v>36.5</v>
      </c>
      <c r="W1424" s="106" t="s">
        <v>700</v>
      </c>
    </row>
    <row r="1425" spans="1:23" ht="21" customHeight="1">
      <c r="A1425" s="104" t="s">
        <v>218</v>
      </c>
      <c r="B1425" s="104" t="s">
        <v>389</v>
      </c>
      <c r="C1425" s="454" t="s">
        <v>390</v>
      </c>
      <c r="D1425" s="105" t="s">
        <v>777</v>
      </c>
      <c r="E1425" s="104">
        <v>31135</v>
      </c>
      <c r="F1425" s="104">
        <v>28</v>
      </c>
      <c r="G1425" s="106" t="s">
        <v>212</v>
      </c>
      <c r="H1425" s="104" t="s">
        <v>171</v>
      </c>
      <c r="I1425" s="104" t="s">
        <v>104</v>
      </c>
      <c r="J1425" s="104" t="s">
        <v>105</v>
      </c>
      <c r="K1425" s="104" t="s">
        <v>126</v>
      </c>
      <c r="L1425" s="104" t="s">
        <v>636</v>
      </c>
      <c r="M1425" s="104"/>
      <c r="N1425" s="108"/>
      <c r="O1425" s="104"/>
      <c r="P1425" s="108">
        <v>5.4039999999999999</v>
      </c>
      <c r="Q1425" s="108">
        <v>1.8260000000000001</v>
      </c>
      <c r="R1425" s="104" t="s">
        <v>17</v>
      </c>
      <c r="S1425" s="113">
        <f>10^(((LOG(P1425))*3.236)+0.745)</f>
        <v>1306.3719336839501</v>
      </c>
      <c r="T1425" s="104" t="s">
        <v>717</v>
      </c>
      <c r="U1425" s="108">
        <v>0.92900000000000005</v>
      </c>
      <c r="V1425" s="107">
        <v>33.299999999999997</v>
      </c>
      <c r="W1425" s="106" t="s">
        <v>700</v>
      </c>
    </row>
    <row r="1426" spans="1:23" ht="21" customHeight="1">
      <c r="A1426" s="104" t="s">
        <v>218</v>
      </c>
      <c r="B1426" s="104" t="s">
        <v>389</v>
      </c>
      <c r="C1426" s="454" t="s">
        <v>390</v>
      </c>
      <c r="D1426" s="105" t="s">
        <v>151</v>
      </c>
      <c r="E1426" s="104">
        <v>31108</v>
      </c>
      <c r="F1426" s="104">
        <v>70</v>
      </c>
      <c r="G1426" s="106" t="s">
        <v>212</v>
      </c>
      <c r="H1426" s="104" t="s">
        <v>171</v>
      </c>
      <c r="I1426" s="104" t="s">
        <v>104</v>
      </c>
      <c r="J1426" s="104" t="s">
        <v>105</v>
      </c>
      <c r="K1426" s="104" t="s">
        <v>209</v>
      </c>
      <c r="L1426" s="104" t="s">
        <v>684</v>
      </c>
      <c r="M1426" s="104"/>
      <c r="N1426" s="108"/>
      <c r="O1426" s="104"/>
      <c r="P1426" s="108">
        <v>3.9909999999999997</v>
      </c>
      <c r="Q1426" s="108">
        <v>1.78</v>
      </c>
      <c r="R1426" s="104" t="s">
        <v>17</v>
      </c>
      <c r="S1426" s="113">
        <f>10^(((LOG(P1426))*3.375)+1.119)</f>
        <v>1404.917529296021</v>
      </c>
      <c r="T1426" s="104" t="s">
        <v>699</v>
      </c>
      <c r="U1426" s="108">
        <v>0.93</v>
      </c>
      <c r="V1426" s="107">
        <v>33.6</v>
      </c>
      <c r="W1426" s="106" t="s">
        <v>700</v>
      </c>
    </row>
    <row r="1427" spans="1:23" ht="21" customHeight="1">
      <c r="A1427" s="104" t="s">
        <v>218</v>
      </c>
      <c r="B1427" s="104" t="s">
        <v>389</v>
      </c>
      <c r="C1427" s="454" t="s">
        <v>390</v>
      </c>
      <c r="D1427" s="105" t="s">
        <v>151</v>
      </c>
      <c r="E1427" s="104">
        <v>31137</v>
      </c>
      <c r="F1427" s="104">
        <v>3</v>
      </c>
      <c r="G1427" s="106" t="s">
        <v>212</v>
      </c>
      <c r="H1427" s="104" t="s">
        <v>171</v>
      </c>
      <c r="I1427" s="104" t="s">
        <v>104</v>
      </c>
      <c r="J1427" s="104" t="s">
        <v>105</v>
      </c>
      <c r="K1427" s="104" t="s">
        <v>112</v>
      </c>
      <c r="L1427" s="104" t="s">
        <v>663</v>
      </c>
      <c r="M1427" s="104" t="s">
        <v>114</v>
      </c>
      <c r="N1427" s="108"/>
      <c r="O1427" s="104"/>
      <c r="P1427" s="108">
        <v>2.8620000000000001</v>
      </c>
      <c r="Q1427" s="108">
        <v>1.9120000000000001</v>
      </c>
      <c r="R1427" s="104" t="s">
        <v>17</v>
      </c>
      <c r="S1427" s="113">
        <f>10^((3.52*LOG((P1427))+1.372))</f>
        <v>953.84343638891141</v>
      </c>
      <c r="T1427" s="104" t="s">
        <v>718</v>
      </c>
      <c r="U1427" s="108">
        <v>0.93</v>
      </c>
      <c r="V1427" s="107">
        <v>34</v>
      </c>
      <c r="W1427" s="106" t="s">
        <v>700</v>
      </c>
    </row>
    <row r="1428" spans="1:23" ht="21" customHeight="1">
      <c r="A1428" s="104" t="s">
        <v>218</v>
      </c>
      <c r="B1428" s="104" t="s">
        <v>202</v>
      </c>
      <c r="C1428" s="454" t="s">
        <v>203</v>
      </c>
      <c r="D1428" s="105" t="s">
        <v>204</v>
      </c>
      <c r="E1428" s="104">
        <v>31108</v>
      </c>
      <c r="F1428" s="104">
        <v>91</v>
      </c>
      <c r="G1428" s="106" t="s">
        <v>212</v>
      </c>
      <c r="H1428" s="104" t="s">
        <v>171</v>
      </c>
      <c r="I1428" s="104" t="s">
        <v>104</v>
      </c>
      <c r="J1428" s="104" t="s">
        <v>105</v>
      </c>
      <c r="K1428" s="104" t="s">
        <v>126</v>
      </c>
      <c r="L1428" s="104" t="s">
        <v>636</v>
      </c>
      <c r="M1428" s="104"/>
      <c r="N1428" s="108" t="s">
        <v>17</v>
      </c>
      <c r="O1428" s="104" t="s">
        <v>17</v>
      </c>
      <c r="P1428" s="113">
        <v>5.6180000000000003</v>
      </c>
      <c r="Q1428" s="113">
        <v>2.1670000000000003</v>
      </c>
      <c r="R1428" s="104" t="s">
        <v>17</v>
      </c>
      <c r="S1428" s="253">
        <f>(10^((3.19*LOG((P1428*10))+0.51)))/1000</f>
        <v>1233.5754969782629</v>
      </c>
      <c r="T1428" s="104" t="s">
        <v>979</v>
      </c>
      <c r="U1428" s="108">
        <v>0.9</v>
      </c>
      <c r="V1428" s="107">
        <v>39.4</v>
      </c>
      <c r="W1428" s="106" t="s">
        <v>980</v>
      </c>
    </row>
    <row r="1429" spans="1:23" ht="21" customHeight="1">
      <c r="A1429" s="104" t="s">
        <v>218</v>
      </c>
      <c r="B1429" s="104" t="s">
        <v>202</v>
      </c>
      <c r="C1429" s="454" t="s">
        <v>479</v>
      </c>
      <c r="D1429" s="105" t="s">
        <v>480</v>
      </c>
      <c r="E1429" s="104">
        <v>31108</v>
      </c>
      <c r="F1429" s="104">
        <v>37</v>
      </c>
      <c r="G1429" s="106" t="s">
        <v>212</v>
      </c>
      <c r="H1429" s="104" t="s">
        <v>171</v>
      </c>
      <c r="I1429" s="104" t="s">
        <v>104</v>
      </c>
      <c r="J1429" s="104" t="s">
        <v>105</v>
      </c>
      <c r="K1429" s="104" t="s">
        <v>126</v>
      </c>
      <c r="L1429" s="104" t="s">
        <v>636</v>
      </c>
      <c r="M1429" s="104" t="s">
        <v>108</v>
      </c>
      <c r="N1429" s="108" t="s">
        <v>17</v>
      </c>
      <c r="O1429" s="104" t="s">
        <v>17</v>
      </c>
      <c r="P1429" s="113">
        <v>3.6310000000000002</v>
      </c>
      <c r="Q1429" s="113">
        <v>1.4570000000000001</v>
      </c>
      <c r="R1429" s="104" t="s">
        <v>17</v>
      </c>
      <c r="S1429" s="253">
        <f>(10^((3.19*LOG((P1429*10))+0.51)))/1000</f>
        <v>306.53758673772489</v>
      </c>
      <c r="T1429" s="104" t="s">
        <v>979</v>
      </c>
      <c r="U1429" s="108">
        <v>0.9</v>
      </c>
      <c r="V1429" s="107">
        <v>39.4</v>
      </c>
      <c r="W1429" s="106" t="s">
        <v>982</v>
      </c>
    </row>
    <row r="1430" spans="1:23" ht="21" customHeight="1">
      <c r="A1430" s="104" t="s">
        <v>218</v>
      </c>
      <c r="B1430" s="104" t="s">
        <v>202</v>
      </c>
      <c r="C1430" s="454" t="s">
        <v>479</v>
      </c>
      <c r="D1430" s="105" t="s">
        <v>480</v>
      </c>
      <c r="E1430" s="104">
        <v>31108</v>
      </c>
      <c r="F1430" s="104">
        <v>99</v>
      </c>
      <c r="G1430" s="106" t="s">
        <v>212</v>
      </c>
      <c r="H1430" s="104" t="s">
        <v>171</v>
      </c>
      <c r="I1430" s="104" t="s">
        <v>104</v>
      </c>
      <c r="J1430" s="104" t="s">
        <v>105</v>
      </c>
      <c r="K1430" s="104" t="s">
        <v>129</v>
      </c>
      <c r="L1430" s="104" t="s">
        <v>1011</v>
      </c>
      <c r="M1430" s="104" t="s">
        <v>108</v>
      </c>
      <c r="N1430" s="108" t="s">
        <v>17</v>
      </c>
      <c r="O1430" s="104" t="s">
        <v>17</v>
      </c>
      <c r="P1430" s="113">
        <v>2.6890000000000001</v>
      </c>
      <c r="Q1430" s="113">
        <v>1.65</v>
      </c>
      <c r="R1430" s="104" t="s">
        <v>17</v>
      </c>
      <c r="S1430" s="253">
        <f>(((10^((3.2*LOG((P1430*10))+1.17)))+(10^(3.21*LOG((P1430*10))+0.92)))/2)/1000</f>
        <v>439.17383856682642</v>
      </c>
      <c r="T1430" s="104" t="s">
        <v>1012</v>
      </c>
      <c r="U1430" s="108">
        <v>0.89</v>
      </c>
      <c r="V1430" s="107">
        <v>41.58</v>
      </c>
      <c r="W1430" s="106" t="s">
        <v>982</v>
      </c>
    </row>
    <row r="1431" spans="1:23" ht="21" customHeight="1">
      <c r="A1431" s="104" t="s">
        <v>218</v>
      </c>
      <c r="B1431" s="104" t="s">
        <v>221</v>
      </c>
      <c r="C1431" s="454" t="s">
        <v>222</v>
      </c>
      <c r="D1431" s="105" t="s">
        <v>151</v>
      </c>
      <c r="E1431" s="104">
        <v>31107</v>
      </c>
      <c r="F1431" s="104">
        <v>32</v>
      </c>
      <c r="G1431" s="106" t="s">
        <v>212</v>
      </c>
      <c r="H1431" s="104" t="s">
        <v>171</v>
      </c>
      <c r="I1431" s="104" t="s">
        <v>104</v>
      </c>
      <c r="J1431" s="104" t="s">
        <v>105</v>
      </c>
      <c r="K1431" s="104" t="s">
        <v>112</v>
      </c>
      <c r="L1431" s="104" t="s">
        <v>663</v>
      </c>
      <c r="M1431" s="104" t="s">
        <v>108</v>
      </c>
      <c r="N1431" s="108" t="s">
        <v>17</v>
      </c>
      <c r="O1431" s="104" t="s">
        <v>17</v>
      </c>
      <c r="P1431" s="108">
        <v>1.593</v>
      </c>
      <c r="Q1431" s="108">
        <v>1.1220000000000001</v>
      </c>
      <c r="R1431" s="104" t="s">
        <v>17</v>
      </c>
      <c r="S1431" s="253">
        <f>(10^((3.334*LOG((P1431))+1.27)))</f>
        <v>87.940189375778047</v>
      </c>
      <c r="T1431" s="104" t="s">
        <v>1027</v>
      </c>
      <c r="U1431" s="108">
        <v>0.93</v>
      </c>
      <c r="V1431" s="107">
        <v>23.9</v>
      </c>
      <c r="W1431" s="106" t="s">
        <v>1028</v>
      </c>
    </row>
    <row r="1432" spans="1:23" ht="21" customHeight="1">
      <c r="A1432" s="104" t="s">
        <v>169</v>
      </c>
      <c r="B1432" s="104" t="s">
        <v>149</v>
      </c>
      <c r="C1432" s="454" t="s">
        <v>150</v>
      </c>
      <c r="D1432" s="105" t="s">
        <v>151</v>
      </c>
      <c r="E1432" s="104">
        <v>31107</v>
      </c>
      <c r="F1432" s="104">
        <v>26</v>
      </c>
      <c r="G1432" s="106" t="s">
        <v>212</v>
      </c>
      <c r="H1432" s="104" t="s">
        <v>171</v>
      </c>
      <c r="I1432" s="104" t="s">
        <v>104</v>
      </c>
      <c r="J1432" s="104" t="s">
        <v>105</v>
      </c>
      <c r="K1432" s="104" t="s">
        <v>112</v>
      </c>
      <c r="L1432" s="104" t="s">
        <v>663</v>
      </c>
      <c r="M1432" s="104" t="s">
        <v>114</v>
      </c>
      <c r="N1432" s="108" t="s">
        <v>17</v>
      </c>
      <c r="O1432" s="104" t="s">
        <v>17</v>
      </c>
      <c r="P1432" s="113">
        <v>2.46</v>
      </c>
      <c r="Q1432" s="113">
        <v>1.6179999999999999</v>
      </c>
      <c r="R1432" s="104" t="s">
        <v>17</v>
      </c>
      <c r="S1432" s="253">
        <f>(10^((3.187*LOG((P1432))+1.264)))</f>
        <v>323.5267435162304</v>
      </c>
      <c r="T1432" s="103" t="s">
        <v>1387</v>
      </c>
      <c r="U1432" s="108">
        <v>0.98499999999999999</v>
      </c>
      <c r="V1432" s="107">
        <v>16.5</v>
      </c>
      <c r="W1432" s="414" t="s">
        <v>1385</v>
      </c>
    </row>
    <row r="1433" spans="1:23" ht="21" customHeight="1">
      <c r="A1433" s="104" t="s">
        <v>169</v>
      </c>
      <c r="B1433" s="104" t="s">
        <v>149</v>
      </c>
      <c r="C1433" s="454" t="s">
        <v>150</v>
      </c>
      <c r="D1433" s="105" t="s">
        <v>151</v>
      </c>
      <c r="E1433" s="104">
        <v>31107</v>
      </c>
      <c r="F1433" s="104">
        <v>34</v>
      </c>
      <c r="G1433" s="106" t="s">
        <v>212</v>
      </c>
      <c r="H1433" s="104" t="s">
        <v>171</v>
      </c>
      <c r="I1433" s="104" t="s">
        <v>104</v>
      </c>
      <c r="J1433" s="104" t="s">
        <v>105</v>
      </c>
      <c r="K1433" s="104" t="s">
        <v>112</v>
      </c>
      <c r="L1433" s="104" t="s">
        <v>663</v>
      </c>
      <c r="M1433" s="104" t="s">
        <v>114</v>
      </c>
      <c r="N1433" s="108" t="s">
        <v>17</v>
      </c>
      <c r="O1433" s="104" t="s">
        <v>17</v>
      </c>
      <c r="P1433" s="113">
        <v>2.9089999999999998</v>
      </c>
      <c r="Q1433" s="113">
        <v>1.4890000000000001</v>
      </c>
      <c r="R1433" s="104" t="s">
        <v>17</v>
      </c>
      <c r="S1433" s="253">
        <f>(10^((3.187*LOG((P1433))+1.264)))</f>
        <v>552.01545830052919</v>
      </c>
      <c r="T1433" s="103" t="s">
        <v>1387</v>
      </c>
      <c r="U1433" s="108">
        <v>0.98499999999999999</v>
      </c>
      <c r="V1433" s="107">
        <v>16.5</v>
      </c>
      <c r="W1433" s="414" t="s">
        <v>1385</v>
      </c>
    </row>
    <row r="1434" spans="1:23" ht="21" customHeight="1">
      <c r="A1434" s="104" t="s">
        <v>169</v>
      </c>
      <c r="B1434" s="104" t="s">
        <v>149</v>
      </c>
      <c r="C1434" s="454" t="s">
        <v>150</v>
      </c>
      <c r="D1434" s="105" t="s">
        <v>151</v>
      </c>
      <c r="E1434" s="104">
        <v>31108</v>
      </c>
      <c r="F1434" s="104">
        <v>82</v>
      </c>
      <c r="G1434" s="106" t="s">
        <v>212</v>
      </c>
      <c r="H1434" s="104" t="s">
        <v>171</v>
      </c>
      <c r="I1434" s="104" t="s">
        <v>104</v>
      </c>
      <c r="J1434" s="104" t="s">
        <v>105</v>
      </c>
      <c r="K1434" s="104" t="s">
        <v>158</v>
      </c>
      <c r="L1434" s="104" t="s">
        <v>686</v>
      </c>
      <c r="M1434" s="104" t="s">
        <v>1409</v>
      </c>
      <c r="N1434" s="108" t="s">
        <v>17</v>
      </c>
      <c r="O1434" s="104" t="s">
        <v>17</v>
      </c>
      <c r="P1434" s="113">
        <v>2.93</v>
      </c>
      <c r="Q1434" s="113">
        <v>2.2489999999999997</v>
      </c>
      <c r="R1434" s="104" t="s">
        <v>17</v>
      </c>
      <c r="S1434" s="253">
        <f t="shared" ref="S1434:S1441" si="18">(10^((2.9*LOG((P1434))+1.209)))</f>
        <v>365.5241694953674</v>
      </c>
      <c r="T1434" s="103" t="s">
        <v>1386</v>
      </c>
      <c r="U1434" s="108">
        <v>0.96399999999999997</v>
      </c>
      <c r="V1434" s="107">
        <v>30.5</v>
      </c>
      <c r="W1434" s="414" t="s">
        <v>1385</v>
      </c>
    </row>
    <row r="1435" spans="1:23" ht="21" customHeight="1">
      <c r="A1435" s="104" t="s">
        <v>169</v>
      </c>
      <c r="B1435" s="104" t="s">
        <v>149</v>
      </c>
      <c r="C1435" s="454" t="s">
        <v>150</v>
      </c>
      <c r="D1435" s="105" t="s">
        <v>151</v>
      </c>
      <c r="E1435" s="104">
        <v>31108</v>
      </c>
      <c r="F1435" s="104">
        <v>82</v>
      </c>
      <c r="G1435" s="106" t="s">
        <v>212</v>
      </c>
      <c r="H1435" s="104" t="s">
        <v>171</v>
      </c>
      <c r="I1435" s="104" t="s">
        <v>104</v>
      </c>
      <c r="J1435" s="104" t="s">
        <v>105</v>
      </c>
      <c r="K1435" s="104" t="s">
        <v>155</v>
      </c>
      <c r="L1435" s="104" t="s">
        <v>658</v>
      </c>
      <c r="M1435" s="104" t="s">
        <v>108</v>
      </c>
      <c r="N1435" s="108" t="s">
        <v>17</v>
      </c>
      <c r="O1435" s="104" t="s">
        <v>17</v>
      </c>
      <c r="P1435" s="113">
        <v>3.0140000000000002</v>
      </c>
      <c r="Q1435" s="113">
        <v>2.9980000000000002</v>
      </c>
      <c r="R1435" s="104" t="s">
        <v>17</v>
      </c>
      <c r="S1435" s="253">
        <f t="shared" si="18"/>
        <v>396.74861479572257</v>
      </c>
      <c r="T1435" s="103" t="s">
        <v>1386</v>
      </c>
      <c r="U1435" s="108">
        <v>0.96399999999999997</v>
      </c>
      <c r="V1435" s="107">
        <v>30.5</v>
      </c>
      <c r="W1435" s="414" t="s">
        <v>1385</v>
      </c>
    </row>
    <row r="1436" spans="1:23" s="333" customFormat="1" ht="21" customHeight="1">
      <c r="A1436" s="104" t="s">
        <v>169</v>
      </c>
      <c r="B1436" s="104" t="s">
        <v>149</v>
      </c>
      <c r="C1436" s="454" t="s">
        <v>150</v>
      </c>
      <c r="D1436" s="105" t="s">
        <v>151</v>
      </c>
      <c r="E1436" s="104">
        <v>31108</v>
      </c>
      <c r="F1436" s="104">
        <v>82</v>
      </c>
      <c r="G1436" s="106" t="s">
        <v>212</v>
      </c>
      <c r="H1436" s="104" t="s">
        <v>171</v>
      </c>
      <c r="I1436" s="104" t="s">
        <v>104</v>
      </c>
      <c r="J1436" s="104" t="s">
        <v>105</v>
      </c>
      <c r="K1436" s="104" t="s">
        <v>143</v>
      </c>
      <c r="L1436" s="104" t="s">
        <v>408</v>
      </c>
      <c r="M1436" s="104" t="s">
        <v>114</v>
      </c>
      <c r="N1436" s="108" t="s">
        <v>17</v>
      </c>
      <c r="O1436" s="104" t="s">
        <v>17</v>
      </c>
      <c r="P1436" s="113">
        <v>3.0300000000000002</v>
      </c>
      <c r="Q1436" s="113">
        <v>3.0489999999999999</v>
      </c>
      <c r="R1436" s="104" t="s">
        <v>17</v>
      </c>
      <c r="S1436" s="253">
        <f t="shared" si="18"/>
        <v>402.88734182387986</v>
      </c>
      <c r="T1436" s="103" t="s">
        <v>1386</v>
      </c>
      <c r="U1436" s="108">
        <v>0.96399999999999997</v>
      </c>
      <c r="V1436" s="107">
        <v>30.5</v>
      </c>
      <c r="W1436" s="414" t="s">
        <v>1385</v>
      </c>
    </row>
    <row r="1437" spans="1:23" s="333" customFormat="1" ht="21" customHeight="1">
      <c r="A1437" s="104" t="s">
        <v>169</v>
      </c>
      <c r="B1437" s="104" t="s">
        <v>149</v>
      </c>
      <c r="C1437" s="454" t="s">
        <v>150</v>
      </c>
      <c r="D1437" s="105" t="s">
        <v>151</v>
      </c>
      <c r="E1437" s="104">
        <v>31108</v>
      </c>
      <c r="F1437" s="104">
        <v>82</v>
      </c>
      <c r="G1437" s="106" t="s">
        <v>212</v>
      </c>
      <c r="H1437" s="104" t="s">
        <v>171</v>
      </c>
      <c r="I1437" s="104" t="s">
        <v>104</v>
      </c>
      <c r="J1437" s="104" t="s">
        <v>105</v>
      </c>
      <c r="K1437" s="104" t="s">
        <v>158</v>
      </c>
      <c r="L1437" s="104" t="s">
        <v>686</v>
      </c>
      <c r="M1437" s="104" t="s">
        <v>108</v>
      </c>
      <c r="N1437" s="108" t="s">
        <v>17</v>
      </c>
      <c r="O1437" s="104" t="s">
        <v>17</v>
      </c>
      <c r="P1437" s="113">
        <v>3.0300000000000002</v>
      </c>
      <c r="Q1437" s="113">
        <v>2.9809999999999999</v>
      </c>
      <c r="R1437" s="104" t="s">
        <v>17</v>
      </c>
      <c r="S1437" s="253">
        <f t="shared" si="18"/>
        <v>402.88734182387986</v>
      </c>
      <c r="T1437" s="103" t="s">
        <v>1386</v>
      </c>
      <c r="U1437" s="108">
        <v>0.96399999999999997</v>
      </c>
      <c r="V1437" s="107">
        <v>30.5</v>
      </c>
      <c r="W1437" s="414" t="s">
        <v>1385</v>
      </c>
    </row>
    <row r="1438" spans="1:23" s="333" customFormat="1" ht="21" customHeight="1">
      <c r="A1438" s="104" t="s">
        <v>169</v>
      </c>
      <c r="B1438" s="104" t="s">
        <v>149</v>
      </c>
      <c r="C1438" s="454" t="s">
        <v>150</v>
      </c>
      <c r="D1438" s="105" t="s">
        <v>151</v>
      </c>
      <c r="E1438" s="104">
        <v>31108</v>
      </c>
      <c r="F1438" s="104">
        <v>82</v>
      </c>
      <c r="G1438" s="106" t="s">
        <v>212</v>
      </c>
      <c r="H1438" s="104" t="s">
        <v>171</v>
      </c>
      <c r="I1438" s="104" t="s">
        <v>104</v>
      </c>
      <c r="J1438" s="104" t="s">
        <v>105</v>
      </c>
      <c r="K1438" s="104" t="s">
        <v>143</v>
      </c>
      <c r="L1438" s="104" t="s">
        <v>408</v>
      </c>
      <c r="M1438" s="104" t="s">
        <v>114</v>
      </c>
      <c r="N1438" s="108" t="s">
        <v>17</v>
      </c>
      <c r="O1438" s="104" t="s">
        <v>17</v>
      </c>
      <c r="P1438" s="113">
        <v>3.0949999999999998</v>
      </c>
      <c r="Q1438" s="113">
        <v>3.1440000000000001</v>
      </c>
      <c r="R1438" s="104" t="s">
        <v>17</v>
      </c>
      <c r="S1438" s="253">
        <f t="shared" si="18"/>
        <v>428.4655359260932</v>
      </c>
      <c r="T1438" s="103" t="s">
        <v>1386</v>
      </c>
      <c r="U1438" s="108">
        <v>0.96399999999999997</v>
      </c>
      <c r="V1438" s="107">
        <v>30.5</v>
      </c>
      <c r="W1438" s="414" t="s">
        <v>1385</v>
      </c>
    </row>
    <row r="1439" spans="1:23" s="333" customFormat="1" ht="21" customHeight="1">
      <c r="A1439" s="104" t="s">
        <v>169</v>
      </c>
      <c r="B1439" s="104" t="s">
        <v>149</v>
      </c>
      <c r="C1439" s="454" t="s">
        <v>150</v>
      </c>
      <c r="D1439" s="105" t="s">
        <v>151</v>
      </c>
      <c r="E1439" s="104">
        <v>31108</v>
      </c>
      <c r="F1439" s="104">
        <v>82</v>
      </c>
      <c r="G1439" s="106" t="s">
        <v>212</v>
      </c>
      <c r="H1439" s="104" t="s">
        <v>171</v>
      </c>
      <c r="I1439" s="104" t="s">
        <v>104</v>
      </c>
      <c r="J1439" s="104" t="s">
        <v>105</v>
      </c>
      <c r="K1439" s="104" t="s">
        <v>155</v>
      </c>
      <c r="L1439" s="104" t="s">
        <v>658</v>
      </c>
      <c r="M1439" s="104" t="s">
        <v>114</v>
      </c>
      <c r="N1439" s="108" t="s">
        <v>17</v>
      </c>
      <c r="O1439" s="104" t="s">
        <v>17</v>
      </c>
      <c r="P1439" s="113">
        <v>3.2299999999999995</v>
      </c>
      <c r="Q1439" s="113">
        <v>3.5209999999999999</v>
      </c>
      <c r="R1439" s="104" t="s">
        <v>17</v>
      </c>
      <c r="S1439" s="253">
        <f t="shared" si="18"/>
        <v>484.93922577724663</v>
      </c>
      <c r="T1439" s="103" t="s">
        <v>1386</v>
      </c>
      <c r="U1439" s="108">
        <v>0.96399999999999997</v>
      </c>
      <c r="V1439" s="107">
        <v>30.5</v>
      </c>
      <c r="W1439" s="414" t="s">
        <v>1385</v>
      </c>
    </row>
    <row r="1440" spans="1:23" s="333" customFormat="1" ht="21" customHeight="1">
      <c r="A1440" s="104" t="s">
        <v>169</v>
      </c>
      <c r="B1440" s="104" t="s">
        <v>149</v>
      </c>
      <c r="C1440" s="454" t="s">
        <v>150</v>
      </c>
      <c r="D1440" s="105" t="s">
        <v>151</v>
      </c>
      <c r="E1440" s="104">
        <v>31108</v>
      </c>
      <c r="F1440" s="104">
        <v>82</v>
      </c>
      <c r="G1440" s="106" t="s">
        <v>212</v>
      </c>
      <c r="H1440" s="104" t="s">
        <v>171</v>
      </c>
      <c r="I1440" s="104" t="s">
        <v>104</v>
      </c>
      <c r="J1440" s="104" t="s">
        <v>105</v>
      </c>
      <c r="K1440" s="104" t="s">
        <v>155</v>
      </c>
      <c r="L1440" s="104" t="s">
        <v>658</v>
      </c>
      <c r="M1440" s="104" t="s">
        <v>114</v>
      </c>
      <c r="N1440" s="108" t="s">
        <v>17</v>
      </c>
      <c r="O1440" s="104" t="s">
        <v>17</v>
      </c>
      <c r="P1440" s="113">
        <v>3.3039999999999998</v>
      </c>
      <c r="Q1440" s="113">
        <v>3.0629999999999997</v>
      </c>
      <c r="R1440" s="104" t="s">
        <v>17</v>
      </c>
      <c r="S1440" s="253">
        <f t="shared" si="18"/>
        <v>517.86446572308159</v>
      </c>
      <c r="T1440" s="103" t="s">
        <v>1386</v>
      </c>
      <c r="U1440" s="108">
        <v>0.96399999999999997</v>
      </c>
      <c r="V1440" s="107">
        <v>30.5</v>
      </c>
      <c r="W1440" s="414" t="s">
        <v>1385</v>
      </c>
    </row>
    <row r="1441" spans="1:23" s="333" customFormat="1" ht="21" customHeight="1">
      <c r="A1441" s="104" t="s">
        <v>169</v>
      </c>
      <c r="B1441" s="104" t="s">
        <v>149</v>
      </c>
      <c r="C1441" s="454" t="s">
        <v>150</v>
      </c>
      <c r="D1441" s="105" t="s">
        <v>151</v>
      </c>
      <c r="E1441" s="104">
        <v>31108</v>
      </c>
      <c r="F1441" s="104">
        <v>82</v>
      </c>
      <c r="G1441" s="106" t="s">
        <v>212</v>
      </c>
      <c r="H1441" s="104" t="s">
        <v>171</v>
      </c>
      <c r="I1441" s="104" t="s">
        <v>104</v>
      </c>
      <c r="J1441" s="104" t="s">
        <v>105</v>
      </c>
      <c r="K1441" s="104" t="s">
        <v>155</v>
      </c>
      <c r="L1441" s="104" t="s">
        <v>658</v>
      </c>
      <c r="M1441" s="104" t="s">
        <v>108</v>
      </c>
      <c r="N1441" s="108" t="s">
        <v>17</v>
      </c>
      <c r="O1441" s="104" t="s">
        <v>17</v>
      </c>
      <c r="P1441" s="113">
        <v>3.4979999999999998</v>
      </c>
      <c r="Q1441" s="113">
        <v>3.4259999999999997</v>
      </c>
      <c r="R1441" s="104" t="s">
        <v>17</v>
      </c>
      <c r="S1441" s="253">
        <f t="shared" si="18"/>
        <v>611.05096587245544</v>
      </c>
      <c r="T1441" s="103" t="s">
        <v>1386</v>
      </c>
      <c r="U1441" s="108">
        <v>0.96399999999999997</v>
      </c>
      <c r="V1441" s="107">
        <v>30.5</v>
      </c>
      <c r="W1441" s="414" t="s">
        <v>1385</v>
      </c>
    </row>
    <row r="1442" spans="1:23" s="333" customFormat="1" ht="21" customHeight="1">
      <c r="A1442" s="104" t="s">
        <v>169</v>
      </c>
      <c r="B1442" s="104" t="s">
        <v>149</v>
      </c>
      <c r="C1442" s="454" t="s">
        <v>150</v>
      </c>
      <c r="D1442" s="105" t="s">
        <v>151</v>
      </c>
      <c r="E1442" s="104">
        <v>31108</v>
      </c>
      <c r="F1442" s="104">
        <v>115</v>
      </c>
      <c r="G1442" s="106" t="s">
        <v>212</v>
      </c>
      <c r="H1442" s="104" t="s">
        <v>171</v>
      </c>
      <c r="I1442" s="104" t="s">
        <v>104</v>
      </c>
      <c r="J1442" s="104" t="s">
        <v>105</v>
      </c>
      <c r="K1442" s="104" t="s">
        <v>112</v>
      </c>
      <c r="L1442" s="104" t="s">
        <v>663</v>
      </c>
      <c r="M1442" s="104" t="s">
        <v>114</v>
      </c>
      <c r="N1442" s="108" t="s">
        <v>17</v>
      </c>
      <c r="O1442" s="104" t="s">
        <v>17</v>
      </c>
      <c r="P1442" s="113">
        <v>3.044</v>
      </c>
      <c r="Q1442" s="113">
        <v>2.0819999999999999</v>
      </c>
      <c r="R1442" s="104" t="s">
        <v>17</v>
      </c>
      <c r="S1442" s="253">
        <f>(10^((3.187*LOG((P1442))+1.264)))</f>
        <v>637.87868975941308</v>
      </c>
      <c r="T1442" s="103" t="s">
        <v>1387</v>
      </c>
      <c r="U1442" s="108">
        <v>0.98499999999999999</v>
      </c>
      <c r="V1442" s="107">
        <v>16.5</v>
      </c>
      <c r="W1442" s="414" t="s">
        <v>1385</v>
      </c>
    </row>
    <row r="1443" spans="1:23" s="333" customFormat="1" ht="21" customHeight="1">
      <c r="A1443" s="104" t="s">
        <v>169</v>
      </c>
      <c r="B1443" s="104" t="s">
        <v>149</v>
      </c>
      <c r="C1443" s="454" t="s">
        <v>150</v>
      </c>
      <c r="D1443" s="105" t="s">
        <v>151</v>
      </c>
      <c r="E1443" s="104">
        <v>31108</v>
      </c>
      <c r="F1443" s="104">
        <v>30</v>
      </c>
      <c r="G1443" s="106" t="s">
        <v>212</v>
      </c>
      <c r="H1443" s="104" t="s">
        <v>171</v>
      </c>
      <c r="I1443" s="104" t="s">
        <v>104</v>
      </c>
      <c r="J1443" s="104" t="s">
        <v>105</v>
      </c>
      <c r="K1443" s="104" t="s">
        <v>112</v>
      </c>
      <c r="L1443" s="104" t="s">
        <v>663</v>
      </c>
      <c r="M1443" s="104" t="s">
        <v>114</v>
      </c>
      <c r="N1443" s="108" t="s">
        <v>17</v>
      </c>
      <c r="O1443" s="104" t="s">
        <v>17</v>
      </c>
      <c r="P1443" s="113">
        <v>3.0870000000000002</v>
      </c>
      <c r="Q1443" s="113">
        <v>1.839</v>
      </c>
      <c r="R1443" s="104" t="s">
        <v>17</v>
      </c>
      <c r="S1443" s="253">
        <f>(10^((3.187*LOG((P1443))+1.264)))</f>
        <v>667.042089428895</v>
      </c>
      <c r="T1443" s="103" t="s">
        <v>1387</v>
      </c>
      <c r="U1443" s="108">
        <v>0.98499999999999999</v>
      </c>
      <c r="V1443" s="107">
        <v>16.5</v>
      </c>
      <c r="W1443" s="414" t="s">
        <v>1385</v>
      </c>
    </row>
    <row r="1444" spans="1:23" s="333" customFormat="1" ht="21" customHeight="1">
      <c r="A1444" s="104" t="s">
        <v>169</v>
      </c>
      <c r="B1444" s="104" t="s">
        <v>149</v>
      </c>
      <c r="C1444" s="454" t="s">
        <v>150</v>
      </c>
      <c r="D1444" s="105" t="s">
        <v>151</v>
      </c>
      <c r="E1444" s="104">
        <v>31108</v>
      </c>
      <c r="F1444" s="104">
        <v>82</v>
      </c>
      <c r="G1444" s="106" t="s">
        <v>212</v>
      </c>
      <c r="H1444" s="104" t="s">
        <v>171</v>
      </c>
      <c r="I1444" s="104" t="s">
        <v>104</v>
      </c>
      <c r="J1444" s="104" t="s">
        <v>105</v>
      </c>
      <c r="K1444" s="104" t="s">
        <v>162</v>
      </c>
      <c r="L1444" s="104" t="s">
        <v>1053</v>
      </c>
      <c r="M1444" s="104" t="s">
        <v>114</v>
      </c>
      <c r="N1444" s="108" t="s">
        <v>17</v>
      </c>
      <c r="O1444" s="104" t="s">
        <v>17</v>
      </c>
      <c r="P1444" s="113">
        <v>3.2709999999999999</v>
      </c>
      <c r="Q1444" s="113">
        <v>3.508</v>
      </c>
      <c r="R1444" s="104" t="s">
        <v>17</v>
      </c>
      <c r="S1444" s="253">
        <f>(10^((2.965*LOG((P1444))+1.383)))</f>
        <v>811.01299553943045</v>
      </c>
      <c r="T1444" s="103" t="s">
        <v>1410</v>
      </c>
      <c r="U1444" s="108">
        <v>0.95699999999999996</v>
      </c>
      <c r="V1444" s="108">
        <v>37.6</v>
      </c>
      <c r="W1444" s="414" t="s">
        <v>1385</v>
      </c>
    </row>
    <row r="1445" spans="1:23" s="333" customFormat="1" ht="21" customHeight="1">
      <c r="A1445" s="104" t="s">
        <v>169</v>
      </c>
      <c r="B1445" s="104" t="s">
        <v>149</v>
      </c>
      <c r="C1445" s="454" t="s">
        <v>150</v>
      </c>
      <c r="D1445" s="105" t="s">
        <v>151</v>
      </c>
      <c r="E1445" s="104">
        <v>31108</v>
      </c>
      <c r="F1445" s="104">
        <v>82</v>
      </c>
      <c r="G1445" s="106" t="s">
        <v>212</v>
      </c>
      <c r="H1445" s="104" t="s">
        <v>171</v>
      </c>
      <c r="I1445" s="104" t="s">
        <v>104</v>
      </c>
      <c r="J1445" s="104" t="s">
        <v>105</v>
      </c>
      <c r="K1445" s="104" t="s">
        <v>162</v>
      </c>
      <c r="L1445" s="104" t="s">
        <v>1053</v>
      </c>
      <c r="M1445" s="104" t="s">
        <v>108</v>
      </c>
      <c r="N1445" s="108" t="s">
        <v>17</v>
      </c>
      <c r="O1445" s="104" t="s">
        <v>17</v>
      </c>
      <c r="P1445" s="113">
        <v>3.335</v>
      </c>
      <c r="Q1445" s="113">
        <v>3.3280000000000003</v>
      </c>
      <c r="R1445" s="104" t="s">
        <v>17</v>
      </c>
      <c r="S1445" s="253">
        <f>(10^((2.965*LOG((P1445))+1.383)))</f>
        <v>858.97230280879478</v>
      </c>
      <c r="T1445" s="103" t="s">
        <v>1410</v>
      </c>
      <c r="U1445" s="108">
        <v>0.95699999999999996</v>
      </c>
      <c r="V1445" s="108">
        <v>37.6</v>
      </c>
      <c r="W1445" s="414" t="s">
        <v>1385</v>
      </c>
    </row>
    <row r="1446" spans="1:23" s="333" customFormat="1" ht="21" customHeight="1">
      <c r="A1446" s="104" t="s">
        <v>169</v>
      </c>
      <c r="B1446" s="104" t="s">
        <v>149</v>
      </c>
      <c r="C1446" s="454" t="s">
        <v>150</v>
      </c>
      <c r="D1446" s="105" t="s">
        <v>151</v>
      </c>
      <c r="E1446" s="104">
        <v>31108</v>
      </c>
      <c r="F1446" s="104">
        <v>82</v>
      </c>
      <c r="G1446" s="106" t="s">
        <v>212</v>
      </c>
      <c r="H1446" s="104" t="s">
        <v>171</v>
      </c>
      <c r="I1446" s="104" t="s">
        <v>104</v>
      </c>
      <c r="J1446" s="104" t="s">
        <v>105</v>
      </c>
      <c r="K1446" s="104" t="s">
        <v>160</v>
      </c>
      <c r="L1446" s="104" t="s">
        <v>1059</v>
      </c>
      <c r="M1446" s="104" t="s">
        <v>114</v>
      </c>
      <c r="N1446" s="108" t="s">
        <v>17</v>
      </c>
      <c r="O1446" s="104" t="s">
        <v>17</v>
      </c>
      <c r="P1446" s="113">
        <v>3.6689999999999996</v>
      </c>
      <c r="Q1446" s="113"/>
      <c r="R1446" s="104" t="s">
        <v>17</v>
      </c>
      <c r="S1446" s="253">
        <f>( (10^((2.965*LOG((P1446))+1.383))) +  (10^((3.09*LOG((P1446))+1.29))))/2</f>
        <v>1111.2531532291775</v>
      </c>
      <c r="T1446" s="103" t="s">
        <v>1434</v>
      </c>
      <c r="U1446" s="108"/>
      <c r="V1446" s="107"/>
      <c r="W1446" s="414" t="s">
        <v>1385</v>
      </c>
    </row>
    <row r="1447" spans="1:23" s="333" customFormat="1" ht="21" customHeight="1">
      <c r="A1447" s="104" t="s">
        <v>169</v>
      </c>
      <c r="B1447" s="104" t="s">
        <v>149</v>
      </c>
      <c r="C1447" s="454" t="s">
        <v>150</v>
      </c>
      <c r="D1447" s="105" t="s">
        <v>151</v>
      </c>
      <c r="E1447" s="104">
        <v>31108</v>
      </c>
      <c r="F1447" s="104">
        <v>82</v>
      </c>
      <c r="G1447" s="106" t="s">
        <v>212</v>
      </c>
      <c r="H1447" s="104" t="s">
        <v>171</v>
      </c>
      <c r="I1447" s="104" t="s">
        <v>104</v>
      </c>
      <c r="J1447" s="104" t="s">
        <v>105</v>
      </c>
      <c r="K1447" s="104" t="s">
        <v>160</v>
      </c>
      <c r="L1447" s="104" t="s">
        <v>1059</v>
      </c>
      <c r="M1447" s="104" t="s">
        <v>108</v>
      </c>
      <c r="N1447" s="108" t="s">
        <v>17</v>
      </c>
      <c r="O1447" s="104" t="s">
        <v>17</v>
      </c>
      <c r="P1447" s="113">
        <v>3.7049999999999996</v>
      </c>
      <c r="Q1447" s="113">
        <v>3.1160000000000001</v>
      </c>
      <c r="R1447" s="104" t="s">
        <v>17</v>
      </c>
      <c r="S1447" s="253">
        <f>( (10^((2.965*LOG((P1447))+1.383))) +  (10^((3.09*LOG((P1447))+1.29))))/2</f>
        <v>1144.5752736822176</v>
      </c>
      <c r="T1447" s="103" t="s">
        <v>1434</v>
      </c>
      <c r="U1447" s="108"/>
      <c r="V1447" s="107"/>
      <c r="W1447" s="414" t="s">
        <v>1385</v>
      </c>
    </row>
    <row r="1448" spans="1:23" s="333" customFormat="1" ht="21" customHeight="1">
      <c r="A1448" s="104" t="s">
        <v>169</v>
      </c>
      <c r="B1448" s="104" t="s">
        <v>149</v>
      </c>
      <c r="C1448" s="454" t="s">
        <v>150</v>
      </c>
      <c r="D1448" s="105" t="s">
        <v>151</v>
      </c>
      <c r="E1448" s="104">
        <v>31108</v>
      </c>
      <c r="F1448" s="104">
        <v>82</v>
      </c>
      <c r="G1448" s="106" t="s">
        <v>212</v>
      </c>
      <c r="H1448" s="104" t="s">
        <v>171</v>
      </c>
      <c r="I1448" s="104" t="s">
        <v>104</v>
      </c>
      <c r="J1448" s="104" t="s">
        <v>105</v>
      </c>
      <c r="K1448" s="104" t="s">
        <v>1062</v>
      </c>
      <c r="L1448" s="104" t="s">
        <v>1063</v>
      </c>
      <c r="M1448" s="104" t="s">
        <v>108</v>
      </c>
      <c r="N1448" s="108" t="s">
        <v>17</v>
      </c>
      <c r="O1448" s="104" t="s">
        <v>17</v>
      </c>
      <c r="P1448" s="113">
        <v>4.0950000000000006</v>
      </c>
      <c r="Q1448" s="113">
        <v>2.1749999999999998</v>
      </c>
      <c r="R1448" s="104" t="s">
        <v>17</v>
      </c>
      <c r="S1448" s="253">
        <f>( (10^((2.965*LOG((P1448))+1.383))) +  (10^((3.09*LOG((P1448))+1.29))))/2</f>
        <v>1549.4471043720575</v>
      </c>
      <c r="T1448" s="103" t="s">
        <v>1412</v>
      </c>
      <c r="U1448" s="108"/>
      <c r="V1448" s="107"/>
      <c r="W1448" s="414" t="s">
        <v>1385</v>
      </c>
    </row>
    <row r="1449" spans="1:23" s="333" customFormat="1" ht="21" customHeight="1">
      <c r="A1449" s="104" t="s">
        <v>169</v>
      </c>
      <c r="B1449" s="104" t="s">
        <v>149</v>
      </c>
      <c r="C1449" s="454" t="s">
        <v>150</v>
      </c>
      <c r="D1449" s="105" t="s">
        <v>151</v>
      </c>
      <c r="E1449" s="104">
        <v>31112</v>
      </c>
      <c r="F1449" s="104">
        <v>4</v>
      </c>
      <c r="G1449" s="106" t="s">
        <v>212</v>
      </c>
      <c r="H1449" s="104" t="s">
        <v>171</v>
      </c>
      <c r="I1449" s="104" t="s">
        <v>104</v>
      </c>
      <c r="J1449" s="104" t="s">
        <v>105</v>
      </c>
      <c r="K1449" s="104" t="s">
        <v>112</v>
      </c>
      <c r="L1449" s="104" t="s">
        <v>663</v>
      </c>
      <c r="M1449" s="104" t="s">
        <v>114</v>
      </c>
      <c r="N1449" s="108" t="s">
        <v>17</v>
      </c>
      <c r="O1449" s="104" t="s">
        <v>17</v>
      </c>
      <c r="P1449" s="113">
        <v>2.2130000000000001</v>
      </c>
      <c r="Q1449" s="113">
        <v>1.4220000000000002</v>
      </c>
      <c r="R1449" s="104" t="s">
        <v>17</v>
      </c>
      <c r="S1449" s="253">
        <f>(10^((3.187*LOG((P1449))+1.264)))</f>
        <v>230.91692531567398</v>
      </c>
      <c r="T1449" s="103" t="s">
        <v>1387</v>
      </c>
      <c r="U1449" s="108">
        <v>0.98499999999999999</v>
      </c>
      <c r="V1449" s="107">
        <v>16.5</v>
      </c>
      <c r="W1449" s="414" t="s">
        <v>1385</v>
      </c>
    </row>
    <row r="1450" spans="1:23" s="333" customFormat="1" ht="21" customHeight="1">
      <c r="A1450" s="104" t="s">
        <v>169</v>
      </c>
      <c r="B1450" s="104" t="s">
        <v>149</v>
      </c>
      <c r="C1450" s="454" t="s">
        <v>150</v>
      </c>
      <c r="D1450" s="105" t="s">
        <v>151</v>
      </c>
      <c r="E1450" s="104">
        <v>31112</v>
      </c>
      <c r="F1450" s="104">
        <v>47</v>
      </c>
      <c r="G1450" s="106" t="s">
        <v>212</v>
      </c>
      <c r="H1450" s="104" t="s">
        <v>171</v>
      </c>
      <c r="I1450" s="104" t="s">
        <v>104</v>
      </c>
      <c r="J1450" s="104" t="s">
        <v>105</v>
      </c>
      <c r="K1450" s="104" t="s">
        <v>209</v>
      </c>
      <c r="L1450" s="104" t="s">
        <v>684</v>
      </c>
      <c r="M1450" s="104" t="s">
        <v>108</v>
      </c>
      <c r="N1450" s="108" t="s">
        <v>17</v>
      </c>
      <c r="O1450" s="104" t="s">
        <v>17</v>
      </c>
      <c r="P1450" s="113">
        <v>3.3380000000000001</v>
      </c>
      <c r="Q1450" s="113">
        <v>1.4710000000000001</v>
      </c>
      <c r="R1450" s="104" t="s">
        <v>17</v>
      </c>
      <c r="S1450" s="253">
        <f xml:space="preserve"> (10^((3.01*LOG((P1450))+1.216)))</f>
        <v>619.0045771303993</v>
      </c>
      <c r="T1450" s="103" t="s">
        <v>1405</v>
      </c>
      <c r="U1450" s="108">
        <v>0.98599999999999999</v>
      </c>
      <c r="V1450" s="107">
        <v>16.899999999999999</v>
      </c>
      <c r="W1450" s="414" t="s">
        <v>1388</v>
      </c>
    </row>
    <row r="1451" spans="1:23" s="333" customFormat="1" ht="21" customHeight="1">
      <c r="A1451" s="104" t="s">
        <v>592</v>
      </c>
      <c r="B1451" s="104" t="s">
        <v>597</v>
      </c>
      <c r="C1451" s="454" t="s">
        <v>1451</v>
      </c>
      <c r="D1451" s="105" t="s">
        <v>151</v>
      </c>
      <c r="E1451" s="104">
        <v>31108</v>
      </c>
      <c r="F1451" s="104">
        <v>72</v>
      </c>
      <c r="G1451" s="106" t="s">
        <v>212</v>
      </c>
      <c r="H1451" s="104" t="s">
        <v>171</v>
      </c>
      <c r="I1451" s="104" t="s">
        <v>104</v>
      </c>
      <c r="J1451" s="104" t="s">
        <v>105</v>
      </c>
      <c r="K1451" s="104" t="s">
        <v>112</v>
      </c>
      <c r="L1451" s="104" t="s">
        <v>663</v>
      </c>
      <c r="M1451" s="104" t="s">
        <v>108</v>
      </c>
      <c r="N1451" s="108" t="s">
        <v>17</v>
      </c>
      <c r="O1451" s="104" t="s">
        <v>17</v>
      </c>
      <c r="P1451" s="113">
        <v>3.1320000000000001</v>
      </c>
      <c r="Q1451" s="113">
        <v>2.1970000000000001</v>
      </c>
      <c r="R1451" s="104" t="s">
        <v>17</v>
      </c>
      <c r="S1451" s="253"/>
      <c r="T1451" s="104"/>
      <c r="U1451" s="108"/>
      <c r="V1451" s="107"/>
      <c r="W1451" s="114"/>
    </row>
    <row r="1452" spans="1:23" s="333" customFormat="1" ht="21" customHeight="1">
      <c r="A1452" s="104" t="s">
        <v>592</v>
      </c>
      <c r="B1452" s="104" t="s">
        <v>597</v>
      </c>
      <c r="C1452" s="454" t="s">
        <v>1451</v>
      </c>
      <c r="D1452" s="105" t="s">
        <v>151</v>
      </c>
      <c r="E1452" s="104">
        <v>31108</v>
      </c>
      <c r="F1452" s="104">
        <v>47</v>
      </c>
      <c r="G1452" s="106" t="s">
        <v>212</v>
      </c>
      <c r="H1452" s="104" t="s">
        <v>171</v>
      </c>
      <c r="I1452" s="104" t="s">
        <v>104</v>
      </c>
      <c r="J1452" s="104" t="s">
        <v>105</v>
      </c>
      <c r="K1452" s="104" t="s">
        <v>155</v>
      </c>
      <c r="L1452" s="104" t="s">
        <v>156</v>
      </c>
      <c r="M1452" s="104" t="s">
        <v>114</v>
      </c>
      <c r="N1452" s="108" t="s">
        <v>17</v>
      </c>
      <c r="O1452" s="104" t="s">
        <v>17</v>
      </c>
      <c r="P1452" s="113">
        <v>2.944</v>
      </c>
      <c r="Q1452" s="113">
        <v>1.639</v>
      </c>
      <c r="R1452" s="104" t="s">
        <v>17</v>
      </c>
      <c r="S1452" s="253"/>
      <c r="T1452" s="104"/>
      <c r="U1452" s="108"/>
      <c r="V1452" s="107"/>
      <c r="W1452" s="114"/>
    </row>
    <row r="1453" spans="1:23" ht="21" customHeight="1">
      <c r="A1453" s="104" t="s">
        <v>592</v>
      </c>
      <c r="B1453" s="104" t="s">
        <v>210</v>
      </c>
      <c r="C1453" s="454" t="s">
        <v>211</v>
      </c>
      <c r="D1453" s="105" t="s">
        <v>151</v>
      </c>
      <c r="E1453" s="104">
        <v>31137</v>
      </c>
      <c r="F1453" s="104">
        <v>5</v>
      </c>
      <c r="G1453" s="106" t="s">
        <v>212</v>
      </c>
      <c r="H1453" s="104" t="s">
        <v>171</v>
      </c>
      <c r="I1453" s="104" t="s">
        <v>104</v>
      </c>
      <c r="J1453" s="104" t="s">
        <v>105</v>
      </c>
      <c r="K1453" s="104" t="s">
        <v>121</v>
      </c>
      <c r="L1453" s="104" t="s">
        <v>1041</v>
      </c>
      <c r="M1453" s="104"/>
      <c r="N1453" s="108" t="s">
        <v>17</v>
      </c>
      <c r="O1453" s="104" t="s">
        <v>17</v>
      </c>
      <c r="P1453" s="113">
        <v>16.399999999999999</v>
      </c>
      <c r="Q1453" s="113" t="s">
        <v>17</v>
      </c>
      <c r="R1453" s="104" t="s">
        <v>17</v>
      </c>
      <c r="S1453" s="253">
        <f>(10^(((LOG(P1453))*2.6454)+0.2538))</f>
        <v>2934.5932591969377</v>
      </c>
      <c r="T1453" s="104" t="s">
        <v>1143</v>
      </c>
      <c r="U1453" s="108">
        <v>0.96</v>
      </c>
      <c r="V1453" s="107">
        <v>19</v>
      </c>
      <c r="W1453" s="106" t="s">
        <v>1144</v>
      </c>
    </row>
    <row r="1454" spans="1:23" ht="21" customHeight="1">
      <c r="A1454" s="103" t="s">
        <v>601</v>
      </c>
      <c r="B1454" s="103" t="s">
        <v>602</v>
      </c>
      <c r="C1454" s="421" t="s">
        <v>603</v>
      </c>
      <c r="D1454" s="105" t="s">
        <v>151</v>
      </c>
      <c r="E1454" s="103">
        <v>31107</v>
      </c>
      <c r="F1454" s="103">
        <v>36</v>
      </c>
      <c r="G1454" s="103" t="s">
        <v>212</v>
      </c>
      <c r="H1454" s="103" t="s">
        <v>171</v>
      </c>
      <c r="I1454" s="104" t="s">
        <v>104</v>
      </c>
      <c r="J1454" s="103" t="s">
        <v>105</v>
      </c>
      <c r="K1454" s="103" t="s">
        <v>986</v>
      </c>
      <c r="L1454" s="104" t="s">
        <v>987</v>
      </c>
      <c r="M1454" s="103"/>
      <c r="N1454" s="103"/>
      <c r="O1454" s="103">
        <v>51.8</v>
      </c>
      <c r="P1454" s="103"/>
      <c r="Q1454" s="103"/>
      <c r="R1454" s="103"/>
      <c r="S1454" s="476">
        <v>9806.6</v>
      </c>
      <c r="T1454" s="103" t="s">
        <v>1470</v>
      </c>
      <c r="U1454" s="103">
        <v>0.99</v>
      </c>
      <c r="V1454" s="103" t="s">
        <v>287</v>
      </c>
      <c r="W1454" s="414" t="s">
        <v>1471</v>
      </c>
    </row>
    <row r="1455" spans="1:23" ht="21" customHeight="1">
      <c r="A1455" s="103" t="s">
        <v>601</v>
      </c>
      <c r="B1455" s="103" t="s">
        <v>602</v>
      </c>
      <c r="C1455" s="421" t="s">
        <v>603</v>
      </c>
      <c r="D1455" s="105" t="s">
        <v>151</v>
      </c>
      <c r="E1455" s="103">
        <v>31107</v>
      </c>
      <c r="F1455" s="103">
        <v>12</v>
      </c>
      <c r="G1455" s="103" t="s">
        <v>212</v>
      </c>
      <c r="H1455" s="103" t="s">
        <v>171</v>
      </c>
      <c r="I1455" s="104" t="s">
        <v>104</v>
      </c>
      <c r="J1455" s="103" t="s">
        <v>105</v>
      </c>
      <c r="K1455" s="103" t="s">
        <v>174</v>
      </c>
      <c r="L1455" s="103" t="s">
        <v>175</v>
      </c>
      <c r="M1455" s="103" t="s">
        <v>108</v>
      </c>
      <c r="N1455" s="103"/>
      <c r="O1455" s="103"/>
      <c r="P1455" s="103">
        <v>19.2</v>
      </c>
      <c r="Q1455" s="103">
        <v>9.6999999999999993</v>
      </c>
      <c r="R1455" s="103"/>
      <c r="S1455" s="476"/>
      <c r="T1455" s="103"/>
      <c r="U1455" s="103"/>
      <c r="V1455" s="103"/>
      <c r="W1455" s="414"/>
    </row>
    <row r="1456" spans="1:23" ht="21" customHeight="1">
      <c r="A1456" s="103" t="s">
        <v>601</v>
      </c>
      <c r="B1456" s="103" t="s">
        <v>602</v>
      </c>
      <c r="C1456" s="421" t="s">
        <v>603</v>
      </c>
      <c r="D1456" s="105" t="s">
        <v>151</v>
      </c>
      <c r="E1456" s="103">
        <v>31107</v>
      </c>
      <c r="F1456" s="103">
        <v>29</v>
      </c>
      <c r="G1456" s="103" t="s">
        <v>212</v>
      </c>
      <c r="H1456" s="103" t="s">
        <v>171</v>
      </c>
      <c r="I1456" s="104" t="s">
        <v>104</v>
      </c>
      <c r="J1456" s="103" t="s">
        <v>105</v>
      </c>
      <c r="K1456" s="103" t="s">
        <v>172</v>
      </c>
      <c r="L1456" s="103" t="s">
        <v>173</v>
      </c>
      <c r="M1456" s="103" t="s">
        <v>114</v>
      </c>
      <c r="N1456" s="103"/>
      <c r="O1456" s="103"/>
      <c r="P1456" s="103">
        <v>19</v>
      </c>
      <c r="Q1456" s="103">
        <v>9.4</v>
      </c>
      <c r="R1456" s="103"/>
      <c r="S1456" s="476"/>
      <c r="T1456" s="103"/>
      <c r="U1456" s="103"/>
      <c r="V1456" s="103"/>
      <c r="W1456" s="414"/>
    </row>
    <row r="1457" spans="1:23" s="333" customFormat="1" ht="21" customHeight="1">
      <c r="A1457" s="103" t="s">
        <v>601</v>
      </c>
      <c r="B1457" s="103" t="s">
        <v>602</v>
      </c>
      <c r="C1457" s="421" t="s">
        <v>603</v>
      </c>
      <c r="D1457" s="105" t="s">
        <v>151</v>
      </c>
      <c r="E1457" s="103">
        <v>31108</v>
      </c>
      <c r="F1457" s="103">
        <v>94</v>
      </c>
      <c r="G1457" s="103" t="s">
        <v>212</v>
      </c>
      <c r="H1457" s="103" t="s">
        <v>171</v>
      </c>
      <c r="I1457" s="104" t="s">
        <v>104</v>
      </c>
      <c r="J1457" s="103" t="s">
        <v>105</v>
      </c>
      <c r="K1457" s="103" t="s">
        <v>112</v>
      </c>
      <c r="L1457" s="103" t="s">
        <v>173</v>
      </c>
      <c r="M1457" s="103" t="s">
        <v>108</v>
      </c>
      <c r="N1457" s="103"/>
      <c r="O1457" s="103"/>
      <c r="P1457" s="103">
        <v>26.5</v>
      </c>
      <c r="Q1457" s="103">
        <v>9.4</v>
      </c>
      <c r="R1457" s="103"/>
      <c r="S1457" s="476"/>
      <c r="T1457" s="103"/>
      <c r="U1457" s="103"/>
      <c r="V1457" s="103"/>
      <c r="W1457" s="414"/>
    </row>
    <row r="1458" spans="1:23" ht="21" customHeight="1">
      <c r="A1458" s="103" t="s">
        <v>601</v>
      </c>
      <c r="B1458" s="103" t="s">
        <v>602</v>
      </c>
      <c r="C1458" s="421" t="s">
        <v>603</v>
      </c>
      <c r="D1458" s="105" t="s">
        <v>151</v>
      </c>
      <c r="E1458" s="103">
        <v>31108</v>
      </c>
      <c r="F1458" s="103">
        <v>83</v>
      </c>
      <c r="G1458" s="103" t="s">
        <v>212</v>
      </c>
      <c r="H1458" s="103" t="s">
        <v>171</v>
      </c>
      <c r="I1458" s="104" t="s">
        <v>104</v>
      </c>
      <c r="J1458" s="103" t="s">
        <v>105</v>
      </c>
      <c r="K1458" s="103" t="s">
        <v>810</v>
      </c>
      <c r="L1458" s="103" t="s">
        <v>186</v>
      </c>
      <c r="M1458" s="103"/>
      <c r="N1458" s="103"/>
      <c r="O1458" s="103"/>
      <c r="P1458" s="103">
        <v>24.2</v>
      </c>
      <c r="Q1458" s="103">
        <v>9.5</v>
      </c>
      <c r="R1458" s="103"/>
      <c r="S1458" s="476"/>
      <c r="T1458" s="103"/>
      <c r="U1458" s="103"/>
      <c r="V1458" s="103"/>
      <c r="W1458" s="414"/>
    </row>
    <row r="1459" spans="1:23" ht="21" customHeight="1">
      <c r="A1459" s="103" t="s">
        <v>601</v>
      </c>
      <c r="B1459" s="103" t="s">
        <v>602</v>
      </c>
      <c r="C1459" s="421" t="s">
        <v>603</v>
      </c>
      <c r="D1459" s="105" t="s">
        <v>151</v>
      </c>
      <c r="E1459" s="103">
        <v>31135</v>
      </c>
      <c r="F1459" s="103">
        <v>41</v>
      </c>
      <c r="G1459" s="103" t="s">
        <v>212</v>
      </c>
      <c r="H1459" s="103" t="s">
        <v>171</v>
      </c>
      <c r="I1459" s="104" t="s">
        <v>104</v>
      </c>
      <c r="J1459" s="103" t="s">
        <v>105</v>
      </c>
      <c r="K1459" s="103" t="s">
        <v>185</v>
      </c>
      <c r="L1459" s="103" t="s">
        <v>186</v>
      </c>
      <c r="M1459" s="103"/>
      <c r="N1459" s="103"/>
      <c r="O1459" s="103"/>
      <c r="P1459" s="103">
        <v>19.05</v>
      </c>
      <c r="Q1459" s="103">
        <v>9.14</v>
      </c>
      <c r="R1459" s="103"/>
      <c r="S1459" s="476"/>
      <c r="T1459" s="103"/>
      <c r="U1459" s="103"/>
      <c r="V1459" s="103"/>
      <c r="W1459" s="414"/>
    </row>
    <row r="1460" spans="1:23" ht="21" customHeight="1">
      <c r="A1460" s="103" t="s">
        <v>601</v>
      </c>
      <c r="B1460" s="103" t="s">
        <v>602</v>
      </c>
      <c r="C1460" s="421" t="s">
        <v>603</v>
      </c>
      <c r="D1460" s="105" t="s">
        <v>151</v>
      </c>
      <c r="E1460" s="103">
        <v>31135</v>
      </c>
      <c r="F1460" s="103">
        <v>47</v>
      </c>
      <c r="G1460" s="103" t="s">
        <v>212</v>
      </c>
      <c r="H1460" s="103" t="s">
        <v>171</v>
      </c>
      <c r="I1460" s="104" t="s">
        <v>104</v>
      </c>
      <c r="J1460" s="103" t="s">
        <v>105</v>
      </c>
      <c r="K1460" s="103" t="s">
        <v>185</v>
      </c>
      <c r="L1460" s="103" t="s">
        <v>186</v>
      </c>
      <c r="M1460" s="103"/>
      <c r="N1460" s="103"/>
      <c r="O1460" s="103"/>
      <c r="P1460" s="103">
        <v>16.760000000000002</v>
      </c>
      <c r="Q1460" s="103">
        <v>8.4600000000000009</v>
      </c>
      <c r="R1460" s="103"/>
      <c r="S1460" s="476"/>
      <c r="T1460" s="103"/>
      <c r="U1460" s="103"/>
      <c r="V1460" s="103"/>
      <c r="W1460" s="414"/>
    </row>
    <row r="1461" spans="1:23" ht="21" customHeight="1">
      <c r="A1461" s="104" t="s">
        <v>273</v>
      </c>
      <c r="B1461" s="104" t="s">
        <v>74</v>
      </c>
      <c r="C1461" s="454" t="s">
        <v>266</v>
      </c>
      <c r="D1461" s="105" t="s">
        <v>267</v>
      </c>
      <c r="E1461" s="104">
        <v>31137</v>
      </c>
      <c r="F1461" s="104">
        <v>2</v>
      </c>
      <c r="G1461" s="106" t="s">
        <v>1216</v>
      </c>
      <c r="H1461" s="104" t="s">
        <v>171</v>
      </c>
      <c r="I1461" s="104" t="s">
        <v>104</v>
      </c>
      <c r="J1461" s="104" t="s">
        <v>1217</v>
      </c>
      <c r="K1461" s="104" t="s">
        <v>691</v>
      </c>
      <c r="L1461" s="104" t="s">
        <v>692</v>
      </c>
      <c r="M1461" s="104" t="s">
        <v>114</v>
      </c>
      <c r="N1461" s="108"/>
      <c r="O1461" s="104"/>
      <c r="P1461" s="108">
        <v>17.8</v>
      </c>
      <c r="Q1461" s="108"/>
      <c r="R1461" s="104"/>
      <c r="S1461" s="253">
        <v>12.34750494269881</v>
      </c>
      <c r="T1461" s="104" t="s">
        <v>1218</v>
      </c>
      <c r="U1461" s="108">
        <v>0.98</v>
      </c>
      <c r="V1461" s="107">
        <v>11</v>
      </c>
      <c r="W1461" s="114" t="s">
        <v>284</v>
      </c>
    </row>
    <row r="1462" spans="1:23" ht="21" customHeight="1">
      <c r="A1462" s="104" t="s">
        <v>218</v>
      </c>
      <c r="B1462" s="104" t="s">
        <v>389</v>
      </c>
      <c r="C1462" s="454" t="s">
        <v>390</v>
      </c>
      <c r="D1462" s="105" t="s">
        <v>151</v>
      </c>
      <c r="E1462" s="104">
        <v>1222</v>
      </c>
      <c r="F1462" s="104">
        <v>1</v>
      </c>
      <c r="G1462" s="106" t="s">
        <v>877</v>
      </c>
      <c r="H1462" s="104" t="s">
        <v>878</v>
      </c>
      <c r="I1462" s="104" t="s">
        <v>104</v>
      </c>
      <c r="J1462" s="104" t="s">
        <v>105</v>
      </c>
      <c r="K1462" s="104" t="s">
        <v>126</v>
      </c>
      <c r="L1462" s="104" t="s">
        <v>636</v>
      </c>
      <c r="M1462" s="104" t="s">
        <v>114</v>
      </c>
      <c r="N1462" s="108"/>
      <c r="O1462" s="104"/>
      <c r="P1462" s="108">
        <v>4.2359999999999998</v>
      </c>
      <c r="Q1462" s="108">
        <v>1.85</v>
      </c>
      <c r="R1462" s="104" t="s">
        <v>17</v>
      </c>
      <c r="S1462" s="113">
        <f>10^(((LOG(P1462))*3.236)+0.745)</f>
        <v>594.05883450414137</v>
      </c>
      <c r="T1462" s="104" t="s">
        <v>717</v>
      </c>
      <c r="U1462" s="108">
        <v>0.92900000000000005</v>
      </c>
      <c r="V1462" s="107">
        <v>33.299999999999997</v>
      </c>
      <c r="W1462" s="106" t="s">
        <v>700</v>
      </c>
    </row>
    <row r="1463" spans="1:23" ht="21" customHeight="1">
      <c r="A1463" s="104" t="s">
        <v>273</v>
      </c>
      <c r="B1463" s="104" t="s">
        <v>534</v>
      </c>
      <c r="C1463" s="454" t="s">
        <v>539</v>
      </c>
      <c r="D1463" s="105" t="s">
        <v>540</v>
      </c>
      <c r="E1463" s="104" t="s">
        <v>185</v>
      </c>
      <c r="F1463" s="104">
        <v>4893</v>
      </c>
      <c r="G1463" s="106" t="s">
        <v>1297</v>
      </c>
      <c r="H1463" s="104"/>
      <c r="I1463" s="104" t="s">
        <v>289</v>
      </c>
      <c r="J1463" s="104" t="s">
        <v>105</v>
      </c>
      <c r="K1463" s="104" t="s">
        <v>290</v>
      </c>
      <c r="L1463" s="104" t="s">
        <v>973</v>
      </c>
      <c r="M1463" s="104" t="s">
        <v>292</v>
      </c>
      <c r="N1463" s="108" t="s">
        <v>17</v>
      </c>
      <c r="O1463" s="104" t="s">
        <v>17</v>
      </c>
      <c r="P1463" s="113">
        <v>6.5019999999999998</v>
      </c>
      <c r="Q1463" s="113" t="s">
        <v>17</v>
      </c>
      <c r="R1463" s="104" t="s">
        <v>17</v>
      </c>
      <c r="S1463" s="253">
        <f>(10^((3.39*LOG(P1463*10))+-6.03))</f>
        <v>1.3068604408061388</v>
      </c>
      <c r="T1463" s="103" t="s">
        <v>1295</v>
      </c>
      <c r="U1463" s="108">
        <v>0.9</v>
      </c>
      <c r="V1463" s="107">
        <v>40</v>
      </c>
      <c r="W1463" s="114" t="s">
        <v>1296</v>
      </c>
    </row>
    <row r="1464" spans="1:23" ht="21" customHeight="1">
      <c r="A1464" s="104" t="s">
        <v>273</v>
      </c>
      <c r="B1464" s="104" t="s">
        <v>534</v>
      </c>
      <c r="C1464" s="454" t="s">
        <v>539</v>
      </c>
      <c r="D1464" s="105" t="s">
        <v>540</v>
      </c>
      <c r="E1464" s="104" t="s">
        <v>185</v>
      </c>
      <c r="F1464" s="104">
        <v>4895</v>
      </c>
      <c r="G1464" s="106" t="s">
        <v>1297</v>
      </c>
      <c r="H1464" s="104"/>
      <c r="I1464" s="104" t="s">
        <v>289</v>
      </c>
      <c r="J1464" s="104" t="s">
        <v>105</v>
      </c>
      <c r="K1464" s="104" t="s">
        <v>112</v>
      </c>
      <c r="L1464" s="104" t="s">
        <v>663</v>
      </c>
      <c r="M1464" s="104" t="s">
        <v>108</v>
      </c>
      <c r="N1464" s="108" t="s">
        <v>17</v>
      </c>
      <c r="O1464" s="104" t="s">
        <v>17</v>
      </c>
      <c r="P1464" s="113">
        <v>0.874</v>
      </c>
      <c r="Q1464" s="113" t="s">
        <v>17</v>
      </c>
      <c r="R1464" s="104" t="s">
        <v>17</v>
      </c>
      <c r="S1464" s="253">
        <f>(10^((3.9287*LOG(P1464*10))+-0.5516))/1000</f>
        <v>1.4038346750668642</v>
      </c>
      <c r="T1464" s="104" t="s">
        <v>1292</v>
      </c>
      <c r="U1464" s="108">
        <v>0.81</v>
      </c>
      <c r="V1464" s="107"/>
      <c r="W1464" s="114" t="s">
        <v>1293</v>
      </c>
    </row>
    <row r="1465" spans="1:23" ht="21" customHeight="1">
      <c r="A1465" s="104" t="s">
        <v>273</v>
      </c>
      <c r="B1465" s="104" t="s">
        <v>534</v>
      </c>
      <c r="C1465" s="454" t="s">
        <v>539</v>
      </c>
      <c r="D1465" s="105" t="s">
        <v>540</v>
      </c>
      <c r="E1465" s="104" t="s">
        <v>185</v>
      </c>
      <c r="F1465" s="104">
        <v>4895</v>
      </c>
      <c r="G1465" s="106" t="s">
        <v>1297</v>
      </c>
      <c r="H1465" s="104"/>
      <c r="I1465" s="104" t="s">
        <v>289</v>
      </c>
      <c r="J1465" s="104" t="s">
        <v>105</v>
      </c>
      <c r="K1465" s="104" t="s">
        <v>290</v>
      </c>
      <c r="L1465" s="104" t="s">
        <v>973</v>
      </c>
      <c r="M1465" s="104" t="s">
        <v>292</v>
      </c>
      <c r="N1465" s="108" t="s">
        <v>17</v>
      </c>
      <c r="O1465" s="104" t="s">
        <v>17</v>
      </c>
      <c r="P1465" s="113">
        <v>6.6849999999999996</v>
      </c>
      <c r="Q1465" s="113" t="s">
        <v>17</v>
      </c>
      <c r="R1465" s="104" t="s">
        <v>17</v>
      </c>
      <c r="S1465" s="253">
        <f>(10^((3.39*LOG(P1465*10))+-6.03))</f>
        <v>1.4357994588660579</v>
      </c>
      <c r="T1465" s="103" t="s">
        <v>1295</v>
      </c>
      <c r="U1465" s="108">
        <v>0.9</v>
      </c>
      <c r="V1465" s="107">
        <v>40</v>
      </c>
      <c r="W1465" s="114" t="s">
        <v>1296</v>
      </c>
    </row>
    <row r="1466" spans="1:23" ht="21" customHeight="1">
      <c r="A1466" s="104" t="s">
        <v>273</v>
      </c>
      <c r="B1466" s="104" t="s">
        <v>534</v>
      </c>
      <c r="C1466" s="454" t="s">
        <v>539</v>
      </c>
      <c r="D1466" s="105" t="s">
        <v>540</v>
      </c>
      <c r="E1466" s="104" t="s">
        <v>185</v>
      </c>
      <c r="F1466" s="104">
        <v>4894</v>
      </c>
      <c r="G1466" s="106" t="s">
        <v>1297</v>
      </c>
      <c r="H1466" s="104"/>
      <c r="I1466" s="104" t="s">
        <v>289</v>
      </c>
      <c r="J1466" s="104" t="s">
        <v>105</v>
      </c>
      <c r="K1466" s="104" t="s">
        <v>112</v>
      </c>
      <c r="L1466" s="104" t="s">
        <v>663</v>
      </c>
      <c r="M1466" s="104" t="s">
        <v>108</v>
      </c>
      <c r="N1466" s="108" t="s">
        <v>17</v>
      </c>
      <c r="O1466" s="104" t="s">
        <v>17</v>
      </c>
      <c r="P1466" s="113">
        <v>0.91400000000000003</v>
      </c>
      <c r="Q1466" s="113" t="s">
        <v>17</v>
      </c>
      <c r="R1466" s="104" t="s">
        <v>17</v>
      </c>
      <c r="S1466" s="253">
        <f>(10^((3.9287*LOG(P1466*10))+-0.5516))/1000</f>
        <v>1.6736680252132365</v>
      </c>
      <c r="T1466" s="104" t="s">
        <v>1292</v>
      </c>
      <c r="U1466" s="108">
        <v>0.81</v>
      </c>
      <c r="V1466" s="107"/>
      <c r="W1466" s="114" t="s">
        <v>1293</v>
      </c>
    </row>
    <row r="1467" spans="1:23" ht="21" customHeight="1">
      <c r="A1467" s="104" t="s">
        <v>273</v>
      </c>
      <c r="B1467" s="104" t="s">
        <v>534</v>
      </c>
      <c r="C1467" s="454" t="s">
        <v>539</v>
      </c>
      <c r="D1467" s="105" t="s">
        <v>540</v>
      </c>
      <c r="E1467" s="104" t="s">
        <v>185</v>
      </c>
      <c r="F1467" s="104">
        <v>4894</v>
      </c>
      <c r="G1467" s="106" t="s">
        <v>1297</v>
      </c>
      <c r="H1467" s="104"/>
      <c r="I1467" s="104" t="s">
        <v>289</v>
      </c>
      <c r="J1467" s="104" t="s">
        <v>105</v>
      </c>
      <c r="K1467" s="104" t="s">
        <v>290</v>
      </c>
      <c r="L1467" s="104" t="s">
        <v>973</v>
      </c>
      <c r="M1467" s="104" t="s">
        <v>292</v>
      </c>
      <c r="N1467" s="108" t="s">
        <v>17</v>
      </c>
      <c r="O1467" s="104" t="s">
        <v>17</v>
      </c>
      <c r="P1467" s="113">
        <v>7.1420000000000003</v>
      </c>
      <c r="Q1467" s="113" t="s">
        <v>17</v>
      </c>
      <c r="R1467" s="104" t="s">
        <v>17</v>
      </c>
      <c r="S1467" s="253">
        <f>(10^((3.39*LOG(P1467*10))+-6.03))</f>
        <v>1.7965912386799452</v>
      </c>
      <c r="T1467" s="103" t="s">
        <v>1295</v>
      </c>
      <c r="U1467" s="108">
        <v>0.9</v>
      </c>
      <c r="V1467" s="107">
        <v>40</v>
      </c>
      <c r="W1467" s="114" t="s">
        <v>1296</v>
      </c>
    </row>
    <row r="1468" spans="1:23" ht="21" customHeight="1">
      <c r="A1468" s="104" t="s">
        <v>273</v>
      </c>
      <c r="B1468" s="104" t="s">
        <v>534</v>
      </c>
      <c r="C1468" s="454" t="s">
        <v>539</v>
      </c>
      <c r="D1468" s="105" t="s">
        <v>540</v>
      </c>
      <c r="E1468" s="104" t="s">
        <v>185</v>
      </c>
      <c r="F1468" s="104">
        <v>4893</v>
      </c>
      <c r="G1468" s="106" t="s">
        <v>1297</v>
      </c>
      <c r="H1468" s="104"/>
      <c r="I1468" s="104" t="s">
        <v>289</v>
      </c>
      <c r="J1468" s="104" t="s">
        <v>105</v>
      </c>
      <c r="K1468" s="104" t="s">
        <v>112</v>
      </c>
      <c r="L1468" s="104" t="s">
        <v>663</v>
      </c>
      <c r="M1468" s="104" t="s">
        <v>108</v>
      </c>
      <c r="N1468" s="108" t="s">
        <v>17</v>
      </c>
      <c r="O1468" s="104" t="s">
        <v>17</v>
      </c>
      <c r="P1468" s="113">
        <v>0.95</v>
      </c>
      <c r="Q1468" s="113" t="s">
        <v>17</v>
      </c>
      <c r="R1468" s="104" t="s">
        <v>17</v>
      </c>
      <c r="S1468" s="253">
        <f>(10^((3.9287*LOG(P1468*10))+-0.5516))/1000</f>
        <v>1.9479720808550149</v>
      </c>
      <c r="T1468" s="104" t="s">
        <v>1292</v>
      </c>
      <c r="U1468" s="108">
        <v>0.81</v>
      </c>
      <c r="V1468" s="107"/>
      <c r="W1468" s="114" t="s">
        <v>1293</v>
      </c>
    </row>
    <row r="1469" spans="1:23" ht="21" customHeight="1">
      <c r="A1469" s="104" t="s">
        <v>273</v>
      </c>
      <c r="B1469" s="104" t="s">
        <v>534</v>
      </c>
      <c r="C1469" s="454" t="s">
        <v>539</v>
      </c>
      <c r="D1469" s="105" t="s">
        <v>540</v>
      </c>
      <c r="E1469" s="104" t="s">
        <v>185</v>
      </c>
      <c r="F1469" s="104">
        <v>7440</v>
      </c>
      <c r="G1469" s="106" t="s">
        <v>1297</v>
      </c>
      <c r="H1469" s="104"/>
      <c r="I1469" s="104" t="s">
        <v>289</v>
      </c>
      <c r="J1469" s="104" t="s">
        <v>105</v>
      </c>
      <c r="K1469" s="104" t="s">
        <v>112</v>
      </c>
      <c r="L1469" s="104" t="s">
        <v>663</v>
      </c>
      <c r="M1469" s="104" t="s">
        <v>108</v>
      </c>
      <c r="N1469" s="108" t="s">
        <v>17</v>
      </c>
      <c r="O1469" s="104" t="s">
        <v>17</v>
      </c>
      <c r="P1469" s="113">
        <v>0.96899999999999997</v>
      </c>
      <c r="Q1469" s="113" t="s">
        <v>17</v>
      </c>
      <c r="R1469" s="104" t="s">
        <v>17</v>
      </c>
      <c r="S1469" s="253">
        <f>(10^((3.9287*LOG(P1469*10))+-0.5516))/1000</f>
        <v>2.1055726118331668</v>
      </c>
      <c r="T1469" s="104" t="s">
        <v>1292</v>
      </c>
      <c r="U1469" s="108">
        <v>0.81</v>
      </c>
      <c r="V1469" s="107"/>
      <c r="W1469" s="114" t="s">
        <v>1293</v>
      </c>
    </row>
    <row r="1470" spans="1:23" ht="21" customHeight="1">
      <c r="A1470" s="104" t="s">
        <v>218</v>
      </c>
      <c r="B1470" s="104" t="s">
        <v>202</v>
      </c>
      <c r="C1470" s="454" t="s">
        <v>203</v>
      </c>
      <c r="D1470" s="105" t="s">
        <v>204</v>
      </c>
      <c r="E1470" s="104">
        <v>3</v>
      </c>
      <c r="F1470" s="104">
        <v>-999</v>
      </c>
      <c r="G1470" s="106" t="s">
        <v>983</v>
      </c>
      <c r="H1470" s="104" t="s">
        <v>642</v>
      </c>
      <c r="I1470" s="104" t="s">
        <v>104</v>
      </c>
      <c r="J1470" s="104" t="s">
        <v>105</v>
      </c>
      <c r="K1470" s="104" t="s">
        <v>185</v>
      </c>
      <c r="L1470" s="104" t="s">
        <v>984</v>
      </c>
      <c r="M1470" s="104"/>
      <c r="N1470" s="108" t="s">
        <v>17</v>
      </c>
      <c r="O1470" s="104" t="s">
        <v>17</v>
      </c>
      <c r="P1470" s="113">
        <v>4.327</v>
      </c>
      <c r="Q1470" s="113">
        <v>1.3260000000000001</v>
      </c>
      <c r="R1470" s="104" t="s">
        <v>17</v>
      </c>
      <c r="S1470" s="253">
        <f>(((10^(3.15*LOG((P1470*10))+0.94))+(10^(3.12*LOG((P1470*10))+0.94))+(10^(3.21*LOG((P1470*10))+0.92))+(10^(3.19*LOG((P1470*10))+0.51)))/4)/1000</f>
        <v>1093.3413698274776</v>
      </c>
      <c r="T1470" s="104" t="s">
        <v>985</v>
      </c>
      <c r="U1470" s="108">
        <v>0.88</v>
      </c>
      <c r="V1470" s="107">
        <v>42.47</v>
      </c>
      <c r="W1470" s="106" t="s">
        <v>980</v>
      </c>
    </row>
    <row r="1471" spans="1:23" ht="21" customHeight="1">
      <c r="A1471" s="104" t="s">
        <v>218</v>
      </c>
      <c r="B1471" s="104" t="s">
        <v>202</v>
      </c>
      <c r="C1471" s="454" t="s">
        <v>203</v>
      </c>
      <c r="D1471" s="105" t="s">
        <v>204</v>
      </c>
      <c r="E1471" s="104">
        <v>3</v>
      </c>
      <c r="F1471" s="104">
        <v>2225</v>
      </c>
      <c r="G1471" s="106" t="s">
        <v>983</v>
      </c>
      <c r="H1471" s="104" t="s">
        <v>642</v>
      </c>
      <c r="I1471" s="104" t="s">
        <v>104</v>
      </c>
      <c r="J1471" s="104" t="s">
        <v>105</v>
      </c>
      <c r="K1471" s="104" t="s">
        <v>126</v>
      </c>
      <c r="L1471" s="104" t="s">
        <v>636</v>
      </c>
      <c r="M1471" s="104" t="s">
        <v>114</v>
      </c>
      <c r="N1471" s="108" t="s">
        <v>17</v>
      </c>
      <c r="O1471" s="104" t="s">
        <v>17</v>
      </c>
      <c r="P1471" s="113">
        <v>5.7729999999999997</v>
      </c>
      <c r="Q1471" s="113">
        <v>1.9339999999999999</v>
      </c>
      <c r="R1471" s="104" t="s">
        <v>17</v>
      </c>
      <c r="S1471" s="253">
        <f>(10^((3.19*LOG((P1471*10))+0.51)))/1000</f>
        <v>1345.4605500073708</v>
      </c>
      <c r="T1471" s="104" t="s">
        <v>979</v>
      </c>
      <c r="U1471" s="108">
        <v>0.9</v>
      </c>
      <c r="V1471" s="107">
        <v>39.4</v>
      </c>
      <c r="W1471" s="106" t="s">
        <v>980</v>
      </c>
    </row>
    <row r="1472" spans="1:23" ht="21" customHeight="1">
      <c r="A1472" s="104" t="s">
        <v>218</v>
      </c>
      <c r="B1472" s="104" t="s">
        <v>221</v>
      </c>
      <c r="C1472" s="454" t="s">
        <v>222</v>
      </c>
      <c r="D1472" s="105" t="s">
        <v>151</v>
      </c>
      <c r="E1472" s="104">
        <v>3</v>
      </c>
      <c r="F1472" s="104">
        <v>-999</v>
      </c>
      <c r="G1472" s="106" t="s">
        <v>983</v>
      </c>
      <c r="H1472" s="104" t="s">
        <v>642</v>
      </c>
      <c r="I1472" s="104" t="s">
        <v>104</v>
      </c>
      <c r="J1472" s="104" t="s">
        <v>105</v>
      </c>
      <c r="K1472" s="104" t="s">
        <v>112</v>
      </c>
      <c r="L1472" s="104" t="s">
        <v>663</v>
      </c>
      <c r="M1472" s="104"/>
      <c r="N1472" s="108" t="s">
        <v>17</v>
      </c>
      <c r="O1472" s="104" t="s">
        <v>17</v>
      </c>
      <c r="P1472" s="108">
        <v>1.409</v>
      </c>
      <c r="Q1472" s="108">
        <v>1.1339999999999999</v>
      </c>
      <c r="R1472" s="104" t="s">
        <v>17</v>
      </c>
      <c r="S1472" s="253">
        <f>(10^((3.334*LOG((P1472))+1.27)))</f>
        <v>58.40758518157287</v>
      </c>
      <c r="T1472" s="104" t="s">
        <v>1027</v>
      </c>
      <c r="U1472" s="108">
        <v>0.93</v>
      </c>
      <c r="V1472" s="107">
        <v>23.9</v>
      </c>
      <c r="W1472" s="106" t="s">
        <v>1028</v>
      </c>
    </row>
    <row r="1473" spans="1:23" ht="21" customHeight="1">
      <c r="A1473" s="104" t="s">
        <v>218</v>
      </c>
      <c r="B1473" s="104" t="s">
        <v>221</v>
      </c>
      <c r="C1473" s="454" t="s">
        <v>222</v>
      </c>
      <c r="D1473" s="105" t="s">
        <v>151</v>
      </c>
      <c r="E1473" s="104">
        <v>40538</v>
      </c>
      <c r="F1473" s="104">
        <v>2</v>
      </c>
      <c r="G1473" s="106" t="s">
        <v>983</v>
      </c>
      <c r="H1473" s="104" t="s">
        <v>642</v>
      </c>
      <c r="I1473" s="104" t="s">
        <v>104</v>
      </c>
      <c r="J1473" s="104" t="s">
        <v>105</v>
      </c>
      <c r="K1473" s="104" t="s">
        <v>209</v>
      </c>
      <c r="L1473" s="104" t="s">
        <v>684</v>
      </c>
      <c r="M1473" s="104" t="s">
        <v>114</v>
      </c>
      <c r="N1473" s="108" t="s">
        <v>17</v>
      </c>
      <c r="O1473" s="104" t="s">
        <v>17</v>
      </c>
      <c r="P1473" s="108">
        <v>1.4590000000000001</v>
      </c>
      <c r="Q1473" s="108">
        <v>0.99</v>
      </c>
      <c r="R1473" s="104" t="s">
        <v>17</v>
      </c>
      <c r="S1473" s="253">
        <f>(10^((3.106*LOG((P1473))+1.119)))</f>
        <v>42.516326803987241</v>
      </c>
      <c r="T1473" s="104" t="s">
        <v>1044</v>
      </c>
      <c r="U1473" s="108">
        <v>0.95099999999999996</v>
      </c>
      <c r="V1473" s="107">
        <v>20.399999999999999</v>
      </c>
      <c r="W1473" s="106" t="s">
        <v>1028</v>
      </c>
    </row>
    <row r="1474" spans="1:23" s="332" customFormat="1" ht="21" customHeight="1">
      <c r="A1474" s="104" t="s">
        <v>169</v>
      </c>
      <c r="B1474" s="104" t="s">
        <v>149</v>
      </c>
      <c r="C1474" s="454" t="s">
        <v>150</v>
      </c>
      <c r="D1474" s="105" t="s">
        <v>151</v>
      </c>
      <c r="E1474" s="104">
        <v>3</v>
      </c>
      <c r="F1474" s="104">
        <v>2352</v>
      </c>
      <c r="G1474" s="106" t="s">
        <v>983</v>
      </c>
      <c r="H1474" s="104" t="s">
        <v>642</v>
      </c>
      <c r="I1474" s="104" t="s">
        <v>104</v>
      </c>
      <c r="J1474" s="104" t="s">
        <v>105</v>
      </c>
      <c r="K1474" s="104" t="s">
        <v>185</v>
      </c>
      <c r="L1474" s="104" t="s">
        <v>997</v>
      </c>
      <c r="M1474" s="104"/>
      <c r="N1474" s="108" t="s">
        <v>17</v>
      </c>
      <c r="O1474" s="104" t="s">
        <v>17</v>
      </c>
      <c r="P1474" s="113">
        <v>1.956</v>
      </c>
      <c r="Q1474" s="113">
        <v>3.004</v>
      </c>
      <c r="R1474" s="104" t="s">
        <v>17</v>
      </c>
      <c r="S1474" s="253">
        <f>((10^((3.187*LOG((P1474))+1.264))+(10^((3.01*LOG((P1474))+1.216)))+(10^(((2.999*(LOG(P1474)))+1.162)))))/3</f>
        <v>129.4302551986116</v>
      </c>
      <c r="T1474" s="103" t="s">
        <v>1384</v>
      </c>
      <c r="U1474" s="108">
        <v>0.98499999999999999</v>
      </c>
      <c r="V1474" s="107">
        <v>16.5</v>
      </c>
      <c r="W1474" s="414" t="s">
        <v>1385</v>
      </c>
    </row>
    <row r="1475" spans="1:23" ht="21" customHeight="1">
      <c r="A1475" s="104" t="s">
        <v>169</v>
      </c>
      <c r="B1475" s="104" t="s">
        <v>149</v>
      </c>
      <c r="C1475" s="454" t="s">
        <v>150</v>
      </c>
      <c r="D1475" s="105" t="s">
        <v>151</v>
      </c>
      <c r="E1475" s="104">
        <v>3</v>
      </c>
      <c r="F1475" s="104">
        <v>2187</v>
      </c>
      <c r="G1475" s="106" t="s">
        <v>983</v>
      </c>
      <c r="H1475" s="104" t="s">
        <v>642</v>
      </c>
      <c r="I1475" s="104" t="s">
        <v>104</v>
      </c>
      <c r="J1475" s="104" t="s">
        <v>105</v>
      </c>
      <c r="K1475" s="104" t="s">
        <v>174</v>
      </c>
      <c r="L1475" s="104" t="s">
        <v>340</v>
      </c>
      <c r="M1475" s="104"/>
      <c r="N1475" s="108" t="s">
        <v>17</v>
      </c>
      <c r="O1475" s="104" t="s">
        <v>17</v>
      </c>
      <c r="P1475" s="113">
        <v>2.5469999999999997</v>
      </c>
      <c r="Q1475" s="113">
        <v>1.151</v>
      </c>
      <c r="R1475" s="104" t="s">
        <v>17</v>
      </c>
      <c r="S1475" s="253">
        <f xml:space="preserve"> (10^((2.999*LOG((P1475))+1.162)))</f>
        <v>239.70704930065872</v>
      </c>
      <c r="T1475" s="103" t="s">
        <v>1392</v>
      </c>
      <c r="U1475" s="108">
        <v>0.98699999999999999</v>
      </c>
      <c r="V1475" s="107">
        <v>18</v>
      </c>
      <c r="W1475" s="414" t="s">
        <v>1388</v>
      </c>
    </row>
    <row r="1476" spans="1:23" ht="21" customHeight="1">
      <c r="A1476" s="104" t="s">
        <v>169</v>
      </c>
      <c r="B1476" s="104" t="s">
        <v>149</v>
      </c>
      <c r="C1476" s="454" t="s">
        <v>150</v>
      </c>
      <c r="D1476" s="105" t="s">
        <v>151</v>
      </c>
      <c r="E1476" s="104">
        <v>3</v>
      </c>
      <c r="F1476" s="104">
        <v>2187</v>
      </c>
      <c r="G1476" s="106" t="s">
        <v>983</v>
      </c>
      <c r="H1476" s="104" t="s">
        <v>642</v>
      </c>
      <c r="I1476" s="104" t="s">
        <v>104</v>
      </c>
      <c r="J1476" s="104" t="s">
        <v>105</v>
      </c>
      <c r="K1476" s="104" t="s">
        <v>166</v>
      </c>
      <c r="L1476" s="104" t="s">
        <v>939</v>
      </c>
      <c r="M1476" s="104"/>
      <c r="N1476" s="108" t="s">
        <v>17</v>
      </c>
      <c r="O1476" s="104" t="s">
        <v>17</v>
      </c>
      <c r="P1476" s="113">
        <v>2.5629999999999997</v>
      </c>
      <c r="Q1476" s="113">
        <v>1.355</v>
      </c>
      <c r="R1476" s="104" t="s">
        <v>17</v>
      </c>
      <c r="S1476" s="253">
        <f>( (10^((3.01*LOG((P1476))+1.216))) +  (10^((2.9*LOG((P1476))+1.209))))/2</f>
        <v>263.71134588686851</v>
      </c>
      <c r="T1476" s="103" t="s">
        <v>1393</v>
      </c>
      <c r="U1476" s="108">
        <v>0.98599999999999999</v>
      </c>
      <c r="V1476" s="107">
        <v>16.899999999999999</v>
      </c>
      <c r="W1476" s="414" t="s">
        <v>1385</v>
      </c>
    </row>
    <row r="1477" spans="1:23" ht="21" customHeight="1">
      <c r="A1477" s="104" t="s">
        <v>169</v>
      </c>
      <c r="B1477" s="104" t="s">
        <v>149</v>
      </c>
      <c r="C1477" s="454" t="s">
        <v>150</v>
      </c>
      <c r="D1477" s="105" t="s">
        <v>151</v>
      </c>
      <c r="E1477" s="104">
        <v>3</v>
      </c>
      <c r="F1477" s="104">
        <v>2556</v>
      </c>
      <c r="G1477" s="106" t="s">
        <v>983</v>
      </c>
      <c r="H1477" s="104" t="s">
        <v>642</v>
      </c>
      <c r="I1477" s="104" t="s">
        <v>104</v>
      </c>
      <c r="J1477" s="104" t="s">
        <v>105</v>
      </c>
      <c r="K1477" s="104" t="s">
        <v>166</v>
      </c>
      <c r="L1477" s="104" t="s">
        <v>939</v>
      </c>
      <c r="M1477" s="104"/>
      <c r="N1477" s="108" t="s">
        <v>17</v>
      </c>
      <c r="O1477" s="104" t="s">
        <v>17</v>
      </c>
      <c r="P1477" s="113">
        <v>2.6829999999999998</v>
      </c>
      <c r="Q1477" s="113">
        <v>1.9449999999999998</v>
      </c>
      <c r="R1477" s="104" t="s">
        <v>17</v>
      </c>
      <c r="S1477" s="253">
        <f>( (10^((3.01*LOG((P1477))+1.216))) +  (10^((2.9*LOG((P1477))+1.209))))/2</f>
        <v>301.93777429791407</v>
      </c>
      <c r="T1477" s="103" t="s">
        <v>1393</v>
      </c>
      <c r="U1477" s="108">
        <v>0.98599999999999999</v>
      </c>
      <c r="V1477" s="107">
        <v>16.899999999999999</v>
      </c>
      <c r="W1477" s="414" t="s">
        <v>1385</v>
      </c>
    </row>
    <row r="1478" spans="1:23" ht="21" customHeight="1">
      <c r="A1478" s="104" t="s">
        <v>169</v>
      </c>
      <c r="B1478" s="104" t="s">
        <v>149</v>
      </c>
      <c r="C1478" s="454" t="s">
        <v>150</v>
      </c>
      <c r="D1478" s="105" t="s">
        <v>151</v>
      </c>
      <c r="E1478" s="104">
        <v>3</v>
      </c>
      <c r="F1478" s="104">
        <v>2352</v>
      </c>
      <c r="G1478" s="106" t="s">
        <v>983</v>
      </c>
      <c r="H1478" s="104" t="s">
        <v>642</v>
      </c>
      <c r="I1478" s="104" t="s">
        <v>104</v>
      </c>
      <c r="J1478" s="104" t="s">
        <v>105</v>
      </c>
      <c r="K1478" s="104" t="s">
        <v>185</v>
      </c>
      <c r="L1478" s="104" t="s">
        <v>997</v>
      </c>
      <c r="M1478" s="104"/>
      <c r="N1478" s="108" t="s">
        <v>17</v>
      </c>
      <c r="O1478" s="104" t="s">
        <v>17</v>
      </c>
      <c r="P1478" s="113">
        <v>2.6179999999999999</v>
      </c>
      <c r="Q1478" s="113">
        <v>3.1550000000000002</v>
      </c>
      <c r="R1478" s="104" t="s">
        <v>17</v>
      </c>
      <c r="S1478" s="253">
        <f>((10^((3.187*LOG((P1478))+1.264))+(10^((3.01*LOG((P1478))+1.216)))+(10^(((2.999*(LOG(P1478)))+1.162)))))/3</f>
        <v>317.58089895999996</v>
      </c>
      <c r="T1478" s="103" t="s">
        <v>1384</v>
      </c>
      <c r="U1478" s="108">
        <v>0.98499999999999999</v>
      </c>
      <c r="V1478" s="107">
        <v>16.5</v>
      </c>
      <c r="W1478" s="414" t="s">
        <v>1385</v>
      </c>
    </row>
    <row r="1479" spans="1:23" ht="21" customHeight="1">
      <c r="A1479" s="104" t="s">
        <v>169</v>
      </c>
      <c r="B1479" s="104" t="s">
        <v>149</v>
      </c>
      <c r="C1479" s="454" t="s">
        <v>150</v>
      </c>
      <c r="D1479" s="105" t="s">
        <v>151</v>
      </c>
      <c r="E1479" s="104">
        <v>3</v>
      </c>
      <c r="F1479" s="104">
        <v>2586</v>
      </c>
      <c r="G1479" s="106" t="s">
        <v>983</v>
      </c>
      <c r="H1479" s="104" t="s">
        <v>642</v>
      </c>
      <c r="I1479" s="104" t="s">
        <v>104</v>
      </c>
      <c r="J1479" s="104" t="s">
        <v>105</v>
      </c>
      <c r="K1479" s="104" t="s">
        <v>112</v>
      </c>
      <c r="L1479" s="104" t="s">
        <v>663</v>
      </c>
      <c r="M1479" s="104"/>
      <c r="N1479" s="108" t="s">
        <v>17</v>
      </c>
      <c r="O1479" s="104" t="s">
        <v>17</v>
      </c>
      <c r="P1479" s="113">
        <v>2.5249999999999999</v>
      </c>
      <c r="Q1479" s="113">
        <v>2.2210000000000001</v>
      </c>
      <c r="R1479" s="104" t="s">
        <v>17</v>
      </c>
      <c r="S1479" s="253">
        <f>(10^((3.187*LOG((P1479))+1.264)))</f>
        <v>351.56612801139636</v>
      </c>
      <c r="T1479" s="103" t="s">
        <v>1387</v>
      </c>
      <c r="U1479" s="108">
        <v>0.98499999999999999</v>
      </c>
      <c r="V1479" s="107">
        <v>16.5</v>
      </c>
      <c r="W1479" s="414" t="s">
        <v>1385</v>
      </c>
    </row>
    <row r="1480" spans="1:23" ht="21" customHeight="1">
      <c r="A1480" s="104" t="s">
        <v>169</v>
      </c>
      <c r="B1480" s="104" t="s">
        <v>149</v>
      </c>
      <c r="C1480" s="454" t="s">
        <v>150</v>
      </c>
      <c r="D1480" s="105" t="s">
        <v>151</v>
      </c>
      <c r="E1480" s="104">
        <v>3</v>
      </c>
      <c r="F1480" s="104">
        <v>2556</v>
      </c>
      <c r="G1480" s="106" t="s">
        <v>983</v>
      </c>
      <c r="H1480" s="104" t="s">
        <v>642</v>
      </c>
      <c r="I1480" s="104" t="s">
        <v>104</v>
      </c>
      <c r="J1480" s="104" t="s">
        <v>105</v>
      </c>
      <c r="K1480" s="104" t="s">
        <v>112</v>
      </c>
      <c r="L1480" s="104" t="s">
        <v>663</v>
      </c>
      <c r="M1480" s="104" t="s">
        <v>114</v>
      </c>
      <c r="N1480" s="108" t="s">
        <v>17</v>
      </c>
      <c r="O1480" s="104" t="s">
        <v>17</v>
      </c>
      <c r="P1480" s="113">
        <v>2.544</v>
      </c>
      <c r="Q1480" s="113">
        <v>2.085</v>
      </c>
      <c r="R1480" s="104" t="s">
        <v>17</v>
      </c>
      <c r="S1480" s="253">
        <f>(10^((3.187*LOG((P1480))+1.264)))</f>
        <v>360.06675099133111</v>
      </c>
      <c r="T1480" s="103" t="s">
        <v>1387</v>
      </c>
      <c r="U1480" s="108">
        <v>0.98499999999999999</v>
      </c>
      <c r="V1480" s="107">
        <v>16.5</v>
      </c>
      <c r="W1480" s="414" t="s">
        <v>1385</v>
      </c>
    </row>
    <row r="1481" spans="1:23" ht="21" customHeight="1">
      <c r="A1481" s="104" t="s">
        <v>169</v>
      </c>
      <c r="B1481" s="104" t="s">
        <v>149</v>
      </c>
      <c r="C1481" s="454" t="s">
        <v>150</v>
      </c>
      <c r="D1481" s="105" t="s">
        <v>151</v>
      </c>
      <c r="E1481" s="104">
        <v>3</v>
      </c>
      <c r="F1481" s="104">
        <v>2187</v>
      </c>
      <c r="G1481" s="106" t="s">
        <v>983</v>
      </c>
      <c r="H1481" s="104" t="s">
        <v>642</v>
      </c>
      <c r="I1481" s="104" t="s">
        <v>104</v>
      </c>
      <c r="J1481" s="104" t="s">
        <v>105</v>
      </c>
      <c r="K1481" s="104" t="s">
        <v>112</v>
      </c>
      <c r="L1481" s="104" t="s">
        <v>663</v>
      </c>
      <c r="M1481" s="104"/>
      <c r="N1481" s="108" t="s">
        <v>17</v>
      </c>
      <c r="O1481" s="104" t="s">
        <v>17</v>
      </c>
      <c r="P1481" s="113">
        <v>2.5590000000000002</v>
      </c>
      <c r="Q1481" s="113">
        <v>1.746</v>
      </c>
      <c r="R1481" s="104" t="s">
        <v>17</v>
      </c>
      <c r="S1481" s="253">
        <f>(10^((3.187*LOG((P1481))+1.264)))</f>
        <v>366.8765902918463</v>
      </c>
      <c r="T1481" s="103" t="s">
        <v>1387</v>
      </c>
      <c r="U1481" s="108">
        <v>0.98499999999999999</v>
      </c>
      <c r="V1481" s="107">
        <v>16.5</v>
      </c>
      <c r="W1481" s="414" t="s">
        <v>1385</v>
      </c>
    </row>
    <row r="1482" spans="1:23" ht="21" customHeight="1">
      <c r="A1482" s="104" t="s">
        <v>169</v>
      </c>
      <c r="B1482" s="104" t="s">
        <v>149</v>
      </c>
      <c r="C1482" s="454" t="s">
        <v>150</v>
      </c>
      <c r="D1482" s="105" t="s">
        <v>151</v>
      </c>
      <c r="E1482" s="104">
        <v>3</v>
      </c>
      <c r="F1482" s="104">
        <v>2352</v>
      </c>
      <c r="G1482" s="106" t="s">
        <v>983</v>
      </c>
      <c r="H1482" s="104" t="s">
        <v>642</v>
      </c>
      <c r="I1482" s="104" t="s">
        <v>104</v>
      </c>
      <c r="J1482" s="104" t="s">
        <v>105</v>
      </c>
      <c r="K1482" s="104" t="s">
        <v>185</v>
      </c>
      <c r="L1482" s="104" t="s">
        <v>997</v>
      </c>
      <c r="M1482" s="104"/>
      <c r="N1482" s="108" t="s">
        <v>17</v>
      </c>
      <c r="O1482" s="104" t="s">
        <v>17</v>
      </c>
      <c r="P1482" s="113">
        <v>2.7559999999999998</v>
      </c>
      <c r="Q1482" s="113">
        <v>2.93</v>
      </c>
      <c r="R1482" s="104" t="s">
        <v>17</v>
      </c>
      <c r="S1482" s="253">
        <f>((10^((3.187*LOG((P1482))+1.264))+(10^((3.01*LOG((P1482))+1.216)))+(10^(((2.999*(LOG(P1482)))+1.162)))))/3</f>
        <v>372.03081059981361</v>
      </c>
      <c r="T1482" s="103" t="s">
        <v>1384</v>
      </c>
      <c r="U1482" s="108">
        <v>0.98499999999999999</v>
      </c>
      <c r="V1482" s="107">
        <v>16.5</v>
      </c>
      <c r="W1482" s="414" t="s">
        <v>1385</v>
      </c>
    </row>
    <row r="1483" spans="1:23" ht="21" customHeight="1">
      <c r="A1483" s="104" t="s">
        <v>169</v>
      </c>
      <c r="B1483" s="104" t="s">
        <v>149</v>
      </c>
      <c r="C1483" s="454" t="s">
        <v>150</v>
      </c>
      <c r="D1483" s="105" t="s">
        <v>151</v>
      </c>
      <c r="E1483" s="104">
        <v>3</v>
      </c>
      <c r="F1483" s="104">
        <v>2187</v>
      </c>
      <c r="G1483" s="106" t="s">
        <v>983</v>
      </c>
      <c r="H1483" s="104" t="s">
        <v>642</v>
      </c>
      <c r="I1483" s="104" t="s">
        <v>104</v>
      </c>
      <c r="J1483" s="104" t="s">
        <v>105</v>
      </c>
      <c r="K1483" s="104" t="s">
        <v>176</v>
      </c>
      <c r="L1483" s="104" t="s">
        <v>1411</v>
      </c>
      <c r="M1483" s="104"/>
      <c r="N1483" s="108" t="s">
        <v>17</v>
      </c>
      <c r="O1483" s="104" t="s">
        <v>17</v>
      </c>
      <c r="P1483" s="113">
        <v>2.573</v>
      </c>
      <c r="Q1483" s="113">
        <v>1.6280000000000001</v>
      </c>
      <c r="R1483" s="104" t="s">
        <v>17</v>
      </c>
      <c r="S1483" s="253">
        <f>( (10^((2.965*LOG((P1483))+1.383))) +  (10^((3.09*LOG((P1483))+1.29))))/2</f>
        <v>379.8451924669821</v>
      </c>
      <c r="T1483" s="103" t="s">
        <v>1412</v>
      </c>
      <c r="U1483" s="108"/>
      <c r="V1483" s="107"/>
      <c r="W1483" s="414" t="s">
        <v>1385</v>
      </c>
    </row>
    <row r="1484" spans="1:23" ht="21" customHeight="1">
      <c r="A1484" s="104" t="s">
        <v>169</v>
      </c>
      <c r="B1484" s="104" t="s">
        <v>149</v>
      </c>
      <c r="C1484" s="454" t="s">
        <v>150</v>
      </c>
      <c r="D1484" s="105" t="s">
        <v>151</v>
      </c>
      <c r="E1484" s="104">
        <v>3</v>
      </c>
      <c r="F1484" s="104">
        <v>2223</v>
      </c>
      <c r="G1484" s="106" t="s">
        <v>983</v>
      </c>
      <c r="H1484" s="104" t="s">
        <v>642</v>
      </c>
      <c r="I1484" s="104" t="s">
        <v>104</v>
      </c>
      <c r="J1484" s="104" t="s">
        <v>105</v>
      </c>
      <c r="K1484" s="104" t="s">
        <v>185</v>
      </c>
      <c r="L1484" s="104" t="s">
        <v>997</v>
      </c>
      <c r="M1484" s="104"/>
      <c r="N1484" s="108" t="s">
        <v>17</v>
      </c>
      <c r="O1484" s="104" t="s">
        <v>17</v>
      </c>
      <c r="P1484" s="113">
        <v>2.7909999999999999</v>
      </c>
      <c r="Q1484" s="113">
        <v>1.6989999999999998</v>
      </c>
      <c r="R1484" s="104" t="s">
        <v>17</v>
      </c>
      <c r="S1484" s="253">
        <f t="shared" ref="S1484:S1493" si="19">((10^((3.187*LOG((P1484))+1.264))+(10^((3.01*LOG((P1484))+1.216)))+(10^(((2.999*(LOG(P1484)))+1.162)))))/3</f>
        <v>386.77942204781385</v>
      </c>
      <c r="T1484" s="103" t="s">
        <v>1384</v>
      </c>
      <c r="U1484" s="108">
        <v>0.98499999999999999</v>
      </c>
      <c r="V1484" s="107">
        <v>16.5</v>
      </c>
      <c r="W1484" s="414" t="s">
        <v>1385</v>
      </c>
    </row>
    <row r="1485" spans="1:23" ht="21" customHeight="1">
      <c r="A1485" s="104" t="s">
        <v>169</v>
      </c>
      <c r="B1485" s="104" t="s">
        <v>149</v>
      </c>
      <c r="C1485" s="454" t="s">
        <v>150</v>
      </c>
      <c r="D1485" s="105" t="s">
        <v>151</v>
      </c>
      <c r="E1485" s="104">
        <v>3</v>
      </c>
      <c r="F1485" s="104">
        <v>2352</v>
      </c>
      <c r="G1485" s="106" t="s">
        <v>983</v>
      </c>
      <c r="H1485" s="104" t="s">
        <v>642</v>
      </c>
      <c r="I1485" s="104" t="s">
        <v>104</v>
      </c>
      <c r="J1485" s="104" t="s">
        <v>105</v>
      </c>
      <c r="K1485" s="104" t="s">
        <v>185</v>
      </c>
      <c r="L1485" s="104" t="s">
        <v>997</v>
      </c>
      <c r="M1485" s="104"/>
      <c r="N1485" s="108" t="s">
        <v>17</v>
      </c>
      <c r="O1485" s="104" t="s">
        <v>17</v>
      </c>
      <c r="P1485" s="113">
        <v>2.8239999999999998</v>
      </c>
      <c r="Q1485" s="113">
        <v>1.6600000000000001</v>
      </c>
      <c r="R1485" s="104" t="s">
        <v>17</v>
      </c>
      <c r="S1485" s="253">
        <f t="shared" si="19"/>
        <v>401.04274823867559</v>
      </c>
      <c r="T1485" s="103" t="s">
        <v>1384</v>
      </c>
      <c r="U1485" s="108">
        <v>0.98499999999999999</v>
      </c>
      <c r="V1485" s="107">
        <v>16.5</v>
      </c>
      <c r="W1485" s="414" t="s">
        <v>1385</v>
      </c>
    </row>
    <row r="1486" spans="1:23" ht="21" customHeight="1">
      <c r="A1486" s="104" t="s">
        <v>169</v>
      </c>
      <c r="B1486" s="104" t="s">
        <v>149</v>
      </c>
      <c r="C1486" s="454" t="s">
        <v>150</v>
      </c>
      <c r="D1486" s="105" t="s">
        <v>151</v>
      </c>
      <c r="E1486" s="104">
        <v>3</v>
      </c>
      <c r="F1486" s="104">
        <v>2352</v>
      </c>
      <c r="G1486" s="106" t="s">
        <v>983</v>
      </c>
      <c r="H1486" s="104" t="s">
        <v>642</v>
      </c>
      <c r="I1486" s="104" t="s">
        <v>104</v>
      </c>
      <c r="J1486" s="104" t="s">
        <v>105</v>
      </c>
      <c r="K1486" s="104" t="s">
        <v>185</v>
      </c>
      <c r="L1486" s="104" t="s">
        <v>997</v>
      </c>
      <c r="M1486" s="104"/>
      <c r="N1486" s="108" t="s">
        <v>17</v>
      </c>
      <c r="O1486" s="104" t="s">
        <v>17</v>
      </c>
      <c r="P1486" s="113">
        <v>2.827</v>
      </c>
      <c r="Q1486" s="113">
        <v>1.94</v>
      </c>
      <c r="R1486" s="104" t="s">
        <v>17</v>
      </c>
      <c r="S1486" s="253">
        <f t="shared" si="19"/>
        <v>402.3567785053574</v>
      </c>
      <c r="T1486" s="103" t="s">
        <v>1384</v>
      </c>
      <c r="U1486" s="108">
        <v>0.98499999999999999</v>
      </c>
      <c r="V1486" s="107">
        <v>16.5</v>
      </c>
      <c r="W1486" s="414" t="s">
        <v>1385</v>
      </c>
    </row>
    <row r="1487" spans="1:23" ht="21" customHeight="1">
      <c r="A1487" s="104" t="s">
        <v>169</v>
      </c>
      <c r="B1487" s="104" t="s">
        <v>149</v>
      </c>
      <c r="C1487" s="454" t="s">
        <v>150</v>
      </c>
      <c r="D1487" s="105" t="s">
        <v>151</v>
      </c>
      <c r="E1487" s="104">
        <v>3</v>
      </c>
      <c r="F1487" s="104">
        <v>2352</v>
      </c>
      <c r="G1487" s="106" t="s">
        <v>983</v>
      </c>
      <c r="H1487" s="104" t="s">
        <v>642</v>
      </c>
      <c r="I1487" s="104" t="s">
        <v>104</v>
      </c>
      <c r="J1487" s="104" t="s">
        <v>105</v>
      </c>
      <c r="K1487" s="104" t="s">
        <v>185</v>
      </c>
      <c r="L1487" s="104" t="s">
        <v>997</v>
      </c>
      <c r="M1487" s="104"/>
      <c r="N1487" s="108" t="s">
        <v>17</v>
      </c>
      <c r="O1487" s="104" t="s">
        <v>17</v>
      </c>
      <c r="P1487" s="113">
        <v>2.85</v>
      </c>
      <c r="Q1487" s="113">
        <v>2.1800000000000002</v>
      </c>
      <c r="R1487" s="104" t="s">
        <v>17</v>
      </c>
      <c r="S1487" s="253">
        <f t="shared" si="19"/>
        <v>412.52788795204123</v>
      </c>
      <c r="T1487" s="103" t="s">
        <v>1384</v>
      </c>
      <c r="U1487" s="108">
        <v>0.98499999999999999</v>
      </c>
      <c r="V1487" s="107">
        <v>16.5</v>
      </c>
      <c r="W1487" s="414" t="s">
        <v>1385</v>
      </c>
    </row>
    <row r="1488" spans="1:23" ht="21" customHeight="1">
      <c r="A1488" s="104" t="s">
        <v>169</v>
      </c>
      <c r="B1488" s="104" t="s">
        <v>149</v>
      </c>
      <c r="C1488" s="454" t="s">
        <v>150</v>
      </c>
      <c r="D1488" s="105" t="s">
        <v>151</v>
      </c>
      <c r="E1488" s="104">
        <v>3</v>
      </c>
      <c r="F1488" s="104">
        <v>2352</v>
      </c>
      <c r="G1488" s="106" t="s">
        <v>983</v>
      </c>
      <c r="H1488" s="104" t="s">
        <v>642</v>
      </c>
      <c r="I1488" s="104" t="s">
        <v>104</v>
      </c>
      <c r="J1488" s="104" t="s">
        <v>105</v>
      </c>
      <c r="K1488" s="104" t="s">
        <v>185</v>
      </c>
      <c r="L1488" s="104" t="s">
        <v>997</v>
      </c>
      <c r="M1488" s="104"/>
      <c r="N1488" s="108" t="s">
        <v>17</v>
      </c>
      <c r="O1488" s="104" t="s">
        <v>17</v>
      </c>
      <c r="P1488" s="113">
        <v>2.85</v>
      </c>
      <c r="Q1488" s="113">
        <v>2.48</v>
      </c>
      <c r="R1488" s="104" t="s">
        <v>17</v>
      </c>
      <c r="S1488" s="253">
        <f t="shared" si="19"/>
        <v>412.52788795204123</v>
      </c>
      <c r="T1488" s="103" t="s">
        <v>1384</v>
      </c>
      <c r="U1488" s="108">
        <v>0.98499999999999999</v>
      </c>
      <c r="V1488" s="107">
        <v>16.5</v>
      </c>
      <c r="W1488" s="414" t="s">
        <v>1385</v>
      </c>
    </row>
    <row r="1489" spans="1:23" ht="21" customHeight="1">
      <c r="A1489" s="104" t="s">
        <v>169</v>
      </c>
      <c r="B1489" s="104" t="s">
        <v>149</v>
      </c>
      <c r="C1489" s="454" t="s">
        <v>150</v>
      </c>
      <c r="D1489" s="105" t="s">
        <v>151</v>
      </c>
      <c r="E1489" s="104">
        <v>3</v>
      </c>
      <c r="F1489" s="104">
        <v>2352</v>
      </c>
      <c r="G1489" s="106" t="s">
        <v>983</v>
      </c>
      <c r="H1489" s="104" t="s">
        <v>642</v>
      </c>
      <c r="I1489" s="104" t="s">
        <v>104</v>
      </c>
      <c r="J1489" s="104" t="s">
        <v>105</v>
      </c>
      <c r="K1489" s="104" t="s">
        <v>185</v>
      </c>
      <c r="L1489" s="104" t="s">
        <v>997</v>
      </c>
      <c r="M1489" s="104"/>
      <c r="N1489" s="108" t="s">
        <v>17</v>
      </c>
      <c r="O1489" s="104" t="s">
        <v>17</v>
      </c>
      <c r="P1489" s="113">
        <v>2.9140000000000001</v>
      </c>
      <c r="Q1489" s="113">
        <v>2.786</v>
      </c>
      <c r="R1489" s="104" t="s">
        <v>17</v>
      </c>
      <c r="S1489" s="253">
        <f t="shared" si="19"/>
        <v>441.74252660876419</v>
      </c>
      <c r="T1489" s="103" t="s">
        <v>1384</v>
      </c>
      <c r="U1489" s="108">
        <v>0.98499999999999999</v>
      </c>
      <c r="V1489" s="107">
        <v>16.5</v>
      </c>
      <c r="W1489" s="414" t="s">
        <v>1385</v>
      </c>
    </row>
    <row r="1490" spans="1:23" ht="21" customHeight="1">
      <c r="A1490" s="104" t="s">
        <v>169</v>
      </c>
      <c r="B1490" s="104" t="s">
        <v>149</v>
      </c>
      <c r="C1490" s="454" t="s">
        <v>150</v>
      </c>
      <c r="D1490" s="105" t="s">
        <v>151</v>
      </c>
      <c r="E1490" s="104">
        <v>3</v>
      </c>
      <c r="F1490" s="104">
        <v>2352</v>
      </c>
      <c r="G1490" s="106" t="s">
        <v>983</v>
      </c>
      <c r="H1490" s="104" t="s">
        <v>642</v>
      </c>
      <c r="I1490" s="104" t="s">
        <v>104</v>
      </c>
      <c r="J1490" s="104" t="s">
        <v>105</v>
      </c>
      <c r="K1490" s="104" t="s">
        <v>185</v>
      </c>
      <c r="L1490" s="104" t="s">
        <v>997</v>
      </c>
      <c r="M1490" s="104"/>
      <c r="N1490" s="108" t="s">
        <v>17</v>
      </c>
      <c r="O1490" s="104" t="s">
        <v>17</v>
      </c>
      <c r="P1490" s="113">
        <v>2.9289999999999998</v>
      </c>
      <c r="Q1490" s="113">
        <v>1.964</v>
      </c>
      <c r="R1490" s="104" t="s">
        <v>17</v>
      </c>
      <c r="S1490" s="253">
        <f t="shared" si="19"/>
        <v>448.7864007173967</v>
      </c>
      <c r="T1490" s="103" t="s">
        <v>1384</v>
      </c>
      <c r="U1490" s="108">
        <v>0.98499999999999999</v>
      </c>
      <c r="V1490" s="107">
        <v>16.5</v>
      </c>
      <c r="W1490" s="414" t="s">
        <v>1385</v>
      </c>
    </row>
    <row r="1491" spans="1:23" ht="21" customHeight="1">
      <c r="A1491" s="104" t="s">
        <v>169</v>
      </c>
      <c r="B1491" s="104" t="s">
        <v>149</v>
      </c>
      <c r="C1491" s="454" t="s">
        <v>150</v>
      </c>
      <c r="D1491" s="105" t="s">
        <v>151</v>
      </c>
      <c r="E1491" s="104">
        <v>3</v>
      </c>
      <c r="F1491" s="104">
        <v>2352</v>
      </c>
      <c r="G1491" s="106" t="s">
        <v>983</v>
      </c>
      <c r="H1491" s="104" t="s">
        <v>642</v>
      </c>
      <c r="I1491" s="104" t="s">
        <v>104</v>
      </c>
      <c r="J1491" s="104" t="s">
        <v>105</v>
      </c>
      <c r="K1491" s="104" t="s">
        <v>185</v>
      </c>
      <c r="L1491" s="104" t="s">
        <v>997</v>
      </c>
      <c r="M1491" s="104"/>
      <c r="N1491" s="108" t="s">
        <v>17</v>
      </c>
      <c r="O1491" s="104" t="s">
        <v>17</v>
      </c>
      <c r="P1491" s="113">
        <v>2.93</v>
      </c>
      <c r="Q1491" s="113">
        <v>1.9469999999999998</v>
      </c>
      <c r="R1491" s="104" t="s">
        <v>17</v>
      </c>
      <c r="S1491" s="253">
        <f t="shared" si="19"/>
        <v>449.25867468719798</v>
      </c>
      <c r="T1491" s="103" t="s">
        <v>1384</v>
      </c>
      <c r="U1491" s="108">
        <v>0.98499999999999999</v>
      </c>
      <c r="V1491" s="107">
        <v>16.5</v>
      </c>
      <c r="W1491" s="414" t="s">
        <v>1385</v>
      </c>
    </row>
    <row r="1492" spans="1:23" ht="21" customHeight="1">
      <c r="A1492" s="104" t="s">
        <v>169</v>
      </c>
      <c r="B1492" s="104" t="s">
        <v>149</v>
      </c>
      <c r="C1492" s="454" t="s">
        <v>150</v>
      </c>
      <c r="D1492" s="105" t="s">
        <v>151</v>
      </c>
      <c r="E1492" s="104">
        <v>3</v>
      </c>
      <c r="F1492" s="104">
        <v>2352</v>
      </c>
      <c r="G1492" s="106" t="s">
        <v>983</v>
      </c>
      <c r="H1492" s="104" t="s">
        <v>642</v>
      </c>
      <c r="I1492" s="104" t="s">
        <v>104</v>
      </c>
      <c r="J1492" s="104" t="s">
        <v>105</v>
      </c>
      <c r="K1492" s="104" t="s">
        <v>185</v>
      </c>
      <c r="L1492" s="104" t="s">
        <v>997</v>
      </c>
      <c r="M1492" s="104"/>
      <c r="N1492" s="108" t="s">
        <v>17</v>
      </c>
      <c r="O1492" s="104" t="s">
        <v>17</v>
      </c>
      <c r="P1492" s="113">
        <v>2.931</v>
      </c>
      <c r="Q1492" s="113">
        <v>1.6280000000000001</v>
      </c>
      <c r="R1492" s="104" t="s">
        <v>17</v>
      </c>
      <c r="S1492" s="253">
        <f t="shared" si="19"/>
        <v>449.7312846590774</v>
      </c>
      <c r="T1492" s="103" t="s">
        <v>1384</v>
      </c>
      <c r="U1492" s="108">
        <v>0.98499999999999999</v>
      </c>
      <c r="V1492" s="107">
        <v>16.5</v>
      </c>
      <c r="W1492" s="414" t="s">
        <v>1385</v>
      </c>
    </row>
    <row r="1493" spans="1:23" ht="21" customHeight="1">
      <c r="A1493" s="104" t="s">
        <v>169</v>
      </c>
      <c r="B1493" s="104" t="s">
        <v>149</v>
      </c>
      <c r="C1493" s="454" t="s">
        <v>150</v>
      </c>
      <c r="D1493" s="105" t="s">
        <v>151</v>
      </c>
      <c r="E1493" s="104">
        <v>3</v>
      </c>
      <c r="F1493" s="104">
        <v>2368</v>
      </c>
      <c r="G1493" s="106" t="s">
        <v>983</v>
      </c>
      <c r="H1493" s="104" t="s">
        <v>642</v>
      </c>
      <c r="I1493" s="104" t="s">
        <v>104</v>
      </c>
      <c r="J1493" s="104" t="s">
        <v>105</v>
      </c>
      <c r="K1493" s="104" t="s">
        <v>185</v>
      </c>
      <c r="L1493" s="104" t="s">
        <v>997</v>
      </c>
      <c r="M1493" s="104"/>
      <c r="N1493" s="108" t="s">
        <v>17</v>
      </c>
      <c r="O1493" s="104" t="s">
        <v>17</v>
      </c>
      <c r="P1493" s="113">
        <v>2.9359999999999999</v>
      </c>
      <c r="Q1493" s="113">
        <v>2.34</v>
      </c>
      <c r="R1493" s="104" t="s">
        <v>17</v>
      </c>
      <c r="S1493" s="253">
        <f t="shared" si="19"/>
        <v>452.09937891570394</v>
      </c>
      <c r="T1493" s="103" t="s">
        <v>1384</v>
      </c>
      <c r="U1493" s="108">
        <v>0.98499999999999999</v>
      </c>
      <c r="V1493" s="107">
        <v>16.5</v>
      </c>
      <c r="W1493" s="414" t="s">
        <v>1385</v>
      </c>
    </row>
    <row r="1494" spans="1:23" ht="21" customHeight="1">
      <c r="A1494" s="104" t="s">
        <v>169</v>
      </c>
      <c r="B1494" s="104" t="s">
        <v>149</v>
      </c>
      <c r="C1494" s="454" t="s">
        <v>150</v>
      </c>
      <c r="D1494" s="105" t="s">
        <v>151</v>
      </c>
      <c r="E1494" s="104">
        <v>3</v>
      </c>
      <c r="F1494" s="104">
        <v>2222</v>
      </c>
      <c r="G1494" s="106" t="s">
        <v>983</v>
      </c>
      <c r="H1494" s="104" t="s">
        <v>642</v>
      </c>
      <c r="I1494" s="104" t="s">
        <v>104</v>
      </c>
      <c r="J1494" s="104" t="s">
        <v>105</v>
      </c>
      <c r="K1494" s="104" t="s">
        <v>172</v>
      </c>
      <c r="L1494" s="104" t="s">
        <v>1238</v>
      </c>
      <c r="M1494" s="104"/>
      <c r="N1494" s="108" t="s">
        <v>17</v>
      </c>
      <c r="O1494" s="104" t="s">
        <v>17</v>
      </c>
      <c r="P1494" s="113">
        <v>2.7440000000000002</v>
      </c>
      <c r="Q1494" s="113">
        <v>1.67</v>
      </c>
      <c r="R1494" s="104" t="s">
        <v>17</v>
      </c>
      <c r="S1494" s="253">
        <f>(10^((3.187*LOG((P1494))+1.264)))</f>
        <v>458.27920298507797</v>
      </c>
      <c r="T1494" s="103" t="s">
        <v>1387</v>
      </c>
      <c r="U1494" s="108">
        <v>0.98499999999999999</v>
      </c>
      <c r="V1494" s="107">
        <v>16.5</v>
      </c>
      <c r="W1494" s="414" t="s">
        <v>1385</v>
      </c>
    </row>
    <row r="1495" spans="1:23" ht="21" customHeight="1">
      <c r="A1495" s="104" t="s">
        <v>169</v>
      </c>
      <c r="B1495" s="104" t="s">
        <v>149</v>
      </c>
      <c r="C1495" s="454" t="s">
        <v>150</v>
      </c>
      <c r="D1495" s="105" t="s">
        <v>151</v>
      </c>
      <c r="E1495" s="104">
        <v>3</v>
      </c>
      <c r="F1495" s="104">
        <v>2352</v>
      </c>
      <c r="G1495" s="106" t="s">
        <v>983</v>
      </c>
      <c r="H1495" s="104" t="s">
        <v>642</v>
      </c>
      <c r="I1495" s="104" t="s">
        <v>104</v>
      </c>
      <c r="J1495" s="104" t="s">
        <v>105</v>
      </c>
      <c r="K1495" s="104" t="s">
        <v>185</v>
      </c>
      <c r="L1495" s="104" t="s">
        <v>997</v>
      </c>
      <c r="M1495" s="104"/>
      <c r="N1495" s="108" t="s">
        <v>17</v>
      </c>
      <c r="O1495" s="104" t="s">
        <v>17</v>
      </c>
      <c r="P1495" s="113">
        <v>2.9530000000000003</v>
      </c>
      <c r="Q1495" s="113">
        <v>2.762</v>
      </c>
      <c r="R1495" s="104" t="s">
        <v>17</v>
      </c>
      <c r="S1495" s="253">
        <f>((10^((3.187*LOG((P1495))+1.264))+(10^((3.01*LOG((P1495))+1.216)))+(10^(((2.999*(LOG(P1495)))+1.162)))))/3</f>
        <v>460.2139650837841</v>
      </c>
      <c r="T1495" s="103" t="s">
        <v>1384</v>
      </c>
      <c r="U1495" s="108">
        <v>0.98499999999999999</v>
      </c>
      <c r="V1495" s="107">
        <v>16.5</v>
      </c>
      <c r="W1495" s="414" t="s">
        <v>1385</v>
      </c>
    </row>
    <row r="1496" spans="1:23" ht="21" customHeight="1">
      <c r="A1496" s="104" t="s">
        <v>169</v>
      </c>
      <c r="B1496" s="104" t="s">
        <v>149</v>
      </c>
      <c r="C1496" s="454" t="s">
        <v>150</v>
      </c>
      <c r="D1496" s="105" t="s">
        <v>151</v>
      </c>
      <c r="E1496" s="104">
        <v>3</v>
      </c>
      <c r="F1496" s="104" t="s">
        <v>1417</v>
      </c>
      <c r="G1496" s="106" t="s">
        <v>983</v>
      </c>
      <c r="H1496" s="104" t="s">
        <v>642</v>
      </c>
      <c r="I1496" s="104" t="s">
        <v>104</v>
      </c>
      <c r="J1496" s="104" t="s">
        <v>105</v>
      </c>
      <c r="K1496" s="104" t="s">
        <v>153</v>
      </c>
      <c r="L1496" s="104" t="s">
        <v>1100</v>
      </c>
      <c r="M1496" s="104" t="s">
        <v>1409</v>
      </c>
      <c r="N1496" s="108" t="s">
        <v>17</v>
      </c>
      <c r="O1496" s="104" t="s">
        <v>17</v>
      </c>
      <c r="P1496" s="113">
        <v>2.7649999999999997</v>
      </c>
      <c r="Q1496" s="113">
        <v>2.0409999999999999</v>
      </c>
      <c r="R1496" s="104" t="s">
        <v>17</v>
      </c>
      <c r="S1496" s="253">
        <f>( (10^((2.965*LOG((P1496))+1.383))) +  (10^((3.09*LOG((P1496))+1.29))))/2</f>
        <v>472.21838118109252</v>
      </c>
      <c r="T1496" s="103" t="s">
        <v>1415</v>
      </c>
      <c r="U1496" s="108"/>
      <c r="V1496" s="107"/>
      <c r="W1496" s="414" t="s">
        <v>1385</v>
      </c>
    </row>
    <row r="1497" spans="1:23" ht="21" customHeight="1">
      <c r="A1497" s="104" t="s">
        <v>169</v>
      </c>
      <c r="B1497" s="104" t="s">
        <v>149</v>
      </c>
      <c r="C1497" s="454" t="s">
        <v>150</v>
      </c>
      <c r="D1497" s="105" t="s">
        <v>151</v>
      </c>
      <c r="E1497" s="104">
        <v>3</v>
      </c>
      <c r="F1497" s="104">
        <v>2352</v>
      </c>
      <c r="G1497" s="106" t="s">
        <v>983</v>
      </c>
      <c r="H1497" s="104" t="s">
        <v>642</v>
      </c>
      <c r="I1497" s="104" t="s">
        <v>104</v>
      </c>
      <c r="J1497" s="104" t="s">
        <v>105</v>
      </c>
      <c r="K1497" s="104" t="s">
        <v>185</v>
      </c>
      <c r="L1497" s="104" t="s">
        <v>997</v>
      </c>
      <c r="M1497" s="104"/>
      <c r="N1497" s="108" t="s">
        <v>17</v>
      </c>
      <c r="O1497" s="104" t="s">
        <v>17</v>
      </c>
      <c r="P1497" s="113">
        <v>2.9850000000000003</v>
      </c>
      <c r="Q1497" s="113">
        <v>2.7589999999999999</v>
      </c>
      <c r="R1497" s="104" t="s">
        <v>17</v>
      </c>
      <c r="S1497" s="253">
        <f>((10^((3.187*LOG((P1497))+1.264))+(10^((3.01*LOG((P1497))+1.216)))+(10^(((2.999*(LOG(P1497)))+1.162)))))/3</f>
        <v>475.75464551526812</v>
      </c>
      <c r="T1497" s="103" t="s">
        <v>1384</v>
      </c>
      <c r="U1497" s="108">
        <v>0.98499999999999999</v>
      </c>
      <c r="V1497" s="107">
        <v>16.5</v>
      </c>
      <c r="W1497" s="414" t="s">
        <v>1385</v>
      </c>
    </row>
    <row r="1498" spans="1:23" ht="21" customHeight="1">
      <c r="A1498" s="104" t="s">
        <v>169</v>
      </c>
      <c r="B1498" s="104" t="s">
        <v>149</v>
      </c>
      <c r="C1498" s="454" t="s">
        <v>150</v>
      </c>
      <c r="D1498" s="105" t="s">
        <v>151</v>
      </c>
      <c r="E1498" s="104">
        <v>3</v>
      </c>
      <c r="F1498" s="104">
        <v>2352</v>
      </c>
      <c r="G1498" s="106" t="s">
        <v>983</v>
      </c>
      <c r="H1498" s="104" t="s">
        <v>642</v>
      </c>
      <c r="I1498" s="104" t="s">
        <v>104</v>
      </c>
      <c r="J1498" s="104" t="s">
        <v>105</v>
      </c>
      <c r="K1498" s="104" t="s">
        <v>153</v>
      </c>
      <c r="L1498" s="104" t="s">
        <v>1100</v>
      </c>
      <c r="M1498" s="104"/>
      <c r="N1498" s="108" t="s">
        <v>17</v>
      </c>
      <c r="O1498" s="104" t="s">
        <v>17</v>
      </c>
      <c r="P1498" s="113">
        <v>2.8440000000000003</v>
      </c>
      <c r="Q1498" s="113">
        <v>1.375</v>
      </c>
      <c r="R1498" s="104" t="s">
        <v>17</v>
      </c>
      <c r="S1498" s="253">
        <f>( (10^((2.965*LOG((P1498))+1.383))) +  (10^((3.09*LOG((P1498))+1.29))))/2</f>
        <v>514.22138218126543</v>
      </c>
      <c r="T1498" s="103" t="s">
        <v>1415</v>
      </c>
      <c r="U1498" s="108"/>
      <c r="V1498" s="107"/>
      <c r="W1498" s="414" t="s">
        <v>1385</v>
      </c>
    </row>
    <row r="1499" spans="1:23" ht="21" customHeight="1">
      <c r="A1499" s="104" t="s">
        <v>169</v>
      </c>
      <c r="B1499" s="104" t="s">
        <v>149</v>
      </c>
      <c r="C1499" s="454" t="s">
        <v>150</v>
      </c>
      <c r="D1499" s="105" t="s">
        <v>151</v>
      </c>
      <c r="E1499" s="104">
        <v>3</v>
      </c>
      <c r="F1499" s="104">
        <v>2373</v>
      </c>
      <c r="G1499" s="106" t="s">
        <v>983</v>
      </c>
      <c r="H1499" s="104" t="s">
        <v>642</v>
      </c>
      <c r="I1499" s="104" t="s">
        <v>104</v>
      </c>
      <c r="J1499" s="104" t="s">
        <v>105</v>
      </c>
      <c r="K1499" s="104" t="s">
        <v>185</v>
      </c>
      <c r="L1499" s="104" t="s">
        <v>997</v>
      </c>
      <c r="M1499" s="104"/>
      <c r="N1499" s="108" t="s">
        <v>17</v>
      </c>
      <c r="O1499" s="104" t="s">
        <v>17</v>
      </c>
      <c r="P1499" s="113">
        <v>3.085</v>
      </c>
      <c r="Q1499" s="113">
        <v>2.96</v>
      </c>
      <c r="R1499" s="104" t="s">
        <v>17</v>
      </c>
      <c r="S1499" s="253">
        <f>((10^((3.187*LOG((P1499))+1.264))+(10^((3.01*LOG((P1499))+1.216)))+(10^(((2.999*(LOG(P1499)))+1.162)))))/3</f>
        <v>526.60091699101042</v>
      </c>
      <c r="T1499" s="103" t="s">
        <v>1384</v>
      </c>
      <c r="U1499" s="108">
        <v>0.98499999999999999</v>
      </c>
      <c r="V1499" s="107">
        <v>16.5</v>
      </c>
      <c r="W1499" s="414" t="s">
        <v>1385</v>
      </c>
    </row>
    <row r="1500" spans="1:23" s="333" customFormat="1" ht="21" customHeight="1">
      <c r="A1500" s="104" t="s">
        <v>169</v>
      </c>
      <c r="B1500" s="104" t="s">
        <v>149</v>
      </c>
      <c r="C1500" s="454" t="s">
        <v>150</v>
      </c>
      <c r="D1500" s="105" t="s">
        <v>151</v>
      </c>
      <c r="E1500" s="104">
        <v>3</v>
      </c>
      <c r="F1500" s="104">
        <v>2352</v>
      </c>
      <c r="G1500" s="106" t="s">
        <v>983</v>
      </c>
      <c r="H1500" s="104" t="s">
        <v>642</v>
      </c>
      <c r="I1500" s="104" t="s">
        <v>104</v>
      </c>
      <c r="J1500" s="104" t="s">
        <v>105</v>
      </c>
      <c r="K1500" s="104" t="s">
        <v>1175</v>
      </c>
      <c r="L1500" s="104" t="s">
        <v>1176</v>
      </c>
      <c r="M1500" s="104"/>
      <c r="N1500" s="108" t="s">
        <v>17</v>
      </c>
      <c r="O1500" s="104" t="s">
        <v>17</v>
      </c>
      <c r="P1500" s="113">
        <v>2.9159999999999999</v>
      </c>
      <c r="Q1500" s="113">
        <v>1.5589999999999999</v>
      </c>
      <c r="R1500" s="104" t="s">
        <v>17</v>
      </c>
      <c r="S1500" s="253">
        <f>( (10^((2.965*LOG((P1500))+1.383))) +  (10^((3.09*LOG((P1500))+1.29))))/2</f>
        <v>554.61897544703379</v>
      </c>
      <c r="T1500" s="103" t="s">
        <v>1412</v>
      </c>
      <c r="U1500" s="108"/>
      <c r="V1500" s="107"/>
      <c r="W1500" s="414" t="s">
        <v>1385</v>
      </c>
    </row>
    <row r="1501" spans="1:23" ht="21" customHeight="1">
      <c r="A1501" s="104" t="s">
        <v>169</v>
      </c>
      <c r="B1501" s="104" t="s">
        <v>149</v>
      </c>
      <c r="C1501" s="454" t="s">
        <v>150</v>
      </c>
      <c r="D1501" s="105" t="s">
        <v>151</v>
      </c>
      <c r="E1501" s="104">
        <v>3</v>
      </c>
      <c r="F1501" s="104">
        <v>2352</v>
      </c>
      <c r="G1501" s="106" t="s">
        <v>983</v>
      </c>
      <c r="H1501" s="104" t="s">
        <v>642</v>
      </c>
      <c r="I1501" s="104" t="s">
        <v>104</v>
      </c>
      <c r="J1501" s="104" t="s">
        <v>105</v>
      </c>
      <c r="K1501" s="104" t="s">
        <v>185</v>
      </c>
      <c r="L1501" s="104" t="s">
        <v>997</v>
      </c>
      <c r="M1501" s="104"/>
      <c r="N1501" s="108" t="s">
        <v>17</v>
      </c>
      <c r="O1501" s="104" t="s">
        <v>17</v>
      </c>
      <c r="P1501" s="113">
        <v>3.1399999999999997</v>
      </c>
      <c r="Q1501" s="113">
        <v>2.7600000000000002</v>
      </c>
      <c r="R1501" s="104" t="s">
        <v>17</v>
      </c>
      <c r="S1501" s="253">
        <f>((10^((3.187*LOG((P1501))+1.264))+(10^((3.01*LOG((P1501))+1.216)))+(10^(((2.999*(LOG(P1501)))+1.162)))))/3</f>
        <v>556.07318867777064</v>
      </c>
      <c r="T1501" s="103" t="s">
        <v>1384</v>
      </c>
      <c r="U1501" s="108">
        <v>0.98499999999999999</v>
      </c>
      <c r="V1501" s="107">
        <v>16.5</v>
      </c>
      <c r="W1501" s="414" t="s">
        <v>1385</v>
      </c>
    </row>
    <row r="1502" spans="1:23" ht="21" customHeight="1">
      <c r="A1502" s="104" t="s">
        <v>169</v>
      </c>
      <c r="B1502" s="104" t="s">
        <v>149</v>
      </c>
      <c r="C1502" s="454" t="s">
        <v>150</v>
      </c>
      <c r="D1502" s="105" t="s">
        <v>151</v>
      </c>
      <c r="E1502" s="104">
        <v>3</v>
      </c>
      <c r="F1502" s="104">
        <v>2352</v>
      </c>
      <c r="G1502" s="106" t="s">
        <v>983</v>
      </c>
      <c r="H1502" s="104" t="s">
        <v>642</v>
      </c>
      <c r="I1502" s="104" t="s">
        <v>104</v>
      </c>
      <c r="J1502" s="104" t="s">
        <v>105</v>
      </c>
      <c r="K1502" s="104" t="s">
        <v>185</v>
      </c>
      <c r="L1502" s="104" t="s">
        <v>997</v>
      </c>
      <c r="M1502" s="104"/>
      <c r="N1502" s="108" t="s">
        <v>17</v>
      </c>
      <c r="O1502" s="104" t="s">
        <v>17</v>
      </c>
      <c r="P1502" s="113">
        <v>3.141</v>
      </c>
      <c r="Q1502" s="113">
        <v>1.6440000000000001</v>
      </c>
      <c r="R1502" s="104" t="s">
        <v>17</v>
      </c>
      <c r="S1502" s="253">
        <f>((10^((3.187*LOG((P1502))+1.264))+(10^((3.01*LOG((P1502))+1.216)))+(10^(((2.999*(LOG(P1502)))+1.162)))))/3</f>
        <v>556.61912888157701</v>
      </c>
      <c r="T1502" s="103" t="s">
        <v>1384</v>
      </c>
      <c r="U1502" s="108">
        <v>0.98499999999999999</v>
      </c>
      <c r="V1502" s="107">
        <v>16.5</v>
      </c>
      <c r="W1502" s="414" t="s">
        <v>1385</v>
      </c>
    </row>
    <row r="1503" spans="1:23" ht="21" customHeight="1">
      <c r="A1503" s="104" t="s">
        <v>169</v>
      </c>
      <c r="B1503" s="104" t="s">
        <v>149</v>
      </c>
      <c r="C1503" s="454" t="s">
        <v>150</v>
      </c>
      <c r="D1503" s="105" t="s">
        <v>151</v>
      </c>
      <c r="E1503" s="104">
        <v>3</v>
      </c>
      <c r="F1503" s="104">
        <v>2352</v>
      </c>
      <c r="G1503" s="106" t="s">
        <v>983</v>
      </c>
      <c r="H1503" s="104" t="s">
        <v>642</v>
      </c>
      <c r="I1503" s="104" t="s">
        <v>104</v>
      </c>
      <c r="J1503" s="104" t="s">
        <v>105</v>
      </c>
      <c r="K1503" s="104" t="s">
        <v>185</v>
      </c>
      <c r="L1503" s="104" t="s">
        <v>997</v>
      </c>
      <c r="M1503" s="104"/>
      <c r="N1503" s="108" t="s">
        <v>17</v>
      </c>
      <c r="O1503" s="104" t="s">
        <v>17</v>
      </c>
      <c r="P1503" s="113">
        <v>3.1440000000000001</v>
      </c>
      <c r="Q1503" s="113">
        <v>2.7320000000000002</v>
      </c>
      <c r="R1503" s="104" t="s">
        <v>17</v>
      </c>
      <c r="S1503" s="253">
        <f>((10^((3.187*LOG((P1503))+1.264))+(10^((3.01*LOG((P1503))+1.216)))+(10^(((2.999*(LOG(P1503)))+1.162)))))/3</f>
        <v>558.25912445815936</v>
      </c>
      <c r="T1503" s="103" t="s">
        <v>1384</v>
      </c>
      <c r="U1503" s="108">
        <v>0.98499999999999999</v>
      </c>
      <c r="V1503" s="107">
        <v>16.5</v>
      </c>
      <c r="W1503" s="414" t="s">
        <v>1385</v>
      </c>
    </row>
    <row r="1504" spans="1:23" ht="21" customHeight="1">
      <c r="A1504" s="104" t="s">
        <v>169</v>
      </c>
      <c r="B1504" s="104" t="s">
        <v>149</v>
      </c>
      <c r="C1504" s="454" t="s">
        <v>150</v>
      </c>
      <c r="D1504" s="105" t="s">
        <v>151</v>
      </c>
      <c r="E1504" s="104">
        <v>3</v>
      </c>
      <c r="F1504" s="104">
        <v>2352</v>
      </c>
      <c r="G1504" s="106" t="s">
        <v>983</v>
      </c>
      <c r="H1504" s="104" t="s">
        <v>642</v>
      </c>
      <c r="I1504" s="104" t="s">
        <v>104</v>
      </c>
      <c r="J1504" s="104" t="s">
        <v>105</v>
      </c>
      <c r="K1504" s="104" t="s">
        <v>185</v>
      </c>
      <c r="L1504" s="104" t="s">
        <v>997</v>
      </c>
      <c r="M1504" s="104"/>
      <c r="N1504" s="108" t="s">
        <v>17</v>
      </c>
      <c r="O1504" s="104" t="s">
        <v>17</v>
      </c>
      <c r="P1504" s="113">
        <v>3.1520000000000001</v>
      </c>
      <c r="Q1504" s="113">
        <v>2.6179999999999999</v>
      </c>
      <c r="R1504" s="104" t="s">
        <v>17</v>
      </c>
      <c r="S1504" s="253">
        <f>((10^((3.187*LOG((P1504))+1.264))+(10^((3.01*LOG((P1504))+1.216)))+(10^(((2.999*(LOG(P1504)))+1.162)))))/3</f>
        <v>562.64841784282601</v>
      </c>
      <c r="T1504" s="103" t="s">
        <v>1384</v>
      </c>
      <c r="U1504" s="108">
        <v>0.98499999999999999</v>
      </c>
      <c r="V1504" s="107">
        <v>16.5</v>
      </c>
      <c r="W1504" s="414" t="s">
        <v>1385</v>
      </c>
    </row>
    <row r="1505" spans="1:23" ht="21" customHeight="1">
      <c r="A1505" s="104" t="s">
        <v>169</v>
      </c>
      <c r="B1505" s="104" t="s">
        <v>149</v>
      </c>
      <c r="C1505" s="454" t="s">
        <v>150</v>
      </c>
      <c r="D1505" s="105" t="s">
        <v>151</v>
      </c>
      <c r="E1505" s="104">
        <v>3</v>
      </c>
      <c r="F1505" s="104">
        <v>2352</v>
      </c>
      <c r="G1505" s="106" t="s">
        <v>983</v>
      </c>
      <c r="H1505" s="104" t="s">
        <v>642</v>
      </c>
      <c r="I1505" s="104" t="s">
        <v>104</v>
      </c>
      <c r="J1505" s="104" t="s">
        <v>105</v>
      </c>
      <c r="K1505" s="104" t="s">
        <v>1175</v>
      </c>
      <c r="L1505" s="104" t="s">
        <v>1176</v>
      </c>
      <c r="M1505" s="104"/>
      <c r="N1505" s="108" t="s">
        <v>17</v>
      </c>
      <c r="O1505" s="104" t="s">
        <v>17</v>
      </c>
      <c r="P1505" s="113">
        <v>2.964</v>
      </c>
      <c r="Q1505" s="113">
        <v>2.2749999999999999</v>
      </c>
      <c r="R1505" s="104" t="s">
        <v>17</v>
      </c>
      <c r="S1505" s="253">
        <f>( (10^((2.965*LOG((P1505))+1.383))) +  (10^((3.09*LOG((P1505))+1.29))))/2</f>
        <v>582.698882114713</v>
      </c>
      <c r="T1505" s="103" t="s">
        <v>1412</v>
      </c>
      <c r="U1505" s="108"/>
      <c r="V1505" s="107"/>
      <c r="W1505" s="414" t="s">
        <v>1385</v>
      </c>
    </row>
    <row r="1506" spans="1:23" ht="21" customHeight="1">
      <c r="A1506" s="104" t="s">
        <v>169</v>
      </c>
      <c r="B1506" s="104" t="s">
        <v>149</v>
      </c>
      <c r="C1506" s="454" t="s">
        <v>150</v>
      </c>
      <c r="D1506" s="105" t="s">
        <v>151</v>
      </c>
      <c r="E1506" s="104">
        <v>3</v>
      </c>
      <c r="F1506" s="104">
        <v>2187</v>
      </c>
      <c r="G1506" s="106" t="s">
        <v>983</v>
      </c>
      <c r="H1506" s="104" t="s">
        <v>642</v>
      </c>
      <c r="I1506" s="104" t="s">
        <v>104</v>
      </c>
      <c r="J1506" s="104" t="s">
        <v>105</v>
      </c>
      <c r="K1506" s="104" t="s">
        <v>153</v>
      </c>
      <c r="L1506" s="104" t="s">
        <v>1100</v>
      </c>
      <c r="M1506" s="104"/>
      <c r="N1506" s="108" t="s">
        <v>17</v>
      </c>
      <c r="O1506" s="104" t="s">
        <v>17</v>
      </c>
      <c r="P1506" s="113">
        <v>2.984</v>
      </c>
      <c r="Q1506" s="113">
        <v>1.544</v>
      </c>
      <c r="R1506" s="104" t="s">
        <v>17</v>
      </c>
      <c r="S1506" s="253">
        <f>( (10^((2.965*LOG((P1506))+1.383))) +  (10^((3.09*LOG((P1506))+1.29))))/2</f>
        <v>594.67441484330914</v>
      </c>
      <c r="T1506" s="103" t="s">
        <v>1415</v>
      </c>
      <c r="U1506" s="108"/>
      <c r="V1506" s="107"/>
      <c r="W1506" s="414" t="s">
        <v>1385</v>
      </c>
    </row>
    <row r="1507" spans="1:23" ht="21" customHeight="1">
      <c r="A1507" s="104" t="s">
        <v>169</v>
      </c>
      <c r="B1507" s="104" t="s">
        <v>149</v>
      </c>
      <c r="C1507" s="454" t="s">
        <v>150</v>
      </c>
      <c r="D1507" s="105" t="s">
        <v>151</v>
      </c>
      <c r="E1507" s="104">
        <v>3</v>
      </c>
      <c r="F1507" s="104">
        <v>2352</v>
      </c>
      <c r="G1507" s="106" t="s">
        <v>983</v>
      </c>
      <c r="H1507" s="104" t="s">
        <v>642</v>
      </c>
      <c r="I1507" s="104" t="s">
        <v>104</v>
      </c>
      <c r="J1507" s="104" t="s">
        <v>105</v>
      </c>
      <c r="K1507" s="104" t="s">
        <v>153</v>
      </c>
      <c r="L1507" s="104" t="s">
        <v>1100</v>
      </c>
      <c r="M1507" s="104"/>
      <c r="N1507" s="108" t="s">
        <v>17</v>
      </c>
      <c r="O1507" s="104" t="s">
        <v>17</v>
      </c>
      <c r="P1507" s="113">
        <v>3.0140000000000002</v>
      </c>
      <c r="Q1507" s="113">
        <v>1.5070000000000001</v>
      </c>
      <c r="R1507" s="104" t="s">
        <v>17</v>
      </c>
      <c r="S1507" s="253">
        <f>( (10^((2.965*LOG((P1507))+1.383))) +  (10^((3.09*LOG((P1507))+1.29))))/2</f>
        <v>612.94510906706898</v>
      </c>
      <c r="T1507" s="103" t="s">
        <v>1415</v>
      </c>
      <c r="U1507" s="108"/>
      <c r="V1507" s="107"/>
      <c r="W1507" s="414" t="s">
        <v>1385</v>
      </c>
    </row>
    <row r="1508" spans="1:23" s="333" customFormat="1" ht="21" customHeight="1">
      <c r="A1508" s="104" t="s">
        <v>169</v>
      </c>
      <c r="B1508" s="104" t="s">
        <v>149</v>
      </c>
      <c r="C1508" s="454" t="s">
        <v>150</v>
      </c>
      <c r="D1508" s="105" t="s">
        <v>151</v>
      </c>
      <c r="E1508" s="104">
        <v>3</v>
      </c>
      <c r="F1508" s="104">
        <v>-999</v>
      </c>
      <c r="G1508" s="106" t="s">
        <v>983</v>
      </c>
      <c r="H1508" s="104" t="s">
        <v>642</v>
      </c>
      <c r="I1508" s="104" t="s">
        <v>104</v>
      </c>
      <c r="J1508" s="104" t="s">
        <v>105</v>
      </c>
      <c r="K1508" s="104" t="s">
        <v>185</v>
      </c>
      <c r="L1508" s="104" t="s">
        <v>997</v>
      </c>
      <c r="M1508" s="104"/>
      <c r="N1508" s="108" t="s">
        <v>17</v>
      </c>
      <c r="O1508" s="104" t="s">
        <v>17</v>
      </c>
      <c r="P1508" s="113">
        <v>3.254</v>
      </c>
      <c r="Q1508" s="113">
        <v>1.56</v>
      </c>
      <c r="R1508" s="104" t="s">
        <v>17</v>
      </c>
      <c r="S1508" s="253">
        <f>((10^((3.187*LOG((P1508))+1.264))+(10^((3.01*LOG((P1508))+1.216)))+(10^(((2.999*(LOG(P1508)))+1.162)))))/3</f>
        <v>620.67487884949321</v>
      </c>
      <c r="T1508" s="103" t="s">
        <v>1384</v>
      </c>
      <c r="U1508" s="108">
        <v>0.98499999999999999</v>
      </c>
      <c r="V1508" s="107">
        <v>16.5</v>
      </c>
      <c r="W1508" s="414" t="s">
        <v>1385</v>
      </c>
    </row>
    <row r="1509" spans="1:23" ht="21" customHeight="1">
      <c r="A1509" s="104" t="s">
        <v>169</v>
      </c>
      <c r="B1509" s="104" t="s">
        <v>149</v>
      </c>
      <c r="C1509" s="454" t="s">
        <v>150</v>
      </c>
      <c r="D1509" s="105" t="s">
        <v>151</v>
      </c>
      <c r="E1509" s="104">
        <v>3</v>
      </c>
      <c r="F1509" s="104">
        <v>2556</v>
      </c>
      <c r="G1509" s="106" t="s">
        <v>983</v>
      </c>
      <c r="H1509" s="104" t="s">
        <v>642</v>
      </c>
      <c r="I1509" s="104" t="s">
        <v>104</v>
      </c>
      <c r="J1509" s="104" t="s">
        <v>105</v>
      </c>
      <c r="K1509" s="104" t="s">
        <v>174</v>
      </c>
      <c r="L1509" s="104" t="s">
        <v>340</v>
      </c>
      <c r="M1509" s="104"/>
      <c r="N1509" s="108" t="s">
        <v>17</v>
      </c>
      <c r="O1509" s="104" t="s">
        <v>17</v>
      </c>
      <c r="P1509" s="113">
        <v>3.508</v>
      </c>
      <c r="Q1509" s="113">
        <v>1.7269999999999999</v>
      </c>
      <c r="R1509" s="104" t="s">
        <v>17</v>
      </c>
      <c r="S1509" s="253">
        <f xml:space="preserve"> (10^((2.999*LOG((P1509))+1.162)))</f>
        <v>626.0855702912703</v>
      </c>
      <c r="T1509" s="103" t="s">
        <v>1392</v>
      </c>
      <c r="U1509" s="108">
        <v>0.98699999999999999</v>
      </c>
      <c r="V1509" s="107">
        <v>18</v>
      </c>
      <c r="W1509" s="414" t="s">
        <v>1388</v>
      </c>
    </row>
    <row r="1510" spans="1:23" ht="21" customHeight="1">
      <c r="A1510" s="104" t="s">
        <v>169</v>
      </c>
      <c r="B1510" s="104" t="s">
        <v>149</v>
      </c>
      <c r="C1510" s="454" t="s">
        <v>150</v>
      </c>
      <c r="D1510" s="105" t="s">
        <v>151</v>
      </c>
      <c r="E1510" s="104">
        <v>3</v>
      </c>
      <c r="F1510" s="104">
        <v>2352</v>
      </c>
      <c r="G1510" s="106" t="s">
        <v>983</v>
      </c>
      <c r="H1510" s="104" t="s">
        <v>642</v>
      </c>
      <c r="I1510" s="104" t="s">
        <v>104</v>
      </c>
      <c r="J1510" s="104" t="s">
        <v>105</v>
      </c>
      <c r="K1510" s="104" t="s">
        <v>185</v>
      </c>
      <c r="L1510" s="104" t="s">
        <v>997</v>
      </c>
      <c r="M1510" s="104"/>
      <c r="N1510" s="108" t="s">
        <v>17</v>
      </c>
      <c r="O1510" s="104" t="s">
        <v>17</v>
      </c>
      <c r="P1510" s="113">
        <v>3.2729999999999997</v>
      </c>
      <c r="Q1510" s="113">
        <v>2.516</v>
      </c>
      <c r="R1510" s="104" t="s">
        <v>17</v>
      </c>
      <c r="S1510" s="253">
        <f t="shared" ref="S1510:S1517" si="20">((10^((3.187*LOG((P1510))+1.264))+(10^((3.01*LOG((P1510))+1.216)))+(10^(((2.999*(LOG(P1510)))+1.162)))))/3</f>
        <v>631.91265500601355</v>
      </c>
      <c r="T1510" s="103" t="s">
        <v>1384</v>
      </c>
      <c r="U1510" s="108">
        <v>0.98499999999999999</v>
      </c>
      <c r="V1510" s="107">
        <v>16.5</v>
      </c>
      <c r="W1510" s="414" t="s">
        <v>1385</v>
      </c>
    </row>
    <row r="1511" spans="1:23" ht="21" customHeight="1">
      <c r="A1511" s="104" t="s">
        <v>169</v>
      </c>
      <c r="B1511" s="104" t="s">
        <v>149</v>
      </c>
      <c r="C1511" s="454" t="s">
        <v>150</v>
      </c>
      <c r="D1511" s="105" t="s">
        <v>151</v>
      </c>
      <c r="E1511" s="104">
        <v>3</v>
      </c>
      <c r="F1511" s="104">
        <v>2352</v>
      </c>
      <c r="G1511" s="106" t="s">
        <v>983</v>
      </c>
      <c r="H1511" s="104" t="s">
        <v>642</v>
      </c>
      <c r="I1511" s="104" t="s">
        <v>104</v>
      </c>
      <c r="J1511" s="104" t="s">
        <v>105</v>
      </c>
      <c r="K1511" s="104" t="s">
        <v>185</v>
      </c>
      <c r="L1511" s="104" t="s">
        <v>997</v>
      </c>
      <c r="M1511" s="104"/>
      <c r="N1511" s="108" t="s">
        <v>17</v>
      </c>
      <c r="O1511" s="104" t="s">
        <v>17</v>
      </c>
      <c r="P1511" s="113">
        <v>3.2759999999999998</v>
      </c>
      <c r="Q1511" s="113">
        <v>2.5049999999999999</v>
      </c>
      <c r="R1511" s="104" t="s">
        <v>17</v>
      </c>
      <c r="S1511" s="253">
        <f t="shared" si="20"/>
        <v>633.69952615027944</v>
      </c>
      <c r="T1511" s="103" t="s">
        <v>1384</v>
      </c>
      <c r="U1511" s="108">
        <v>0.98499999999999999</v>
      </c>
      <c r="V1511" s="107">
        <v>16.5</v>
      </c>
      <c r="W1511" s="414" t="s">
        <v>1385</v>
      </c>
    </row>
    <row r="1512" spans="1:23" ht="21" customHeight="1">
      <c r="A1512" s="104" t="s">
        <v>169</v>
      </c>
      <c r="B1512" s="104" t="s">
        <v>149</v>
      </c>
      <c r="C1512" s="454" t="s">
        <v>150</v>
      </c>
      <c r="D1512" s="105" t="s">
        <v>151</v>
      </c>
      <c r="E1512" s="104">
        <v>3</v>
      </c>
      <c r="F1512" s="104">
        <v>2352</v>
      </c>
      <c r="G1512" s="106" t="s">
        <v>983</v>
      </c>
      <c r="H1512" s="104" t="s">
        <v>642</v>
      </c>
      <c r="I1512" s="104" t="s">
        <v>104</v>
      </c>
      <c r="J1512" s="104" t="s">
        <v>105</v>
      </c>
      <c r="K1512" s="104" t="s">
        <v>185</v>
      </c>
      <c r="L1512" s="104" t="s">
        <v>997</v>
      </c>
      <c r="M1512" s="104"/>
      <c r="N1512" s="108" t="s">
        <v>17</v>
      </c>
      <c r="O1512" s="104" t="s">
        <v>17</v>
      </c>
      <c r="P1512" s="113">
        <v>3.2840000000000003</v>
      </c>
      <c r="Q1512" s="113">
        <v>1.716</v>
      </c>
      <c r="R1512" s="104" t="s">
        <v>17</v>
      </c>
      <c r="S1512" s="253">
        <f t="shared" si="20"/>
        <v>638.481218583295</v>
      </c>
      <c r="T1512" s="103" t="s">
        <v>1384</v>
      </c>
      <c r="U1512" s="108">
        <v>0.98499999999999999</v>
      </c>
      <c r="V1512" s="107">
        <v>16.5</v>
      </c>
      <c r="W1512" s="414" t="s">
        <v>1385</v>
      </c>
    </row>
    <row r="1513" spans="1:23" ht="21" customHeight="1">
      <c r="A1513" s="104" t="s">
        <v>169</v>
      </c>
      <c r="B1513" s="104" t="s">
        <v>149</v>
      </c>
      <c r="C1513" s="454" t="s">
        <v>150</v>
      </c>
      <c r="D1513" s="105" t="s">
        <v>151</v>
      </c>
      <c r="E1513" s="104">
        <v>3</v>
      </c>
      <c r="F1513" s="104">
        <v>2352</v>
      </c>
      <c r="G1513" s="106" t="s">
        <v>983</v>
      </c>
      <c r="H1513" s="104" t="s">
        <v>642</v>
      </c>
      <c r="I1513" s="104" t="s">
        <v>104</v>
      </c>
      <c r="J1513" s="104" t="s">
        <v>105</v>
      </c>
      <c r="K1513" s="104" t="s">
        <v>185</v>
      </c>
      <c r="L1513" s="104" t="s">
        <v>997</v>
      </c>
      <c r="M1513" s="104"/>
      <c r="N1513" s="108" t="s">
        <v>17</v>
      </c>
      <c r="O1513" s="104" t="s">
        <v>17</v>
      </c>
      <c r="P1513" s="113">
        <v>3.2979999999999996</v>
      </c>
      <c r="Q1513" s="113">
        <v>2.0940000000000003</v>
      </c>
      <c r="R1513" s="104" t="s">
        <v>17</v>
      </c>
      <c r="S1513" s="253">
        <f t="shared" si="20"/>
        <v>646.90780167696539</v>
      </c>
      <c r="T1513" s="103" t="s">
        <v>1384</v>
      </c>
      <c r="U1513" s="108">
        <v>0.98499999999999999</v>
      </c>
      <c r="V1513" s="107">
        <v>16.5</v>
      </c>
      <c r="W1513" s="414" t="s">
        <v>1385</v>
      </c>
    </row>
    <row r="1514" spans="1:23" ht="21" customHeight="1">
      <c r="A1514" s="104" t="s">
        <v>169</v>
      </c>
      <c r="B1514" s="104" t="s">
        <v>149</v>
      </c>
      <c r="C1514" s="454" t="s">
        <v>150</v>
      </c>
      <c r="D1514" s="105" t="s">
        <v>151</v>
      </c>
      <c r="E1514" s="104">
        <v>3</v>
      </c>
      <c r="F1514" s="104">
        <v>2352</v>
      </c>
      <c r="G1514" s="106" t="s">
        <v>983</v>
      </c>
      <c r="H1514" s="104" t="s">
        <v>642</v>
      </c>
      <c r="I1514" s="104" t="s">
        <v>104</v>
      </c>
      <c r="J1514" s="104" t="s">
        <v>105</v>
      </c>
      <c r="K1514" s="104" t="s">
        <v>185</v>
      </c>
      <c r="L1514" s="104" t="s">
        <v>997</v>
      </c>
      <c r="M1514" s="104"/>
      <c r="N1514" s="108" t="s">
        <v>17</v>
      </c>
      <c r="O1514" s="104" t="s">
        <v>17</v>
      </c>
      <c r="P1514" s="113">
        <v>3.3049999999999997</v>
      </c>
      <c r="Q1514" s="113">
        <v>2.7869999999999999</v>
      </c>
      <c r="R1514" s="104" t="s">
        <v>17</v>
      </c>
      <c r="S1514" s="253">
        <f t="shared" si="20"/>
        <v>651.1491612065638</v>
      </c>
      <c r="T1514" s="103" t="s">
        <v>1384</v>
      </c>
      <c r="U1514" s="108">
        <v>0.98499999999999999</v>
      </c>
      <c r="V1514" s="107">
        <v>16.5</v>
      </c>
      <c r="W1514" s="414" t="s">
        <v>1385</v>
      </c>
    </row>
    <row r="1515" spans="1:23" ht="21" customHeight="1">
      <c r="A1515" s="104" t="s">
        <v>169</v>
      </c>
      <c r="B1515" s="104" t="s">
        <v>149</v>
      </c>
      <c r="C1515" s="454" t="s">
        <v>150</v>
      </c>
      <c r="D1515" s="105" t="s">
        <v>151</v>
      </c>
      <c r="E1515" s="104">
        <v>3</v>
      </c>
      <c r="F1515" s="104">
        <v>2352</v>
      </c>
      <c r="G1515" s="106" t="s">
        <v>983</v>
      </c>
      <c r="H1515" s="104" t="s">
        <v>642</v>
      </c>
      <c r="I1515" s="104" t="s">
        <v>104</v>
      </c>
      <c r="J1515" s="104" t="s">
        <v>105</v>
      </c>
      <c r="K1515" s="104" t="s">
        <v>185</v>
      </c>
      <c r="L1515" s="104" t="s">
        <v>997</v>
      </c>
      <c r="M1515" s="104"/>
      <c r="N1515" s="108" t="s">
        <v>17</v>
      </c>
      <c r="O1515" s="104" t="s">
        <v>17</v>
      </c>
      <c r="P1515" s="113">
        <v>3.3420000000000001</v>
      </c>
      <c r="Q1515" s="113">
        <v>2.798</v>
      </c>
      <c r="R1515" s="104" t="s">
        <v>17</v>
      </c>
      <c r="S1515" s="253">
        <f t="shared" si="20"/>
        <v>673.88060996056311</v>
      </c>
      <c r="T1515" s="103" t="s">
        <v>1384</v>
      </c>
      <c r="U1515" s="108">
        <v>0.98499999999999999</v>
      </c>
      <c r="V1515" s="107">
        <v>16.5</v>
      </c>
      <c r="W1515" s="414" t="s">
        <v>1385</v>
      </c>
    </row>
    <row r="1516" spans="1:23" ht="21" customHeight="1">
      <c r="A1516" s="104" t="s">
        <v>169</v>
      </c>
      <c r="B1516" s="104" t="s">
        <v>149</v>
      </c>
      <c r="C1516" s="454" t="s">
        <v>150</v>
      </c>
      <c r="D1516" s="105" t="s">
        <v>151</v>
      </c>
      <c r="E1516" s="104">
        <v>3</v>
      </c>
      <c r="F1516" s="104">
        <v>-999</v>
      </c>
      <c r="G1516" s="106" t="s">
        <v>983</v>
      </c>
      <c r="H1516" s="104" t="s">
        <v>642</v>
      </c>
      <c r="I1516" s="104" t="s">
        <v>104</v>
      </c>
      <c r="J1516" s="104" t="s">
        <v>105</v>
      </c>
      <c r="K1516" s="104" t="s">
        <v>185</v>
      </c>
      <c r="L1516" s="104" t="s">
        <v>997</v>
      </c>
      <c r="M1516" s="104"/>
      <c r="N1516" s="108" t="s">
        <v>17</v>
      </c>
      <c r="O1516" s="104" t="s">
        <v>17</v>
      </c>
      <c r="P1516" s="113">
        <v>3.3590000000000004</v>
      </c>
      <c r="Q1516" s="113">
        <v>2.8210000000000002</v>
      </c>
      <c r="R1516" s="104" t="s">
        <v>17</v>
      </c>
      <c r="S1516" s="253">
        <f t="shared" si="20"/>
        <v>684.50236906740599</v>
      </c>
      <c r="T1516" s="103" t="s">
        <v>1384</v>
      </c>
      <c r="U1516" s="108">
        <v>0.98499999999999999</v>
      </c>
      <c r="V1516" s="107">
        <v>16.5</v>
      </c>
      <c r="W1516" s="414" t="s">
        <v>1385</v>
      </c>
    </row>
    <row r="1517" spans="1:23" ht="21" customHeight="1">
      <c r="A1517" s="104" t="s">
        <v>169</v>
      </c>
      <c r="B1517" s="104" t="s">
        <v>149</v>
      </c>
      <c r="C1517" s="454" t="s">
        <v>150</v>
      </c>
      <c r="D1517" s="105" t="s">
        <v>151</v>
      </c>
      <c r="E1517" s="104">
        <v>3</v>
      </c>
      <c r="F1517" s="104">
        <v>2352</v>
      </c>
      <c r="G1517" s="106" t="s">
        <v>983</v>
      </c>
      <c r="H1517" s="104" t="s">
        <v>642</v>
      </c>
      <c r="I1517" s="104" t="s">
        <v>104</v>
      </c>
      <c r="J1517" s="104" t="s">
        <v>105</v>
      </c>
      <c r="K1517" s="104" t="s">
        <v>185</v>
      </c>
      <c r="L1517" s="104" t="s">
        <v>997</v>
      </c>
      <c r="M1517" s="104"/>
      <c r="N1517" s="108" t="s">
        <v>17</v>
      </c>
      <c r="O1517" s="104" t="s">
        <v>17</v>
      </c>
      <c r="P1517" s="113">
        <v>3.4020000000000001</v>
      </c>
      <c r="Q1517" s="113">
        <v>2.1930000000000001</v>
      </c>
      <c r="R1517" s="104" t="s">
        <v>17</v>
      </c>
      <c r="S1517" s="253">
        <f t="shared" si="20"/>
        <v>711.87352280259074</v>
      </c>
      <c r="T1517" s="103" t="s">
        <v>1384</v>
      </c>
      <c r="U1517" s="108">
        <v>0.98499999999999999</v>
      </c>
      <c r="V1517" s="107">
        <v>16.5</v>
      </c>
      <c r="W1517" s="414" t="s">
        <v>1385</v>
      </c>
    </row>
    <row r="1518" spans="1:23" ht="21" customHeight="1">
      <c r="A1518" s="104" t="s">
        <v>169</v>
      </c>
      <c r="B1518" s="104" t="s">
        <v>149</v>
      </c>
      <c r="C1518" s="454" t="s">
        <v>150</v>
      </c>
      <c r="D1518" s="105" t="s">
        <v>151</v>
      </c>
      <c r="E1518" s="104">
        <v>3</v>
      </c>
      <c r="F1518" s="104">
        <v>2352</v>
      </c>
      <c r="G1518" s="106" t="s">
        <v>983</v>
      </c>
      <c r="H1518" s="104" t="s">
        <v>642</v>
      </c>
      <c r="I1518" s="104" t="s">
        <v>104</v>
      </c>
      <c r="J1518" s="104" t="s">
        <v>105</v>
      </c>
      <c r="K1518" s="104" t="s">
        <v>1175</v>
      </c>
      <c r="L1518" s="104" t="s">
        <v>1176</v>
      </c>
      <c r="M1518" s="104"/>
      <c r="N1518" s="108" t="s">
        <v>17</v>
      </c>
      <c r="O1518" s="104" t="s">
        <v>17</v>
      </c>
      <c r="P1518" s="113">
        <v>3.1680000000000001</v>
      </c>
      <c r="Q1518" s="113">
        <v>2.4140000000000001</v>
      </c>
      <c r="R1518" s="104" t="s">
        <v>17</v>
      </c>
      <c r="S1518" s="253">
        <f>( (10^((2.965*LOG((P1518))+1.383))) +  (10^((3.09*LOG((P1518))+1.29))))/2</f>
        <v>712.67755892014168</v>
      </c>
      <c r="T1518" s="103" t="s">
        <v>1412</v>
      </c>
      <c r="U1518" s="108"/>
      <c r="V1518" s="107"/>
      <c r="W1518" s="414" t="s">
        <v>1385</v>
      </c>
    </row>
    <row r="1519" spans="1:23" ht="21" customHeight="1">
      <c r="A1519" s="104" t="s">
        <v>169</v>
      </c>
      <c r="B1519" s="104" t="s">
        <v>149</v>
      </c>
      <c r="C1519" s="454" t="s">
        <v>150</v>
      </c>
      <c r="D1519" s="105" t="s">
        <v>151</v>
      </c>
      <c r="E1519" s="104">
        <v>3</v>
      </c>
      <c r="F1519" s="104">
        <v>2352</v>
      </c>
      <c r="G1519" s="106" t="s">
        <v>983</v>
      </c>
      <c r="H1519" s="104" t="s">
        <v>642</v>
      </c>
      <c r="I1519" s="104" t="s">
        <v>104</v>
      </c>
      <c r="J1519" s="104" t="s">
        <v>105</v>
      </c>
      <c r="K1519" s="104" t="s">
        <v>185</v>
      </c>
      <c r="L1519" s="104" t="s">
        <v>997</v>
      </c>
      <c r="M1519" s="104"/>
      <c r="N1519" s="108" t="s">
        <v>17</v>
      </c>
      <c r="O1519" s="104" t="s">
        <v>17</v>
      </c>
      <c r="P1519" s="113">
        <v>3.4420000000000002</v>
      </c>
      <c r="Q1519" s="113">
        <v>2.0059999999999998</v>
      </c>
      <c r="R1519" s="104" t="s">
        <v>17</v>
      </c>
      <c r="S1519" s="253">
        <f>((10^((3.187*LOG((P1519))+1.264))+(10^((3.01*LOG((P1519))+1.216)))+(10^(((2.999*(LOG(P1519)))+1.162)))))/3</f>
        <v>737.9910700043356</v>
      </c>
      <c r="T1519" s="103" t="s">
        <v>1384</v>
      </c>
      <c r="U1519" s="108">
        <v>0.98499999999999999</v>
      </c>
      <c r="V1519" s="107">
        <v>16.5</v>
      </c>
      <c r="W1519" s="414" t="s">
        <v>1385</v>
      </c>
    </row>
    <row r="1520" spans="1:23" ht="21" customHeight="1">
      <c r="A1520" s="104" t="s">
        <v>169</v>
      </c>
      <c r="B1520" s="104" t="s">
        <v>149</v>
      </c>
      <c r="C1520" s="454" t="s">
        <v>150</v>
      </c>
      <c r="D1520" s="105" t="s">
        <v>151</v>
      </c>
      <c r="E1520" s="104">
        <v>3</v>
      </c>
      <c r="F1520" s="104">
        <v>2352</v>
      </c>
      <c r="G1520" s="106" t="s">
        <v>983</v>
      </c>
      <c r="H1520" s="104" t="s">
        <v>642</v>
      </c>
      <c r="I1520" s="104" t="s">
        <v>104</v>
      </c>
      <c r="J1520" s="104" t="s">
        <v>105</v>
      </c>
      <c r="K1520" s="104" t="s">
        <v>1175</v>
      </c>
      <c r="L1520" s="104" t="s">
        <v>1176</v>
      </c>
      <c r="M1520" s="104"/>
      <c r="N1520" s="108" t="s">
        <v>17</v>
      </c>
      <c r="O1520" s="104" t="s">
        <v>17</v>
      </c>
      <c r="P1520" s="113">
        <v>3.2280000000000002</v>
      </c>
      <c r="Q1520" s="113">
        <v>1.556</v>
      </c>
      <c r="R1520" s="104" t="s">
        <v>17</v>
      </c>
      <c r="S1520" s="253">
        <f>( (10^((2.965*LOG((P1520))+1.383))) +  (10^((3.09*LOG((P1520))+1.29))))/2</f>
        <v>754.30103416803718</v>
      </c>
      <c r="T1520" s="103" t="s">
        <v>1412</v>
      </c>
      <c r="U1520" s="108"/>
      <c r="V1520" s="107"/>
      <c r="W1520" s="414" t="s">
        <v>1385</v>
      </c>
    </row>
    <row r="1521" spans="1:23" ht="21" customHeight="1">
      <c r="A1521" s="104" t="s">
        <v>169</v>
      </c>
      <c r="B1521" s="104" t="s">
        <v>149</v>
      </c>
      <c r="C1521" s="454" t="s">
        <v>150</v>
      </c>
      <c r="D1521" s="105" t="s">
        <v>151</v>
      </c>
      <c r="E1521" s="104">
        <v>3</v>
      </c>
      <c r="F1521" s="104">
        <v>2352</v>
      </c>
      <c r="G1521" s="106" t="s">
        <v>983</v>
      </c>
      <c r="H1521" s="104" t="s">
        <v>642</v>
      </c>
      <c r="I1521" s="104" t="s">
        <v>104</v>
      </c>
      <c r="J1521" s="104" t="s">
        <v>105</v>
      </c>
      <c r="K1521" s="104" t="s">
        <v>153</v>
      </c>
      <c r="L1521" s="104" t="s">
        <v>1100</v>
      </c>
      <c r="M1521" s="104"/>
      <c r="N1521" s="108" t="s">
        <v>17</v>
      </c>
      <c r="O1521" s="104" t="s">
        <v>17</v>
      </c>
      <c r="P1521" s="113">
        <v>3.2939999999999996</v>
      </c>
      <c r="Q1521" s="113">
        <v>1.528</v>
      </c>
      <c r="R1521" s="104" t="s">
        <v>17</v>
      </c>
      <c r="S1521" s="253">
        <f>( (10^((2.965*LOG((P1521))+1.383))) +  (10^((3.09*LOG((P1521))+1.29))))/2</f>
        <v>801.93359167013534</v>
      </c>
      <c r="T1521" s="103" t="s">
        <v>1415</v>
      </c>
      <c r="U1521" s="108"/>
      <c r="V1521" s="107"/>
      <c r="W1521" s="414" t="s">
        <v>1385</v>
      </c>
    </row>
    <row r="1522" spans="1:23" ht="21" customHeight="1">
      <c r="A1522" s="104" t="s">
        <v>169</v>
      </c>
      <c r="B1522" s="104" t="s">
        <v>149</v>
      </c>
      <c r="C1522" s="454" t="s">
        <v>150</v>
      </c>
      <c r="D1522" s="105" t="s">
        <v>151</v>
      </c>
      <c r="E1522" s="104">
        <v>3</v>
      </c>
      <c r="F1522" s="104">
        <v>1924</v>
      </c>
      <c r="G1522" s="106" t="s">
        <v>983</v>
      </c>
      <c r="H1522" s="104" t="s">
        <v>642</v>
      </c>
      <c r="I1522" s="104" t="s">
        <v>104</v>
      </c>
      <c r="J1522" s="104" t="s">
        <v>105</v>
      </c>
      <c r="K1522" s="104" t="s">
        <v>178</v>
      </c>
      <c r="L1522" s="104" t="s">
        <v>1110</v>
      </c>
      <c r="M1522" s="104"/>
      <c r="N1522" s="108" t="s">
        <v>17</v>
      </c>
      <c r="O1522" s="104" t="s">
        <v>17</v>
      </c>
      <c r="P1522" s="113">
        <v>3.2610000000000001</v>
      </c>
      <c r="Q1522" s="113">
        <v>1.7120000000000002</v>
      </c>
      <c r="R1522" s="104" t="s">
        <v>17</v>
      </c>
      <c r="S1522" s="253">
        <f>(10^((2.965*LOG((P1522))+1.383)))</f>
        <v>803.68362271014917</v>
      </c>
      <c r="T1522" s="103" t="s">
        <v>1410</v>
      </c>
      <c r="U1522" s="108">
        <v>0.95699999999999996</v>
      </c>
      <c r="V1522" s="108">
        <v>37.6</v>
      </c>
      <c r="W1522" s="414" t="s">
        <v>1388</v>
      </c>
    </row>
    <row r="1523" spans="1:23" ht="21" customHeight="1">
      <c r="A1523" s="104" t="s">
        <v>169</v>
      </c>
      <c r="B1523" s="104" t="s">
        <v>149</v>
      </c>
      <c r="C1523" s="454" t="s">
        <v>150</v>
      </c>
      <c r="D1523" s="105" t="s">
        <v>151</v>
      </c>
      <c r="E1523" s="104">
        <v>3</v>
      </c>
      <c r="F1523" s="104">
        <v>2352</v>
      </c>
      <c r="G1523" s="106" t="s">
        <v>983</v>
      </c>
      <c r="H1523" s="104" t="s">
        <v>642</v>
      </c>
      <c r="I1523" s="104" t="s">
        <v>104</v>
      </c>
      <c r="J1523" s="104" t="s">
        <v>105</v>
      </c>
      <c r="K1523" s="104" t="s">
        <v>153</v>
      </c>
      <c r="L1523" s="104" t="s">
        <v>1100</v>
      </c>
      <c r="M1523" s="104"/>
      <c r="N1523" s="108" t="s">
        <v>17</v>
      </c>
      <c r="O1523" s="104" t="s">
        <v>17</v>
      </c>
      <c r="P1523" s="113">
        <v>3.3560000000000003</v>
      </c>
      <c r="Q1523" s="113">
        <v>1.5550000000000002</v>
      </c>
      <c r="R1523" s="104" t="s">
        <v>17</v>
      </c>
      <c r="S1523" s="253">
        <f t="shared" ref="S1523:S1528" si="21">( (10^((2.965*LOG((P1523))+1.383))) +  (10^((3.09*LOG((P1523))+1.29))))/2</f>
        <v>848.47685678056973</v>
      </c>
      <c r="T1523" s="103" t="s">
        <v>1415</v>
      </c>
      <c r="U1523" s="108"/>
      <c r="V1523" s="107"/>
      <c r="W1523" s="414" t="s">
        <v>1385</v>
      </c>
    </row>
    <row r="1524" spans="1:23" ht="21" customHeight="1">
      <c r="A1524" s="104" t="s">
        <v>169</v>
      </c>
      <c r="B1524" s="104" t="s">
        <v>149</v>
      </c>
      <c r="C1524" s="454" t="s">
        <v>150</v>
      </c>
      <c r="D1524" s="105" t="s">
        <v>151</v>
      </c>
      <c r="E1524" s="104">
        <v>3</v>
      </c>
      <c r="F1524" s="104">
        <v>2352</v>
      </c>
      <c r="G1524" s="106" t="s">
        <v>983</v>
      </c>
      <c r="H1524" s="104" t="s">
        <v>642</v>
      </c>
      <c r="I1524" s="104" t="s">
        <v>104</v>
      </c>
      <c r="J1524" s="104" t="s">
        <v>105</v>
      </c>
      <c r="K1524" s="104" t="s">
        <v>153</v>
      </c>
      <c r="L1524" s="104" t="s">
        <v>1100</v>
      </c>
      <c r="M1524" s="104"/>
      <c r="N1524" s="108" t="s">
        <v>17</v>
      </c>
      <c r="O1524" s="104" t="s">
        <v>17</v>
      </c>
      <c r="P1524" s="113">
        <v>3.625</v>
      </c>
      <c r="Q1524" s="113">
        <v>2.5659999999999998</v>
      </c>
      <c r="R1524" s="104" t="s">
        <v>17</v>
      </c>
      <c r="S1524" s="253">
        <f t="shared" si="21"/>
        <v>1071.4166492209824</v>
      </c>
      <c r="T1524" s="103" t="s">
        <v>1415</v>
      </c>
      <c r="U1524" s="108"/>
      <c r="V1524" s="107"/>
      <c r="W1524" s="414" t="s">
        <v>1385</v>
      </c>
    </row>
    <row r="1525" spans="1:23" ht="21" customHeight="1">
      <c r="A1525" s="104" t="s">
        <v>169</v>
      </c>
      <c r="B1525" s="104" t="s">
        <v>149</v>
      </c>
      <c r="C1525" s="454" t="s">
        <v>150</v>
      </c>
      <c r="D1525" s="105" t="s">
        <v>151</v>
      </c>
      <c r="E1525" s="104">
        <v>3</v>
      </c>
      <c r="F1525" s="104">
        <v>2352</v>
      </c>
      <c r="G1525" s="106" t="s">
        <v>983</v>
      </c>
      <c r="H1525" s="104" t="s">
        <v>642</v>
      </c>
      <c r="I1525" s="104" t="s">
        <v>104</v>
      </c>
      <c r="J1525" s="104" t="s">
        <v>105</v>
      </c>
      <c r="K1525" s="104" t="s">
        <v>1175</v>
      </c>
      <c r="L1525" s="104" t="s">
        <v>1176</v>
      </c>
      <c r="M1525" s="104"/>
      <c r="N1525" s="108" t="s">
        <v>17</v>
      </c>
      <c r="O1525" s="104" t="s">
        <v>17</v>
      </c>
      <c r="P1525" s="113">
        <v>3.629</v>
      </c>
      <c r="Q1525" s="113">
        <v>2.4379999999999997</v>
      </c>
      <c r="R1525" s="104" t="s">
        <v>17</v>
      </c>
      <c r="S1525" s="253">
        <f t="shared" si="21"/>
        <v>1074.9979586651611</v>
      </c>
      <c r="T1525" s="103" t="s">
        <v>1412</v>
      </c>
      <c r="U1525" s="108"/>
      <c r="V1525" s="107"/>
      <c r="W1525" s="414" t="s">
        <v>1385</v>
      </c>
    </row>
    <row r="1526" spans="1:23" ht="21" customHeight="1">
      <c r="A1526" s="104" t="s">
        <v>169</v>
      </c>
      <c r="B1526" s="104" t="s">
        <v>149</v>
      </c>
      <c r="C1526" s="454" t="s">
        <v>150</v>
      </c>
      <c r="D1526" s="105" t="s">
        <v>151</v>
      </c>
      <c r="E1526" s="104">
        <v>3</v>
      </c>
      <c r="F1526" s="104">
        <v>2352</v>
      </c>
      <c r="G1526" s="106" t="s">
        <v>983</v>
      </c>
      <c r="H1526" s="104" t="s">
        <v>642</v>
      </c>
      <c r="I1526" s="104" t="s">
        <v>104</v>
      </c>
      <c r="J1526" s="104" t="s">
        <v>105</v>
      </c>
      <c r="K1526" s="104" t="s">
        <v>153</v>
      </c>
      <c r="L1526" s="104" t="s">
        <v>1100</v>
      </c>
      <c r="M1526" s="104"/>
      <c r="N1526" s="108" t="s">
        <v>17</v>
      </c>
      <c r="O1526" s="104" t="s">
        <v>17</v>
      </c>
      <c r="P1526" s="113">
        <v>4.1159999999999997</v>
      </c>
      <c r="Q1526" s="113">
        <v>2.7</v>
      </c>
      <c r="R1526" s="104" t="s">
        <v>17</v>
      </c>
      <c r="S1526" s="253">
        <f t="shared" si="21"/>
        <v>1573.6190880399135</v>
      </c>
      <c r="T1526" s="103" t="s">
        <v>1415</v>
      </c>
      <c r="U1526" s="108"/>
      <c r="V1526" s="107"/>
      <c r="W1526" s="414" t="s">
        <v>1385</v>
      </c>
    </row>
    <row r="1527" spans="1:23" ht="21" customHeight="1">
      <c r="A1527" s="104" t="s">
        <v>169</v>
      </c>
      <c r="B1527" s="104" t="s">
        <v>149</v>
      </c>
      <c r="C1527" s="454" t="s">
        <v>150</v>
      </c>
      <c r="D1527" s="105" t="s">
        <v>151</v>
      </c>
      <c r="E1527" s="104">
        <v>3</v>
      </c>
      <c r="F1527" s="104">
        <v>2352</v>
      </c>
      <c r="G1527" s="106" t="s">
        <v>983</v>
      </c>
      <c r="H1527" s="104" t="s">
        <v>642</v>
      </c>
      <c r="I1527" s="104" t="s">
        <v>104</v>
      </c>
      <c r="J1527" s="104" t="s">
        <v>105</v>
      </c>
      <c r="K1527" s="104" t="s">
        <v>153</v>
      </c>
      <c r="L1527" s="104" t="s">
        <v>1100</v>
      </c>
      <c r="M1527" s="104"/>
      <c r="N1527" s="108" t="s">
        <v>17</v>
      </c>
      <c r="O1527" s="104" t="s">
        <v>17</v>
      </c>
      <c r="P1527" s="113">
        <v>4.1349999999999998</v>
      </c>
      <c r="Q1527" s="113">
        <v>2.7359999999999998</v>
      </c>
      <c r="R1527" s="104" t="s">
        <v>17</v>
      </c>
      <c r="S1527" s="253">
        <f t="shared" si="21"/>
        <v>1595.7055313374058</v>
      </c>
      <c r="T1527" s="103" t="s">
        <v>1415</v>
      </c>
      <c r="U1527" s="108"/>
      <c r="V1527" s="107"/>
      <c r="W1527" s="414" t="s">
        <v>1385</v>
      </c>
    </row>
    <row r="1528" spans="1:23" ht="21" customHeight="1">
      <c r="A1528" s="104" t="s">
        <v>169</v>
      </c>
      <c r="B1528" s="104" t="s">
        <v>149</v>
      </c>
      <c r="C1528" s="454" t="s">
        <v>150</v>
      </c>
      <c r="D1528" s="105" t="s">
        <v>151</v>
      </c>
      <c r="E1528" s="104">
        <v>3</v>
      </c>
      <c r="F1528" s="104">
        <v>2352</v>
      </c>
      <c r="G1528" s="106" t="s">
        <v>983</v>
      </c>
      <c r="H1528" s="104" t="s">
        <v>642</v>
      </c>
      <c r="I1528" s="104" t="s">
        <v>104</v>
      </c>
      <c r="J1528" s="104" t="s">
        <v>105</v>
      </c>
      <c r="K1528" s="104" t="s">
        <v>153</v>
      </c>
      <c r="L1528" s="104" t="s">
        <v>1100</v>
      </c>
      <c r="M1528" s="104"/>
      <c r="N1528" s="108" t="s">
        <v>17</v>
      </c>
      <c r="O1528" s="104" t="s">
        <v>17</v>
      </c>
      <c r="P1528" s="113">
        <v>4.2090000000000005</v>
      </c>
      <c r="Q1528" s="113">
        <v>2.8969999999999998</v>
      </c>
      <c r="R1528" s="104" t="s">
        <v>17</v>
      </c>
      <c r="S1528" s="253">
        <f t="shared" si="21"/>
        <v>1683.7060085099138</v>
      </c>
      <c r="T1528" s="103" t="s">
        <v>1415</v>
      </c>
      <c r="U1528" s="108"/>
      <c r="V1528" s="107"/>
      <c r="W1528" s="414" t="s">
        <v>1385</v>
      </c>
    </row>
    <row r="1529" spans="1:23" ht="21" customHeight="1">
      <c r="A1529" s="104" t="s">
        <v>169</v>
      </c>
      <c r="B1529" s="104" t="s">
        <v>246</v>
      </c>
      <c r="C1529" s="454" t="s">
        <v>247</v>
      </c>
      <c r="D1529" s="105" t="s">
        <v>248</v>
      </c>
      <c r="E1529" s="104">
        <v>3</v>
      </c>
      <c r="F1529" s="104">
        <v>2219</v>
      </c>
      <c r="G1529" s="106" t="s">
        <v>983</v>
      </c>
      <c r="H1529" s="104" t="s">
        <v>642</v>
      </c>
      <c r="I1529" s="104" t="s">
        <v>104</v>
      </c>
      <c r="J1529" s="104" t="s">
        <v>105</v>
      </c>
      <c r="K1529" s="104" t="s">
        <v>155</v>
      </c>
      <c r="L1529" s="104" t="s">
        <v>658</v>
      </c>
      <c r="M1529" s="104"/>
      <c r="N1529" s="108" t="s">
        <v>17</v>
      </c>
      <c r="O1529" s="104" t="s">
        <v>17</v>
      </c>
      <c r="P1529" s="113">
        <v>2.38</v>
      </c>
      <c r="Q1529" s="113">
        <v>2.52</v>
      </c>
      <c r="R1529" s="104" t="s">
        <v>17</v>
      </c>
      <c r="S1529" s="253">
        <f>(10^((2.9*LOG((P1529))+1.209)))</f>
        <v>200.01988602128455</v>
      </c>
      <c r="T1529" s="103" t="s">
        <v>1386</v>
      </c>
      <c r="U1529" s="108">
        <v>0.96399999999999997</v>
      </c>
      <c r="V1529" s="107">
        <v>30.5</v>
      </c>
      <c r="W1529" s="414" t="s">
        <v>1385</v>
      </c>
    </row>
    <row r="1530" spans="1:23" ht="21" customHeight="1">
      <c r="A1530" s="104" t="s">
        <v>169</v>
      </c>
      <c r="B1530" s="104" t="s">
        <v>246</v>
      </c>
      <c r="C1530" s="454" t="s">
        <v>247</v>
      </c>
      <c r="D1530" s="105" t="s">
        <v>248</v>
      </c>
      <c r="E1530" s="104">
        <v>3</v>
      </c>
      <c r="F1530" s="104">
        <v>2219</v>
      </c>
      <c r="G1530" s="106" t="s">
        <v>983</v>
      </c>
      <c r="H1530" s="104" t="s">
        <v>642</v>
      </c>
      <c r="I1530" s="104" t="s">
        <v>104</v>
      </c>
      <c r="J1530" s="104" t="s">
        <v>105</v>
      </c>
      <c r="K1530" s="104" t="s">
        <v>143</v>
      </c>
      <c r="L1530" s="104" t="s">
        <v>408</v>
      </c>
      <c r="M1530" s="104"/>
      <c r="N1530" s="108" t="s">
        <v>17</v>
      </c>
      <c r="O1530" s="104" t="s">
        <v>17</v>
      </c>
      <c r="P1530" s="113">
        <v>2.5829999999999997</v>
      </c>
      <c r="Q1530" s="113">
        <v>2.8319999999999999</v>
      </c>
      <c r="R1530" s="104" t="s">
        <v>17</v>
      </c>
      <c r="S1530" s="253">
        <f>(10^((2.9*LOG((P1530))+1.209)))</f>
        <v>253.60673210333917</v>
      </c>
      <c r="T1530" s="103" t="s">
        <v>1386</v>
      </c>
      <c r="U1530" s="108">
        <v>0.96399999999999997</v>
      </c>
      <c r="V1530" s="107">
        <v>30.5</v>
      </c>
      <c r="W1530" s="414" t="s">
        <v>1385</v>
      </c>
    </row>
    <row r="1531" spans="1:23" ht="21" customHeight="1">
      <c r="A1531" s="104" t="s">
        <v>169</v>
      </c>
      <c r="B1531" s="104" t="s">
        <v>246</v>
      </c>
      <c r="C1531" s="454" t="s">
        <v>247</v>
      </c>
      <c r="D1531" s="105" t="s">
        <v>248</v>
      </c>
      <c r="E1531" s="104">
        <v>3</v>
      </c>
      <c r="F1531" s="104">
        <v>2554</v>
      </c>
      <c r="G1531" s="106" t="s">
        <v>983</v>
      </c>
      <c r="H1531" s="104" t="s">
        <v>642</v>
      </c>
      <c r="I1531" s="104" t="s">
        <v>104</v>
      </c>
      <c r="J1531" s="104" t="s">
        <v>105</v>
      </c>
      <c r="K1531" s="104" t="s">
        <v>112</v>
      </c>
      <c r="L1531" s="104" t="s">
        <v>663</v>
      </c>
      <c r="M1531" s="104"/>
      <c r="N1531" s="108" t="s">
        <v>17</v>
      </c>
      <c r="O1531" s="104" t="s">
        <v>17</v>
      </c>
      <c r="P1531" s="113">
        <v>2.4279999999999999</v>
      </c>
      <c r="Q1531" s="113">
        <v>3.0510000000000002</v>
      </c>
      <c r="R1531" s="104" t="s">
        <v>17</v>
      </c>
      <c r="S1531" s="253">
        <f>(10^((3.187*LOG((P1531))+1.264)))</f>
        <v>310.30412638745935</v>
      </c>
      <c r="T1531" s="103" t="s">
        <v>1387</v>
      </c>
      <c r="U1531" s="108">
        <v>0.98499999999999999</v>
      </c>
      <c r="V1531" s="107">
        <v>16.5</v>
      </c>
      <c r="W1531" s="414" t="s">
        <v>1385</v>
      </c>
    </row>
    <row r="1532" spans="1:23" ht="21" customHeight="1">
      <c r="A1532" s="104" t="s">
        <v>592</v>
      </c>
      <c r="B1532" s="104" t="s">
        <v>1446</v>
      </c>
      <c r="C1532" s="454" t="s">
        <v>1447</v>
      </c>
      <c r="D1532" s="105" t="s">
        <v>151</v>
      </c>
      <c r="E1532" s="104">
        <v>3</v>
      </c>
      <c r="F1532" s="104">
        <v>4000</v>
      </c>
      <c r="G1532" s="106" t="s">
        <v>983</v>
      </c>
      <c r="H1532" s="104" t="s">
        <v>642</v>
      </c>
      <c r="I1532" s="104" t="s">
        <v>104</v>
      </c>
      <c r="J1532" s="104" t="s">
        <v>105</v>
      </c>
      <c r="K1532" s="104" t="s">
        <v>112</v>
      </c>
      <c r="L1532" s="104" t="s">
        <v>663</v>
      </c>
      <c r="M1532" s="104"/>
      <c r="N1532" s="108" t="s">
        <v>17</v>
      </c>
      <c r="O1532" s="104" t="s">
        <v>17</v>
      </c>
      <c r="P1532" s="113">
        <v>4.2530000000000001</v>
      </c>
      <c r="Q1532" s="113">
        <v>3.601</v>
      </c>
      <c r="R1532" s="104" t="s">
        <v>17</v>
      </c>
      <c r="S1532" s="253"/>
      <c r="T1532" s="104"/>
      <c r="U1532" s="108"/>
      <c r="V1532" s="107"/>
      <c r="W1532" s="114"/>
    </row>
    <row r="1533" spans="1:23" ht="21" customHeight="1">
      <c r="A1533" s="103" t="s">
        <v>601</v>
      </c>
      <c r="B1533" s="103" t="s">
        <v>602</v>
      </c>
      <c r="C1533" s="421" t="s">
        <v>609</v>
      </c>
      <c r="D1533" s="396" t="s">
        <v>610</v>
      </c>
      <c r="E1533" s="103">
        <v>3</v>
      </c>
      <c r="F1533" s="103">
        <v>2150</v>
      </c>
      <c r="G1533" s="103" t="s">
        <v>983</v>
      </c>
      <c r="H1533" s="103" t="s">
        <v>642</v>
      </c>
      <c r="I1533" s="104" t="s">
        <v>104</v>
      </c>
      <c r="J1533" s="103" t="s">
        <v>105</v>
      </c>
      <c r="K1533" s="103" t="s">
        <v>1474</v>
      </c>
      <c r="L1533" s="103" t="s">
        <v>1475</v>
      </c>
      <c r="M1533" s="103"/>
      <c r="N1533" s="103"/>
      <c r="O1533" s="103"/>
      <c r="P1533" s="103">
        <v>15.2</v>
      </c>
      <c r="Q1533" s="103">
        <v>9.7100000000000009</v>
      </c>
      <c r="R1533" s="103"/>
      <c r="S1533" s="476"/>
      <c r="T1533" s="103"/>
      <c r="U1533" s="103"/>
      <c r="V1533" s="103"/>
      <c r="W1533" s="414"/>
    </row>
    <row r="1534" spans="1:23" ht="21" customHeight="1">
      <c r="A1534" s="104" t="s">
        <v>218</v>
      </c>
      <c r="B1534" s="104" t="s">
        <v>389</v>
      </c>
      <c r="C1534" s="454" t="s">
        <v>390</v>
      </c>
      <c r="D1534" s="105" t="s">
        <v>391</v>
      </c>
      <c r="E1534" s="104">
        <v>725</v>
      </c>
      <c r="F1534" s="104">
        <v>398</v>
      </c>
      <c r="G1534" s="106" t="s">
        <v>701</v>
      </c>
      <c r="H1534" s="104" t="s">
        <v>702</v>
      </c>
      <c r="I1534" s="104" t="s">
        <v>104</v>
      </c>
      <c r="J1534" s="104" t="s">
        <v>105</v>
      </c>
      <c r="K1534" s="104" t="s">
        <v>155</v>
      </c>
      <c r="L1534" s="104" t="s">
        <v>658</v>
      </c>
      <c r="M1534" s="104" t="s">
        <v>108</v>
      </c>
      <c r="N1534" s="108"/>
      <c r="O1534" s="104"/>
      <c r="P1534" s="108">
        <v>2.7</v>
      </c>
      <c r="Q1534" s="108">
        <v>1.94</v>
      </c>
      <c r="R1534" s="104" t="s">
        <v>17</v>
      </c>
      <c r="S1534" s="113">
        <f>(10^((3.13*LOG((P1534*10))+1.17)))/1000</f>
        <v>446.85701675611205</v>
      </c>
      <c r="T1534" s="104" t="s">
        <v>703</v>
      </c>
      <c r="U1534" s="108">
        <v>0.9</v>
      </c>
      <c r="V1534" s="107">
        <v>39.799999999999997</v>
      </c>
      <c r="W1534" s="106" t="s">
        <v>704</v>
      </c>
    </row>
    <row r="1535" spans="1:23" ht="21" customHeight="1">
      <c r="A1535" s="104" t="s">
        <v>218</v>
      </c>
      <c r="B1535" s="104" t="s">
        <v>389</v>
      </c>
      <c r="C1535" s="454" t="s">
        <v>390</v>
      </c>
      <c r="D1535" s="105" t="s">
        <v>777</v>
      </c>
      <c r="E1535" s="104">
        <v>725</v>
      </c>
      <c r="F1535" s="104" t="s">
        <v>778</v>
      </c>
      <c r="G1535" s="106" t="s">
        <v>701</v>
      </c>
      <c r="H1535" s="104" t="s">
        <v>702</v>
      </c>
      <c r="I1535" s="104" t="s">
        <v>104</v>
      </c>
      <c r="J1535" s="104" t="s">
        <v>105</v>
      </c>
      <c r="K1535" s="104" t="s">
        <v>126</v>
      </c>
      <c r="L1535" s="104" t="s">
        <v>636</v>
      </c>
      <c r="M1535" s="104"/>
      <c r="N1535" s="108"/>
      <c r="O1535" s="104"/>
      <c r="P1535" s="108">
        <v>5</v>
      </c>
      <c r="Q1535" s="108">
        <v>1.89</v>
      </c>
      <c r="R1535" s="104" t="s">
        <v>17</v>
      </c>
      <c r="S1535" s="113">
        <f t="shared" ref="S1535:S1566" si="22">10^(((LOG(P1535))*3.236)+0.745)</f>
        <v>1015.937366322028</v>
      </c>
      <c r="T1535" s="104" t="s">
        <v>717</v>
      </c>
      <c r="U1535" s="108">
        <v>0.92900000000000005</v>
      </c>
      <c r="V1535" s="107">
        <v>33.299999999999997</v>
      </c>
      <c r="W1535" s="106" t="s">
        <v>700</v>
      </c>
    </row>
    <row r="1536" spans="1:23" ht="21" customHeight="1">
      <c r="A1536" s="104" t="s">
        <v>218</v>
      </c>
      <c r="B1536" s="104" t="s">
        <v>389</v>
      </c>
      <c r="C1536" s="454" t="s">
        <v>390</v>
      </c>
      <c r="D1536" s="105" t="s">
        <v>777</v>
      </c>
      <c r="E1536" s="104">
        <v>725</v>
      </c>
      <c r="F1536" s="104" t="s">
        <v>778</v>
      </c>
      <c r="G1536" s="106" t="s">
        <v>701</v>
      </c>
      <c r="H1536" s="104" t="s">
        <v>702</v>
      </c>
      <c r="I1536" s="104" t="s">
        <v>104</v>
      </c>
      <c r="J1536" s="104" t="s">
        <v>105</v>
      </c>
      <c r="K1536" s="104" t="s">
        <v>126</v>
      </c>
      <c r="L1536" s="104" t="s">
        <v>636</v>
      </c>
      <c r="M1536" s="104"/>
      <c r="N1536" s="108"/>
      <c r="O1536" s="104"/>
      <c r="P1536" s="108">
        <v>5.0090000000000003</v>
      </c>
      <c r="Q1536" s="108">
        <v>1.845</v>
      </c>
      <c r="R1536" s="104" t="s">
        <v>17</v>
      </c>
      <c r="S1536" s="113">
        <f t="shared" si="22"/>
        <v>1021.8669157683463</v>
      </c>
      <c r="T1536" s="104" t="s">
        <v>717</v>
      </c>
      <c r="U1536" s="108">
        <v>0.92900000000000005</v>
      </c>
      <c r="V1536" s="107">
        <v>33.299999999999997</v>
      </c>
      <c r="W1536" s="106" t="s">
        <v>700</v>
      </c>
    </row>
    <row r="1537" spans="1:23" ht="21" customHeight="1">
      <c r="A1537" s="104" t="s">
        <v>218</v>
      </c>
      <c r="B1537" s="104" t="s">
        <v>389</v>
      </c>
      <c r="C1537" s="454" t="s">
        <v>390</v>
      </c>
      <c r="D1537" s="105" t="s">
        <v>777</v>
      </c>
      <c r="E1537" s="104">
        <v>725</v>
      </c>
      <c r="F1537" s="104" t="s">
        <v>778</v>
      </c>
      <c r="G1537" s="106" t="s">
        <v>701</v>
      </c>
      <c r="H1537" s="104" t="s">
        <v>702</v>
      </c>
      <c r="I1537" s="104" t="s">
        <v>104</v>
      </c>
      <c r="J1537" s="104" t="s">
        <v>105</v>
      </c>
      <c r="K1537" s="104" t="s">
        <v>126</v>
      </c>
      <c r="L1537" s="104" t="s">
        <v>636</v>
      </c>
      <c r="M1537" s="104"/>
      <c r="N1537" s="108"/>
      <c r="O1537" s="104"/>
      <c r="P1537" s="108">
        <v>5.024</v>
      </c>
      <c r="Q1537" s="108">
        <v>1.8329999999999997</v>
      </c>
      <c r="R1537" s="104" t="s">
        <v>17</v>
      </c>
      <c r="S1537" s="113">
        <f t="shared" si="22"/>
        <v>1031.8025694440371</v>
      </c>
      <c r="T1537" s="104" t="s">
        <v>717</v>
      </c>
      <c r="U1537" s="108">
        <v>0.92900000000000005</v>
      </c>
      <c r="V1537" s="107">
        <v>33.299999999999997</v>
      </c>
      <c r="W1537" s="106" t="s">
        <v>700</v>
      </c>
    </row>
    <row r="1538" spans="1:23" ht="21" customHeight="1">
      <c r="A1538" s="104" t="s">
        <v>218</v>
      </c>
      <c r="B1538" s="104" t="s">
        <v>389</v>
      </c>
      <c r="C1538" s="454" t="s">
        <v>390</v>
      </c>
      <c r="D1538" s="105" t="s">
        <v>777</v>
      </c>
      <c r="E1538" s="104">
        <v>725</v>
      </c>
      <c r="F1538" s="104" t="s">
        <v>778</v>
      </c>
      <c r="G1538" s="106" t="s">
        <v>701</v>
      </c>
      <c r="H1538" s="104" t="s">
        <v>702</v>
      </c>
      <c r="I1538" s="104" t="s">
        <v>104</v>
      </c>
      <c r="J1538" s="104" t="s">
        <v>105</v>
      </c>
      <c r="K1538" s="104" t="s">
        <v>126</v>
      </c>
      <c r="L1538" s="104" t="s">
        <v>636</v>
      </c>
      <c r="M1538" s="104"/>
      <c r="N1538" s="108"/>
      <c r="O1538" s="104"/>
      <c r="P1538" s="108">
        <v>5.0310000000000006</v>
      </c>
      <c r="Q1538" s="108">
        <v>1.7879999999999998</v>
      </c>
      <c r="R1538" s="104" t="s">
        <v>17</v>
      </c>
      <c r="S1538" s="113">
        <f t="shared" si="22"/>
        <v>1036.4619684120012</v>
      </c>
      <c r="T1538" s="104" t="s">
        <v>717</v>
      </c>
      <c r="U1538" s="108">
        <v>0.92900000000000005</v>
      </c>
      <c r="V1538" s="107">
        <v>33.299999999999997</v>
      </c>
      <c r="W1538" s="106" t="s">
        <v>700</v>
      </c>
    </row>
    <row r="1539" spans="1:23" ht="21" customHeight="1">
      <c r="A1539" s="104" t="s">
        <v>218</v>
      </c>
      <c r="B1539" s="104" t="s">
        <v>389</v>
      </c>
      <c r="C1539" s="454" t="s">
        <v>390</v>
      </c>
      <c r="D1539" s="105" t="s">
        <v>777</v>
      </c>
      <c r="E1539" s="104">
        <v>725</v>
      </c>
      <c r="F1539" s="104" t="s">
        <v>778</v>
      </c>
      <c r="G1539" s="106" t="s">
        <v>701</v>
      </c>
      <c r="H1539" s="104" t="s">
        <v>702</v>
      </c>
      <c r="I1539" s="104" t="s">
        <v>104</v>
      </c>
      <c r="J1539" s="104" t="s">
        <v>105</v>
      </c>
      <c r="K1539" s="104" t="s">
        <v>126</v>
      </c>
      <c r="L1539" s="104" t="s">
        <v>636</v>
      </c>
      <c r="M1539" s="104"/>
      <c r="N1539" s="108"/>
      <c r="O1539" s="104"/>
      <c r="P1539" s="108">
        <v>5.032</v>
      </c>
      <c r="Q1539" s="108">
        <v>1.58</v>
      </c>
      <c r="R1539" s="104" t="s">
        <v>17</v>
      </c>
      <c r="S1539" s="113">
        <f t="shared" si="22"/>
        <v>1037.1287814356817</v>
      </c>
      <c r="T1539" s="104" t="s">
        <v>717</v>
      </c>
      <c r="U1539" s="108">
        <v>0.92900000000000005</v>
      </c>
      <c r="V1539" s="107">
        <v>33.299999999999997</v>
      </c>
      <c r="W1539" s="106" t="s">
        <v>700</v>
      </c>
    </row>
    <row r="1540" spans="1:23" ht="21" customHeight="1">
      <c r="A1540" s="104" t="s">
        <v>218</v>
      </c>
      <c r="B1540" s="104" t="s">
        <v>389</v>
      </c>
      <c r="C1540" s="454" t="s">
        <v>390</v>
      </c>
      <c r="D1540" s="105" t="s">
        <v>777</v>
      </c>
      <c r="E1540" s="104">
        <v>725</v>
      </c>
      <c r="F1540" s="104" t="s">
        <v>778</v>
      </c>
      <c r="G1540" s="106" t="s">
        <v>701</v>
      </c>
      <c r="H1540" s="104" t="s">
        <v>702</v>
      </c>
      <c r="I1540" s="104" t="s">
        <v>104</v>
      </c>
      <c r="J1540" s="104" t="s">
        <v>105</v>
      </c>
      <c r="K1540" s="104" t="s">
        <v>126</v>
      </c>
      <c r="L1540" s="104" t="s">
        <v>636</v>
      </c>
      <c r="M1540" s="104"/>
      <c r="N1540" s="108"/>
      <c r="O1540" s="104"/>
      <c r="P1540" s="108">
        <v>5.0679999999999996</v>
      </c>
      <c r="Q1540" s="108">
        <v>1.4849999999999999</v>
      </c>
      <c r="R1540" s="104" t="s">
        <v>17</v>
      </c>
      <c r="S1540" s="113">
        <f t="shared" si="22"/>
        <v>1061.3319974353692</v>
      </c>
      <c r="T1540" s="104" t="s">
        <v>717</v>
      </c>
      <c r="U1540" s="108">
        <v>0.92900000000000005</v>
      </c>
      <c r="V1540" s="107">
        <v>33.299999999999997</v>
      </c>
      <c r="W1540" s="106" t="s">
        <v>700</v>
      </c>
    </row>
    <row r="1541" spans="1:23" ht="21" customHeight="1">
      <c r="A1541" s="104" t="s">
        <v>218</v>
      </c>
      <c r="B1541" s="104" t="s">
        <v>389</v>
      </c>
      <c r="C1541" s="454" t="s">
        <v>390</v>
      </c>
      <c r="D1541" s="105" t="s">
        <v>777</v>
      </c>
      <c r="E1541" s="104">
        <v>725</v>
      </c>
      <c r="F1541" s="104" t="s">
        <v>778</v>
      </c>
      <c r="G1541" s="106" t="s">
        <v>701</v>
      </c>
      <c r="H1541" s="104" t="s">
        <v>702</v>
      </c>
      <c r="I1541" s="104" t="s">
        <v>104</v>
      </c>
      <c r="J1541" s="104" t="s">
        <v>105</v>
      </c>
      <c r="K1541" s="104" t="s">
        <v>126</v>
      </c>
      <c r="L1541" s="104" t="s">
        <v>636</v>
      </c>
      <c r="M1541" s="104"/>
      <c r="N1541" s="108"/>
      <c r="O1541" s="104"/>
      <c r="P1541" s="108">
        <v>5.0679999999999996</v>
      </c>
      <c r="Q1541" s="108">
        <v>1.6920000000000002</v>
      </c>
      <c r="R1541" s="104" t="s">
        <v>17</v>
      </c>
      <c r="S1541" s="113">
        <f t="shared" si="22"/>
        <v>1061.3319974353692</v>
      </c>
      <c r="T1541" s="104" t="s">
        <v>717</v>
      </c>
      <c r="U1541" s="108">
        <v>0.92900000000000005</v>
      </c>
      <c r="V1541" s="107">
        <v>33.299999999999997</v>
      </c>
      <c r="W1541" s="106" t="s">
        <v>700</v>
      </c>
    </row>
    <row r="1542" spans="1:23" ht="21" customHeight="1">
      <c r="A1542" s="104" t="s">
        <v>218</v>
      </c>
      <c r="B1542" s="104" t="s">
        <v>389</v>
      </c>
      <c r="C1542" s="454" t="s">
        <v>390</v>
      </c>
      <c r="D1542" s="105" t="s">
        <v>777</v>
      </c>
      <c r="E1542" s="104">
        <v>725</v>
      </c>
      <c r="F1542" s="104" t="s">
        <v>778</v>
      </c>
      <c r="G1542" s="106" t="s">
        <v>701</v>
      </c>
      <c r="H1542" s="104" t="s">
        <v>702</v>
      </c>
      <c r="I1542" s="104" t="s">
        <v>104</v>
      </c>
      <c r="J1542" s="104" t="s">
        <v>105</v>
      </c>
      <c r="K1542" s="104" t="s">
        <v>126</v>
      </c>
      <c r="L1542" s="104" t="s">
        <v>636</v>
      </c>
      <c r="M1542" s="104"/>
      <c r="N1542" s="108"/>
      <c r="O1542" s="104"/>
      <c r="P1542" s="108">
        <v>5.0789999999999997</v>
      </c>
      <c r="Q1542" s="108">
        <v>1.58</v>
      </c>
      <c r="R1542" s="104" t="s">
        <v>17</v>
      </c>
      <c r="S1542" s="113">
        <f t="shared" si="22"/>
        <v>1068.8045567581585</v>
      </c>
      <c r="T1542" s="104" t="s">
        <v>717</v>
      </c>
      <c r="U1542" s="108">
        <v>0.92900000000000005</v>
      </c>
      <c r="V1542" s="107">
        <v>33.299999999999997</v>
      </c>
      <c r="W1542" s="106" t="s">
        <v>700</v>
      </c>
    </row>
    <row r="1543" spans="1:23" ht="21" customHeight="1">
      <c r="A1543" s="104" t="s">
        <v>218</v>
      </c>
      <c r="B1543" s="104" t="s">
        <v>389</v>
      </c>
      <c r="C1543" s="454" t="s">
        <v>390</v>
      </c>
      <c r="D1543" s="105" t="s">
        <v>151</v>
      </c>
      <c r="E1543" s="104">
        <v>725</v>
      </c>
      <c r="F1543" s="104" t="s">
        <v>778</v>
      </c>
      <c r="G1543" s="106" t="s">
        <v>701</v>
      </c>
      <c r="H1543" s="104" t="s">
        <v>702</v>
      </c>
      <c r="I1543" s="104" t="s">
        <v>104</v>
      </c>
      <c r="J1543" s="104" t="s">
        <v>105</v>
      </c>
      <c r="K1543" s="104" t="s">
        <v>126</v>
      </c>
      <c r="L1543" s="104" t="s">
        <v>636</v>
      </c>
      <c r="M1543" s="104"/>
      <c r="N1543" s="108"/>
      <c r="O1543" s="104"/>
      <c r="P1543" s="108">
        <v>2.9289999999999998</v>
      </c>
      <c r="Q1543" s="108">
        <v>1.4449999999999998</v>
      </c>
      <c r="R1543" s="104" t="s">
        <v>17</v>
      </c>
      <c r="S1543" s="113">
        <f t="shared" si="22"/>
        <v>180.01300707890002</v>
      </c>
      <c r="T1543" s="104" t="s">
        <v>788</v>
      </c>
      <c r="U1543" s="108">
        <v>0.92900000000000005</v>
      </c>
      <c r="V1543" s="107">
        <v>33.299999999999997</v>
      </c>
      <c r="W1543" s="106" t="s">
        <v>789</v>
      </c>
    </row>
    <row r="1544" spans="1:23" ht="21" customHeight="1">
      <c r="A1544" s="104" t="s">
        <v>218</v>
      </c>
      <c r="B1544" s="104" t="s">
        <v>389</v>
      </c>
      <c r="C1544" s="454" t="s">
        <v>390</v>
      </c>
      <c r="D1544" s="105" t="s">
        <v>151</v>
      </c>
      <c r="E1544" s="104">
        <v>725</v>
      </c>
      <c r="F1544" s="104" t="s">
        <v>778</v>
      </c>
      <c r="G1544" s="106" t="s">
        <v>701</v>
      </c>
      <c r="H1544" s="104" t="s">
        <v>702</v>
      </c>
      <c r="I1544" s="104" t="s">
        <v>104</v>
      </c>
      <c r="J1544" s="104" t="s">
        <v>105</v>
      </c>
      <c r="K1544" s="104" t="s">
        <v>126</v>
      </c>
      <c r="L1544" s="104" t="s">
        <v>636</v>
      </c>
      <c r="M1544" s="104"/>
      <c r="N1544" s="108"/>
      <c r="O1544" s="104"/>
      <c r="P1544" s="108">
        <v>2.9769999999999999</v>
      </c>
      <c r="Q1544" s="108">
        <v>1.4510000000000001</v>
      </c>
      <c r="R1544" s="104" t="s">
        <v>17</v>
      </c>
      <c r="S1544" s="113">
        <f t="shared" si="22"/>
        <v>189.73537453228988</v>
      </c>
      <c r="T1544" s="104" t="s">
        <v>790</v>
      </c>
      <c r="U1544" s="108">
        <v>0.92900000000000005</v>
      </c>
      <c r="V1544" s="107">
        <v>33.299999999999997</v>
      </c>
      <c r="W1544" s="106" t="s">
        <v>791</v>
      </c>
    </row>
    <row r="1545" spans="1:23" ht="21" customHeight="1">
      <c r="A1545" s="104" t="s">
        <v>218</v>
      </c>
      <c r="B1545" s="104" t="s">
        <v>389</v>
      </c>
      <c r="C1545" s="454" t="s">
        <v>390</v>
      </c>
      <c r="D1545" s="105" t="s">
        <v>151</v>
      </c>
      <c r="E1545" s="104">
        <v>725</v>
      </c>
      <c r="F1545" s="104" t="s">
        <v>778</v>
      </c>
      <c r="G1545" s="106" t="s">
        <v>701</v>
      </c>
      <c r="H1545" s="104" t="s">
        <v>702</v>
      </c>
      <c r="I1545" s="104" t="s">
        <v>104</v>
      </c>
      <c r="J1545" s="104" t="s">
        <v>105</v>
      </c>
      <c r="K1545" s="104" t="s">
        <v>126</v>
      </c>
      <c r="L1545" s="104" t="s">
        <v>636</v>
      </c>
      <c r="M1545" s="104"/>
      <c r="N1545" s="108"/>
      <c r="O1545" s="104"/>
      <c r="P1545" s="108">
        <v>3.044</v>
      </c>
      <c r="Q1545" s="108">
        <v>1.454</v>
      </c>
      <c r="R1545" s="104" t="s">
        <v>17</v>
      </c>
      <c r="S1545" s="113">
        <f t="shared" si="22"/>
        <v>203.90453326496058</v>
      </c>
      <c r="T1545" s="104" t="s">
        <v>792</v>
      </c>
      <c r="U1545" s="108">
        <v>0.92900000000000005</v>
      </c>
      <c r="V1545" s="107">
        <v>33.299999999999997</v>
      </c>
      <c r="W1545" s="106" t="s">
        <v>793</v>
      </c>
    </row>
    <row r="1546" spans="1:23" ht="21" customHeight="1">
      <c r="A1546" s="104" t="s">
        <v>218</v>
      </c>
      <c r="B1546" s="104" t="s">
        <v>389</v>
      </c>
      <c r="C1546" s="454" t="s">
        <v>390</v>
      </c>
      <c r="D1546" s="105" t="s">
        <v>151</v>
      </c>
      <c r="E1546" s="104">
        <v>725</v>
      </c>
      <c r="F1546" s="104" t="s">
        <v>778</v>
      </c>
      <c r="G1546" s="106" t="s">
        <v>701</v>
      </c>
      <c r="H1546" s="104" t="s">
        <v>702</v>
      </c>
      <c r="I1546" s="104" t="s">
        <v>104</v>
      </c>
      <c r="J1546" s="104" t="s">
        <v>105</v>
      </c>
      <c r="K1546" s="104" t="s">
        <v>126</v>
      </c>
      <c r="L1546" s="104" t="s">
        <v>636</v>
      </c>
      <c r="M1546" s="104"/>
      <c r="N1546" s="108"/>
      <c r="O1546" s="104"/>
      <c r="P1546" s="108">
        <v>3.0609999999999999</v>
      </c>
      <c r="Q1546" s="108">
        <v>1.4140000000000001</v>
      </c>
      <c r="R1546" s="104" t="s">
        <v>17</v>
      </c>
      <c r="S1546" s="113">
        <f t="shared" si="22"/>
        <v>207.61261304433242</v>
      </c>
      <c r="T1546" s="104" t="s">
        <v>794</v>
      </c>
      <c r="U1546" s="108">
        <v>0.92900000000000005</v>
      </c>
      <c r="V1546" s="107">
        <v>33.299999999999997</v>
      </c>
      <c r="W1546" s="106" t="s">
        <v>795</v>
      </c>
    </row>
    <row r="1547" spans="1:23" ht="21" customHeight="1">
      <c r="A1547" s="104" t="s">
        <v>218</v>
      </c>
      <c r="B1547" s="104" t="s">
        <v>389</v>
      </c>
      <c r="C1547" s="454" t="s">
        <v>390</v>
      </c>
      <c r="D1547" s="105" t="s">
        <v>151</v>
      </c>
      <c r="E1547" s="104">
        <v>725</v>
      </c>
      <c r="F1547" s="104" t="s">
        <v>778</v>
      </c>
      <c r="G1547" s="106" t="s">
        <v>701</v>
      </c>
      <c r="H1547" s="104" t="s">
        <v>702</v>
      </c>
      <c r="I1547" s="104" t="s">
        <v>104</v>
      </c>
      <c r="J1547" s="104" t="s">
        <v>105</v>
      </c>
      <c r="K1547" s="104" t="s">
        <v>126</v>
      </c>
      <c r="L1547" s="104" t="s">
        <v>636</v>
      </c>
      <c r="M1547" s="104"/>
      <c r="N1547" s="108"/>
      <c r="O1547" s="104"/>
      <c r="P1547" s="108">
        <v>3.0979999999999999</v>
      </c>
      <c r="Q1547" s="108">
        <v>1.512</v>
      </c>
      <c r="R1547" s="104" t="s">
        <v>17</v>
      </c>
      <c r="S1547" s="113">
        <f t="shared" si="22"/>
        <v>215.84373814717662</v>
      </c>
      <c r="T1547" s="104" t="s">
        <v>796</v>
      </c>
      <c r="U1547" s="108">
        <v>0.92900000000000005</v>
      </c>
      <c r="V1547" s="107">
        <v>33.299999999999997</v>
      </c>
      <c r="W1547" s="106" t="s">
        <v>797</v>
      </c>
    </row>
    <row r="1548" spans="1:23" ht="21" customHeight="1">
      <c r="A1548" s="104" t="s">
        <v>218</v>
      </c>
      <c r="B1548" s="104" t="s">
        <v>389</v>
      </c>
      <c r="C1548" s="454" t="s">
        <v>390</v>
      </c>
      <c r="D1548" s="105" t="s">
        <v>151</v>
      </c>
      <c r="E1548" s="104">
        <v>725</v>
      </c>
      <c r="F1548" s="104" t="s">
        <v>778</v>
      </c>
      <c r="G1548" s="106" t="s">
        <v>701</v>
      </c>
      <c r="H1548" s="104" t="s">
        <v>702</v>
      </c>
      <c r="I1548" s="104" t="s">
        <v>104</v>
      </c>
      <c r="J1548" s="104" t="s">
        <v>105</v>
      </c>
      <c r="K1548" s="104" t="s">
        <v>126</v>
      </c>
      <c r="L1548" s="104" t="s">
        <v>636</v>
      </c>
      <c r="M1548" s="104"/>
      <c r="N1548" s="108"/>
      <c r="O1548" s="104"/>
      <c r="P1548" s="108">
        <v>3.1100000000000003</v>
      </c>
      <c r="Q1548" s="108">
        <v>1.53</v>
      </c>
      <c r="R1548" s="104" t="s">
        <v>17</v>
      </c>
      <c r="S1548" s="113">
        <f t="shared" si="22"/>
        <v>218.56097474757499</v>
      </c>
      <c r="T1548" s="104" t="s">
        <v>798</v>
      </c>
      <c r="U1548" s="108">
        <v>0.92900000000000005</v>
      </c>
      <c r="V1548" s="107">
        <v>33.299999999999997</v>
      </c>
      <c r="W1548" s="106" t="s">
        <v>799</v>
      </c>
    </row>
    <row r="1549" spans="1:23" ht="21" customHeight="1">
      <c r="A1549" s="104" t="s">
        <v>218</v>
      </c>
      <c r="B1549" s="104" t="s">
        <v>389</v>
      </c>
      <c r="C1549" s="454" t="s">
        <v>390</v>
      </c>
      <c r="D1549" s="105" t="s">
        <v>151</v>
      </c>
      <c r="E1549" s="104">
        <v>725</v>
      </c>
      <c r="F1549" s="104" t="s">
        <v>778</v>
      </c>
      <c r="G1549" s="106" t="s">
        <v>701</v>
      </c>
      <c r="H1549" s="104" t="s">
        <v>702</v>
      </c>
      <c r="I1549" s="104" t="s">
        <v>104</v>
      </c>
      <c r="J1549" s="104" t="s">
        <v>105</v>
      </c>
      <c r="K1549" s="104" t="s">
        <v>126</v>
      </c>
      <c r="L1549" s="104" t="s">
        <v>636</v>
      </c>
      <c r="M1549" s="104"/>
      <c r="N1549" s="108"/>
      <c r="O1549" s="104"/>
      <c r="P1549" s="108">
        <v>3.1269999999999998</v>
      </c>
      <c r="Q1549" s="108">
        <v>1.5429999999999999</v>
      </c>
      <c r="R1549" s="104" t="s">
        <v>17</v>
      </c>
      <c r="S1549" s="113">
        <f t="shared" si="22"/>
        <v>222.4507240705658</v>
      </c>
      <c r="T1549" s="104" t="s">
        <v>800</v>
      </c>
      <c r="U1549" s="108">
        <v>0.92900000000000005</v>
      </c>
      <c r="V1549" s="107">
        <v>33.299999999999997</v>
      </c>
      <c r="W1549" s="106" t="s">
        <v>801</v>
      </c>
    </row>
    <row r="1550" spans="1:23" ht="21" customHeight="1">
      <c r="A1550" s="104" t="s">
        <v>218</v>
      </c>
      <c r="B1550" s="104" t="s">
        <v>389</v>
      </c>
      <c r="C1550" s="454" t="s">
        <v>390</v>
      </c>
      <c r="D1550" s="105" t="s">
        <v>151</v>
      </c>
      <c r="E1550" s="104">
        <v>725</v>
      </c>
      <c r="F1550" s="104" t="s">
        <v>778</v>
      </c>
      <c r="G1550" s="106" t="s">
        <v>701</v>
      </c>
      <c r="H1550" s="104" t="s">
        <v>702</v>
      </c>
      <c r="I1550" s="104" t="s">
        <v>104</v>
      </c>
      <c r="J1550" s="104" t="s">
        <v>105</v>
      </c>
      <c r="K1550" s="104" t="s">
        <v>126</v>
      </c>
      <c r="L1550" s="104" t="s">
        <v>636</v>
      </c>
      <c r="M1550" s="104"/>
      <c r="N1550" s="108"/>
      <c r="O1550" s="104"/>
      <c r="P1550" s="108">
        <v>3.2950000000000004</v>
      </c>
      <c r="Q1550" s="108">
        <v>1.466</v>
      </c>
      <c r="R1550" s="104" t="s">
        <v>17</v>
      </c>
      <c r="S1550" s="113">
        <f t="shared" si="22"/>
        <v>263.49970640841468</v>
      </c>
      <c r="T1550" s="104" t="s">
        <v>802</v>
      </c>
      <c r="U1550" s="108">
        <v>0.92900000000000005</v>
      </c>
      <c r="V1550" s="107">
        <v>33.299999999999997</v>
      </c>
      <c r="W1550" s="106" t="s">
        <v>803</v>
      </c>
    </row>
    <row r="1551" spans="1:23" ht="21" customHeight="1">
      <c r="A1551" s="104" t="s">
        <v>218</v>
      </c>
      <c r="B1551" s="104" t="s">
        <v>389</v>
      </c>
      <c r="C1551" s="454" t="s">
        <v>390</v>
      </c>
      <c r="D1551" s="105" t="s">
        <v>151</v>
      </c>
      <c r="E1551" s="104">
        <v>725</v>
      </c>
      <c r="F1551" s="104" t="s">
        <v>778</v>
      </c>
      <c r="G1551" s="106" t="s">
        <v>701</v>
      </c>
      <c r="H1551" s="104" t="s">
        <v>702</v>
      </c>
      <c r="I1551" s="104" t="s">
        <v>104</v>
      </c>
      <c r="J1551" s="104" t="s">
        <v>105</v>
      </c>
      <c r="K1551" s="104" t="s">
        <v>126</v>
      </c>
      <c r="L1551" s="104" t="s">
        <v>636</v>
      </c>
      <c r="M1551" s="104"/>
      <c r="N1551" s="108"/>
      <c r="O1551" s="104"/>
      <c r="P1551" s="108">
        <v>3.31</v>
      </c>
      <c r="Q1551" s="108">
        <v>1.472</v>
      </c>
      <c r="R1551" s="104" t="s">
        <v>17</v>
      </c>
      <c r="S1551" s="113">
        <f t="shared" si="22"/>
        <v>267.4012221479241</v>
      </c>
      <c r="T1551" s="104" t="s">
        <v>804</v>
      </c>
      <c r="U1551" s="108">
        <v>0.92900000000000005</v>
      </c>
      <c r="V1551" s="107">
        <v>33.299999999999997</v>
      </c>
      <c r="W1551" s="106" t="s">
        <v>805</v>
      </c>
    </row>
    <row r="1552" spans="1:23" ht="21" customHeight="1">
      <c r="A1552" s="104" t="s">
        <v>218</v>
      </c>
      <c r="B1552" s="104" t="s">
        <v>389</v>
      </c>
      <c r="C1552" s="454" t="s">
        <v>390</v>
      </c>
      <c r="D1552" s="105" t="s">
        <v>151</v>
      </c>
      <c r="E1552" s="104">
        <v>725</v>
      </c>
      <c r="F1552" s="104" t="s">
        <v>778</v>
      </c>
      <c r="G1552" s="106" t="s">
        <v>701</v>
      </c>
      <c r="H1552" s="104" t="s">
        <v>702</v>
      </c>
      <c r="I1552" s="104" t="s">
        <v>104</v>
      </c>
      <c r="J1552" s="104" t="s">
        <v>105</v>
      </c>
      <c r="K1552" s="104" t="s">
        <v>126</v>
      </c>
      <c r="L1552" s="104" t="s">
        <v>636</v>
      </c>
      <c r="M1552" s="104"/>
      <c r="N1552" s="108"/>
      <c r="O1552" s="104"/>
      <c r="P1552" s="108">
        <v>3.3590000000000004</v>
      </c>
      <c r="Q1552" s="108">
        <v>1.6649999999999998</v>
      </c>
      <c r="R1552" s="104" t="s">
        <v>17</v>
      </c>
      <c r="S1552" s="113">
        <f t="shared" si="22"/>
        <v>280.42425349519095</v>
      </c>
      <c r="T1552" s="104" t="s">
        <v>806</v>
      </c>
      <c r="U1552" s="108">
        <v>0.92900000000000005</v>
      </c>
      <c r="V1552" s="107">
        <v>33.299999999999997</v>
      </c>
      <c r="W1552" s="106" t="s">
        <v>807</v>
      </c>
    </row>
    <row r="1553" spans="1:23" ht="21" customHeight="1">
      <c r="A1553" s="104" t="s">
        <v>218</v>
      </c>
      <c r="B1553" s="104" t="s">
        <v>389</v>
      </c>
      <c r="C1553" s="454" t="s">
        <v>390</v>
      </c>
      <c r="D1553" s="105" t="s">
        <v>151</v>
      </c>
      <c r="E1553" s="104">
        <v>725</v>
      </c>
      <c r="F1553" s="104" t="s">
        <v>778</v>
      </c>
      <c r="G1553" s="106" t="s">
        <v>701</v>
      </c>
      <c r="H1553" s="104" t="s">
        <v>702</v>
      </c>
      <c r="I1553" s="104" t="s">
        <v>104</v>
      </c>
      <c r="J1553" s="104" t="s">
        <v>105</v>
      </c>
      <c r="K1553" s="104" t="s">
        <v>126</v>
      </c>
      <c r="L1553" s="104" t="s">
        <v>636</v>
      </c>
      <c r="M1553" s="104"/>
      <c r="N1553" s="108"/>
      <c r="O1553" s="104"/>
      <c r="P1553" s="108">
        <v>3.3659999999999997</v>
      </c>
      <c r="Q1553" s="108">
        <v>1.4</v>
      </c>
      <c r="R1553" s="104" t="s">
        <v>17</v>
      </c>
      <c r="S1553" s="113">
        <f t="shared" si="22"/>
        <v>282.31975291951233</v>
      </c>
      <c r="T1553" s="104" t="s">
        <v>808</v>
      </c>
      <c r="U1553" s="108">
        <v>0.92900000000000005</v>
      </c>
      <c r="V1553" s="107">
        <v>33.299999999999997</v>
      </c>
      <c r="W1553" s="106" t="s">
        <v>809</v>
      </c>
    </row>
    <row r="1554" spans="1:23" ht="21" customHeight="1">
      <c r="A1554" s="104" t="s">
        <v>218</v>
      </c>
      <c r="B1554" s="104" t="s">
        <v>389</v>
      </c>
      <c r="C1554" s="454" t="s">
        <v>390</v>
      </c>
      <c r="D1554" s="105" t="s">
        <v>151</v>
      </c>
      <c r="E1554" s="104">
        <v>725</v>
      </c>
      <c r="F1554" s="104" t="s">
        <v>778</v>
      </c>
      <c r="G1554" s="106" t="s">
        <v>701</v>
      </c>
      <c r="H1554" s="104" t="s">
        <v>702</v>
      </c>
      <c r="I1554" s="104" t="s">
        <v>104</v>
      </c>
      <c r="J1554" s="104" t="s">
        <v>105</v>
      </c>
      <c r="K1554" s="104" t="s">
        <v>126</v>
      </c>
      <c r="L1554" s="104" t="s">
        <v>636</v>
      </c>
      <c r="M1554" s="104"/>
      <c r="N1554" s="108"/>
      <c r="O1554" s="104"/>
      <c r="P1554" s="108">
        <v>3.4039999999999999</v>
      </c>
      <c r="Q1554" s="108">
        <v>1.355</v>
      </c>
      <c r="R1554" s="104" t="s">
        <v>17</v>
      </c>
      <c r="S1554" s="113">
        <f t="shared" si="22"/>
        <v>292.76434793071132</v>
      </c>
      <c r="T1554" s="104" t="s">
        <v>811</v>
      </c>
      <c r="U1554" s="108">
        <v>0.92900000000000005</v>
      </c>
      <c r="V1554" s="107">
        <v>33.299999999999997</v>
      </c>
      <c r="W1554" s="106" t="s">
        <v>812</v>
      </c>
    </row>
    <row r="1555" spans="1:23" ht="21" customHeight="1">
      <c r="A1555" s="104" t="s">
        <v>218</v>
      </c>
      <c r="B1555" s="104" t="s">
        <v>389</v>
      </c>
      <c r="C1555" s="454" t="s">
        <v>390</v>
      </c>
      <c r="D1555" s="105" t="s">
        <v>151</v>
      </c>
      <c r="E1555" s="104">
        <v>725</v>
      </c>
      <c r="F1555" s="104" t="s">
        <v>778</v>
      </c>
      <c r="G1555" s="106" t="s">
        <v>701</v>
      </c>
      <c r="H1555" s="104" t="s">
        <v>702</v>
      </c>
      <c r="I1555" s="104" t="s">
        <v>104</v>
      </c>
      <c r="J1555" s="104" t="s">
        <v>105</v>
      </c>
      <c r="K1555" s="104" t="s">
        <v>126</v>
      </c>
      <c r="L1555" s="104" t="s">
        <v>636</v>
      </c>
      <c r="M1555" s="104"/>
      <c r="N1555" s="108"/>
      <c r="O1555" s="104"/>
      <c r="P1555" s="108">
        <v>3.415</v>
      </c>
      <c r="Q1555" s="108">
        <v>1.4510000000000001</v>
      </c>
      <c r="R1555" s="104" t="s">
        <v>17</v>
      </c>
      <c r="S1555" s="113">
        <f t="shared" si="22"/>
        <v>295.83689194003682</v>
      </c>
      <c r="T1555" s="104" t="s">
        <v>813</v>
      </c>
      <c r="U1555" s="108">
        <v>0.92900000000000005</v>
      </c>
      <c r="V1555" s="107">
        <v>33.299999999999997</v>
      </c>
      <c r="W1555" s="106" t="s">
        <v>814</v>
      </c>
    </row>
    <row r="1556" spans="1:23" ht="21" customHeight="1">
      <c r="A1556" s="104" t="s">
        <v>218</v>
      </c>
      <c r="B1556" s="104" t="s">
        <v>389</v>
      </c>
      <c r="C1556" s="454" t="s">
        <v>390</v>
      </c>
      <c r="D1556" s="105" t="s">
        <v>151</v>
      </c>
      <c r="E1556" s="104">
        <v>725</v>
      </c>
      <c r="F1556" s="104" t="s">
        <v>778</v>
      </c>
      <c r="G1556" s="106" t="s">
        <v>701</v>
      </c>
      <c r="H1556" s="104" t="s">
        <v>702</v>
      </c>
      <c r="I1556" s="104" t="s">
        <v>104</v>
      </c>
      <c r="J1556" s="104" t="s">
        <v>105</v>
      </c>
      <c r="K1556" s="104" t="s">
        <v>126</v>
      </c>
      <c r="L1556" s="104" t="s">
        <v>636</v>
      </c>
      <c r="M1556" s="104"/>
      <c r="N1556" s="108"/>
      <c r="O1556" s="104"/>
      <c r="P1556" s="108">
        <v>3.4340000000000002</v>
      </c>
      <c r="Q1556" s="108">
        <v>1.425</v>
      </c>
      <c r="R1556" s="104" t="s">
        <v>17</v>
      </c>
      <c r="S1556" s="113">
        <f t="shared" si="22"/>
        <v>301.1963752981336</v>
      </c>
      <c r="T1556" s="104" t="s">
        <v>815</v>
      </c>
      <c r="U1556" s="108">
        <v>0.92900000000000005</v>
      </c>
      <c r="V1556" s="107">
        <v>33.299999999999997</v>
      </c>
      <c r="W1556" s="106" t="s">
        <v>816</v>
      </c>
    </row>
    <row r="1557" spans="1:23" ht="21" customHeight="1">
      <c r="A1557" s="104" t="s">
        <v>218</v>
      </c>
      <c r="B1557" s="104" t="s">
        <v>389</v>
      </c>
      <c r="C1557" s="454" t="s">
        <v>390</v>
      </c>
      <c r="D1557" s="105" t="s">
        <v>151</v>
      </c>
      <c r="E1557" s="104">
        <v>725</v>
      </c>
      <c r="F1557" s="104" t="s">
        <v>778</v>
      </c>
      <c r="G1557" s="106" t="s">
        <v>701</v>
      </c>
      <c r="H1557" s="104" t="s">
        <v>702</v>
      </c>
      <c r="I1557" s="104" t="s">
        <v>104</v>
      </c>
      <c r="J1557" s="104" t="s">
        <v>105</v>
      </c>
      <c r="K1557" s="104" t="s">
        <v>126</v>
      </c>
      <c r="L1557" s="104" t="s">
        <v>636</v>
      </c>
      <c r="M1557" s="104"/>
      <c r="N1557" s="108"/>
      <c r="O1557" s="104"/>
      <c r="P1557" s="108">
        <v>3.4460000000000002</v>
      </c>
      <c r="Q1557" s="108">
        <v>1.4789999999999999</v>
      </c>
      <c r="R1557" s="104" t="s">
        <v>17</v>
      </c>
      <c r="S1557" s="113">
        <f t="shared" si="22"/>
        <v>304.61565828310933</v>
      </c>
      <c r="T1557" s="104" t="s">
        <v>817</v>
      </c>
      <c r="U1557" s="108">
        <v>0.92900000000000005</v>
      </c>
      <c r="V1557" s="107">
        <v>33.299999999999997</v>
      </c>
      <c r="W1557" s="106" t="s">
        <v>818</v>
      </c>
    </row>
    <row r="1558" spans="1:23" ht="21" customHeight="1">
      <c r="A1558" s="104" t="s">
        <v>218</v>
      </c>
      <c r="B1558" s="104" t="s">
        <v>389</v>
      </c>
      <c r="C1558" s="454" t="s">
        <v>390</v>
      </c>
      <c r="D1558" s="105" t="s">
        <v>151</v>
      </c>
      <c r="E1558" s="104">
        <v>725</v>
      </c>
      <c r="F1558" s="104" t="s">
        <v>778</v>
      </c>
      <c r="G1558" s="106" t="s">
        <v>701</v>
      </c>
      <c r="H1558" s="104" t="s">
        <v>702</v>
      </c>
      <c r="I1558" s="104" t="s">
        <v>104</v>
      </c>
      <c r="J1558" s="104" t="s">
        <v>105</v>
      </c>
      <c r="K1558" s="104" t="s">
        <v>126</v>
      </c>
      <c r="L1558" s="104" t="s">
        <v>636</v>
      </c>
      <c r="M1558" s="104"/>
      <c r="N1558" s="108"/>
      <c r="O1558" s="104"/>
      <c r="P1558" s="108">
        <v>3.4460000000000002</v>
      </c>
      <c r="Q1558" s="108">
        <v>1.5210000000000001</v>
      </c>
      <c r="R1558" s="104" t="s">
        <v>17</v>
      </c>
      <c r="S1558" s="113">
        <f t="shared" si="22"/>
        <v>304.61565828310933</v>
      </c>
      <c r="T1558" s="104" t="s">
        <v>819</v>
      </c>
      <c r="U1558" s="108">
        <v>0.92900000000000005</v>
      </c>
      <c r="V1558" s="107">
        <v>33.299999999999997</v>
      </c>
      <c r="W1558" s="106" t="s">
        <v>820</v>
      </c>
    </row>
    <row r="1559" spans="1:23" ht="21" customHeight="1">
      <c r="A1559" s="104" t="s">
        <v>218</v>
      </c>
      <c r="B1559" s="104" t="s">
        <v>389</v>
      </c>
      <c r="C1559" s="454" t="s">
        <v>390</v>
      </c>
      <c r="D1559" s="105" t="s">
        <v>151</v>
      </c>
      <c r="E1559" s="104">
        <v>725</v>
      </c>
      <c r="F1559" s="104" t="s">
        <v>778</v>
      </c>
      <c r="G1559" s="106" t="s">
        <v>701</v>
      </c>
      <c r="H1559" s="104" t="s">
        <v>702</v>
      </c>
      <c r="I1559" s="104" t="s">
        <v>104</v>
      </c>
      <c r="J1559" s="104" t="s">
        <v>105</v>
      </c>
      <c r="K1559" s="104" t="s">
        <v>126</v>
      </c>
      <c r="L1559" s="104" t="s">
        <v>636</v>
      </c>
      <c r="M1559" s="104"/>
      <c r="N1559" s="108"/>
      <c r="O1559" s="104"/>
      <c r="P1559" s="108">
        <v>3.46</v>
      </c>
      <c r="Q1559" s="108">
        <v>1.5619999999999998</v>
      </c>
      <c r="R1559" s="104" t="s">
        <v>17</v>
      </c>
      <c r="S1559" s="113">
        <f t="shared" si="22"/>
        <v>308.6386109232746</v>
      </c>
      <c r="T1559" s="104" t="s">
        <v>821</v>
      </c>
      <c r="U1559" s="108">
        <v>0.92900000000000005</v>
      </c>
      <c r="V1559" s="107">
        <v>33.299999999999997</v>
      </c>
      <c r="W1559" s="106" t="s">
        <v>822</v>
      </c>
    </row>
    <row r="1560" spans="1:23" ht="21" customHeight="1">
      <c r="A1560" s="104" t="s">
        <v>218</v>
      </c>
      <c r="B1560" s="104" t="s">
        <v>389</v>
      </c>
      <c r="C1560" s="454" t="s">
        <v>390</v>
      </c>
      <c r="D1560" s="105" t="s">
        <v>151</v>
      </c>
      <c r="E1560" s="104">
        <v>725</v>
      </c>
      <c r="F1560" s="104" t="s">
        <v>778</v>
      </c>
      <c r="G1560" s="106" t="s">
        <v>701</v>
      </c>
      <c r="H1560" s="104" t="s">
        <v>702</v>
      </c>
      <c r="I1560" s="104" t="s">
        <v>104</v>
      </c>
      <c r="J1560" s="104" t="s">
        <v>105</v>
      </c>
      <c r="K1560" s="104" t="s">
        <v>126</v>
      </c>
      <c r="L1560" s="104" t="s">
        <v>636</v>
      </c>
      <c r="M1560" s="104"/>
      <c r="N1560" s="108"/>
      <c r="O1560" s="104"/>
      <c r="P1560" s="108">
        <v>3.4659999999999997</v>
      </c>
      <c r="Q1560" s="108">
        <v>1.7579999999999998</v>
      </c>
      <c r="R1560" s="104" t="s">
        <v>17</v>
      </c>
      <c r="S1560" s="113">
        <f t="shared" si="22"/>
        <v>310.37391538954319</v>
      </c>
      <c r="T1560" s="104" t="s">
        <v>823</v>
      </c>
      <c r="U1560" s="108">
        <v>0.92900000000000005</v>
      </c>
      <c r="V1560" s="107">
        <v>33.299999999999997</v>
      </c>
      <c r="W1560" s="106" t="s">
        <v>824</v>
      </c>
    </row>
    <row r="1561" spans="1:23" ht="21" customHeight="1">
      <c r="A1561" s="104" t="s">
        <v>218</v>
      </c>
      <c r="B1561" s="104" t="s">
        <v>389</v>
      </c>
      <c r="C1561" s="454" t="s">
        <v>390</v>
      </c>
      <c r="D1561" s="105" t="s">
        <v>151</v>
      </c>
      <c r="E1561" s="104">
        <v>725</v>
      </c>
      <c r="F1561" s="104" t="s">
        <v>778</v>
      </c>
      <c r="G1561" s="106" t="s">
        <v>701</v>
      </c>
      <c r="H1561" s="104" t="s">
        <v>702</v>
      </c>
      <c r="I1561" s="104" t="s">
        <v>104</v>
      </c>
      <c r="J1561" s="104" t="s">
        <v>105</v>
      </c>
      <c r="K1561" s="104" t="s">
        <v>126</v>
      </c>
      <c r="L1561" s="104" t="s">
        <v>636</v>
      </c>
      <c r="M1561" s="104"/>
      <c r="N1561" s="108"/>
      <c r="O1561" s="104"/>
      <c r="P1561" s="108">
        <v>3.476</v>
      </c>
      <c r="Q1561" s="108">
        <v>1.4810000000000001</v>
      </c>
      <c r="R1561" s="104" t="s">
        <v>17</v>
      </c>
      <c r="S1561" s="113">
        <f t="shared" si="22"/>
        <v>313.28105202576751</v>
      </c>
      <c r="T1561" s="104" t="s">
        <v>825</v>
      </c>
      <c r="U1561" s="108">
        <v>0.92900000000000005</v>
      </c>
      <c r="V1561" s="107">
        <v>33.299999999999997</v>
      </c>
      <c r="W1561" s="106" t="s">
        <v>826</v>
      </c>
    </row>
    <row r="1562" spans="1:23" ht="21" customHeight="1">
      <c r="A1562" s="104" t="s">
        <v>218</v>
      </c>
      <c r="B1562" s="104" t="s">
        <v>389</v>
      </c>
      <c r="C1562" s="454" t="s">
        <v>390</v>
      </c>
      <c r="D1562" s="105" t="s">
        <v>151</v>
      </c>
      <c r="E1562" s="104">
        <v>725</v>
      </c>
      <c r="F1562" s="104" t="s">
        <v>778</v>
      </c>
      <c r="G1562" s="106" t="s">
        <v>701</v>
      </c>
      <c r="H1562" s="104" t="s">
        <v>702</v>
      </c>
      <c r="I1562" s="104" t="s">
        <v>104</v>
      </c>
      <c r="J1562" s="104" t="s">
        <v>105</v>
      </c>
      <c r="K1562" s="104" t="s">
        <v>126</v>
      </c>
      <c r="L1562" s="104" t="s">
        <v>636</v>
      </c>
      <c r="M1562" s="104"/>
      <c r="N1562" s="108"/>
      <c r="O1562" s="104"/>
      <c r="P1562" s="108">
        <v>3.5430000000000001</v>
      </c>
      <c r="Q1562" s="108">
        <v>1.6300000000000001</v>
      </c>
      <c r="R1562" s="104" t="s">
        <v>17</v>
      </c>
      <c r="S1562" s="113">
        <f t="shared" si="22"/>
        <v>333.24607959681822</v>
      </c>
      <c r="T1562" s="104" t="s">
        <v>828</v>
      </c>
      <c r="U1562" s="108">
        <v>0.92900000000000005</v>
      </c>
      <c r="V1562" s="107">
        <v>33.299999999999997</v>
      </c>
      <c r="W1562" s="106" t="s">
        <v>829</v>
      </c>
    </row>
    <row r="1563" spans="1:23" ht="21" customHeight="1">
      <c r="A1563" s="104" t="s">
        <v>218</v>
      </c>
      <c r="B1563" s="104" t="s">
        <v>389</v>
      </c>
      <c r="C1563" s="454" t="s">
        <v>390</v>
      </c>
      <c r="D1563" s="105" t="s">
        <v>151</v>
      </c>
      <c r="E1563" s="104">
        <v>725</v>
      </c>
      <c r="F1563" s="104" t="s">
        <v>778</v>
      </c>
      <c r="G1563" s="106" t="s">
        <v>701</v>
      </c>
      <c r="H1563" s="104" t="s">
        <v>702</v>
      </c>
      <c r="I1563" s="104" t="s">
        <v>104</v>
      </c>
      <c r="J1563" s="104" t="s">
        <v>105</v>
      </c>
      <c r="K1563" s="104" t="s">
        <v>126</v>
      </c>
      <c r="L1563" s="104" t="s">
        <v>636</v>
      </c>
      <c r="M1563" s="104"/>
      <c r="N1563" s="108"/>
      <c r="O1563" s="104"/>
      <c r="P1563" s="108">
        <v>3.5450000000000004</v>
      </c>
      <c r="Q1563" s="108">
        <v>1.2909999999999999</v>
      </c>
      <c r="R1563" s="104" t="s">
        <v>17</v>
      </c>
      <c r="S1563" s="113">
        <f t="shared" si="22"/>
        <v>333.85520465697533</v>
      </c>
      <c r="T1563" s="104" t="s">
        <v>830</v>
      </c>
      <c r="U1563" s="108">
        <v>0.92900000000000005</v>
      </c>
      <c r="V1563" s="107">
        <v>33.299999999999997</v>
      </c>
      <c r="W1563" s="106" t="s">
        <v>831</v>
      </c>
    </row>
    <row r="1564" spans="1:23" ht="21" customHeight="1">
      <c r="A1564" s="104" t="s">
        <v>218</v>
      </c>
      <c r="B1564" s="104" t="s">
        <v>389</v>
      </c>
      <c r="C1564" s="454" t="s">
        <v>390</v>
      </c>
      <c r="D1564" s="105" t="s">
        <v>151</v>
      </c>
      <c r="E1564" s="104">
        <v>725</v>
      </c>
      <c r="F1564" s="104" t="s">
        <v>778</v>
      </c>
      <c r="G1564" s="106" t="s">
        <v>701</v>
      </c>
      <c r="H1564" s="104" t="s">
        <v>702</v>
      </c>
      <c r="I1564" s="104" t="s">
        <v>104</v>
      </c>
      <c r="J1564" s="104" t="s">
        <v>105</v>
      </c>
      <c r="K1564" s="104" t="s">
        <v>126</v>
      </c>
      <c r="L1564" s="104" t="s">
        <v>636</v>
      </c>
      <c r="M1564" s="104"/>
      <c r="N1564" s="108"/>
      <c r="O1564" s="104"/>
      <c r="P1564" s="108">
        <v>3.6729999999999996</v>
      </c>
      <c r="Q1564" s="108">
        <v>1.587</v>
      </c>
      <c r="R1564" s="104" t="s">
        <v>17</v>
      </c>
      <c r="S1564" s="113">
        <f t="shared" si="22"/>
        <v>374.46197550369317</v>
      </c>
      <c r="T1564" s="104" t="s">
        <v>835</v>
      </c>
      <c r="U1564" s="108">
        <v>0.92900000000000005</v>
      </c>
      <c r="V1564" s="107">
        <v>33.299999999999997</v>
      </c>
      <c r="W1564" s="106" t="s">
        <v>836</v>
      </c>
    </row>
    <row r="1565" spans="1:23" ht="21" customHeight="1">
      <c r="A1565" s="104" t="s">
        <v>218</v>
      </c>
      <c r="B1565" s="104" t="s">
        <v>389</v>
      </c>
      <c r="C1565" s="454" t="s">
        <v>390</v>
      </c>
      <c r="D1565" s="105" t="s">
        <v>151</v>
      </c>
      <c r="E1565" s="104">
        <v>725</v>
      </c>
      <c r="F1565" s="104" t="s">
        <v>778</v>
      </c>
      <c r="G1565" s="106" t="s">
        <v>701</v>
      </c>
      <c r="H1565" s="104" t="s">
        <v>702</v>
      </c>
      <c r="I1565" s="104" t="s">
        <v>104</v>
      </c>
      <c r="J1565" s="104" t="s">
        <v>105</v>
      </c>
      <c r="K1565" s="104" t="s">
        <v>126</v>
      </c>
      <c r="L1565" s="104" t="s">
        <v>636</v>
      </c>
      <c r="M1565" s="104"/>
      <c r="N1565" s="108"/>
      <c r="O1565" s="104"/>
      <c r="P1565" s="108">
        <v>3.6770000000000005</v>
      </c>
      <c r="Q1565" s="108">
        <v>1.524</v>
      </c>
      <c r="R1565" s="104" t="s">
        <v>17</v>
      </c>
      <c r="S1565" s="113">
        <f t="shared" si="22"/>
        <v>375.78322240995391</v>
      </c>
      <c r="T1565" s="104" t="s">
        <v>837</v>
      </c>
      <c r="U1565" s="108">
        <v>0.92900000000000005</v>
      </c>
      <c r="V1565" s="107">
        <v>33.299999999999997</v>
      </c>
      <c r="W1565" s="106" t="s">
        <v>838</v>
      </c>
    </row>
    <row r="1566" spans="1:23" ht="21" customHeight="1">
      <c r="A1566" s="104" t="s">
        <v>218</v>
      </c>
      <c r="B1566" s="104" t="s">
        <v>389</v>
      </c>
      <c r="C1566" s="454" t="s">
        <v>390</v>
      </c>
      <c r="D1566" s="105" t="s">
        <v>151</v>
      </c>
      <c r="E1566" s="104">
        <v>725</v>
      </c>
      <c r="F1566" s="104" t="s">
        <v>778</v>
      </c>
      <c r="G1566" s="106" t="s">
        <v>701</v>
      </c>
      <c r="H1566" s="104" t="s">
        <v>702</v>
      </c>
      <c r="I1566" s="104" t="s">
        <v>104</v>
      </c>
      <c r="J1566" s="104" t="s">
        <v>105</v>
      </c>
      <c r="K1566" s="104" t="s">
        <v>126</v>
      </c>
      <c r="L1566" s="104" t="s">
        <v>636</v>
      </c>
      <c r="M1566" s="104"/>
      <c r="N1566" s="108"/>
      <c r="O1566" s="104"/>
      <c r="P1566" s="108">
        <v>3.6920000000000002</v>
      </c>
      <c r="Q1566" s="108">
        <v>1.748</v>
      </c>
      <c r="R1566" s="104" t="s">
        <v>17</v>
      </c>
      <c r="S1566" s="113">
        <f t="shared" si="22"/>
        <v>380.76659160148557</v>
      </c>
      <c r="T1566" s="104" t="s">
        <v>839</v>
      </c>
      <c r="U1566" s="108">
        <v>0.92900000000000005</v>
      </c>
      <c r="V1566" s="107">
        <v>33.299999999999997</v>
      </c>
      <c r="W1566" s="106" t="s">
        <v>840</v>
      </c>
    </row>
    <row r="1567" spans="1:23" ht="21" customHeight="1">
      <c r="A1567" s="104" t="s">
        <v>218</v>
      </c>
      <c r="B1567" s="104" t="s">
        <v>389</v>
      </c>
      <c r="C1567" s="454" t="s">
        <v>390</v>
      </c>
      <c r="D1567" s="105" t="s">
        <v>151</v>
      </c>
      <c r="E1567" s="104">
        <v>725</v>
      </c>
      <c r="F1567" s="104" t="s">
        <v>778</v>
      </c>
      <c r="G1567" s="106" t="s">
        <v>701</v>
      </c>
      <c r="H1567" s="104" t="s">
        <v>702</v>
      </c>
      <c r="I1567" s="104" t="s">
        <v>104</v>
      </c>
      <c r="J1567" s="104" t="s">
        <v>105</v>
      </c>
      <c r="K1567" s="104" t="s">
        <v>126</v>
      </c>
      <c r="L1567" s="104" t="s">
        <v>636</v>
      </c>
      <c r="M1567" s="104"/>
      <c r="N1567" s="108"/>
      <c r="O1567" s="104"/>
      <c r="P1567" s="108">
        <v>3.6960000000000002</v>
      </c>
      <c r="Q1567" s="108">
        <v>1.5820000000000001</v>
      </c>
      <c r="R1567" s="104" t="s">
        <v>17</v>
      </c>
      <c r="S1567" s="113">
        <f t="shared" ref="S1567:S1590" si="23">10^(((LOG(P1567))*3.236)+0.745)</f>
        <v>382.10316130136823</v>
      </c>
      <c r="T1567" s="104" t="s">
        <v>841</v>
      </c>
      <c r="U1567" s="108">
        <v>0.92900000000000005</v>
      </c>
      <c r="V1567" s="107">
        <v>33.299999999999997</v>
      </c>
      <c r="W1567" s="106" t="s">
        <v>842</v>
      </c>
    </row>
    <row r="1568" spans="1:23" ht="21" customHeight="1">
      <c r="A1568" s="104" t="s">
        <v>218</v>
      </c>
      <c r="B1568" s="104" t="s">
        <v>389</v>
      </c>
      <c r="C1568" s="454" t="s">
        <v>390</v>
      </c>
      <c r="D1568" s="105" t="s">
        <v>151</v>
      </c>
      <c r="E1568" s="104">
        <v>725</v>
      </c>
      <c r="F1568" s="104" t="s">
        <v>778</v>
      </c>
      <c r="G1568" s="106" t="s">
        <v>701</v>
      </c>
      <c r="H1568" s="104" t="s">
        <v>702</v>
      </c>
      <c r="I1568" s="104" t="s">
        <v>104</v>
      </c>
      <c r="J1568" s="104" t="s">
        <v>105</v>
      </c>
      <c r="K1568" s="104" t="s">
        <v>126</v>
      </c>
      <c r="L1568" s="104" t="s">
        <v>636</v>
      </c>
      <c r="M1568" s="104"/>
      <c r="N1568" s="108"/>
      <c r="O1568" s="104"/>
      <c r="P1568" s="108">
        <v>3.7759999999999998</v>
      </c>
      <c r="Q1568" s="108">
        <v>1.73</v>
      </c>
      <c r="R1568" s="104" t="s">
        <v>17</v>
      </c>
      <c r="S1568" s="113">
        <f t="shared" si="23"/>
        <v>409.52036675638527</v>
      </c>
      <c r="T1568" s="104" t="s">
        <v>844</v>
      </c>
      <c r="U1568" s="108">
        <v>0.92900000000000005</v>
      </c>
      <c r="V1568" s="107">
        <v>33.299999999999997</v>
      </c>
      <c r="W1568" s="106" t="s">
        <v>845</v>
      </c>
    </row>
    <row r="1569" spans="1:23" ht="21" customHeight="1">
      <c r="A1569" s="104" t="s">
        <v>218</v>
      </c>
      <c r="B1569" s="104" t="s">
        <v>389</v>
      </c>
      <c r="C1569" s="454" t="s">
        <v>390</v>
      </c>
      <c r="D1569" s="105" t="s">
        <v>151</v>
      </c>
      <c r="E1569" s="104">
        <v>725</v>
      </c>
      <c r="F1569" s="104" t="s">
        <v>778</v>
      </c>
      <c r="G1569" s="106" t="s">
        <v>701</v>
      </c>
      <c r="H1569" s="104" t="s">
        <v>702</v>
      </c>
      <c r="I1569" s="104" t="s">
        <v>104</v>
      </c>
      <c r="J1569" s="104" t="s">
        <v>105</v>
      </c>
      <c r="K1569" s="104" t="s">
        <v>126</v>
      </c>
      <c r="L1569" s="104" t="s">
        <v>636</v>
      </c>
      <c r="M1569" s="104"/>
      <c r="N1569" s="108"/>
      <c r="O1569" s="104"/>
      <c r="P1569" s="108">
        <v>3.7880000000000003</v>
      </c>
      <c r="Q1569" s="108">
        <v>1.7010000000000001</v>
      </c>
      <c r="R1569" s="104" t="s">
        <v>17</v>
      </c>
      <c r="S1569" s="113">
        <f t="shared" si="23"/>
        <v>413.74681535252802</v>
      </c>
      <c r="T1569" s="104" t="s">
        <v>846</v>
      </c>
      <c r="U1569" s="108">
        <v>0.92900000000000005</v>
      </c>
      <c r="V1569" s="107">
        <v>33.299999999999997</v>
      </c>
      <c r="W1569" s="106" t="s">
        <v>847</v>
      </c>
    </row>
    <row r="1570" spans="1:23" ht="21" customHeight="1">
      <c r="A1570" s="104" t="s">
        <v>218</v>
      </c>
      <c r="B1570" s="104" t="s">
        <v>389</v>
      </c>
      <c r="C1570" s="454" t="s">
        <v>390</v>
      </c>
      <c r="D1570" s="105" t="s">
        <v>151</v>
      </c>
      <c r="E1570" s="104">
        <v>725</v>
      </c>
      <c r="F1570" s="104" t="s">
        <v>778</v>
      </c>
      <c r="G1570" s="106" t="s">
        <v>701</v>
      </c>
      <c r="H1570" s="104" t="s">
        <v>702</v>
      </c>
      <c r="I1570" s="104" t="s">
        <v>104</v>
      </c>
      <c r="J1570" s="104" t="s">
        <v>105</v>
      </c>
      <c r="K1570" s="104" t="s">
        <v>126</v>
      </c>
      <c r="L1570" s="104" t="s">
        <v>636</v>
      </c>
      <c r="M1570" s="104"/>
      <c r="N1570" s="108"/>
      <c r="O1570" s="104"/>
      <c r="P1570" s="108">
        <v>3.8140000000000001</v>
      </c>
      <c r="Q1570" s="108">
        <v>1.456</v>
      </c>
      <c r="R1570" s="104" t="s">
        <v>17</v>
      </c>
      <c r="S1570" s="113">
        <f t="shared" si="23"/>
        <v>423.00734523163476</v>
      </c>
      <c r="T1570" s="104" t="s">
        <v>850</v>
      </c>
      <c r="U1570" s="108">
        <v>0.92900000000000005</v>
      </c>
      <c r="V1570" s="107">
        <v>33.299999999999997</v>
      </c>
      <c r="W1570" s="106" t="s">
        <v>851</v>
      </c>
    </row>
    <row r="1571" spans="1:23" ht="21" customHeight="1">
      <c r="A1571" s="104" t="s">
        <v>218</v>
      </c>
      <c r="B1571" s="104" t="s">
        <v>389</v>
      </c>
      <c r="C1571" s="454" t="s">
        <v>390</v>
      </c>
      <c r="D1571" s="105" t="s">
        <v>151</v>
      </c>
      <c r="E1571" s="104">
        <v>725</v>
      </c>
      <c r="F1571" s="104" t="s">
        <v>778</v>
      </c>
      <c r="G1571" s="106" t="s">
        <v>701</v>
      </c>
      <c r="H1571" s="104" t="s">
        <v>702</v>
      </c>
      <c r="I1571" s="104" t="s">
        <v>104</v>
      </c>
      <c r="J1571" s="104" t="s">
        <v>105</v>
      </c>
      <c r="K1571" s="104" t="s">
        <v>126</v>
      </c>
      <c r="L1571" s="104" t="s">
        <v>636</v>
      </c>
      <c r="M1571" s="104"/>
      <c r="N1571" s="108"/>
      <c r="O1571" s="104"/>
      <c r="P1571" s="108">
        <v>3.91</v>
      </c>
      <c r="Q1571" s="108">
        <v>1.4039999999999999</v>
      </c>
      <c r="R1571" s="104" t="s">
        <v>17</v>
      </c>
      <c r="S1571" s="113">
        <f t="shared" si="23"/>
        <v>458.44156553275133</v>
      </c>
      <c r="T1571" s="104" t="s">
        <v>854</v>
      </c>
      <c r="U1571" s="108">
        <v>0.92900000000000005</v>
      </c>
      <c r="V1571" s="107">
        <v>33.299999999999997</v>
      </c>
      <c r="W1571" s="106" t="s">
        <v>855</v>
      </c>
    </row>
    <row r="1572" spans="1:23" ht="21" customHeight="1">
      <c r="A1572" s="104" t="s">
        <v>218</v>
      </c>
      <c r="B1572" s="104" t="s">
        <v>389</v>
      </c>
      <c r="C1572" s="454" t="s">
        <v>390</v>
      </c>
      <c r="D1572" s="105" t="s">
        <v>151</v>
      </c>
      <c r="E1572" s="104">
        <v>725</v>
      </c>
      <c r="F1572" s="104" t="s">
        <v>778</v>
      </c>
      <c r="G1572" s="106" t="s">
        <v>701</v>
      </c>
      <c r="H1572" s="104" t="s">
        <v>702</v>
      </c>
      <c r="I1572" s="104" t="s">
        <v>104</v>
      </c>
      <c r="J1572" s="104" t="s">
        <v>105</v>
      </c>
      <c r="K1572" s="104" t="s">
        <v>126</v>
      </c>
      <c r="L1572" s="104" t="s">
        <v>636</v>
      </c>
      <c r="M1572" s="104"/>
      <c r="N1572" s="108"/>
      <c r="O1572" s="104"/>
      <c r="P1572" s="108">
        <v>3.9270000000000005</v>
      </c>
      <c r="Q1572" s="108">
        <v>1.5980000000000001</v>
      </c>
      <c r="R1572" s="104" t="s">
        <v>17</v>
      </c>
      <c r="S1572" s="113">
        <f t="shared" si="23"/>
        <v>464.9230481804712</v>
      </c>
      <c r="T1572" s="104" t="s">
        <v>856</v>
      </c>
      <c r="U1572" s="108">
        <v>0.92900000000000005</v>
      </c>
      <c r="V1572" s="107">
        <v>33.299999999999997</v>
      </c>
      <c r="W1572" s="106" t="s">
        <v>857</v>
      </c>
    </row>
    <row r="1573" spans="1:23" ht="21" customHeight="1">
      <c r="A1573" s="104" t="s">
        <v>218</v>
      </c>
      <c r="B1573" s="104" t="s">
        <v>389</v>
      </c>
      <c r="C1573" s="454" t="s">
        <v>390</v>
      </c>
      <c r="D1573" s="105" t="s">
        <v>151</v>
      </c>
      <c r="E1573" s="104">
        <v>725</v>
      </c>
      <c r="F1573" s="104" t="s">
        <v>778</v>
      </c>
      <c r="G1573" s="106" t="s">
        <v>701</v>
      </c>
      <c r="H1573" s="104" t="s">
        <v>702</v>
      </c>
      <c r="I1573" s="104" t="s">
        <v>104</v>
      </c>
      <c r="J1573" s="104" t="s">
        <v>105</v>
      </c>
      <c r="K1573" s="104" t="s">
        <v>126</v>
      </c>
      <c r="L1573" s="104" t="s">
        <v>636</v>
      </c>
      <c r="M1573" s="104"/>
      <c r="N1573" s="108"/>
      <c r="O1573" s="104"/>
      <c r="P1573" s="108">
        <v>3.9470000000000001</v>
      </c>
      <c r="Q1573" s="108">
        <v>1.5</v>
      </c>
      <c r="R1573" s="104" t="s">
        <v>17</v>
      </c>
      <c r="S1573" s="113">
        <f t="shared" si="23"/>
        <v>472.62905992679964</v>
      </c>
      <c r="T1573" s="104" t="s">
        <v>858</v>
      </c>
      <c r="U1573" s="108">
        <v>0.92900000000000005</v>
      </c>
      <c r="V1573" s="107">
        <v>33.299999999999997</v>
      </c>
      <c r="W1573" s="106" t="s">
        <v>859</v>
      </c>
    </row>
    <row r="1574" spans="1:23" ht="21" customHeight="1">
      <c r="A1574" s="104" t="s">
        <v>218</v>
      </c>
      <c r="B1574" s="104" t="s">
        <v>389</v>
      </c>
      <c r="C1574" s="454" t="s">
        <v>390</v>
      </c>
      <c r="D1574" s="105" t="s">
        <v>151</v>
      </c>
      <c r="E1574" s="104">
        <v>725</v>
      </c>
      <c r="F1574" s="104" t="s">
        <v>778</v>
      </c>
      <c r="G1574" s="106" t="s">
        <v>701</v>
      </c>
      <c r="H1574" s="104" t="s">
        <v>702</v>
      </c>
      <c r="I1574" s="104" t="s">
        <v>104</v>
      </c>
      <c r="J1574" s="104" t="s">
        <v>105</v>
      </c>
      <c r="K1574" s="104" t="s">
        <v>126</v>
      </c>
      <c r="L1574" s="104" t="s">
        <v>636</v>
      </c>
      <c r="M1574" s="104"/>
      <c r="N1574" s="108"/>
      <c r="O1574" s="104"/>
      <c r="P1574" s="108">
        <v>3.9780000000000002</v>
      </c>
      <c r="Q1574" s="108">
        <v>1.48</v>
      </c>
      <c r="R1574" s="104" t="s">
        <v>17</v>
      </c>
      <c r="S1574" s="113">
        <f t="shared" si="23"/>
        <v>484.7471050986324</v>
      </c>
      <c r="T1574" s="104" t="s">
        <v>860</v>
      </c>
      <c r="U1574" s="108">
        <v>0.92900000000000005</v>
      </c>
      <c r="V1574" s="107">
        <v>33.299999999999997</v>
      </c>
      <c r="W1574" s="106" t="s">
        <v>861</v>
      </c>
    </row>
    <row r="1575" spans="1:23" ht="21" customHeight="1">
      <c r="A1575" s="104" t="s">
        <v>218</v>
      </c>
      <c r="B1575" s="104" t="s">
        <v>389</v>
      </c>
      <c r="C1575" s="454" t="s">
        <v>390</v>
      </c>
      <c r="D1575" s="105" t="s">
        <v>151</v>
      </c>
      <c r="E1575" s="104">
        <v>725</v>
      </c>
      <c r="F1575" s="104" t="s">
        <v>778</v>
      </c>
      <c r="G1575" s="106" t="s">
        <v>701</v>
      </c>
      <c r="H1575" s="104" t="s">
        <v>702</v>
      </c>
      <c r="I1575" s="104" t="s">
        <v>104</v>
      </c>
      <c r="J1575" s="104" t="s">
        <v>105</v>
      </c>
      <c r="K1575" s="104" t="s">
        <v>126</v>
      </c>
      <c r="L1575" s="104" t="s">
        <v>636</v>
      </c>
      <c r="M1575" s="104"/>
      <c r="N1575" s="108"/>
      <c r="O1575" s="104"/>
      <c r="P1575" s="108">
        <v>4.0140000000000002</v>
      </c>
      <c r="Q1575" s="108">
        <v>1.5050000000000001</v>
      </c>
      <c r="R1575" s="104" t="s">
        <v>17</v>
      </c>
      <c r="S1575" s="113">
        <f t="shared" si="23"/>
        <v>499.08712139761593</v>
      </c>
      <c r="T1575" s="104" t="s">
        <v>862</v>
      </c>
      <c r="U1575" s="108">
        <v>0.92900000000000005</v>
      </c>
      <c r="V1575" s="107">
        <v>33.299999999999997</v>
      </c>
      <c r="W1575" s="106" t="s">
        <v>863</v>
      </c>
    </row>
    <row r="1576" spans="1:23" ht="21" customHeight="1">
      <c r="A1576" s="104" t="s">
        <v>218</v>
      </c>
      <c r="B1576" s="104" t="s">
        <v>389</v>
      </c>
      <c r="C1576" s="454" t="s">
        <v>390</v>
      </c>
      <c r="D1576" s="105" t="s">
        <v>151</v>
      </c>
      <c r="E1576" s="104">
        <v>725</v>
      </c>
      <c r="F1576" s="104" t="s">
        <v>778</v>
      </c>
      <c r="G1576" s="106" t="s">
        <v>701</v>
      </c>
      <c r="H1576" s="104" t="s">
        <v>702</v>
      </c>
      <c r="I1576" s="104" t="s">
        <v>104</v>
      </c>
      <c r="J1576" s="104" t="s">
        <v>105</v>
      </c>
      <c r="K1576" s="104" t="s">
        <v>126</v>
      </c>
      <c r="L1576" s="104" t="s">
        <v>636</v>
      </c>
      <c r="M1576" s="104"/>
      <c r="N1576" s="108"/>
      <c r="O1576" s="104"/>
      <c r="P1576" s="108">
        <v>4.09</v>
      </c>
      <c r="Q1576" s="108">
        <v>1.4390000000000001</v>
      </c>
      <c r="R1576" s="104" t="s">
        <v>17</v>
      </c>
      <c r="S1576" s="113">
        <f t="shared" si="23"/>
        <v>530.31831329047407</v>
      </c>
      <c r="T1576" s="104" t="s">
        <v>865</v>
      </c>
      <c r="U1576" s="108">
        <v>0.92900000000000005</v>
      </c>
      <c r="V1576" s="107">
        <v>33.299999999999997</v>
      </c>
      <c r="W1576" s="106" t="s">
        <v>866</v>
      </c>
    </row>
    <row r="1577" spans="1:23" ht="21" customHeight="1">
      <c r="A1577" s="104" t="s">
        <v>218</v>
      </c>
      <c r="B1577" s="104" t="s">
        <v>389</v>
      </c>
      <c r="C1577" s="454" t="s">
        <v>390</v>
      </c>
      <c r="D1577" s="105" t="s">
        <v>151</v>
      </c>
      <c r="E1577" s="104">
        <v>725</v>
      </c>
      <c r="F1577" s="104" t="s">
        <v>778</v>
      </c>
      <c r="G1577" s="106" t="s">
        <v>701</v>
      </c>
      <c r="H1577" s="104" t="s">
        <v>702</v>
      </c>
      <c r="I1577" s="104" t="s">
        <v>104</v>
      </c>
      <c r="J1577" s="104" t="s">
        <v>105</v>
      </c>
      <c r="K1577" s="104" t="s">
        <v>126</v>
      </c>
      <c r="L1577" s="104" t="s">
        <v>636</v>
      </c>
      <c r="M1577" s="104"/>
      <c r="N1577" s="108"/>
      <c r="O1577" s="104"/>
      <c r="P1577" s="108">
        <v>4.0979999999999999</v>
      </c>
      <c r="Q1577" s="108">
        <v>1.502</v>
      </c>
      <c r="R1577" s="104" t="s">
        <v>17</v>
      </c>
      <c r="S1577" s="113">
        <f t="shared" si="23"/>
        <v>533.68235411366015</v>
      </c>
      <c r="T1577" s="104" t="s">
        <v>867</v>
      </c>
      <c r="U1577" s="108">
        <v>0.92900000000000005</v>
      </c>
      <c r="V1577" s="107">
        <v>33.299999999999997</v>
      </c>
      <c r="W1577" s="106" t="s">
        <v>868</v>
      </c>
    </row>
    <row r="1578" spans="1:23" ht="21" customHeight="1">
      <c r="A1578" s="104" t="s">
        <v>218</v>
      </c>
      <c r="B1578" s="104" t="s">
        <v>389</v>
      </c>
      <c r="C1578" s="454" t="s">
        <v>390</v>
      </c>
      <c r="D1578" s="105" t="s">
        <v>151</v>
      </c>
      <c r="E1578" s="104">
        <v>725</v>
      </c>
      <c r="F1578" s="104" t="s">
        <v>778</v>
      </c>
      <c r="G1578" s="106" t="s">
        <v>701</v>
      </c>
      <c r="H1578" s="104" t="s">
        <v>702</v>
      </c>
      <c r="I1578" s="104" t="s">
        <v>104</v>
      </c>
      <c r="J1578" s="104" t="s">
        <v>105</v>
      </c>
      <c r="K1578" s="104" t="s">
        <v>126</v>
      </c>
      <c r="L1578" s="104" t="s">
        <v>636</v>
      </c>
      <c r="M1578" s="104"/>
      <c r="N1578" s="108"/>
      <c r="O1578" s="104"/>
      <c r="P1578" s="108">
        <v>4.1509999999999998</v>
      </c>
      <c r="Q1578" s="108">
        <v>1.5699999999999998</v>
      </c>
      <c r="R1578" s="104" t="s">
        <v>17</v>
      </c>
      <c r="S1578" s="113">
        <f t="shared" si="23"/>
        <v>556.3425095711641</v>
      </c>
      <c r="T1578" s="104" t="s">
        <v>869</v>
      </c>
      <c r="U1578" s="108">
        <v>0.92900000000000005</v>
      </c>
      <c r="V1578" s="107">
        <v>33.299999999999997</v>
      </c>
      <c r="W1578" s="106" t="s">
        <v>870</v>
      </c>
    </row>
    <row r="1579" spans="1:23" ht="21" customHeight="1">
      <c r="A1579" s="104" t="s">
        <v>218</v>
      </c>
      <c r="B1579" s="104" t="s">
        <v>389</v>
      </c>
      <c r="C1579" s="454" t="s">
        <v>390</v>
      </c>
      <c r="D1579" s="105" t="s">
        <v>151</v>
      </c>
      <c r="E1579" s="104">
        <v>725</v>
      </c>
      <c r="F1579" s="104" t="s">
        <v>778</v>
      </c>
      <c r="G1579" s="106" t="s">
        <v>701</v>
      </c>
      <c r="H1579" s="104" t="s">
        <v>702</v>
      </c>
      <c r="I1579" s="104" t="s">
        <v>104</v>
      </c>
      <c r="J1579" s="104" t="s">
        <v>105</v>
      </c>
      <c r="K1579" s="104" t="s">
        <v>126</v>
      </c>
      <c r="L1579" s="104" t="s">
        <v>636</v>
      </c>
      <c r="M1579" s="104"/>
      <c r="N1579" s="108"/>
      <c r="O1579" s="104"/>
      <c r="P1579" s="108">
        <v>4.16</v>
      </c>
      <c r="Q1579" s="108">
        <v>1.4159999999999999</v>
      </c>
      <c r="R1579" s="104" t="s">
        <v>17</v>
      </c>
      <c r="S1579" s="113">
        <f t="shared" si="23"/>
        <v>560.25535710670636</v>
      </c>
      <c r="T1579" s="104" t="s">
        <v>871</v>
      </c>
      <c r="U1579" s="108">
        <v>0.92900000000000005</v>
      </c>
      <c r="V1579" s="107">
        <v>33.299999999999997</v>
      </c>
      <c r="W1579" s="106" t="s">
        <v>872</v>
      </c>
    </row>
    <row r="1580" spans="1:23" ht="21" customHeight="1">
      <c r="A1580" s="104" t="s">
        <v>218</v>
      </c>
      <c r="B1580" s="104" t="s">
        <v>389</v>
      </c>
      <c r="C1580" s="454" t="s">
        <v>390</v>
      </c>
      <c r="D1580" s="105" t="s">
        <v>151</v>
      </c>
      <c r="E1580" s="104">
        <v>725</v>
      </c>
      <c r="F1580" s="104" t="s">
        <v>778</v>
      </c>
      <c r="G1580" s="106" t="s">
        <v>701</v>
      </c>
      <c r="H1580" s="104" t="s">
        <v>702</v>
      </c>
      <c r="I1580" s="104" t="s">
        <v>104</v>
      </c>
      <c r="J1580" s="104" t="s">
        <v>105</v>
      </c>
      <c r="K1580" s="104" t="s">
        <v>126</v>
      </c>
      <c r="L1580" s="104" t="s">
        <v>636</v>
      </c>
      <c r="M1580" s="104"/>
      <c r="N1580" s="108"/>
      <c r="O1580" s="104"/>
      <c r="P1580" s="108">
        <v>4.173</v>
      </c>
      <c r="Q1580" s="108">
        <v>1.526</v>
      </c>
      <c r="R1580" s="104" t="s">
        <v>17</v>
      </c>
      <c r="S1580" s="113">
        <f t="shared" si="23"/>
        <v>565.94075902324073</v>
      </c>
      <c r="T1580" s="104" t="s">
        <v>873</v>
      </c>
      <c r="U1580" s="108">
        <v>0.92900000000000005</v>
      </c>
      <c r="V1580" s="107">
        <v>33.299999999999997</v>
      </c>
      <c r="W1580" s="106" t="s">
        <v>874</v>
      </c>
    </row>
    <row r="1581" spans="1:23" ht="21" customHeight="1">
      <c r="A1581" s="104" t="s">
        <v>218</v>
      </c>
      <c r="B1581" s="104" t="s">
        <v>389</v>
      </c>
      <c r="C1581" s="454" t="s">
        <v>390</v>
      </c>
      <c r="D1581" s="105" t="s">
        <v>151</v>
      </c>
      <c r="E1581" s="104">
        <v>725</v>
      </c>
      <c r="F1581" s="104" t="s">
        <v>778</v>
      </c>
      <c r="G1581" s="106" t="s">
        <v>701</v>
      </c>
      <c r="H1581" s="104" t="s">
        <v>702</v>
      </c>
      <c r="I1581" s="104" t="s">
        <v>104</v>
      </c>
      <c r="J1581" s="104" t="s">
        <v>105</v>
      </c>
      <c r="K1581" s="104" t="s">
        <v>126</v>
      </c>
      <c r="L1581" s="104" t="s">
        <v>636</v>
      </c>
      <c r="M1581" s="104"/>
      <c r="N1581" s="108"/>
      <c r="O1581" s="104"/>
      <c r="P1581" s="108">
        <v>4.2140000000000004</v>
      </c>
      <c r="Q1581" s="108">
        <v>1.4529999999999998</v>
      </c>
      <c r="R1581" s="104" t="s">
        <v>17</v>
      </c>
      <c r="S1581" s="113">
        <f t="shared" si="23"/>
        <v>584.13267886199492</v>
      </c>
      <c r="T1581" s="104" t="s">
        <v>875</v>
      </c>
      <c r="U1581" s="108">
        <v>0.92900000000000005</v>
      </c>
      <c r="V1581" s="107">
        <v>33.299999999999997</v>
      </c>
      <c r="W1581" s="106" t="s">
        <v>876</v>
      </c>
    </row>
    <row r="1582" spans="1:23" ht="21" customHeight="1">
      <c r="A1582" s="104" t="s">
        <v>218</v>
      </c>
      <c r="B1582" s="104" t="s">
        <v>389</v>
      </c>
      <c r="C1582" s="454" t="s">
        <v>390</v>
      </c>
      <c r="D1582" s="105" t="s">
        <v>151</v>
      </c>
      <c r="E1582" s="104">
        <v>725</v>
      </c>
      <c r="F1582" s="104" t="s">
        <v>778</v>
      </c>
      <c r="G1582" s="106" t="s">
        <v>701</v>
      </c>
      <c r="H1582" s="104" t="s">
        <v>702</v>
      </c>
      <c r="I1582" s="104" t="s">
        <v>104</v>
      </c>
      <c r="J1582" s="104" t="s">
        <v>105</v>
      </c>
      <c r="K1582" s="104" t="s">
        <v>126</v>
      </c>
      <c r="L1582" s="104" t="s">
        <v>636</v>
      </c>
      <c r="M1582" s="104"/>
      <c r="N1582" s="108"/>
      <c r="O1582" s="104"/>
      <c r="P1582" s="108">
        <v>4.3579999999999997</v>
      </c>
      <c r="Q1582" s="108">
        <v>1.6780000000000002</v>
      </c>
      <c r="R1582" s="104" t="s">
        <v>17</v>
      </c>
      <c r="S1582" s="113">
        <f t="shared" si="23"/>
        <v>651.22859675968232</v>
      </c>
      <c r="T1582" s="104" t="s">
        <v>879</v>
      </c>
      <c r="U1582" s="108">
        <v>0.92900000000000005</v>
      </c>
      <c r="V1582" s="107">
        <v>33.299999999999997</v>
      </c>
      <c r="W1582" s="106" t="s">
        <v>880</v>
      </c>
    </row>
    <row r="1583" spans="1:23" ht="21" customHeight="1">
      <c r="A1583" s="104" t="s">
        <v>218</v>
      </c>
      <c r="B1583" s="104" t="s">
        <v>389</v>
      </c>
      <c r="C1583" s="454" t="s">
        <v>390</v>
      </c>
      <c r="D1583" s="105" t="s">
        <v>151</v>
      </c>
      <c r="E1583" s="104">
        <v>725</v>
      </c>
      <c r="F1583" s="104" t="s">
        <v>778</v>
      </c>
      <c r="G1583" s="106" t="s">
        <v>701</v>
      </c>
      <c r="H1583" s="104" t="s">
        <v>702</v>
      </c>
      <c r="I1583" s="104" t="s">
        <v>104</v>
      </c>
      <c r="J1583" s="104" t="s">
        <v>105</v>
      </c>
      <c r="K1583" s="104" t="s">
        <v>126</v>
      </c>
      <c r="L1583" s="104" t="s">
        <v>636</v>
      </c>
      <c r="M1583" s="104"/>
      <c r="N1583" s="108"/>
      <c r="O1583" s="104"/>
      <c r="P1583" s="108">
        <v>4.4189999999999996</v>
      </c>
      <c r="Q1583" s="108">
        <v>1.8350000000000002</v>
      </c>
      <c r="R1583" s="104" t="s">
        <v>17</v>
      </c>
      <c r="S1583" s="113">
        <f t="shared" si="23"/>
        <v>681.19032192582063</v>
      </c>
      <c r="T1583" s="104" t="s">
        <v>881</v>
      </c>
      <c r="U1583" s="108">
        <v>0.92900000000000005</v>
      </c>
      <c r="V1583" s="107">
        <v>33.299999999999997</v>
      </c>
      <c r="W1583" s="106" t="s">
        <v>882</v>
      </c>
    </row>
    <row r="1584" spans="1:23" ht="21" customHeight="1">
      <c r="A1584" s="104" t="s">
        <v>218</v>
      </c>
      <c r="B1584" s="104" t="s">
        <v>389</v>
      </c>
      <c r="C1584" s="454" t="s">
        <v>390</v>
      </c>
      <c r="D1584" s="105" t="s">
        <v>151</v>
      </c>
      <c r="E1584" s="104">
        <v>725</v>
      </c>
      <c r="F1584" s="104" t="s">
        <v>778</v>
      </c>
      <c r="G1584" s="106" t="s">
        <v>701</v>
      </c>
      <c r="H1584" s="104" t="s">
        <v>702</v>
      </c>
      <c r="I1584" s="104" t="s">
        <v>104</v>
      </c>
      <c r="J1584" s="104" t="s">
        <v>105</v>
      </c>
      <c r="K1584" s="104" t="s">
        <v>126</v>
      </c>
      <c r="L1584" s="104" t="s">
        <v>636</v>
      </c>
      <c r="M1584" s="104"/>
      <c r="N1584" s="108"/>
      <c r="O1584" s="104"/>
      <c r="P1584" s="108">
        <v>4.4799999999999995</v>
      </c>
      <c r="Q1584" s="108">
        <v>1.54</v>
      </c>
      <c r="R1584" s="104" t="s">
        <v>17</v>
      </c>
      <c r="S1584" s="113">
        <f t="shared" si="23"/>
        <v>712.09125655513083</v>
      </c>
      <c r="T1584" s="104" t="s">
        <v>886</v>
      </c>
      <c r="U1584" s="108">
        <v>0.92900000000000005</v>
      </c>
      <c r="V1584" s="107">
        <v>33.299999999999997</v>
      </c>
      <c r="W1584" s="106" t="s">
        <v>887</v>
      </c>
    </row>
    <row r="1585" spans="1:23" ht="21" customHeight="1">
      <c r="A1585" s="104" t="s">
        <v>218</v>
      </c>
      <c r="B1585" s="104" t="s">
        <v>389</v>
      </c>
      <c r="C1585" s="454" t="s">
        <v>390</v>
      </c>
      <c r="D1585" s="105" t="s">
        <v>151</v>
      </c>
      <c r="E1585" s="104">
        <v>725</v>
      </c>
      <c r="F1585" s="104" t="s">
        <v>778</v>
      </c>
      <c r="G1585" s="106" t="s">
        <v>701</v>
      </c>
      <c r="H1585" s="104" t="s">
        <v>702</v>
      </c>
      <c r="I1585" s="104" t="s">
        <v>104</v>
      </c>
      <c r="J1585" s="104" t="s">
        <v>105</v>
      </c>
      <c r="K1585" s="104" t="s">
        <v>126</v>
      </c>
      <c r="L1585" s="104" t="s">
        <v>636</v>
      </c>
      <c r="M1585" s="104"/>
      <c r="N1585" s="108"/>
      <c r="O1585" s="104"/>
      <c r="P1585" s="108">
        <v>4.5439999999999996</v>
      </c>
      <c r="Q1585" s="108">
        <v>1.595</v>
      </c>
      <c r="R1585" s="104" t="s">
        <v>17</v>
      </c>
      <c r="S1585" s="113">
        <f t="shared" si="23"/>
        <v>745.53907800738637</v>
      </c>
      <c r="T1585" s="104" t="s">
        <v>888</v>
      </c>
      <c r="U1585" s="108">
        <v>0.92900000000000005</v>
      </c>
      <c r="V1585" s="107">
        <v>33.299999999999997</v>
      </c>
      <c r="W1585" s="106" t="s">
        <v>889</v>
      </c>
    </row>
    <row r="1586" spans="1:23" ht="21" customHeight="1">
      <c r="A1586" s="104" t="s">
        <v>218</v>
      </c>
      <c r="B1586" s="104" t="s">
        <v>389</v>
      </c>
      <c r="C1586" s="454" t="s">
        <v>390</v>
      </c>
      <c r="D1586" s="105" t="s">
        <v>151</v>
      </c>
      <c r="E1586" s="104">
        <v>725</v>
      </c>
      <c r="F1586" s="104" t="s">
        <v>778</v>
      </c>
      <c r="G1586" s="106" t="s">
        <v>701</v>
      </c>
      <c r="H1586" s="104" t="s">
        <v>702</v>
      </c>
      <c r="I1586" s="104" t="s">
        <v>104</v>
      </c>
      <c r="J1586" s="104" t="s">
        <v>105</v>
      </c>
      <c r="K1586" s="104" t="s">
        <v>126</v>
      </c>
      <c r="L1586" s="104" t="s">
        <v>636</v>
      </c>
      <c r="M1586" s="104"/>
      <c r="N1586" s="108"/>
      <c r="O1586" s="104"/>
      <c r="P1586" s="108">
        <v>4.548</v>
      </c>
      <c r="Q1586" s="108">
        <v>1.577</v>
      </c>
      <c r="R1586" s="104" t="s">
        <v>17</v>
      </c>
      <c r="S1586" s="113">
        <f t="shared" si="23"/>
        <v>747.66490516829685</v>
      </c>
      <c r="T1586" s="104" t="s">
        <v>890</v>
      </c>
      <c r="U1586" s="108">
        <v>0.92900000000000005</v>
      </c>
      <c r="V1586" s="107">
        <v>33.299999999999997</v>
      </c>
      <c r="W1586" s="106" t="s">
        <v>891</v>
      </c>
    </row>
    <row r="1587" spans="1:23" ht="21" customHeight="1">
      <c r="A1587" s="104" t="s">
        <v>218</v>
      </c>
      <c r="B1587" s="104" t="s">
        <v>389</v>
      </c>
      <c r="C1587" s="454" t="s">
        <v>390</v>
      </c>
      <c r="D1587" s="105" t="s">
        <v>151</v>
      </c>
      <c r="E1587" s="104">
        <v>725</v>
      </c>
      <c r="F1587" s="104" t="s">
        <v>778</v>
      </c>
      <c r="G1587" s="106" t="s">
        <v>701</v>
      </c>
      <c r="H1587" s="104" t="s">
        <v>702</v>
      </c>
      <c r="I1587" s="104" t="s">
        <v>104</v>
      </c>
      <c r="J1587" s="104" t="s">
        <v>105</v>
      </c>
      <c r="K1587" s="104" t="s">
        <v>126</v>
      </c>
      <c r="L1587" s="104" t="s">
        <v>636</v>
      </c>
      <c r="M1587" s="104"/>
      <c r="N1587" s="108"/>
      <c r="O1587" s="104"/>
      <c r="P1587" s="108">
        <v>4.5720000000000001</v>
      </c>
      <c r="Q1587" s="108">
        <v>1.35</v>
      </c>
      <c r="R1587" s="104" t="s">
        <v>17</v>
      </c>
      <c r="S1587" s="113">
        <f t="shared" si="23"/>
        <v>760.50790651774582</v>
      </c>
      <c r="T1587" s="104" t="s">
        <v>892</v>
      </c>
      <c r="U1587" s="108">
        <v>0.92900000000000005</v>
      </c>
      <c r="V1587" s="107">
        <v>33.299999999999997</v>
      </c>
      <c r="W1587" s="106" t="s">
        <v>893</v>
      </c>
    </row>
    <row r="1588" spans="1:23" ht="21" customHeight="1">
      <c r="A1588" s="104" t="s">
        <v>218</v>
      </c>
      <c r="B1588" s="104" t="s">
        <v>389</v>
      </c>
      <c r="C1588" s="454" t="s">
        <v>390</v>
      </c>
      <c r="D1588" s="105" t="s">
        <v>151</v>
      </c>
      <c r="E1588" s="104">
        <v>725</v>
      </c>
      <c r="F1588" s="104" t="s">
        <v>778</v>
      </c>
      <c r="G1588" s="106" t="s">
        <v>701</v>
      </c>
      <c r="H1588" s="104" t="s">
        <v>702</v>
      </c>
      <c r="I1588" s="104" t="s">
        <v>104</v>
      </c>
      <c r="J1588" s="104" t="s">
        <v>105</v>
      </c>
      <c r="K1588" s="104" t="s">
        <v>126</v>
      </c>
      <c r="L1588" s="104" t="s">
        <v>636</v>
      </c>
      <c r="M1588" s="104"/>
      <c r="N1588" s="108"/>
      <c r="O1588" s="104"/>
      <c r="P1588" s="108">
        <v>4.5939999999999994</v>
      </c>
      <c r="Q1588" s="108">
        <v>1.6420000000000001</v>
      </c>
      <c r="R1588" s="104" t="s">
        <v>17</v>
      </c>
      <c r="S1588" s="113">
        <f t="shared" si="23"/>
        <v>772.41383931821622</v>
      </c>
      <c r="T1588" s="104" t="s">
        <v>894</v>
      </c>
      <c r="U1588" s="108">
        <v>0.92900000000000005</v>
      </c>
      <c r="V1588" s="107">
        <v>33.299999999999997</v>
      </c>
      <c r="W1588" s="106" t="s">
        <v>895</v>
      </c>
    </row>
    <row r="1589" spans="1:23" ht="21" customHeight="1">
      <c r="A1589" s="104" t="s">
        <v>218</v>
      </c>
      <c r="B1589" s="104" t="s">
        <v>389</v>
      </c>
      <c r="C1589" s="454" t="s">
        <v>390</v>
      </c>
      <c r="D1589" s="105" t="s">
        <v>151</v>
      </c>
      <c r="E1589" s="104">
        <v>725</v>
      </c>
      <c r="F1589" s="104" t="s">
        <v>778</v>
      </c>
      <c r="G1589" s="106" t="s">
        <v>701</v>
      </c>
      <c r="H1589" s="104" t="s">
        <v>702</v>
      </c>
      <c r="I1589" s="104" t="s">
        <v>104</v>
      </c>
      <c r="J1589" s="104" t="s">
        <v>105</v>
      </c>
      <c r="K1589" s="104" t="s">
        <v>126</v>
      </c>
      <c r="L1589" s="104" t="s">
        <v>636</v>
      </c>
      <c r="M1589" s="104"/>
      <c r="N1589" s="108"/>
      <c r="O1589" s="104"/>
      <c r="P1589" s="108">
        <v>4.6390000000000002</v>
      </c>
      <c r="Q1589" s="108">
        <v>1.5710000000000002</v>
      </c>
      <c r="R1589" s="104" t="s">
        <v>17</v>
      </c>
      <c r="S1589" s="113">
        <f t="shared" si="23"/>
        <v>797.16692177500408</v>
      </c>
      <c r="T1589" s="104" t="s">
        <v>897</v>
      </c>
      <c r="U1589" s="108">
        <v>0.92900000000000005</v>
      </c>
      <c r="V1589" s="107">
        <v>33.299999999999997</v>
      </c>
      <c r="W1589" s="106" t="s">
        <v>898</v>
      </c>
    </row>
    <row r="1590" spans="1:23" ht="21" customHeight="1">
      <c r="A1590" s="104" t="s">
        <v>218</v>
      </c>
      <c r="B1590" s="104" t="s">
        <v>389</v>
      </c>
      <c r="C1590" s="454" t="s">
        <v>390</v>
      </c>
      <c r="D1590" s="105" t="s">
        <v>151</v>
      </c>
      <c r="E1590" s="104">
        <v>725</v>
      </c>
      <c r="F1590" s="104" t="s">
        <v>778</v>
      </c>
      <c r="G1590" s="106" t="s">
        <v>701</v>
      </c>
      <c r="H1590" s="104" t="s">
        <v>702</v>
      </c>
      <c r="I1590" s="104" t="s">
        <v>104</v>
      </c>
      <c r="J1590" s="104" t="s">
        <v>105</v>
      </c>
      <c r="K1590" s="104" t="s">
        <v>126</v>
      </c>
      <c r="L1590" s="104" t="s">
        <v>636</v>
      </c>
      <c r="M1590" s="104"/>
      <c r="N1590" s="108"/>
      <c r="O1590" s="104"/>
      <c r="P1590" s="108">
        <v>4.6579999999999995</v>
      </c>
      <c r="Q1590" s="108">
        <v>1.6379999999999999</v>
      </c>
      <c r="R1590" s="104" t="s">
        <v>17</v>
      </c>
      <c r="S1590" s="113">
        <f t="shared" si="23"/>
        <v>807.78080851781147</v>
      </c>
      <c r="T1590" s="104" t="s">
        <v>899</v>
      </c>
      <c r="U1590" s="108">
        <v>0.92900000000000005</v>
      </c>
      <c r="V1590" s="107">
        <v>33.299999999999997</v>
      </c>
      <c r="W1590" s="106" t="s">
        <v>900</v>
      </c>
    </row>
    <row r="1591" spans="1:23" ht="21" customHeight="1">
      <c r="A1591" s="104" t="s">
        <v>218</v>
      </c>
      <c r="B1591" s="104" t="s">
        <v>389</v>
      </c>
      <c r="C1591" s="454" t="s">
        <v>390</v>
      </c>
      <c r="D1591" s="105" t="s">
        <v>151</v>
      </c>
      <c r="E1591" s="104">
        <v>725</v>
      </c>
      <c r="F1591" s="104" t="s">
        <v>753</v>
      </c>
      <c r="G1591" s="106" t="s">
        <v>701</v>
      </c>
      <c r="H1591" s="104" t="s">
        <v>702</v>
      </c>
      <c r="I1591" s="104" t="s">
        <v>104</v>
      </c>
      <c r="J1591" s="104" t="s">
        <v>105</v>
      </c>
      <c r="K1591" s="104" t="s">
        <v>112</v>
      </c>
      <c r="L1591" s="104" t="s">
        <v>728</v>
      </c>
      <c r="M1591" s="104"/>
      <c r="N1591" s="108"/>
      <c r="O1591" s="104"/>
      <c r="P1591" s="108">
        <v>2.7350000000000003</v>
      </c>
      <c r="Q1591" s="108">
        <v>1.8129999999999999</v>
      </c>
      <c r="R1591" s="104" t="s">
        <v>17</v>
      </c>
      <c r="S1591" s="113">
        <f>10^((3.52*LOG((P1591))+1.372))</f>
        <v>812.99861165434254</v>
      </c>
      <c r="T1591" s="104" t="s">
        <v>718</v>
      </c>
      <c r="U1591" s="108">
        <v>0.93</v>
      </c>
      <c r="V1591" s="107">
        <v>34</v>
      </c>
      <c r="W1591" s="106" t="s">
        <v>700</v>
      </c>
    </row>
    <row r="1592" spans="1:23" ht="21" customHeight="1">
      <c r="A1592" s="104" t="s">
        <v>218</v>
      </c>
      <c r="B1592" s="104" t="s">
        <v>389</v>
      </c>
      <c r="C1592" s="454" t="s">
        <v>390</v>
      </c>
      <c r="D1592" s="105" t="s">
        <v>151</v>
      </c>
      <c r="E1592" s="104">
        <v>725</v>
      </c>
      <c r="F1592" s="104" t="s">
        <v>778</v>
      </c>
      <c r="G1592" s="106" t="s">
        <v>701</v>
      </c>
      <c r="H1592" s="104" t="s">
        <v>702</v>
      </c>
      <c r="I1592" s="104" t="s">
        <v>104</v>
      </c>
      <c r="J1592" s="104" t="s">
        <v>105</v>
      </c>
      <c r="K1592" s="104" t="s">
        <v>126</v>
      </c>
      <c r="L1592" s="104" t="s">
        <v>636</v>
      </c>
      <c r="M1592" s="104"/>
      <c r="N1592" s="108"/>
      <c r="O1592" s="104"/>
      <c r="P1592" s="108">
        <v>4.6929999999999996</v>
      </c>
      <c r="Q1592" s="108">
        <v>1.5720000000000001</v>
      </c>
      <c r="R1592" s="104" t="s">
        <v>17</v>
      </c>
      <c r="S1592" s="113">
        <f>10^(((LOG(P1592))*3.236)+0.745)</f>
        <v>827.58763536247181</v>
      </c>
      <c r="T1592" s="104" t="s">
        <v>902</v>
      </c>
      <c r="U1592" s="108">
        <v>0.92900000000000005</v>
      </c>
      <c r="V1592" s="107">
        <v>33.299999999999997</v>
      </c>
      <c r="W1592" s="106" t="s">
        <v>903</v>
      </c>
    </row>
    <row r="1593" spans="1:23" ht="21" customHeight="1">
      <c r="A1593" s="104" t="s">
        <v>218</v>
      </c>
      <c r="B1593" s="104" t="s">
        <v>389</v>
      </c>
      <c r="C1593" s="454" t="s">
        <v>390</v>
      </c>
      <c r="D1593" s="105" t="s">
        <v>151</v>
      </c>
      <c r="E1593" s="104">
        <v>725</v>
      </c>
      <c r="F1593" s="104" t="s">
        <v>778</v>
      </c>
      <c r="G1593" s="106" t="s">
        <v>701</v>
      </c>
      <c r="H1593" s="104" t="s">
        <v>702</v>
      </c>
      <c r="I1593" s="104" t="s">
        <v>104</v>
      </c>
      <c r="J1593" s="104" t="s">
        <v>105</v>
      </c>
      <c r="K1593" s="104" t="s">
        <v>126</v>
      </c>
      <c r="L1593" s="104" t="s">
        <v>636</v>
      </c>
      <c r="M1593" s="104"/>
      <c r="N1593" s="108"/>
      <c r="O1593" s="104"/>
      <c r="P1593" s="108">
        <v>4.6950000000000003</v>
      </c>
      <c r="Q1593" s="108">
        <v>1.593</v>
      </c>
      <c r="R1593" s="104" t="s">
        <v>17</v>
      </c>
      <c r="S1593" s="113">
        <f>10^(((LOG(P1593))*3.236)+0.745)</f>
        <v>828.72948483689572</v>
      </c>
      <c r="T1593" s="104" t="s">
        <v>904</v>
      </c>
      <c r="U1593" s="108">
        <v>0.92900000000000005</v>
      </c>
      <c r="V1593" s="107">
        <v>33.299999999999997</v>
      </c>
      <c r="W1593" s="106" t="s">
        <v>905</v>
      </c>
    </row>
    <row r="1594" spans="1:23" ht="21" customHeight="1">
      <c r="A1594" s="104" t="s">
        <v>218</v>
      </c>
      <c r="B1594" s="104" t="s">
        <v>389</v>
      </c>
      <c r="C1594" s="454" t="s">
        <v>390</v>
      </c>
      <c r="D1594" s="105" t="s">
        <v>151</v>
      </c>
      <c r="E1594" s="104">
        <v>725</v>
      </c>
      <c r="F1594" s="104" t="s">
        <v>778</v>
      </c>
      <c r="G1594" s="106" t="s">
        <v>701</v>
      </c>
      <c r="H1594" s="104" t="s">
        <v>702</v>
      </c>
      <c r="I1594" s="104" t="s">
        <v>104</v>
      </c>
      <c r="J1594" s="104" t="s">
        <v>105</v>
      </c>
      <c r="K1594" s="104" t="s">
        <v>126</v>
      </c>
      <c r="L1594" s="104" t="s">
        <v>636</v>
      </c>
      <c r="M1594" s="104"/>
      <c r="N1594" s="108"/>
      <c r="O1594" s="104"/>
      <c r="P1594" s="108">
        <v>4.71</v>
      </c>
      <c r="Q1594" s="108">
        <v>1.5289999999999999</v>
      </c>
      <c r="R1594" s="104" t="s">
        <v>17</v>
      </c>
      <c r="S1594" s="113">
        <f>10^(((LOG(P1594))*3.236)+0.745)</f>
        <v>837.32807970298381</v>
      </c>
      <c r="T1594" s="104" t="s">
        <v>906</v>
      </c>
      <c r="U1594" s="108">
        <v>0.92900000000000005</v>
      </c>
      <c r="V1594" s="107">
        <v>33.299999999999997</v>
      </c>
      <c r="W1594" s="106" t="s">
        <v>907</v>
      </c>
    </row>
    <row r="1595" spans="1:23" ht="21" customHeight="1">
      <c r="A1595" s="104" t="s">
        <v>218</v>
      </c>
      <c r="B1595" s="104" t="s">
        <v>389</v>
      </c>
      <c r="C1595" s="454" t="s">
        <v>390</v>
      </c>
      <c r="D1595" s="105" t="s">
        <v>151</v>
      </c>
      <c r="E1595" s="104">
        <v>725</v>
      </c>
      <c r="F1595" s="104" t="s">
        <v>778</v>
      </c>
      <c r="G1595" s="106" t="s">
        <v>701</v>
      </c>
      <c r="H1595" s="104" t="s">
        <v>702</v>
      </c>
      <c r="I1595" s="104" t="s">
        <v>104</v>
      </c>
      <c r="J1595" s="104" t="s">
        <v>105</v>
      </c>
      <c r="K1595" s="104" t="s">
        <v>126</v>
      </c>
      <c r="L1595" s="104" t="s">
        <v>636</v>
      </c>
      <c r="M1595" s="104"/>
      <c r="N1595" s="108"/>
      <c r="O1595" s="104"/>
      <c r="P1595" s="108">
        <v>4.7159999999999993</v>
      </c>
      <c r="Q1595" s="108">
        <v>1.8059999999999998</v>
      </c>
      <c r="R1595" s="104" t="s">
        <v>17</v>
      </c>
      <c r="S1595" s="113">
        <f>10^(((LOG(P1595))*3.236)+0.745)</f>
        <v>840.78470990055405</v>
      </c>
      <c r="T1595" s="104" t="s">
        <v>908</v>
      </c>
      <c r="U1595" s="108">
        <v>0.92900000000000005</v>
      </c>
      <c r="V1595" s="107">
        <v>33.299999999999997</v>
      </c>
      <c r="W1595" s="106" t="s">
        <v>909</v>
      </c>
    </row>
    <row r="1596" spans="1:23" ht="21" customHeight="1">
      <c r="A1596" s="104" t="s">
        <v>218</v>
      </c>
      <c r="B1596" s="104" t="s">
        <v>389</v>
      </c>
      <c r="C1596" s="454" t="s">
        <v>390</v>
      </c>
      <c r="D1596" s="105" t="s">
        <v>151</v>
      </c>
      <c r="E1596" s="104">
        <v>725</v>
      </c>
      <c r="F1596" s="104" t="s">
        <v>753</v>
      </c>
      <c r="G1596" s="106" t="s">
        <v>701</v>
      </c>
      <c r="H1596" s="104" t="s">
        <v>702</v>
      </c>
      <c r="I1596" s="104" t="s">
        <v>104</v>
      </c>
      <c r="J1596" s="104" t="s">
        <v>105</v>
      </c>
      <c r="K1596" s="104" t="s">
        <v>683</v>
      </c>
      <c r="L1596" s="104" t="s">
        <v>728</v>
      </c>
      <c r="M1596" s="104"/>
      <c r="N1596" s="108"/>
      <c r="O1596" s="104"/>
      <c r="P1596" s="108">
        <v>3.012</v>
      </c>
      <c r="Q1596" s="108">
        <v>1.306</v>
      </c>
      <c r="R1596" s="104" t="s">
        <v>17</v>
      </c>
      <c r="S1596" s="113">
        <f>(((10^((3.52*LOG((P1596))+1.372)))+(10^(3.375*LOG((P1596))+1.119)))/2)</f>
        <v>842.58291855511459</v>
      </c>
      <c r="T1596" s="104" t="s">
        <v>910</v>
      </c>
      <c r="U1596" s="108">
        <v>0.93500000000000005</v>
      </c>
      <c r="V1596" s="107">
        <v>30.8</v>
      </c>
      <c r="W1596" s="106" t="s">
        <v>700</v>
      </c>
    </row>
    <row r="1597" spans="1:23" ht="21" customHeight="1">
      <c r="A1597" s="104" t="s">
        <v>218</v>
      </c>
      <c r="B1597" s="104" t="s">
        <v>389</v>
      </c>
      <c r="C1597" s="454" t="s">
        <v>390</v>
      </c>
      <c r="D1597" s="105" t="s">
        <v>151</v>
      </c>
      <c r="E1597" s="104">
        <v>725</v>
      </c>
      <c r="F1597" s="104" t="s">
        <v>778</v>
      </c>
      <c r="G1597" s="106" t="s">
        <v>701</v>
      </c>
      <c r="H1597" s="104" t="s">
        <v>702</v>
      </c>
      <c r="I1597" s="104" t="s">
        <v>104</v>
      </c>
      <c r="J1597" s="104" t="s">
        <v>105</v>
      </c>
      <c r="K1597" s="104" t="s">
        <v>126</v>
      </c>
      <c r="L1597" s="104" t="s">
        <v>636</v>
      </c>
      <c r="M1597" s="104"/>
      <c r="N1597" s="108"/>
      <c r="O1597" s="104"/>
      <c r="P1597" s="108">
        <v>4.7249999999999996</v>
      </c>
      <c r="Q1597" s="108">
        <v>1.393</v>
      </c>
      <c r="R1597" s="104" t="s">
        <v>17</v>
      </c>
      <c r="S1597" s="113">
        <f>10^(((LOG(P1597))*3.236)+0.745)</f>
        <v>845.98812384623</v>
      </c>
      <c r="T1597" s="104" t="s">
        <v>911</v>
      </c>
      <c r="U1597" s="108">
        <v>0.92900000000000005</v>
      </c>
      <c r="V1597" s="107">
        <v>33.299999999999997</v>
      </c>
      <c r="W1597" s="106" t="s">
        <v>912</v>
      </c>
    </row>
    <row r="1598" spans="1:23" ht="21" customHeight="1">
      <c r="A1598" s="104" t="s">
        <v>218</v>
      </c>
      <c r="B1598" s="104" t="s">
        <v>389</v>
      </c>
      <c r="C1598" s="454" t="s">
        <v>390</v>
      </c>
      <c r="D1598" s="105" t="s">
        <v>151</v>
      </c>
      <c r="E1598" s="104">
        <v>725</v>
      </c>
      <c r="F1598" s="104" t="s">
        <v>778</v>
      </c>
      <c r="G1598" s="106" t="s">
        <v>701</v>
      </c>
      <c r="H1598" s="104" t="s">
        <v>702</v>
      </c>
      <c r="I1598" s="104" t="s">
        <v>104</v>
      </c>
      <c r="J1598" s="104" t="s">
        <v>105</v>
      </c>
      <c r="K1598" s="104" t="s">
        <v>126</v>
      </c>
      <c r="L1598" s="104" t="s">
        <v>636</v>
      </c>
      <c r="M1598" s="104"/>
      <c r="N1598" s="108"/>
      <c r="O1598" s="104"/>
      <c r="P1598" s="108">
        <v>4.7370000000000001</v>
      </c>
      <c r="Q1598" s="108">
        <v>1.3640000000000001</v>
      </c>
      <c r="R1598" s="104" t="s">
        <v>17</v>
      </c>
      <c r="S1598" s="113">
        <f>10^(((LOG(P1598))*3.236)+0.745)</f>
        <v>852.96056524072662</v>
      </c>
      <c r="T1598" s="104" t="s">
        <v>913</v>
      </c>
      <c r="U1598" s="108">
        <v>0.92900000000000005</v>
      </c>
      <c r="V1598" s="107">
        <v>33.299999999999997</v>
      </c>
      <c r="W1598" s="106" t="s">
        <v>914</v>
      </c>
    </row>
    <row r="1599" spans="1:23" ht="21" customHeight="1">
      <c r="A1599" s="104" t="s">
        <v>218</v>
      </c>
      <c r="B1599" s="104" t="s">
        <v>389</v>
      </c>
      <c r="C1599" s="454" t="s">
        <v>390</v>
      </c>
      <c r="D1599" s="105" t="s">
        <v>151</v>
      </c>
      <c r="E1599" s="104">
        <v>725</v>
      </c>
      <c r="F1599" s="104" t="s">
        <v>778</v>
      </c>
      <c r="G1599" s="106" t="s">
        <v>701</v>
      </c>
      <c r="H1599" s="104" t="s">
        <v>702</v>
      </c>
      <c r="I1599" s="104" t="s">
        <v>104</v>
      </c>
      <c r="J1599" s="104" t="s">
        <v>105</v>
      </c>
      <c r="K1599" s="104" t="s">
        <v>126</v>
      </c>
      <c r="L1599" s="104" t="s">
        <v>636</v>
      </c>
      <c r="M1599" s="104"/>
      <c r="N1599" s="108"/>
      <c r="O1599" s="104"/>
      <c r="P1599" s="108">
        <v>4.7380000000000004</v>
      </c>
      <c r="Q1599" s="108">
        <v>1.556</v>
      </c>
      <c r="R1599" s="104" t="s">
        <v>17</v>
      </c>
      <c r="S1599" s="113">
        <f>10^(((LOG(P1599))*3.236)+0.745)</f>
        <v>853.54338810075933</v>
      </c>
      <c r="T1599" s="104" t="s">
        <v>915</v>
      </c>
      <c r="U1599" s="108">
        <v>0.92900000000000005</v>
      </c>
      <c r="V1599" s="107">
        <v>33.299999999999997</v>
      </c>
      <c r="W1599" s="106" t="s">
        <v>916</v>
      </c>
    </row>
    <row r="1600" spans="1:23" ht="21" customHeight="1">
      <c r="A1600" s="104" t="s">
        <v>218</v>
      </c>
      <c r="B1600" s="104" t="s">
        <v>389</v>
      </c>
      <c r="C1600" s="454" t="s">
        <v>390</v>
      </c>
      <c r="D1600" s="105" t="s">
        <v>151</v>
      </c>
      <c r="E1600" s="104">
        <v>725</v>
      </c>
      <c r="F1600" s="104" t="s">
        <v>778</v>
      </c>
      <c r="G1600" s="106" t="s">
        <v>701</v>
      </c>
      <c r="H1600" s="104" t="s">
        <v>702</v>
      </c>
      <c r="I1600" s="104" t="s">
        <v>104</v>
      </c>
      <c r="J1600" s="104" t="s">
        <v>105</v>
      </c>
      <c r="K1600" s="104" t="s">
        <v>126</v>
      </c>
      <c r="L1600" s="104" t="s">
        <v>636</v>
      </c>
      <c r="M1600" s="104"/>
      <c r="N1600" s="108"/>
      <c r="O1600" s="104"/>
      <c r="P1600" s="108">
        <v>4.7389999999999999</v>
      </c>
      <c r="Q1600" s="108">
        <v>1.5029999999999999</v>
      </c>
      <c r="R1600" s="104" t="s">
        <v>17</v>
      </c>
      <c r="S1600" s="113">
        <f>10^(((LOG(P1600))*3.236)+0.745)</f>
        <v>854.12648607676181</v>
      </c>
      <c r="T1600" s="104" t="s">
        <v>917</v>
      </c>
      <c r="U1600" s="108">
        <v>0.92900000000000005</v>
      </c>
      <c r="V1600" s="107">
        <v>33.299999999999997</v>
      </c>
      <c r="W1600" s="106" t="s">
        <v>918</v>
      </c>
    </row>
    <row r="1601" spans="1:23" ht="21" customHeight="1">
      <c r="A1601" s="104" t="s">
        <v>218</v>
      </c>
      <c r="B1601" s="104" t="s">
        <v>389</v>
      </c>
      <c r="C1601" s="454" t="s">
        <v>390</v>
      </c>
      <c r="D1601" s="105" t="s">
        <v>151</v>
      </c>
      <c r="E1601" s="104">
        <v>725</v>
      </c>
      <c r="F1601" s="104" t="s">
        <v>753</v>
      </c>
      <c r="G1601" s="106" t="s">
        <v>701</v>
      </c>
      <c r="H1601" s="104" t="s">
        <v>702</v>
      </c>
      <c r="I1601" s="104" t="s">
        <v>104</v>
      </c>
      <c r="J1601" s="104" t="s">
        <v>105</v>
      </c>
      <c r="K1601" s="104" t="s">
        <v>683</v>
      </c>
      <c r="L1601" s="104" t="s">
        <v>728</v>
      </c>
      <c r="M1601" s="108"/>
      <c r="N1601" s="108"/>
      <c r="O1601" s="104"/>
      <c r="P1601" s="108">
        <v>3.028</v>
      </c>
      <c r="Q1601" s="108">
        <v>1.51</v>
      </c>
      <c r="R1601" s="104" t="s">
        <v>17</v>
      </c>
      <c r="S1601" s="113">
        <f>(((10^((3.52*LOG((P1601))+1.372)))+(10^(3.375*LOG((P1601))+1.119)))/2)</f>
        <v>858.23114574217652</v>
      </c>
      <c r="T1601" s="104" t="s">
        <v>910</v>
      </c>
      <c r="U1601" s="108">
        <v>0.93500000000000005</v>
      </c>
      <c r="V1601" s="107">
        <v>30.8</v>
      </c>
      <c r="W1601" s="106" t="s">
        <v>700</v>
      </c>
    </row>
    <row r="1602" spans="1:23" ht="21" customHeight="1">
      <c r="A1602" s="104" t="s">
        <v>218</v>
      </c>
      <c r="B1602" s="104" t="s">
        <v>389</v>
      </c>
      <c r="C1602" s="454" t="s">
        <v>390</v>
      </c>
      <c r="D1602" s="105" t="s">
        <v>151</v>
      </c>
      <c r="E1602" s="104">
        <v>725</v>
      </c>
      <c r="F1602" s="104" t="s">
        <v>778</v>
      </c>
      <c r="G1602" s="106" t="s">
        <v>701</v>
      </c>
      <c r="H1602" s="104" t="s">
        <v>702</v>
      </c>
      <c r="I1602" s="104" t="s">
        <v>104</v>
      </c>
      <c r="J1602" s="104" t="s">
        <v>105</v>
      </c>
      <c r="K1602" s="104" t="s">
        <v>126</v>
      </c>
      <c r="L1602" s="104" t="s">
        <v>636</v>
      </c>
      <c r="M1602" s="104"/>
      <c r="N1602" s="108"/>
      <c r="O1602" s="104"/>
      <c r="P1602" s="108">
        <v>4.7490000000000006</v>
      </c>
      <c r="Q1602" s="108">
        <v>1.7149999999999999</v>
      </c>
      <c r="R1602" s="104" t="s">
        <v>17</v>
      </c>
      <c r="S1602" s="113">
        <f>10^(((LOG(P1602))*3.236)+0.745)</f>
        <v>859.97261300660955</v>
      </c>
      <c r="T1602" s="104" t="s">
        <v>919</v>
      </c>
      <c r="U1602" s="108">
        <v>0.92900000000000005</v>
      </c>
      <c r="V1602" s="107">
        <v>33.299999999999997</v>
      </c>
      <c r="W1602" s="106" t="s">
        <v>920</v>
      </c>
    </row>
    <row r="1603" spans="1:23" ht="21" customHeight="1">
      <c r="A1603" s="104" t="s">
        <v>218</v>
      </c>
      <c r="B1603" s="104" t="s">
        <v>389</v>
      </c>
      <c r="C1603" s="454" t="s">
        <v>390</v>
      </c>
      <c r="D1603" s="105" t="s">
        <v>151</v>
      </c>
      <c r="E1603" s="104">
        <v>725</v>
      </c>
      <c r="F1603" s="104" t="s">
        <v>753</v>
      </c>
      <c r="G1603" s="106" t="s">
        <v>701</v>
      </c>
      <c r="H1603" s="104" t="s">
        <v>702</v>
      </c>
      <c r="I1603" s="104" t="s">
        <v>104</v>
      </c>
      <c r="J1603" s="104" t="s">
        <v>105</v>
      </c>
      <c r="K1603" s="104" t="s">
        <v>683</v>
      </c>
      <c r="L1603" s="104" t="s">
        <v>728</v>
      </c>
      <c r="M1603" s="104"/>
      <c r="N1603" s="108"/>
      <c r="O1603" s="104"/>
      <c r="P1603" s="108">
        <v>3.0350000000000001</v>
      </c>
      <c r="Q1603" s="108">
        <v>1.3119999999999998</v>
      </c>
      <c r="R1603" s="104" t="s">
        <v>17</v>
      </c>
      <c r="S1603" s="113">
        <f>(((10^((3.52*LOG((P1603))+1.372)))+(10^(3.375*LOG((P1603))+1.119)))/2)</f>
        <v>865.14191383781213</v>
      </c>
      <c r="T1603" s="104" t="s">
        <v>910</v>
      </c>
      <c r="U1603" s="108">
        <v>0.93500000000000005</v>
      </c>
      <c r="V1603" s="107">
        <v>30.8</v>
      </c>
      <c r="W1603" s="106" t="s">
        <v>700</v>
      </c>
    </row>
    <row r="1604" spans="1:23" ht="21" customHeight="1">
      <c r="A1604" s="104" t="s">
        <v>218</v>
      </c>
      <c r="B1604" s="104" t="s">
        <v>389</v>
      </c>
      <c r="C1604" s="454" t="s">
        <v>390</v>
      </c>
      <c r="D1604" s="105" t="s">
        <v>151</v>
      </c>
      <c r="E1604" s="104">
        <v>725</v>
      </c>
      <c r="F1604" s="104" t="s">
        <v>778</v>
      </c>
      <c r="G1604" s="106" t="s">
        <v>701</v>
      </c>
      <c r="H1604" s="104" t="s">
        <v>702</v>
      </c>
      <c r="I1604" s="104" t="s">
        <v>104</v>
      </c>
      <c r="J1604" s="104" t="s">
        <v>105</v>
      </c>
      <c r="K1604" s="104" t="s">
        <v>126</v>
      </c>
      <c r="L1604" s="104" t="s">
        <v>636</v>
      </c>
      <c r="M1604" s="104"/>
      <c r="N1604" s="108"/>
      <c r="O1604" s="104"/>
      <c r="P1604" s="108">
        <v>4.76</v>
      </c>
      <c r="Q1604" s="108">
        <v>1.46</v>
      </c>
      <c r="R1604" s="104" t="s">
        <v>17</v>
      </c>
      <c r="S1604" s="113">
        <f>10^(((LOG(P1604))*3.236)+0.745)</f>
        <v>866.43522250044066</v>
      </c>
      <c r="T1604" s="104" t="s">
        <v>921</v>
      </c>
      <c r="U1604" s="108">
        <v>0.92900000000000005</v>
      </c>
      <c r="V1604" s="107">
        <v>33.299999999999997</v>
      </c>
      <c r="W1604" s="106" t="s">
        <v>922</v>
      </c>
    </row>
    <row r="1605" spans="1:23" ht="21" customHeight="1">
      <c r="A1605" s="104" t="s">
        <v>218</v>
      </c>
      <c r="B1605" s="104" t="s">
        <v>389</v>
      </c>
      <c r="C1605" s="454" t="s">
        <v>390</v>
      </c>
      <c r="D1605" s="105" t="s">
        <v>151</v>
      </c>
      <c r="E1605" s="104">
        <v>725</v>
      </c>
      <c r="F1605" s="104" t="s">
        <v>778</v>
      </c>
      <c r="G1605" s="106" t="s">
        <v>701</v>
      </c>
      <c r="H1605" s="104" t="s">
        <v>702</v>
      </c>
      <c r="I1605" s="104" t="s">
        <v>104</v>
      </c>
      <c r="J1605" s="104" t="s">
        <v>105</v>
      </c>
      <c r="K1605" s="104" t="s">
        <v>126</v>
      </c>
      <c r="L1605" s="104" t="s">
        <v>636</v>
      </c>
      <c r="M1605" s="104"/>
      <c r="N1605" s="108"/>
      <c r="O1605" s="104"/>
      <c r="P1605" s="108">
        <v>4.7789999999999999</v>
      </c>
      <c r="Q1605" s="108">
        <v>1.8</v>
      </c>
      <c r="R1605" s="104" t="s">
        <v>17</v>
      </c>
      <c r="S1605" s="113">
        <f>10^(((LOG(P1605))*3.236)+0.745)</f>
        <v>877.67682454550948</v>
      </c>
      <c r="T1605" s="104" t="s">
        <v>924</v>
      </c>
      <c r="U1605" s="108">
        <v>0.92900000000000005</v>
      </c>
      <c r="V1605" s="107">
        <v>33.299999999999997</v>
      </c>
      <c r="W1605" s="106" t="s">
        <v>925</v>
      </c>
    </row>
    <row r="1606" spans="1:23" ht="21" customHeight="1">
      <c r="A1606" s="104" t="s">
        <v>218</v>
      </c>
      <c r="B1606" s="104" t="s">
        <v>389</v>
      </c>
      <c r="C1606" s="454" t="s">
        <v>390</v>
      </c>
      <c r="D1606" s="105" t="s">
        <v>151</v>
      </c>
      <c r="E1606" s="104">
        <v>725</v>
      </c>
      <c r="F1606" s="104" t="s">
        <v>778</v>
      </c>
      <c r="G1606" s="106" t="s">
        <v>701</v>
      </c>
      <c r="H1606" s="104" t="s">
        <v>702</v>
      </c>
      <c r="I1606" s="104" t="s">
        <v>104</v>
      </c>
      <c r="J1606" s="104" t="s">
        <v>105</v>
      </c>
      <c r="K1606" s="104" t="s">
        <v>126</v>
      </c>
      <c r="L1606" s="104" t="s">
        <v>636</v>
      </c>
      <c r="M1606" s="104"/>
      <c r="N1606" s="108"/>
      <c r="O1606" s="104"/>
      <c r="P1606" s="108">
        <v>4.7799999999999994</v>
      </c>
      <c r="Q1606" s="108">
        <v>1.5720000000000001</v>
      </c>
      <c r="R1606" s="104" t="s">
        <v>17</v>
      </c>
      <c r="S1606" s="113">
        <f>10^(((LOG(P1606))*3.236)+0.745)</f>
        <v>878.27126411225777</v>
      </c>
      <c r="T1606" s="104" t="s">
        <v>927</v>
      </c>
      <c r="U1606" s="108">
        <v>0.92900000000000005</v>
      </c>
      <c r="V1606" s="107">
        <v>33.299999999999997</v>
      </c>
      <c r="W1606" s="106" t="s">
        <v>928</v>
      </c>
    </row>
    <row r="1607" spans="1:23" ht="21" customHeight="1">
      <c r="A1607" s="104" t="s">
        <v>218</v>
      </c>
      <c r="B1607" s="104" t="s">
        <v>389</v>
      </c>
      <c r="C1607" s="454" t="s">
        <v>390</v>
      </c>
      <c r="D1607" s="105" t="s">
        <v>151</v>
      </c>
      <c r="E1607" s="104">
        <v>725</v>
      </c>
      <c r="F1607" s="104" t="s">
        <v>778</v>
      </c>
      <c r="G1607" s="106" t="s">
        <v>701</v>
      </c>
      <c r="H1607" s="104" t="s">
        <v>702</v>
      </c>
      <c r="I1607" s="104" t="s">
        <v>104</v>
      </c>
      <c r="J1607" s="104" t="s">
        <v>105</v>
      </c>
      <c r="K1607" s="104" t="s">
        <v>126</v>
      </c>
      <c r="L1607" s="104" t="s">
        <v>636</v>
      </c>
      <c r="M1607" s="104"/>
      <c r="N1607" s="108"/>
      <c r="O1607" s="104"/>
      <c r="P1607" s="108">
        <v>4.7949999999999999</v>
      </c>
      <c r="Q1607" s="108">
        <v>1.7260000000000002</v>
      </c>
      <c r="R1607" s="104" t="s">
        <v>17</v>
      </c>
      <c r="S1607" s="113">
        <f>10^(((LOG(P1607))*3.236)+0.745)</f>
        <v>887.22127390729941</v>
      </c>
      <c r="T1607" s="104" t="s">
        <v>929</v>
      </c>
      <c r="U1607" s="108">
        <v>0.92900000000000005</v>
      </c>
      <c r="V1607" s="107">
        <v>33.299999999999997</v>
      </c>
      <c r="W1607" s="106" t="s">
        <v>930</v>
      </c>
    </row>
    <row r="1608" spans="1:23" ht="21" customHeight="1">
      <c r="A1608" s="104" t="s">
        <v>218</v>
      </c>
      <c r="B1608" s="104" t="s">
        <v>389</v>
      </c>
      <c r="C1608" s="454" t="s">
        <v>390</v>
      </c>
      <c r="D1608" s="105" t="s">
        <v>151</v>
      </c>
      <c r="E1608" s="104">
        <v>725</v>
      </c>
      <c r="F1608" s="104" t="s">
        <v>753</v>
      </c>
      <c r="G1608" s="106" t="s">
        <v>701</v>
      </c>
      <c r="H1608" s="104" t="s">
        <v>702</v>
      </c>
      <c r="I1608" s="104" t="s">
        <v>104</v>
      </c>
      <c r="J1608" s="104" t="s">
        <v>105</v>
      </c>
      <c r="K1608" s="104" t="s">
        <v>112</v>
      </c>
      <c r="L1608" s="104" t="s">
        <v>728</v>
      </c>
      <c r="M1608" s="104"/>
      <c r="N1608" s="108"/>
      <c r="O1608" s="104"/>
      <c r="P1608" s="108">
        <v>2.8039999999999998</v>
      </c>
      <c r="Q1608" s="108">
        <v>1.8089999999999999</v>
      </c>
      <c r="R1608" s="104" t="s">
        <v>17</v>
      </c>
      <c r="S1608" s="113">
        <f>10^((3.52*LOG((P1608))+1.372))</f>
        <v>887.52090772712563</v>
      </c>
      <c r="T1608" s="104" t="s">
        <v>718</v>
      </c>
      <c r="U1608" s="108">
        <v>0.93</v>
      </c>
      <c r="V1608" s="107">
        <v>34</v>
      </c>
      <c r="W1608" s="106" t="s">
        <v>700</v>
      </c>
    </row>
    <row r="1609" spans="1:23" ht="21" customHeight="1">
      <c r="A1609" s="104" t="s">
        <v>218</v>
      </c>
      <c r="B1609" s="104" t="s">
        <v>389</v>
      </c>
      <c r="C1609" s="454" t="s">
        <v>390</v>
      </c>
      <c r="D1609" s="105" t="s">
        <v>151</v>
      </c>
      <c r="E1609" s="104">
        <v>725</v>
      </c>
      <c r="F1609" s="104" t="s">
        <v>778</v>
      </c>
      <c r="G1609" s="106" t="s">
        <v>701</v>
      </c>
      <c r="H1609" s="104" t="s">
        <v>702</v>
      </c>
      <c r="I1609" s="104" t="s">
        <v>104</v>
      </c>
      <c r="J1609" s="104" t="s">
        <v>105</v>
      </c>
      <c r="K1609" s="104" t="s">
        <v>126</v>
      </c>
      <c r="L1609" s="104" t="s">
        <v>636</v>
      </c>
      <c r="M1609" s="104"/>
      <c r="N1609" s="108"/>
      <c r="O1609" s="104"/>
      <c r="P1609" s="108">
        <v>4.8100000000000005</v>
      </c>
      <c r="Q1609" s="108">
        <v>1.556</v>
      </c>
      <c r="R1609" s="104" t="s">
        <v>17</v>
      </c>
      <c r="S1609" s="113">
        <f>10^(((LOG(P1609))*3.236)+0.745)</f>
        <v>896.23410655564328</v>
      </c>
      <c r="T1609" s="104" t="s">
        <v>931</v>
      </c>
      <c r="U1609" s="108">
        <v>0.92900000000000005</v>
      </c>
      <c r="V1609" s="107">
        <v>33.299999999999997</v>
      </c>
      <c r="W1609" s="106" t="s">
        <v>932</v>
      </c>
    </row>
    <row r="1610" spans="1:23" ht="21" customHeight="1">
      <c r="A1610" s="104" t="s">
        <v>218</v>
      </c>
      <c r="B1610" s="104" t="s">
        <v>389</v>
      </c>
      <c r="C1610" s="454" t="s">
        <v>390</v>
      </c>
      <c r="D1610" s="105" t="s">
        <v>151</v>
      </c>
      <c r="E1610" s="104">
        <v>725</v>
      </c>
      <c r="F1610" s="104" t="s">
        <v>778</v>
      </c>
      <c r="G1610" s="106" t="s">
        <v>701</v>
      </c>
      <c r="H1610" s="104" t="s">
        <v>702</v>
      </c>
      <c r="I1610" s="104" t="s">
        <v>104</v>
      </c>
      <c r="J1610" s="104" t="s">
        <v>105</v>
      </c>
      <c r="K1610" s="104" t="s">
        <v>126</v>
      </c>
      <c r="L1610" s="104" t="s">
        <v>636</v>
      </c>
      <c r="M1610" s="104"/>
      <c r="N1610" s="108"/>
      <c r="O1610" s="104"/>
      <c r="P1610" s="108">
        <v>4.8130000000000006</v>
      </c>
      <c r="Q1610" s="108">
        <v>1.5390000000000001</v>
      </c>
      <c r="R1610" s="104" t="s">
        <v>17</v>
      </c>
      <c r="S1610" s="113">
        <f>10^(((LOG(P1610))*3.236)+0.745)</f>
        <v>898.04423320818739</v>
      </c>
      <c r="T1610" s="104" t="s">
        <v>933</v>
      </c>
      <c r="U1610" s="108">
        <v>0.92900000000000005</v>
      </c>
      <c r="V1610" s="107">
        <v>33.299999999999997</v>
      </c>
      <c r="W1610" s="106" t="s">
        <v>934</v>
      </c>
    </row>
    <row r="1611" spans="1:23" ht="21" customHeight="1">
      <c r="A1611" s="104" t="s">
        <v>218</v>
      </c>
      <c r="B1611" s="104" t="s">
        <v>389</v>
      </c>
      <c r="C1611" s="454" t="s">
        <v>390</v>
      </c>
      <c r="D1611" s="105" t="s">
        <v>151</v>
      </c>
      <c r="E1611" s="104">
        <v>725</v>
      </c>
      <c r="F1611" s="104" t="s">
        <v>753</v>
      </c>
      <c r="G1611" s="106" t="s">
        <v>701</v>
      </c>
      <c r="H1611" s="104" t="s">
        <v>702</v>
      </c>
      <c r="I1611" s="104" t="s">
        <v>104</v>
      </c>
      <c r="J1611" s="104" t="s">
        <v>105</v>
      </c>
      <c r="K1611" s="104" t="s">
        <v>209</v>
      </c>
      <c r="L1611" s="104" t="s">
        <v>728</v>
      </c>
      <c r="M1611" s="104"/>
      <c r="N1611" s="108"/>
      <c r="O1611" s="104"/>
      <c r="P1611" s="108">
        <v>3.4990000000000001</v>
      </c>
      <c r="Q1611" s="108">
        <v>1.7609999999999999</v>
      </c>
      <c r="R1611" s="104" t="s">
        <v>17</v>
      </c>
      <c r="S1611" s="113">
        <f>10^(((LOG(P1611))*3.375)+1.119)</f>
        <v>901.1784666947118</v>
      </c>
      <c r="T1611" s="104" t="s">
        <v>699</v>
      </c>
      <c r="U1611" s="108">
        <v>0.93</v>
      </c>
      <c r="V1611" s="107">
        <v>33.6</v>
      </c>
      <c r="W1611" s="106" t="s">
        <v>700</v>
      </c>
    </row>
    <row r="1612" spans="1:23" ht="21" customHeight="1">
      <c r="A1612" s="104" t="s">
        <v>218</v>
      </c>
      <c r="B1612" s="104" t="s">
        <v>389</v>
      </c>
      <c r="C1612" s="454" t="s">
        <v>390</v>
      </c>
      <c r="D1612" s="105" t="s">
        <v>151</v>
      </c>
      <c r="E1612" s="104">
        <v>725</v>
      </c>
      <c r="F1612" s="104" t="s">
        <v>778</v>
      </c>
      <c r="G1612" s="106" t="s">
        <v>701</v>
      </c>
      <c r="H1612" s="104" t="s">
        <v>702</v>
      </c>
      <c r="I1612" s="104" t="s">
        <v>104</v>
      </c>
      <c r="J1612" s="104" t="s">
        <v>105</v>
      </c>
      <c r="K1612" s="104" t="s">
        <v>126</v>
      </c>
      <c r="L1612" s="104" t="s">
        <v>636</v>
      </c>
      <c r="M1612" s="104"/>
      <c r="N1612" s="108"/>
      <c r="O1612" s="104"/>
      <c r="P1612" s="108">
        <v>4.82</v>
      </c>
      <c r="Q1612" s="108">
        <v>1.8340000000000001</v>
      </c>
      <c r="R1612" s="104" t="s">
        <v>17</v>
      </c>
      <c r="S1612" s="113">
        <f>10^(((LOG(P1612))*3.236)+0.745)</f>
        <v>902.27768323026555</v>
      </c>
      <c r="T1612" s="104" t="s">
        <v>935</v>
      </c>
      <c r="U1612" s="108">
        <v>0.92900000000000005</v>
      </c>
      <c r="V1612" s="107">
        <v>33.299999999999997</v>
      </c>
      <c r="W1612" s="106" t="s">
        <v>936</v>
      </c>
    </row>
    <row r="1613" spans="1:23" ht="21" customHeight="1">
      <c r="A1613" s="104" t="s">
        <v>218</v>
      </c>
      <c r="B1613" s="104" t="s">
        <v>389</v>
      </c>
      <c r="C1613" s="454" t="s">
        <v>390</v>
      </c>
      <c r="D1613" s="105" t="s">
        <v>151</v>
      </c>
      <c r="E1613" s="104">
        <v>725</v>
      </c>
      <c r="F1613" s="104" t="s">
        <v>753</v>
      </c>
      <c r="G1613" s="106" t="s">
        <v>701</v>
      </c>
      <c r="H1613" s="104" t="s">
        <v>702</v>
      </c>
      <c r="I1613" s="104" t="s">
        <v>104</v>
      </c>
      <c r="J1613" s="104" t="s">
        <v>105</v>
      </c>
      <c r="K1613" s="104" t="s">
        <v>209</v>
      </c>
      <c r="L1613" s="104" t="s">
        <v>728</v>
      </c>
      <c r="M1613" s="104"/>
      <c r="N1613" s="108"/>
      <c r="O1613" s="104"/>
      <c r="P1613" s="108">
        <v>3.5070000000000001</v>
      </c>
      <c r="Q1613" s="108">
        <v>1.444</v>
      </c>
      <c r="R1613" s="104" t="s">
        <v>17</v>
      </c>
      <c r="S1613" s="113">
        <f>10^(((LOG(P1613))*3.375)+1.119)</f>
        <v>908.15130185509543</v>
      </c>
      <c r="T1613" s="104" t="s">
        <v>699</v>
      </c>
      <c r="U1613" s="108">
        <v>0.93</v>
      </c>
      <c r="V1613" s="107">
        <v>33.6</v>
      </c>
      <c r="W1613" s="106" t="s">
        <v>700</v>
      </c>
    </row>
    <row r="1614" spans="1:23" ht="21" customHeight="1">
      <c r="A1614" s="104" t="s">
        <v>218</v>
      </c>
      <c r="B1614" s="104" t="s">
        <v>389</v>
      </c>
      <c r="C1614" s="454" t="s">
        <v>390</v>
      </c>
      <c r="D1614" s="105" t="s">
        <v>151</v>
      </c>
      <c r="E1614" s="104">
        <v>725</v>
      </c>
      <c r="F1614" s="104" t="s">
        <v>753</v>
      </c>
      <c r="G1614" s="106" t="s">
        <v>701</v>
      </c>
      <c r="H1614" s="104" t="s">
        <v>702</v>
      </c>
      <c r="I1614" s="104" t="s">
        <v>104</v>
      </c>
      <c r="J1614" s="104" t="s">
        <v>105</v>
      </c>
      <c r="K1614" s="104" t="s">
        <v>209</v>
      </c>
      <c r="L1614" s="104" t="s">
        <v>728</v>
      </c>
      <c r="M1614" s="104"/>
      <c r="N1614" s="108"/>
      <c r="O1614" s="104"/>
      <c r="P1614" s="108">
        <v>3.5090000000000003</v>
      </c>
      <c r="Q1614" s="108">
        <v>1.5589999999999999</v>
      </c>
      <c r="R1614" s="104" t="s">
        <v>17</v>
      </c>
      <c r="S1614" s="113">
        <f>10^(((LOG(P1614))*3.375)+1.119)</f>
        <v>909.90042467438855</v>
      </c>
      <c r="T1614" s="104" t="s">
        <v>699</v>
      </c>
      <c r="U1614" s="108">
        <v>0.93</v>
      </c>
      <c r="V1614" s="107">
        <v>33.6</v>
      </c>
      <c r="W1614" s="106" t="s">
        <v>700</v>
      </c>
    </row>
    <row r="1615" spans="1:23" ht="21" customHeight="1">
      <c r="A1615" s="104" t="s">
        <v>218</v>
      </c>
      <c r="B1615" s="104" t="s">
        <v>389</v>
      </c>
      <c r="C1615" s="454" t="s">
        <v>390</v>
      </c>
      <c r="D1615" s="105" t="s">
        <v>151</v>
      </c>
      <c r="E1615" s="104">
        <v>725</v>
      </c>
      <c r="F1615" s="104" t="s">
        <v>753</v>
      </c>
      <c r="G1615" s="106" t="s">
        <v>701</v>
      </c>
      <c r="H1615" s="104" t="s">
        <v>702</v>
      </c>
      <c r="I1615" s="104" t="s">
        <v>104</v>
      </c>
      <c r="J1615" s="104" t="s">
        <v>105</v>
      </c>
      <c r="K1615" s="104" t="s">
        <v>209</v>
      </c>
      <c r="L1615" s="104" t="s">
        <v>728</v>
      </c>
      <c r="M1615" s="104"/>
      <c r="N1615" s="108"/>
      <c r="O1615" s="104"/>
      <c r="P1615" s="108">
        <v>3.5149999999999997</v>
      </c>
      <c r="Q1615" s="108">
        <v>1.7739999999999998</v>
      </c>
      <c r="R1615" s="104" t="s">
        <v>17</v>
      </c>
      <c r="S1615" s="113">
        <f>10^(((LOG(P1615))*3.375)+1.119)</f>
        <v>915.16201650697303</v>
      </c>
      <c r="T1615" s="104" t="s">
        <v>699</v>
      </c>
      <c r="U1615" s="108">
        <v>0.93</v>
      </c>
      <c r="V1615" s="107">
        <v>33.6</v>
      </c>
      <c r="W1615" s="106" t="s">
        <v>700</v>
      </c>
    </row>
    <row r="1616" spans="1:23" ht="21" customHeight="1">
      <c r="A1616" s="104" t="s">
        <v>218</v>
      </c>
      <c r="B1616" s="104" t="s">
        <v>389</v>
      </c>
      <c r="C1616" s="454" t="s">
        <v>390</v>
      </c>
      <c r="D1616" s="105" t="s">
        <v>151</v>
      </c>
      <c r="E1616" s="104">
        <v>725</v>
      </c>
      <c r="F1616" s="104" t="s">
        <v>753</v>
      </c>
      <c r="G1616" s="106" t="s">
        <v>701</v>
      </c>
      <c r="H1616" s="104" t="s">
        <v>702</v>
      </c>
      <c r="I1616" s="104" t="s">
        <v>104</v>
      </c>
      <c r="J1616" s="104" t="s">
        <v>105</v>
      </c>
      <c r="K1616" s="104" t="s">
        <v>683</v>
      </c>
      <c r="L1616" s="104" t="s">
        <v>728</v>
      </c>
      <c r="M1616" s="104"/>
      <c r="N1616" s="108"/>
      <c r="O1616" s="104"/>
      <c r="P1616" s="108">
        <v>3.0870000000000002</v>
      </c>
      <c r="Q1616" s="108">
        <v>1.4159999999999999</v>
      </c>
      <c r="R1616" s="104" t="s">
        <v>17</v>
      </c>
      <c r="S1616" s="113">
        <f>(((10^((3.52*LOG((P1616))+1.372)))+(10^(3.375*LOG((P1616))+1.119)))/2)</f>
        <v>917.72644190991082</v>
      </c>
      <c r="T1616" s="104" t="s">
        <v>910</v>
      </c>
      <c r="U1616" s="108">
        <v>0.93500000000000005</v>
      </c>
      <c r="V1616" s="107">
        <v>30.8</v>
      </c>
      <c r="W1616" s="106" t="s">
        <v>700</v>
      </c>
    </row>
    <row r="1617" spans="1:23" ht="21" customHeight="1">
      <c r="A1617" s="104" t="s">
        <v>218</v>
      </c>
      <c r="B1617" s="104" t="s">
        <v>389</v>
      </c>
      <c r="C1617" s="454" t="s">
        <v>390</v>
      </c>
      <c r="D1617" s="105" t="s">
        <v>151</v>
      </c>
      <c r="E1617" s="104">
        <v>725</v>
      </c>
      <c r="F1617" s="104" t="s">
        <v>778</v>
      </c>
      <c r="G1617" s="106" t="s">
        <v>701</v>
      </c>
      <c r="H1617" s="104" t="s">
        <v>702</v>
      </c>
      <c r="I1617" s="104" t="s">
        <v>104</v>
      </c>
      <c r="J1617" s="104" t="s">
        <v>105</v>
      </c>
      <c r="K1617" s="104" t="s">
        <v>126</v>
      </c>
      <c r="L1617" s="104" t="s">
        <v>636</v>
      </c>
      <c r="M1617" s="104"/>
      <c r="N1617" s="108"/>
      <c r="O1617" s="104"/>
      <c r="P1617" s="108">
        <v>4.8609999999999998</v>
      </c>
      <c r="Q1617" s="108">
        <v>1.4300000000000002</v>
      </c>
      <c r="R1617" s="104" t="s">
        <v>17</v>
      </c>
      <c r="S1617" s="113">
        <f>10^(((LOG(P1617))*3.236)+0.745)</f>
        <v>927.35092564243917</v>
      </c>
      <c r="T1617" s="104" t="s">
        <v>937</v>
      </c>
      <c r="U1617" s="108">
        <v>0.92900000000000005</v>
      </c>
      <c r="V1617" s="107">
        <v>33.299999999999997</v>
      </c>
      <c r="W1617" s="106" t="s">
        <v>938</v>
      </c>
    </row>
    <row r="1618" spans="1:23" ht="21" customHeight="1">
      <c r="A1618" s="104" t="s">
        <v>218</v>
      </c>
      <c r="B1618" s="104" t="s">
        <v>389</v>
      </c>
      <c r="C1618" s="454" t="s">
        <v>390</v>
      </c>
      <c r="D1618" s="105" t="s">
        <v>151</v>
      </c>
      <c r="E1618" s="104">
        <v>725</v>
      </c>
      <c r="F1618" s="104" t="s">
        <v>753</v>
      </c>
      <c r="G1618" s="106" t="s">
        <v>701</v>
      </c>
      <c r="H1618" s="104" t="s">
        <v>702</v>
      </c>
      <c r="I1618" s="104" t="s">
        <v>104</v>
      </c>
      <c r="J1618" s="104" t="s">
        <v>105</v>
      </c>
      <c r="K1618" s="104" t="s">
        <v>209</v>
      </c>
      <c r="L1618" s="104" t="s">
        <v>728</v>
      </c>
      <c r="M1618" s="104"/>
      <c r="N1618" s="108"/>
      <c r="O1618" s="104"/>
      <c r="P1618" s="108">
        <v>3.5310000000000001</v>
      </c>
      <c r="Q1618" s="108">
        <v>1.7070000000000001</v>
      </c>
      <c r="R1618" s="104" t="s">
        <v>17</v>
      </c>
      <c r="S1618" s="113">
        <f>10^(((LOG(P1618))*3.375)+1.119)</f>
        <v>929.29755983856148</v>
      </c>
      <c r="T1618" s="104" t="s">
        <v>699</v>
      </c>
      <c r="U1618" s="108">
        <v>0.93</v>
      </c>
      <c r="V1618" s="107">
        <v>33.6</v>
      </c>
      <c r="W1618" s="106" t="s">
        <v>700</v>
      </c>
    </row>
    <row r="1619" spans="1:23" ht="21" customHeight="1">
      <c r="A1619" s="104" t="s">
        <v>218</v>
      </c>
      <c r="B1619" s="104" t="s">
        <v>389</v>
      </c>
      <c r="C1619" s="454" t="s">
        <v>390</v>
      </c>
      <c r="D1619" s="105" t="s">
        <v>151</v>
      </c>
      <c r="E1619" s="104">
        <v>725</v>
      </c>
      <c r="F1619" s="104" t="s">
        <v>778</v>
      </c>
      <c r="G1619" s="106" t="s">
        <v>701</v>
      </c>
      <c r="H1619" s="104" t="s">
        <v>702</v>
      </c>
      <c r="I1619" s="104" t="s">
        <v>104</v>
      </c>
      <c r="J1619" s="104" t="s">
        <v>105</v>
      </c>
      <c r="K1619" s="104" t="s">
        <v>126</v>
      </c>
      <c r="L1619" s="104" t="s">
        <v>636</v>
      </c>
      <c r="M1619" s="104"/>
      <c r="N1619" s="108"/>
      <c r="O1619" s="104"/>
      <c r="P1619" s="108">
        <v>4.867</v>
      </c>
      <c r="Q1619" s="108">
        <v>1.548</v>
      </c>
      <c r="R1619" s="104" t="s">
        <v>17</v>
      </c>
      <c r="S1619" s="113">
        <f>10^(((LOG(P1619))*3.236)+0.745)</f>
        <v>931.06010174959863</v>
      </c>
      <c r="T1619" s="104" t="s">
        <v>941</v>
      </c>
      <c r="U1619" s="108">
        <v>0.92900000000000005</v>
      </c>
      <c r="V1619" s="107">
        <v>33.299999999999997</v>
      </c>
      <c r="W1619" s="106" t="s">
        <v>942</v>
      </c>
    </row>
    <row r="1620" spans="1:23" ht="21" customHeight="1">
      <c r="A1620" s="104" t="s">
        <v>218</v>
      </c>
      <c r="B1620" s="104" t="s">
        <v>389</v>
      </c>
      <c r="C1620" s="454" t="s">
        <v>390</v>
      </c>
      <c r="D1620" s="105" t="s">
        <v>151</v>
      </c>
      <c r="E1620" s="104">
        <v>725</v>
      </c>
      <c r="F1620" s="104" t="s">
        <v>753</v>
      </c>
      <c r="G1620" s="106" t="s">
        <v>701</v>
      </c>
      <c r="H1620" s="104" t="s">
        <v>702</v>
      </c>
      <c r="I1620" s="104" t="s">
        <v>104</v>
      </c>
      <c r="J1620" s="104" t="s">
        <v>105</v>
      </c>
      <c r="K1620" s="104" t="s">
        <v>209</v>
      </c>
      <c r="L1620" s="104" t="s">
        <v>728</v>
      </c>
      <c r="M1620" s="104"/>
      <c r="N1620" s="108"/>
      <c r="O1620" s="104"/>
      <c r="P1620" s="108">
        <v>3.5350000000000001</v>
      </c>
      <c r="Q1620" s="108">
        <v>1.9510000000000001</v>
      </c>
      <c r="R1620" s="104" t="s">
        <v>17</v>
      </c>
      <c r="S1620" s="113">
        <f>10^(((LOG(P1620))*3.375)+1.119)</f>
        <v>932.85530619988469</v>
      </c>
      <c r="T1620" s="104" t="s">
        <v>699</v>
      </c>
      <c r="U1620" s="108">
        <v>0.93</v>
      </c>
      <c r="V1620" s="107">
        <v>33.6</v>
      </c>
      <c r="W1620" s="106" t="s">
        <v>700</v>
      </c>
    </row>
    <row r="1621" spans="1:23" ht="21" customHeight="1">
      <c r="A1621" s="104" t="s">
        <v>218</v>
      </c>
      <c r="B1621" s="104" t="s">
        <v>389</v>
      </c>
      <c r="C1621" s="454" t="s">
        <v>390</v>
      </c>
      <c r="D1621" s="105" t="s">
        <v>151</v>
      </c>
      <c r="E1621" s="104">
        <v>725</v>
      </c>
      <c r="F1621" s="104" t="s">
        <v>753</v>
      </c>
      <c r="G1621" s="106" t="s">
        <v>701</v>
      </c>
      <c r="H1621" s="104" t="s">
        <v>702</v>
      </c>
      <c r="I1621" s="104" t="s">
        <v>104</v>
      </c>
      <c r="J1621" s="104" t="s">
        <v>105</v>
      </c>
      <c r="K1621" s="104" t="s">
        <v>112</v>
      </c>
      <c r="L1621" s="104" t="s">
        <v>728</v>
      </c>
      <c r="M1621" s="104"/>
      <c r="N1621" s="108"/>
      <c r="O1621" s="104"/>
      <c r="P1621" s="108">
        <v>2.8440000000000003</v>
      </c>
      <c r="Q1621" s="108">
        <v>1.5029999999999999</v>
      </c>
      <c r="R1621" s="104" t="s">
        <v>17</v>
      </c>
      <c r="S1621" s="113">
        <f>10^((3.52*LOG((P1621))+1.372))</f>
        <v>932.89370822010233</v>
      </c>
      <c r="T1621" s="104" t="s">
        <v>718</v>
      </c>
      <c r="U1621" s="108">
        <v>0.93</v>
      </c>
      <c r="V1621" s="107">
        <v>34</v>
      </c>
      <c r="W1621" s="106" t="s">
        <v>700</v>
      </c>
    </row>
    <row r="1622" spans="1:23" ht="21" customHeight="1">
      <c r="A1622" s="104" t="s">
        <v>218</v>
      </c>
      <c r="B1622" s="104" t="s">
        <v>389</v>
      </c>
      <c r="C1622" s="454" t="s">
        <v>390</v>
      </c>
      <c r="D1622" s="105" t="s">
        <v>151</v>
      </c>
      <c r="E1622" s="104">
        <v>725</v>
      </c>
      <c r="F1622" s="104" t="s">
        <v>753</v>
      </c>
      <c r="G1622" s="106" t="s">
        <v>701</v>
      </c>
      <c r="H1622" s="104" t="s">
        <v>702</v>
      </c>
      <c r="I1622" s="104" t="s">
        <v>104</v>
      </c>
      <c r="J1622" s="104" t="s">
        <v>105</v>
      </c>
      <c r="K1622" s="104" t="s">
        <v>209</v>
      </c>
      <c r="L1622" s="104" t="s">
        <v>728</v>
      </c>
      <c r="M1622" s="104"/>
      <c r="N1622" s="108"/>
      <c r="O1622" s="104"/>
      <c r="P1622" s="108">
        <v>3.55</v>
      </c>
      <c r="Q1622" s="108">
        <v>1.8829999999999998</v>
      </c>
      <c r="R1622" s="104" t="s">
        <v>17</v>
      </c>
      <c r="S1622" s="113">
        <f>10^(((LOG(P1622))*3.375)+1.119)</f>
        <v>946.28224503857473</v>
      </c>
      <c r="T1622" s="104" t="s">
        <v>699</v>
      </c>
      <c r="U1622" s="108">
        <v>0.93</v>
      </c>
      <c r="V1622" s="107">
        <v>33.6</v>
      </c>
      <c r="W1622" s="106" t="s">
        <v>700</v>
      </c>
    </row>
    <row r="1623" spans="1:23" ht="21" customHeight="1">
      <c r="A1623" s="104" t="s">
        <v>218</v>
      </c>
      <c r="B1623" s="104" t="s">
        <v>389</v>
      </c>
      <c r="C1623" s="454" t="s">
        <v>390</v>
      </c>
      <c r="D1623" s="105" t="s">
        <v>151</v>
      </c>
      <c r="E1623" s="104">
        <v>725</v>
      </c>
      <c r="F1623" s="104" t="s">
        <v>753</v>
      </c>
      <c r="G1623" s="106" t="s">
        <v>701</v>
      </c>
      <c r="H1623" s="104" t="s">
        <v>702</v>
      </c>
      <c r="I1623" s="104" t="s">
        <v>104</v>
      </c>
      <c r="J1623" s="104" t="s">
        <v>105</v>
      </c>
      <c r="K1623" s="104" t="s">
        <v>683</v>
      </c>
      <c r="L1623" s="104" t="s">
        <v>728</v>
      </c>
      <c r="M1623" s="104"/>
      <c r="N1623" s="108"/>
      <c r="O1623" s="104"/>
      <c r="P1623" s="108">
        <v>3.1149999999999998</v>
      </c>
      <c r="Q1623" s="108">
        <v>1.4220000000000002</v>
      </c>
      <c r="R1623" s="104" t="s">
        <v>17</v>
      </c>
      <c r="S1623" s="113">
        <f>(((10^((3.52*LOG((P1623))+1.372)))+(10^(3.375*LOG((P1623))+1.119)))/2)</f>
        <v>946.96474935601111</v>
      </c>
      <c r="T1623" s="104" t="s">
        <v>910</v>
      </c>
      <c r="U1623" s="108">
        <v>0.93500000000000005</v>
      </c>
      <c r="V1623" s="107">
        <v>30.8</v>
      </c>
      <c r="W1623" s="106" t="s">
        <v>700</v>
      </c>
    </row>
    <row r="1624" spans="1:23" s="329" customFormat="1" ht="21" customHeight="1">
      <c r="A1624" s="104" t="s">
        <v>218</v>
      </c>
      <c r="B1624" s="104" t="s">
        <v>389</v>
      </c>
      <c r="C1624" s="454" t="s">
        <v>390</v>
      </c>
      <c r="D1624" s="105" t="s">
        <v>151</v>
      </c>
      <c r="E1624" s="104">
        <v>725</v>
      </c>
      <c r="F1624" s="104" t="s">
        <v>753</v>
      </c>
      <c r="G1624" s="106" t="s">
        <v>701</v>
      </c>
      <c r="H1624" s="104" t="s">
        <v>702</v>
      </c>
      <c r="I1624" s="104" t="s">
        <v>104</v>
      </c>
      <c r="J1624" s="104" t="s">
        <v>105</v>
      </c>
      <c r="K1624" s="104" t="s">
        <v>209</v>
      </c>
      <c r="L1624" s="104" t="s">
        <v>728</v>
      </c>
      <c r="M1624" s="104"/>
      <c r="N1624" s="108"/>
      <c r="O1624" s="104"/>
      <c r="P1624" s="108">
        <v>3.5569999999999999</v>
      </c>
      <c r="Q1624" s="108">
        <v>1.4140000000000001</v>
      </c>
      <c r="R1624" s="104" t="s">
        <v>17</v>
      </c>
      <c r="S1624" s="113">
        <f>10^(((LOG(P1624))*3.375)+1.119)</f>
        <v>952.59444583893196</v>
      </c>
      <c r="T1624" s="104" t="s">
        <v>699</v>
      </c>
      <c r="U1624" s="108">
        <v>0.93</v>
      </c>
      <c r="V1624" s="107">
        <v>33.6</v>
      </c>
      <c r="W1624" s="106" t="s">
        <v>700</v>
      </c>
    </row>
    <row r="1625" spans="1:23" ht="21" customHeight="1">
      <c r="A1625" s="104" t="s">
        <v>218</v>
      </c>
      <c r="B1625" s="104" t="s">
        <v>389</v>
      </c>
      <c r="C1625" s="454" t="s">
        <v>390</v>
      </c>
      <c r="D1625" s="105" t="s">
        <v>151</v>
      </c>
      <c r="E1625" s="104">
        <v>725</v>
      </c>
      <c r="F1625" s="104" t="s">
        <v>778</v>
      </c>
      <c r="G1625" s="106" t="s">
        <v>701</v>
      </c>
      <c r="H1625" s="104" t="s">
        <v>702</v>
      </c>
      <c r="I1625" s="104" t="s">
        <v>104</v>
      </c>
      <c r="J1625" s="104" t="s">
        <v>105</v>
      </c>
      <c r="K1625" s="104" t="s">
        <v>126</v>
      </c>
      <c r="L1625" s="104" t="s">
        <v>636</v>
      </c>
      <c r="M1625" s="104"/>
      <c r="N1625" s="108"/>
      <c r="O1625" s="104"/>
      <c r="P1625" s="108">
        <v>4.9020000000000001</v>
      </c>
      <c r="Q1625" s="108">
        <v>1.748</v>
      </c>
      <c r="R1625" s="104" t="s">
        <v>17</v>
      </c>
      <c r="S1625" s="113">
        <f>10^(((LOG(P1625))*3.236)+0.745)</f>
        <v>952.90152323967573</v>
      </c>
      <c r="T1625" s="104" t="s">
        <v>943</v>
      </c>
      <c r="U1625" s="108">
        <v>0.92900000000000005</v>
      </c>
      <c r="V1625" s="107">
        <v>33.299999999999997</v>
      </c>
      <c r="W1625" s="106" t="s">
        <v>944</v>
      </c>
    </row>
    <row r="1626" spans="1:23" ht="21" customHeight="1">
      <c r="A1626" s="104" t="s">
        <v>218</v>
      </c>
      <c r="B1626" s="104" t="s">
        <v>389</v>
      </c>
      <c r="C1626" s="454" t="s">
        <v>390</v>
      </c>
      <c r="D1626" s="105" t="s">
        <v>151</v>
      </c>
      <c r="E1626" s="104">
        <v>725</v>
      </c>
      <c r="F1626" s="104" t="s">
        <v>753</v>
      </c>
      <c r="G1626" s="106" t="s">
        <v>701</v>
      </c>
      <c r="H1626" s="104" t="s">
        <v>702</v>
      </c>
      <c r="I1626" s="104" t="s">
        <v>104</v>
      </c>
      <c r="J1626" s="104" t="s">
        <v>105</v>
      </c>
      <c r="K1626" s="104" t="s">
        <v>683</v>
      </c>
      <c r="L1626" s="104" t="s">
        <v>728</v>
      </c>
      <c r="M1626" s="104"/>
      <c r="N1626" s="108"/>
      <c r="O1626" s="104"/>
      <c r="P1626" s="108">
        <v>3.121</v>
      </c>
      <c r="Q1626" s="108">
        <v>1.8260000000000001</v>
      </c>
      <c r="R1626" s="104" t="s">
        <v>17</v>
      </c>
      <c r="S1626" s="113">
        <f>(((10^((3.52*LOG((P1626))+1.372)))+(10^(3.375*LOG((P1626))+1.119)))/2)</f>
        <v>953.31536913021819</v>
      </c>
      <c r="T1626" s="104" t="s">
        <v>910</v>
      </c>
      <c r="U1626" s="108">
        <v>0.93500000000000005</v>
      </c>
      <c r="V1626" s="107">
        <v>30.8</v>
      </c>
      <c r="W1626" s="106" t="s">
        <v>700</v>
      </c>
    </row>
    <row r="1627" spans="1:23" ht="21" customHeight="1">
      <c r="A1627" s="104" t="s">
        <v>218</v>
      </c>
      <c r="B1627" s="104" t="s">
        <v>389</v>
      </c>
      <c r="C1627" s="454" t="s">
        <v>390</v>
      </c>
      <c r="D1627" s="105" t="s">
        <v>151</v>
      </c>
      <c r="E1627" s="104">
        <v>725</v>
      </c>
      <c r="F1627" s="104" t="s">
        <v>778</v>
      </c>
      <c r="G1627" s="106" t="s">
        <v>701</v>
      </c>
      <c r="H1627" s="104" t="s">
        <v>702</v>
      </c>
      <c r="I1627" s="104" t="s">
        <v>104</v>
      </c>
      <c r="J1627" s="104" t="s">
        <v>105</v>
      </c>
      <c r="K1627" s="104" t="s">
        <v>126</v>
      </c>
      <c r="L1627" s="104" t="s">
        <v>636</v>
      </c>
      <c r="M1627" s="104"/>
      <c r="N1627" s="108"/>
      <c r="O1627" s="104"/>
      <c r="P1627" s="108">
        <v>4.91</v>
      </c>
      <c r="Q1627" s="108">
        <v>1.5710000000000002</v>
      </c>
      <c r="R1627" s="104" t="s">
        <v>17</v>
      </c>
      <c r="S1627" s="113">
        <f>10^(((LOG(P1627))*3.236)+0.745)</f>
        <v>957.94308882201256</v>
      </c>
      <c r="T1627" s="104" t="s">
        <v>945</v>
      </c>
      <c r="U1627" s="108">
        <v>0.92900000000000005</v>
      </c>
      <c r="V1627" s="107">
        <v>33.299999999999997</v>
      </c>
      <c r="W1627" s="106" t="s">
        <v>946</v>
      </c>
    </row>
    <row r="1628" spans="1:23" ht="21" customHeight="1">
      <c r="A1628" s="104" t="s">
        <v>218</v>
      </c>
      <c r="B1628" s="104" t="s">
        <v>389</v>
      </c>
      <c r="C1628" s="454" t="s">
        <v>390</v>
      </c>
      <c r="D1628" s="105" t="s">
        <v>151</v>
      </c>
      <c r="E1628" s="104">
        <v>725</v>
      </c>
      <c r="F1628" s="104" t="s">
        <v>778</v>
      </c>
      <c r="G1628" s="106" t="s">
        <v>701</v>
      </c>
      <c r="H1628" s="104" t="s">
        <v>702</v>
      </c>
      <c r="I1628" s="104" t="s">
        <v>104</v>
      </c>
      <c r="J1628" s="104" t="s">
        <v>105</v>
      </c>
      <c r="K1628" s="104" t="s">
        <v>126</v>
      </c>
      <c r="L1628" s="104" t="s">
        <v>636</v>
      </c>
      <c r="M1628" s="104"/>
      <c r="N1628" s="108"/>
      <c r="O1628" s="104"/>
      <c r="P1628" s="108">
        <v>4.9180000000000001</v>
      </c>
      <c r="Q1628" s="108">
        <v>1.5169999999999999</v>
      </c>
      <c r="R1628" s="104" t="s">
        <v>17</v>
      </c>
      <c r="S1628" s="113">
        <f>10^(((LOG(P1628))*3.236)+0.745)</f>
        <v>963.00305521847952</v>
      </c>
      <c r="T1628" s="104" t="s">
        <v>947</v>
      </c>
      <c r="U1628" s="108">
        <v>0.92900000000000005</v>
      </c>
      <c r="V1628" s="107">
        <v>33.299999999999997</v>
      </c>
      <c r="W1628" s="106" t="s">
        <v>948</v>
      </c>
    </row>
    <row r="1629" spans="1:23" ht="21" customHeight="1">
      <c r="A1629" s="104" t="s">
        <v>218</v>
      </c>
      <c r="B1629" s="104" t="s">
        <v>389</v>
      </c>
      <c r="C1629" s="454" t="s">
        <v>390</v>
      </c>
      <c r="D1629" s="105" t="s">
        <v>151</v>
      </c>
      <c r="E1629" s="104">
        <v>725</v>
      </c>
      <c r="F1629" s="104" t="s">
        <v>753</v>
      </c>
      <c r="G1629" s="106" t="s">
        <v>701</v>
      </c>
      <c r="H1629" s="104" t="s">
        <v>702</v>
      </c>
      <c r="I1629" s="104" t="s">
        <v>104</v>
      </c>
      <c r="J1629" s="104" t="s">
        <v>105</v>
      </c>
      <c r="K1629" s="104" t="s">
        <v>209</v>
      </c>
      <c r="L1629" s="104" t="s">
        <v>728</v>
      </c>
      <c r="M1629" s="104"/>
      <c r="N1629" s="108"/>
      <c r="O1629" s="104"/>
      <c r="P1629" s="108">
        <v>3.5740000000000003</v>
      </c>
      <c r="Q1629" s="108">
        <v>1.655</v>
      </c>
      <c r="R1629" s="104" t="s">
        <v>17</v>
      </c>
      <c r="S1629" s="113">
        <f>10^(((LOG(P1629))*3.375)+1.119)</f>
        <v>968.0473492052256</v>
      </c>
      <c r="T1629" s="104" t="s">
        <v>699</v>
      </c>
      <c r="U1629" s="108">
        <v>0.93</v>
      </c>
      <c r="V1629" s="107">
        <v>33.6</v>
      </c>
      <c r="W1629" s="106" t="s">
        <v>700</v>
      </c>
    </row>
    <row r="1630" spans="1:23" ht="21" customHeight="1">
      <c r="A1630" s="104" t="s">
        <v>218</v>
      </c>
      <c r="B1630" s="104" t="s">
        <v>389</v>
      </c>
      <c r="C1630" s="454" t="s">
        <v>390</v>
      </c>
      <c r="D1630" s="105" t="s">
        <v>151</v>
      </c>
      <c r="E1630" s="104">
        <v>725</v>
      </c>
      <c r="F1630" s="104" t="s">
        <v>753</v>
      </c>
      <c r="G1630" s="106" t="s">
        <v>701</v>
      </c>
      <c r="H1630" s="104" t="s">
        <v>702</v>
      </c>
      <c r="I1630" s="104" t="s">
        <v>104</v>
      </c>
      <c r="J1630" s="104" t="s">
        <v>105</v>
      </c>
      <c r="K1630" s="104" t="s">
        <v>209</v>
      </c>
      <c r="L1630" s="104" t="s">
        <v>728</v>
      </c>
      <c r="M1630" s="104"/>
      <c r="N1630" s="108"/>
      <c r="O1630" s="104"/>
      <c r="P1630" s="108">
        <v>3.5750000000000002</v>
      </c>
      <c r="Q1630" s="108">
        <v>1.6160000000000001</v>
      </c>
      <c r="R1630" s="104" t="s">
        <v>17</v>
      </c>
      <c r="S1630" s="113">
        <f>10^(((LOG(P1630))*3.375)+1.119)</f>
        <v>968.96179953869455</v>
      </c>
      <c r="T1630" s="104" t="s">
        <v>699</v>
      </c>
      <c r="U1630" s="108">
        <v>0.93</v>
      </c>
      <c r="V1630" s="107">
        <v>33.6</v>
      </c>
      <c r="W1630" s="106" t="s">
        <v>700</v>
      </c>
    </row>
    <row r="1631" spans="1:23" ht="21" customHeight="1">
      <c r="A1631" s="104" t="s">
        <v>218</v>
      </c>
      <c r="B1631" s="104" t="s">
        <v>389</v>
      </c>
      <c r="C1631" s="454" t="s">
        <v>390</v>
      </c>
      <c r="D1631" s="105" t="s">
        <v>151</v>
      </c>
      <c r="E1631" s="104">
        <v>725</v>
      </c>
      <c r="F1631" s="104" t="s">
        <v>753</v>
      </c>
      <c r="G1631" s="106" t="s">
        <v>701</v>
      </c>
      <c r="H1631" s="104" t="s">
        <v>702</v>
      </c>
      <c r="I1631" s="104" t="s">
        <v>104</v>
      </c>
      <c r="J1631" s="104" t="s">
        <v>105</v>
      </c>
      <c r="K1631" s="104" t="s">
        <v>683</v>
      </c>
      <c r="L1631" s="104" t="s">
        <v>728</v>
      </c>
      <c r="M1631" s="104"/>
      <c r="N1631" s="108"/>
      <c r="O1631" s="104"/>
      <c r="P1631" s="108">
        <v>3.1420000000000003</v>
      </c>
      <c r="Q1631" s="108">
        <v>1.3859999999999999</v>
      </c>
      <c r="R1631" s="104" t="s">
        <v>17</v>
      </c>
      <c r="S1631" s="113">
        <f>(((10^((3.52*LOG((P1631))+1.372)))+(10^(3.375*LOG((P1631))+1.119)))/2)</f>
        <v>975.78160082284398</v>
      </c>
      <c r="T1631" s="104" t="s">
        <v>910</v>
      </c>
      <c r="U1631" s="108">
        <v>0.93500000000000005</v>
      </c>
      <c r="V1631" s="107">
        <v>30.8</v>
      </c>
      <c r="W1631" s="106" t="s">
        <v>700</v>
      </c>
    </row>
    <row r="1632" spans="1:23" ht="21" customHeight="1">
      <c r="A1632" s="104" t="s">
        <v>218</v>
      </c>
      <c r="B1632" s="104" t="s">
        <v>389</v>
      </c>
      <c r="C1632" s="454" t="s">
        <v>390</v>
      </c>
      <c r="D1632" s="105" t="s">
        <v>151</v>
      </c>
      <c r="E1632" s="104">
        <v>725</v>
      </c>
      <c r="F1632" s="104" t="s">
        <v>778</v>
      </c>
      <c r="G1632" s="106" t="s">
        <v>701</v>
      </c>
      <c r="H1632" s="104" t="s">
        <v>702</v>
      </c>
      <c r="I1632" s="104" t="s">
        <v>104</v>
      </c>
      <c r="J1632" s="104" t="s">
        <v>105</v>
      </c>
      <c r="K1632" s="104" t="s">
        <v>126</v>
      </c>
      <c r="L1632" s="104" t="s">
        <v>636</v>
      </c>
      <c r="M1632" s="104"/>
      <c r="N1632" s="108"/>
      <c r="O1632" s="104"/>
      <c r="P1632" s="108">
        <v>4.9390000000000001</v>
      </c>
      <c r="Q1632" s="108">
        <v>2.0550000000000002</v>
      </c>
      <c r="R1632" s="104" t="s">
        <v>17</v>
      </c>
      <c r="S1632" s="113">
        <f>10^(((LOG(P1632))*3.236)+0.745)</f>
        <v>976.37328653501538</v>
      </c>
      <c r="T1632" s="104" t="s">
        <v>949</v>
      </c>
      <c r="U1632" s="108">
        <v>0.92900000000000005</v>
      </c>
      <c r="V1632" s="107">
        <v>33.299999999999997</v>
      </c>
      <c r="W1632" s="106" t="s">
        <v>950</v>
      </c>
    </row>
    <row r="1633" spans="1:23" ht="21" customHeight="1">
      <c r="A1633" s="104" t="s">
        <v>218</v>
      </c>
      <c r="B1633" s="104" t="s">
        <v>389</v>
      </c>
      <c r="C1633" s="454" t="s">
        <v>390</v>
      </c>
      <c r="D1633" s="105" t="s">
        <v>151</v>
      </c>
      <c r="E1633" s="104">
        <v>725</v>
      </c>
      <c r="F1633" s="104" t="s">
        <v>778</v>
      </c>
      <c r="G1633" s="106" t="s">
        <v>701</v>
      </c>
      <c r="H1633" s="104" t="s">
        <v>702</v>
      </c>
      <c r="I1633" s="104" t="s">
        <v>104</v>
      </c>
      <c r="J1633" s="104" t="s">
        <v>105</v>
      </c>
      <c r="K1633" s="104" t="s">
        <v>126</v>
      </c>
      <c r="L1633" s="104" t="s">
        <v>636</v>
      </c>
      <c r="M1633" s="104"/>
      <c r="N1633" s="108"/>
      <c r="O1633" s="104"/>
      <c r="P1633" s="108">
        <v>4.9489999999999998</v>
      </c>
      <c r="Q1633" s="108">
        <v>1.4830000000000001</v>
      </c>
      <c r="R1633" s="104" t="s">
        <v>17</v>
      </c>
      <c r="S1633" s="113">
        <f>10^(((LOG(P1633))*3.236)+0.745)</f>
        <v>982.78491220131855</v>
      </c>
      <c r="T1633" s="104" t="s">
        <v>951</v>
      </c>
      <c r="U1633" s="108">
        <v>0.92900000000000005</v>
      </c>
      <c r="V1633" s="107">
        <v>33.299999999999997</v>
      </c>
      <c r="W1633" s="106" t="s">
        <v>952</v>
      </c>
    </row>
    <row r="1634" spans="1:23" ht="21" customHeight="1">
      <c r="A1634" s="104" t="s">
        <v>218</v>
      </c>
      <c r="B1634" s="104" t="s">
        <v>389</v>
      </c>
      <c r="C1634" s="454" t="s">
        <v>390</v>
      </c>
      <c r="D1634" s="105" t="s">
        <v>151</v>
      </c>
      <c r="E1634" s="104">
        <v>725</v>
      </c>
      <c r="F1634" s="104" t="s">
        <v>753</v>
      </c>
      <c r="G1634" s="106" t="s">
        <v>701</v>
      </c>
      <c r="H1634" s="104" t="s">
        <v>702</v>
      </c>
      <c r="I1634" s="104" t="s">
        <v>104</v>
      </c>
      <c r="J1634" s="104" t="s">
        <v>105</v>
      </c>
      <c r="K1634" s="104" t="s">
        <v>209</v>
      </c>
      <c r="L1634" s="104" t="s">
        <v>728</v>
      </c>
      <c r="M1634" s="104"/>
      <c r="N1634" s="108"/>
      <c r="O1634" s="104"/>
      <c r="P1634" s="108">
        <v>3.593</v>
      </c>
      <c r="Q1634" s="108">
        <v>1.6809999999999998</v>
      </c>
      <c r="R1634" s="104" t="s">
        <v>17</v>
      </c>
      <c r="S1634" s="113">
        <f>10^(((LOG(P1634))*3.375)+1.119)</f>
        <v>985.52604948529086</v>
      </c>
      <c r="T1634" s="104" t="s">
        <v>699</v>
      </c>
      <c r="U1634" s="108">
        <v>0.93</v>
      </c>
      <c r="V1634" s="107">
        <v>33.6</v>
      </c>
      <c r="W1634" s="106" t="s">
        <v>700</v>
      </c>
    </row>
    <row r="1635" spans="1:23" ht="21" customHeight="1">
      <c r="A1635" s="104" t="s">
        <v>218</v>
      </c>
      <c r="B1635" s="104" t="s">
        <v>389</v>
      </c>
      <c r="C1635" s="454" t="s">
        <v>390</v>
      </c>
      <c r="D1635" s="105" t="s">
        <v>151</v>
      </c>
      <c r="E1635" s="104">
        <v>725</v>
      </c>
      <c r="F1635" s="104" t="s">
        <v>753</v>
      </c>
      <c r="G1635" s="106" t="s">
        <v>701</v>
      </c>
      <c r="H1635" s="104" t="s">
        <v>702</v>
      </c>
      <c r="I1635" s="104" t="s">
        <v>104</v>
      </c>
      <c r="J1635" s="104" t="s">
        <v>105</v>
      </c>
      <c r="K1635" s="106" t="s">
        <v>733</v>
      </c>
      <c r="L1635" s="104" t="s">
        <v>734</v>
      </c>
      <c r="M1635" s="104"/>
      <c r="N1635" s="108"/>
      <c r="O1635" s="104"/>
      <c r="P1635" s="108">
        <v>3.9159999999999995</v>
      </c>
      <c r="Q1635" s="108">
        <v>1.583</v>
      </c>
      <c r="R1635" s="104" t="s">
        <v>17</v>
      </c>
      <c r="S1635" s="113">
        <f>((10^((3.236*LOG((P1635))+0.745)) +( 10^((3.375*LOG((P1635))+1.119))) +10^((3.395*LOG((P1635))+1.061)))/3)</f>
        <v>987.81928397402635</v>
      </c>
      <c r="T1635" s="104" t="s">
        <v>735</v>
      </c>
      <c r="U1635" s="108">
        <v>0.91</v>
      </c>
      <c r="V1635" s="107">
        <v>36</v>
      </c>
      <c r="W1635" s="106" t="s">
        <v>732</v>
      </c>
    </row>
    <row r="1636" spans="1:23" ht="21" customHeight="1">
      <c r="A1636" s="104" t="s">
        <v>218</v>
      </c>
      <c r="B1636" s="104" t="s">
        <v>389</v>
      </c>
      <c r="C1636" s="454" t="s">
        <v>390</v>
      </c>
      <c r="D1636" s="105" t="s">
        <v>151</v>
      </c>
      <c r="E1636" s="104">
        <v>725</v>
      </c>
      <c r="F1636" s="104" t="s">
        <v>753</v>
      </c>
      <c r="G1636" s="106" t="s">
        <v>701</v>
      </c>
      <c r="H1636" s="104" t="s">
        <v>702</v>
      </c>
      <c r="I1636" s="104" t="s">
        <v>104</v>
      </c>
      <c r="J1636" s="104" t="s">
        <v>105</v>
      </c>
      <c r="K1636" s="104" t="s">
        <v>112</v>
      </c>
      <c r="L1636" s="104" t="s">
        <v>728</v>
      </c>
      <c r="M1636" s="104"/>
      <c r="N1636" s="108"/>
      <c r="O1636" s="104"/>
      <c r="P1636" s="108">
        <v>2.891</v>
      </c>
      <c r="Q1636" s="108">
        <v>1.746</v>
      </c>
      <c r="R1636" s="104" t="s">
        <v>17</v>
      </c>
      <c r="S1636" s="113">
        <f>10^((3.52*LOG((P1636))+1.372))</f>
        <v>988.30110895832388</v>
      </c>
      <c r="T1636" s="104" t="s">
        <v>718</v>
      </c>
      <c r="U1636" s="108">
        <v>0.93</v>
      </c>
      <c r="V1636" s="107">
        <v>34</v>
      </c>
      <c r="W1636" s="106" t="s">
        <v>700</v>
      </c>
    </row>
    <row r="1637" spans="1:23" ht="21" customHeight="1">
      <c r="A1637" s="104" t="s">
        <v>218</v>
      </c>
      <c r="B1637" s="104" t="s">
        <v>389</v>
      </c>
      <c r="C1637" s="454" t="s">
        <v>390</v>
      </c>
      <c r="D1637" s="105" t="s">
        <v>151</v>
      </c>
      <c r="E1637" s="104">
        <v>725</v>
      </c>
      <c r="F1637" s="104" t="s">
        <v>753</v>
      </c>
      <c r="G1637" s="106" t="s">
        <v>701</v>
      </c>
      <c r="H1637" s="104" t="s">
        <v>702</v>
      </c>
      <c r="I1637" s="104" t="s">
        <v>104</v>
      </c>
      <c r="J1637" s="104" t="s">
        <v>105</v>
      </c>
      <c r="K1637" s="106" t="s">
        <v>733</v>
      </c>
      <c r="L1637" s="104" t="s">
        <v>734</v>
      </c>
      <c r="M1637" s="104"/>
      <c r="N1637" s="108"/>
      <c r="O1637" s="104"/>
      <c r="P1637" s="108">
        <v>3.9200000000000004</v>
      </c>
      <c r="Q1637" s="108">
        <v>1.5269999999999999</v>
      </c>
      <c r="R1637" s="104" t="s">
        <v>17</v>
      </c>
      <c r="S1637" s="113">
        <f>((10^((3.236*LOG((P1637))+0.745)) +( 10^((3.375*LOG((P1637))+1.119))) +10^((3.395*LOG((P1637))+1.061)))/3)</f>
        <v>991.21504583781336</v>
      </c>
      <c r="T1637" s="104" t="s">
        <v>735</v>
      </c>
      <c r="U1637" s="108">
        <v>0.91</v>
      </c>
      <c r="V1637" s="107">
        <v>36</v>
      </c>
      <c r="W1637" s="106" t="s">
        <v>732</v>
      </c>
    </row>
    <row r="1638" spans="1:23" ht="21" customHeight="1">
      <c r="A1638" s="104" t="s">
        <v>218</v>
      </c>
      <c r="B1638" s="104" t="s">
        <v>389</v>
      </c>
      <c r="C1638" s="454" t="s">
        <v>390</v>
      </c>
      <c r="D1638" s="105" t="s">
        <v>151</v>
      </c>
      <c r="E1638" s="104">
        <v>725</v>
      </c>
      <c r="F1638" s="104" t="s">
        <v>778</v>
      </c>
      <c r="G1638" s="106" t="s">
        <v>701</v>
      </c>
      <c r="H1638" s="104" t="s">
        <v>702</v>
      </c>
      <c r="I1638" s="104" t="s">
        <v>104</v>
      </c>
      <c r="J1638" s="104" t="s">
        <v>105</v>
      </c>
      <c r="K1638" s="104" t="s">
        <v>126</v>
      </c>
      <c r="L1638" s="104" t="s">
        <v>636</v>
      </c>
      <c r="M1638" s="104"/>
      <c r="N1638" s="108"/>
      <c r="O1638" s="104"/>
      <c r="P1638" s="108">
        <v>4.9670000000000005</v>
      </c>
      <c r="Q1638" s="108">
        <v>1.548</v>
      </c>
      <c r="R1638" s="104" t="s">
        <v>17</v>
      </c>
      <c r="S1638" s="113">
        <f>10^(((LOG(P1638))*3.236)+0.745)</f>
        <v>994.39905232258923</v>
      </c>
      <c r="T1638" s="104" t="s">
        <v>953</v>
      </c>
      <c r="U1638" s="108">
        <v>0.92900000000000005</v>
      </c>
      <c r="V1638" s="107">
        <v>33.299999999999997</v>
      </c>
      <c r="W1638" s="106" t="s">
        <v>954</v>
      </c>
    </row>
    <row r="1639" spans="1:23" ht="21" customHeight="1">
      <c r="A1639" s="104" t="s">
        <v>218</v>
      </c>
      <c r="B1639" s="104" t="s">
        <v>389</v>
      </c>
      <c r="C1639" s="454" t="s">
        <v>390</v>
      </c>
      <c r="D1639" s="105" t="s">
        <v>151</v>
      </c>
      <c r="E1639" s="104">
        <v>725</v>
      </c>
      <c r="F1639" s="104" t="s">
        <v>778</v>
      </c>
      <c r="G1639" s="106" t="s">
        <v>701</v>
      </c>
      <c r="H1639" s="104" t="s">
        <v>702</v>
      </c>
      <c r="I1639" s="104" t="s">
        <v>104</v>
      </c>
      <c r="J1639" s="104" t="s">
        <v>105</v>
      </c>
      <c r="K1639" s="104" t="s">
        <v>126</v>
      </c>
      <c r="L1639" s="104" t="s">
        <v>636</v>
      </c>
      <c r="M1639" s="104"/>
      <c r="N1639" s="108"/>
      <c r="O1639" s="104"/>
      <c r="P1639" s="108">
        <v>4.9729999999999999</v>
      </c>
      <c r="Q1639" s="108">
        <v>1.512</v>
      </c>
      <c r="R1639" s="104" t="s">
        <v>17</v>
      </c>
      <c r="S1639" s="113">
        <f>10^(((LOG(P1639))*3.236)+0.745)</f>
        <v>998.29140981808337</v>
      </c>
      <c r="T1639" s="104" t="s">
        <v>955</v>
      </c>
      <c r="U1639" s="108">
        <v>0.92900000000000005</v>
      </c>
      <c r="V1639" s="107">
        <v>33.299999999999997</v>
      </c>
      <c r="W1639" s="106" t="s">
        <v>956</v>
      </c>
    </row>
    <row r="1640" spans="1:23" ht="21" customHeight="1">
      <c r="A1640" s="104" t="s">
        <v>218</v>
      </c>
      <c r="B1640" s="104" t="s">
        <v>389</v>
      </c>
      <c r="C1640" s="454" t="s">
        <v>390</v>
      </c>
      <c r="D1640" s="105" t="s">
        <v>151</v>
      </c>
      <c r="E1640" s="104">
        <v>725</v>
      </c>
      <c r="F1640" s="104" t="s">
        <v>778</v>
      </c>
      <c r="G1640" s="106" t="s">
        <v>701</v>
      </c>
      <c r="H1640" s="104" t="s">
        <v>702</v>
      </c>
      <c r="I1640" s="104" t="s">
        <v>104</v>
      </c>
      <c r="J1640" s="104" t="s">
        <v>105</v>
      </c>
      <c r="K1640" s="104" t="s">
        <v>126</v>
      </c>
      <c r="L1640" s="104" t="s">
        <v>636</v>
      </c>
      <c r="M1640" s="104"/>
      <c r="N1640" s="108"/>
      <c r="O1640" s="104"/>
      <c r="P1640" s="108">
        <v>4.9820000000000002</v>
      </c>
      <c r="Q1640" s="108">
        <v>1.73</v>
      </c>
      <c r="R1640" s="104" t="s">
        <v>17</v>
      </c>
      <c r="S1640" s="113">
        <f>10^(((LOG(P1640))*3.236)+0.745)</f>
        <v>1004.1496663130591</v>
      </c>
      <c r="T1640" s="104" t="s">
        <v>957</v>
      </c>
      <c r="U1640" s="108">
        <v>0.92900000000000005</v>
      </c>
      <c r="V1640" s="107">
        <v>33.299999999999997</v>
      </c>
      <c r="W1640" s="106" t="s">
        <v>958</v>
      </c>
    </row>
    <row r="1641" spans="1:23" ht="21" customHeight="1">
      <c r="A1641" s="104" t="s">
        <v>218</v>
      </c>
      <c r="B1641" s="104" t="s">
        <v>389</v>
      </c>
      <c r="C1641" s="454" t="s">
        <v>390</v>
      </c>
      <c r="D1641" s="105" t="s">
        <v>151</v>
      </c>
      <c r="E1641" s="104">
        <v>725</v>
      </c>
      <c r="F1641" s="104" t="s">
        <v>778</v>
      </c>
      <c r="G1641" s="106" t="s">
        <v>701</v>
      </c>
      <c r="H1641" s="104" t="s">
        <v>702</v>
      </c>
      <c r="I1641" s="104" t="s">
        <v>104</v>
      </c>
      <c r="J1641" s="104" t="s">
        <v>105</v>
      </c>
      <c r="K1641" s="104" t="s">
        <v>126</v>
      </c>
      <c r="L1641" s="104" t="s">
        <v>636</v>
      </c>
      <c r="M1641" s="104"/>
      <c r="N1641" s="108"/>
      <c r="O1641" s="104"/>
      <c r="P1641" s="108">
        <v>4.9850000000000003</v>
      </c>
      <c r="Q1641" s="108">
        <v>1.534</v>
      </c>
      <c r="R1641" s="104" t="s">
        <v>17</v>
      </c>
      <c r="S1641" s="113">
        <f>10^(((LOG(P1641))*3.236)+0.745)</f>
        <v>1006.1076850533944</v>
      </c>
      <c r="T1641" s="104" t="s">
        <v>959</v>
      </c>
      <c r="U1641" s="108">
        <v>0.92900000000000005</v>
      </c>
      <c r="V1641" s="107">
        <v>33.299999999999997</v>
      </c>
      <c r="W1641" s="106" t="s">
        <v>960</v>
      </c>
    </row>
    <row r="1642" spans="1:23" ht="21" customHeight="1">
      <c r="A1642" s="104" t="s">
        <v>218</v>
      </c>
      <c r="B1642" s="104" t="s">
        <v>389</v>
      </c>
      <c r="C1642" s="454" t="s">
        <v>390</v>
      </c>
      <c r="D1642" s="105" t="s">
        <v>151</v>
      </c>
      <c r="E1642" s="104">
        <v>725</v>
      </c>
      <c r="F1642" s="104" t="s">
        <v>753</v>
      </c>
      <c r="G1642" s="106" t="s">
        <v>701</v>
      </c>
      <c r="H1642" s="104" t="s">
        <v>702</v>
      </c>
      <c r="I1642" s="104" t="s">
        <v>104</v>
      </c>
      <c r="J1642" s="104" t="s">
        <v>105</v>
      </c>
      <c r="K1642" s="104" t="s">
        <v>209</v>
      </c>
      <c r="L1642" s="104" t="s">
        <v>728</v>
      </c>
      <c r="M1642" s="104"/>
      <c r="N1642" s="108"/>
      <c r="O1642" s="104"/>
      <c r="P1642" s="108">
        <v>3.6189999999999998</v>
      </c>
      <c r="Q1642" s="108">
        <v>1.9129999999999998</v>
      </c>
      <c r="R1642" s="104" t="s">
        <v>17</v>
      </c>
      <c r="S1642" s="113">
        <f>10^(((LOG(P1642))*3.375)+1.119)</f>
        <v>1009.8025614603533</v>
      </c>
      <c r="T1642" s="104" t="s">
        <v>699</v>
      </c>
      <c r="U1642" s="108">
        <v>0.93</v>
      </c>
      <c r="V1642" s="107">
        <v>33.6</v>
      </c>
      <c r="W1642" s="106" t="s">
        <v>700</v>
      </c>
    </row>
    <row r="1643" spans="1:23" ht="21" customHeight="1">
      <c r="A1643" s="104" t="s">
        <v>218</v>
      </c>
      <c r="B1643" s="104" t="s">
        <v>389</v>
      </c>
      <c r="C1643" s="454" t="s">
        <v>390</v>
      </c>
      <c r="D1643" s="105" t="s">
        <v>151</v>
      </c>
      <c r="E1643" s="104">
        <v>725</v>
      </c>
      <c r="F1643" s="104" t="s">
        <v>753</v>
      </c>
      <c r="G1643" s="106" t="s">
        <v>701</v>
      </c>
      <c r="H1643" s="104" t="s">
        <v>702</v>
      </c>
      <c r="I1643" s="104" t="s">
        <v>104</v>
      </c>
      <c r="J1643" s="104" t="s">
        <v>105</v>
      </c>
      <c r="K1643" s="104" t="s">
        <v>683</v>
      </c>
      <c r="L1643" s="104" t="s">
        <v>728</v>
      </c>
      <c r="M1643" s="104"/>
      <c r="N1643" s="108"/>
      <c r="O1643" s="104"/>
      <c r="P1643" s="108">
        <v>3.1760000000000002</v>
      </c>
      <c r="Q1643" s="108">
        <v>1.4830000000000001</v>
      </c>
      <c r="R1643" s="104" t="s">
        <v>17</v>
      </c>
      <c r="S1643" s="113">
        <f>(((10^((3.52*LOG((P1643))+1.372)))+(10^(3.375*LOG((P1643))+1.119)))/2)</f>
        <v>1012.9515291487478</v>
      </c>
      <c r="T1643" s="104" t="s">
        <v>910</v>
      </c>
      <c r="U1643" s="108">
        <v>0.93500000000000005</v>
      </c>
      <c r="V1643" s="107">
        <v>30.8</v>
      </c>
      <c r="W1643" s="106" t="s">
        <v>700</v>
      </c>
    </row>
    <row r="1644" spans="1:23" ht="21" customHeight="1">
      <c r="A1644" s="104" t="s">
        <v>218</v>
      </c>
      <c r="B1644" s="104" t="s">
        <v>389</v>
      </c>
      <c r="C1644" s="454" t="s">
        <v>390</v>
      </c>
      <c r="D1644" s="105" t="s">
        <v>151</v>
      </c>
      <c r="E1644" s="104">
        <v>725</v>
      </c>
      <c r="F1644" s="104" t="s">
        <v>753</v>
      </c>
      <c r="G1644" s="106" t="s">
        <v>701</v>
      </c>
      <c r="H1644" s="104" t="s">
        <v>702</v>
      </c>
      <c r="I1644" s="104" t="s">
        <v>104</v>
      </c>
      <c r="J1644" s="104" t="s">
        <v>105</v>
      </c>
      <c r="K1644" s="104" t="s">
        <v>683</v>
      </c>
      <c r="L1644" s="104" t="s">
        <v>728</v>
      </c>
      <c r="M1644" s="104"/>
      <c r="N1644" s="108"/>
      <c r="O1644" s="104"/>
      <c r="P1644" s="108">
        <v>3.1789999999999998</v>
      </c>
      <c r="Q1644" s="108">
        <v>2</v>
      </c>
      <c r="R1644" s="104" t="s">
        <v>17</v>
      </c>
      <c r="S1644" s="113">
        <f>(((10^((3.52*LOG((P1644))+1.372)))+(10^(3.375*LOG((P1644))+1.119)))/2)</f>
        <v>1016.278908897511</v>
      </c>
      <c r="T1644" s="104" t="s">
        <v>910</v>
      </c>
      <c r="U1644" s="108">
        <v>0.93500000000000005</v>
      </c>
      <c r="V1644" s="107">
        <v>30.8</v>
      </c>
      <c r="W1644" s="106" t="s">
        <v>700</v>
      </c>
    </row>
    <row r="1645" spans="1:23" ht="21" customHeight="1">
      <c r="A1645" s="104" t="s">
        <v>218</v>
      </c>
      <c r="B1645" s="104" t="s">
        <v>389</v>
      </c>
      <c r="C1645" s="454" t="s">
        <v>390</v>
      </c>
      <c r="D1645" s="105" t="s">
        <v>151</v>
      </c>
      <c r="E1645" s="104">
        <v>725</v>
      </c>
      <c r="F1645" s="104" t="s">
        <v>753</v>
      </c>
      <c r="G1645" s="106" t="s">
        <v>701</v>
      </c>
      <c r="H1645" s="104" t="s">
        <v>702</v>
      </c>
      <c r="I1645" s="104" t="s">
        <v>104</v>
      </c>
      <c r="J1645" s="104" t="s">
        <v>105</v>
      </c>
      <c r="K1645" s="106" t="s">
        <v>733</v>
      </c>
      <c r="L1645" s="104" t="s">
        <v>734</v>
      </c>
      <c r="M1645" s="104"/>
      <c r="N1645" s="108"/>
      <c r="O1645" s="104"/>
      <c r="P1645" s="108">
        <v>3.95</v>
      </c>
      <c r="Q1645" s="108">
        <v>1.48</v>
      </c>
      <c r="R1645" s="104" t="s">
        <v>17</v>
      </c>
      <c r="S1645" s="113">
        <f>((10^((3.236*LOG((P1645))+0.745)) +( 10^((3.375*LOG((P1645))+1.119))) +10^((3.395*LOG((P1645))+1.061)))/3)</f>
        <v>1016.9452733134294</v>
      </c>
      <c r="T1645" s="104" t="s">
        <v>735</v>
      </c>
      <c r="U1645" s="108">
        <v>0.91</v>
      </c>
      <c r="V1645" s="107">
        <v>36</v>
      </c>
      <c r="W1645" s="106" t="s">
        <v>732</v>
      </c>
    </row>
    <row r="1646" spans="1:23" ht="21" customHeight="1">
      <c r="A1646" s="104" t="s">
        <v>218</v>
      </c>
      <c r="B1646" s="104" t="s">
        <v>389</v>
      </c>
      <c r="C1646" s="454" t="s">
        <v>390</v>
      </c>
      <c r="D1646" s="105" t="s">
        <v>151</v>
      </c>
      <c r="E1646" s="104">
        <v>725</v>
      </c>
      <c r="F1646" s="104" t="s">
        <v>753</v>
      </c>
      <c r="G1646" s="106" t="s">
        <v>701</v>
      </c>
      <c r="H1646" s="104" t="s">
        <v>702</v>
      </c>
      <c r="I1646" s="104" t="s">
        <v>104</v>
      </c>
      <c r="J1646" s="104" t="s">
        <v>105</v>
      </c>
      <c r="K1646" s="104" t="s">
        <v>683</v>
      </c>
      <c r="L1646" s="104" t="s">
        <v>728</v>
      </c>
      <c r="M1646" s="104"/>
      <c r="N1646" s="108"/>
      <c r="O1646" s="104"/>
      <c r="P1646" s="108">
        <v>3.1819999999999999</v>
      </c>
      <c r="Q1646" s="108">
        <v>1.6</v>
      </c>
      <c r="R1646" s="104" t="s">
        <v>17</v>
      </c>
      <c r="S1646" s="113">
        <f>(((10^((3.52*LOG((P1646))+1.372)))+(10^(3.375*LOG((P1646))+1.119)))/2)</f>
        <v>1019.6140686856301</v>
      </c>
      <c r="T1646" s="104" t="s">
        <v>910</v>
      </c>
      <c r="U1646" s="108">
        <v>0.93500000000000005</v>
      </c>
      <c r="V1646" s="107">
        <v>30.8</v>
      </c>
      <c r="W1646" s="106" t="s">
        <v>700</v>
      </c>
    </row>
    <row r="1647" spans="1:23" ht="21" customHeight="1">
      <c r="A1647" s="104" t="s">
        <v>218</v>
      </c>
      <c r="B1647" s="104" t="s">
        <v>389</v>
      </c>
      <c r="C1647" s="454" t="s">
        <v>390</v>
      </c>
      <c r="D1647" s="105" t="s">
        <v>151</v>
      </c>
      <c r="E1647" s="104">
        <v>725</v>
      </c>
      <c r="F1647" s="104" t="s">
        <v>753</v>
      </c>
      <c r="G1647" s="106" t="s">
        <v>701</v>
      </c>
      <c r="H1647" s="104" t="s">
        <v>702</v>
      </c>
      <c r="I1647" s="104" t="s">
        <v>104</v>
      </c>
      <c r="J1647" s="104" t="s">
        <v>105</v>
      </c>
      <c r="K1647" s="104" t="s">
        <v>209</v>
      </c>
      <c r="L1647" s="104" t="s">
        <v>728</v>
      </c>
      <c r="M1647" s="104"/>
      <c r="N1647" s="108"/>
      <c r="O1647" s="104"/>
      <c r="P1647" s="108">
        <v>3.6399999999999997</v>
      </c>
      <c r="Q1647" s="108">
        <v>2.0019999999999998</v>
      </c>
      <c r="R1647" s="104" t="s">
        <v>17</v>
      </c>
      <c r="S1647" s="113">
        <f>10^(((LOG(P1647))*3.375)+1.119)</f>
        <v>1029.7153096541006</v>
      </c>
      <c r="T1647" s="104" t="s">
        <v>699</v>
      </c>
      <c r="U1647" s="108">
        <v>0.93</v>
      </c>
      <c r="V1647" s="107">
        <v>33.6</v>
      </c>
      <c r="W1647" s="106" t="s">
        <v>700</v>
      </c>
    </row>
    <row r="1648" spans="1:23" ht="21" customHeight="1">
      <c r="A1648" s="104" t="s">
        <v>218</v>
      </c>
      <c r="B1648" s="104" t="s">
        <v>389</v>
      </c>
      <c r="C1648" s="454" t="s">
        <v>390</v>
      </c>
      <c r="D1648" s="105" t="s">
        <v>151</v>
      </c>
      <c r="E1648" s="104">
        <v>725</v>
      </c>
      <c r="F1648" s="104" t="s">
        <v>753</v>
      </c>
      <c r="G1648" s="106" t="s">
        <v>701</v>
      </c>
      <c r="H1648" s="104" t="s">
        <v>702</v>
      </c>
      <c r="I1648" s="104" t="s">
        <v>104</v>
      </c>
      <c r="J1648" s="104" t="s">
        <v>105</v>
      </c>
      <c r="K1648" s="104" t="s">
        <v>683</v>
      </c>
      <c r="L1648" s="104" t="s">
        <v>728</v>
      </c>
      <c r="M1648" s="104"/>
      <c r="N1648" s="108"/>
      <c r="O1648" s="104"/>
      <c r="P1648" s="108">
        <v>3.1970000000000001</v>
      </c>
      <c r="Q1648" s="108">
        <v>1.496</v>
      </c>
      <c r="R1648" s="104" t="s">
        <v>17</v>
      </c>
      <c r="S1648" s="113">
        <f>(((10^((3.52*LOG((P1648))+1.372)))+(10^(3.375*LOG((P1648))+1.119)))/2)</f>
        <v>1036.4069479221073</v>
      </c>
      <c r="T1648" s="104" t="s">
        <v>910</v>
      </c>
      <c r="U1648" s="108">
        <v>0.93500000000000005</v>
      </c>
      <c r="V1648" s="107">
        <v>30.8</v>
      </c>
      <c r="W1648" s="106" t="s">
        <v>700</v>
      </c>
    </row>
    <row r="1649" spans="1:23" ht="21" customHeight="1">
      <c r="A1649" s="104" t="s">
        <v>218</v>
      </c>
      <c r="B1649" s="104" t="s">
        <v>389</v>
      </c>
      <c r="C1649" s="454" t="s">
        <v>390</v>
      </c>
      <c r="D1649" s="105" t="s">
        <v>151</v>
      </c>
      <c r="E1649" s="104">
        <v>725</v>
      </c>
      <c r="F1649" s="104" t="s">
        <v>753</v>
      </c>
      <c r="G1649" s="106" t="s">
        <v>701</v>
      </c>
      <c r="H1649" s="104" t="s">
        <v>702</v>
      </c>
      <c r="I1649" s="104" t="s">
        <v>104</v>
      </c>
      <c r="J1649" s="104" t="s">
        <v>105</v>
      </c>
      <c r="K1649" s="106" t="s">
        <v>733</v>
      </c>
      <c r="L1649" s="104" t="s">
        <v>734</v>
      </c>
      <c r="M1649" s="104"/>
      <c r="N1649" s="108"/>
      <c r="O1649" s="104"/>
      <c r="P1649" s="108">
        <v>3.9770000000000003</v>
      </c>
      <c r="Q1649" s="108">
        <v>1.3699999999999999</v>
      </c>
      <c r="R1649" s="104" t="s">
        <v>17</v>
      </c>
      <c r="S1649" s="113">
        <f>((10^((3.236*LOG((P1649))+0.745)) +( 10^((3.375*LOG((P1649))+1.119))) +10^((3.395*LOG((P1649))+1.061)))/3)</f>
        <v>1040.500603160626</v>
      </c>
      <c r="T1649" s="104" t="s">
        <v>735</v>
      </c>
      <c r="U1649" s="108">
        <v>0.91</v>
      </c>
      <c r="V1649" s="107">
        <v>36</v>
      </c>
      <c r="W1649" s="106" t="s">
        <v>732</v>
      </c>
    </row>
    <row r="1650" spans="1:23" ht="21" customHeight="1">
      <c r="A1650" s="104" t="s">
        <v>218</v>
      </c>
      <c r="B1650" s="104" t="s">
        <v>389</v>
      </c>
      <c r="C1650" s="454" t="s">
        <v>390</v>
      </c>
      <c r="D1650" s="105" t="s">
        <v>151</v>
      </c>
      <c r="E1650" s="104">
        <v>725</v>
      </c>
      <c r="F1650" s="104" t="s">
        <v>753</v>
      </c>
      <c r="G1650" s="106" t="s">
        <v>701</v>
      </c>
      <c r="H1650" s="104" t="s">
        <v>702</v>
      </c>
      <c r="I1650" s="104" t="s">
        <v>104</v>
      </c>
      <c r="J1650" s="104" t="s">
        <v>105</v>
      </c>
      <c r="K1650" s="106" t="s">
        <v>733</v>
      </c>
      <c r="L1650" s="104" t="s">
        <v>734</v>
      </c>
      <c r="M1650" s="104"/>
      <c r="N1650" s="108"/>
      <c r="O1650" s="104"/>
      <c r="P1650" s="108">
        <v>3.9780000000000002</v>
      </c>
      <c r="Q1650" s="108">
        <v>1.5880000000000001</v>
      </c>
      <c r="R1650" s="104" t="s">
        <v>17</v>
      </c>
      <c r="S1650" s="113">
        <f>((10^((3.236*LOG((P1650))+0.745)) +( 10^((3.375*LOG((P1650))+1.119))) +10^((3.395*LOG((P1650))+1.061)))/3)</f>
        <v>1041.3803145115239</v>
      </c>
      <c r="T1650" s="104" t="s">
        <v>735</v>
      </c>
      <c r="U1650" s="108">
        <v>0.91</v>
      </c>
      <c r="V1650" s="107">
        <v>36</v>
      </c>
      <c r="W1650" s="106" t="s">
        <v>732</v>
      </c>
    </row>
    <row r="1651" spans="1:23" ht="21" customHeight="1">
      <c r="A1651" s="104" t="s">
        <v>218</v>
      </c>
      <c r="B1651" s="104" t="s">
        <v>389</v>
      </c>
      <c r="C1651" s="454" t="s">
        <v>390</v>
      </c>
      <c r="D1651" s="105" t="s">
        <v>151</v>
      </c>
      <c r="E1651" s="104">
        <v>725</v>
      </c>
      <c r="F1651" s="104" t="s">
        <v>753</v>
      </c>
      <c r="G1651" s="106" t="s">
        <v>701</v>
      </c>
      <c r="H1651" s="104" t="s">
        <v>702</v>
      </c>
      <c r="I1651" s="104" t="s">
        <v>104</v>
      </c>
      <c r="J1651" s="104" t="s">
        <v>105</v>
      </c>
      <c r="K1651" s="106" t="s">
        <v>733</v>
      </c>
      <c r="L1651" s="104" t="s">
        <v>734</v>
      </c>
      <c r="M1651" s="104"/>
      <c r="N1651" s="108"/>
      <c r="O1651" s="104"/>
      <c r="P1651" s="108">
        <v>3.9790000000000001</v>
      </c>
      <c r="Q1651" s="108">
        <v>1.47</v>
      </c>
      <c r="R1651" s="104" t="s">
        <v>17</v>
      </c>
      <c r="S1651" s="113">
        <f>((10^((3.236*LOG((P1651))+0.745)) +( 10^((3.375*LOG((P1651))+1.119))) +10^((3.395*LOG((P1651))+1.061)))/3)</f>
        <v>1042.2605484304461</v>
      </c>
      <c r="T1651" s="104" t="s">
        <v>735</v>
      </c>
      <c r="U1651" s="108">
        <v>0.91</v>
      </c>
      <c r="V1651" s="107">
        <v>36</v>
      </c>
      <c r="W1651" s="106" t="s">
        <v>732</v>
      </c>
    </row>
    <row r="1652" spans="1:23" ht="21" customHeight="1">
      <c r="A1652" s="104" t="s">
        <v>218</v>
      </c>
      <c r="B1652" s="104" t="s">
        <v>389</v>
      </c>
      <c r="C1652" s="454" t="s">
        <v>390</v>
      </c>
      <c r="D1652" s="105" t="s">
        <v>151</v>
      </c>
      <c r="E1652" s="104">
        <v>725</v>
      </c>
      <c r="F1652" s="104" t="s">
        <v>753</v>
      </c>
      <c r="G1652" s="106" t="s">
        <v>701</v>
      </c>
      <c r="H1652" s="104" t="s">
        <v>702</v>
      </c>
      <c r="I1652" s="104" t="s">
        <v>104</v>
      </c>
      <c r="J1652" s="104" t="s">
        <v>105</v>
      </c>
      <c r="K1652" s="104" t="s">
        <v>112</v>
      </c>
      <c r="L1652" s="104" t="s">
        <v>728</v>
      </c>
      <c r="M1652" s="104"/>
      <c r="N1652" s="108"/>
      <c r="O1652" s="104"/>
      <c r="P1652" s="108">
        <v>2.9350000000000001</v>
      </c>
      <c r="Q1652" s="108">
        <v>1.4289999999999998</v>
      </c>
      <c r="R1652" s="104" t="s">
        <v>17</v>
      </c>
      <c r="S1652" s="113">
        <f>10^((3.52*LOG((P1652))+1.372))</f>
        <v>1042.2707059326594</v>
      </c>
      <c r="T1652" s="104" t="s">
        <v>718</v>
      </c>
      <c r="U1652" s="108">
        <v>0.93</v>
      </c>
      <c r="V1652" s="107">
        <v>34</v>
      </c>
      <c r="W1652" s="106" t="s">
        <v>700</v>
      </c>
    </row>
    <row r="1653" spans="1:23" ht="21" customHeight="1">
      <c r="A1653" s="104" t="s">
        <v>218</v>
      </c>
      <c r="B1653" s="104" t="s">
        <v>389</v>
      </c>
      <c r="C1653" s="454" t="s">
        <v>390</v>
      </c>
      <c r="D1653" s="105" t="s">
        <v>151</v>
      </c>
      <c r="E1653" s="104">
        <v>725</v>
      </c>
      <c r="F1653" s="104" t="s">
        <v>753</v>
      </c>
      <c r="G1653" s="106" t="s">
        <v>701</v>
      </c>
      <c r="H1653" s="104" t="s">
        <v>702</v>
      </c>
      <c r="I1653" s="104" t="s">
        <v>104</v>
      </c>
      <c r="J1653" s="104" t="s">
        <v>105</v>
      </c>
      <c r="K1653" s="106" t="s">
        <v>733</v>
      </c>
      <c r="L1653" s="104" t="s">
        <v>734</v>
      </c>
      <c r="M1653" s="104"/>
      <c r="N1653" s="108"/>
      <c r="O1653" s="104"/>
      <c r="P1653" s="108">
        <v>3.9799999999999995</v>
      </c>
      <c r="Q1653" s="108">
        <v>1.59</v>
      </c>
      <c r="R1653" s="104" t="s">
        <v>17</v>
      </c>
      <c r="S1653" s="113">
        <f>((10^((3.236*LOG((P1653))+0.745)) +( 10^((3.375*LOG((P1653))+1.119))) +10^((3.395*LOG((P1653))+1.061)))/3)</f>
        <v>1043.1413050965211</v>
      </c>
      <c r="T1653" s="104" t="s">
        <v>735</v>
      </c>
      <c r="U1653" s="108">
        <v>0.91</v>
      </c>
      <c r="V1653" s="107">
        <v>36</v>
      </c>
      <c r="W1653" s="106" t="s">
        <v>732</v>
      </c>
    </row>
    <row r="1654" spans="1:23" ht="21" customHeight="1">
      <c r="A1654" s="104" t="s">
        <v>218</v>
      </c>
      <c r="B1654" s="104" t="s">
        <v>389</v>
      </c>
      <c r="C1654" s="454" t="s">
        <v>390</v>
      </c>
      <c r="D1654" s="105" t="s">
        <v>151</v>
      </c>
      <c r="E1654" s="104">
        <v>725</v>
      </c>
      <c r="F1654" s="104" t="s">
        <v>753</v>
      </c>
      <c r="G1654" s="106" t="s">
        <v>701</v>
      </c>
      <c r="H1654" s="104" t="s">
        <v>702</v>
      </c>
      <c r="I1654" s="104" t="s">
        <v>104</v>
      </c>
      <c r="J1654" s="104" t="s">
        <v>105</v>
      </c>
      <c r="K1654" s="106" t="s">
        <v>733</v>
      </c>
      <c r="L1654" s="104" t="s">
        <v>734</v>
      </c>
      <c r="M1654" s="104"/>
      <c r="N1654" s="108"/>
      <c r="O1654" s="104"/>
      <c r="P1654" s="108">
        <v>3.996</v>
      </c>
      <c r="Q1654" s="108">
        <v>1.44</v>
      </c>
      <c r="R1654" s="104" t="s">
        <v>17</v>
      </c>
      <c r="S1654" s="113">
        <f>((10^((3.236*LOG((P1654))+0.745)) +( 10^((3.375*LOG((P1654))+1.119))) +10^((3.395*LOG((P1654))+1.061)))/3)</f>
        <v>1057.3046515996755</v>
      </c>
      <c r="T1654" s="104" t="s">
        <v>735</v>
      </c>
      <c r="U1654" s="108">
        <v>0.91</v>
      </c>
      <c r="V1654" s="107">
        <v>36</v>
      </c>
      <c r="W1654" s="106" t="s">
        <v>732</v>
      </c>
    </row>
    <row r="1655" spans="1:23" ht="21" customHeight="1">
      <c r="A1655" s="104" t="s">
        <v>218</v>
      </c>
      <c r="B1655" s="104" t="s">
        <v>389</v>
      </c>
      <c r="C1655" s="454" t="s">
        <v>390</v>
      </c>
      <c r="D1655" s="105" t="s">
        <v>151</v>
      </c>
      <c r="E1655" s="104">
        <v>725</v>
      </c>
      <c r="F1655" s="104" t="s">
        <v>753</v>
      </c>
      <c r="G1655" s="106" t="s">
        <v>701</v>
      </c>
      <c r="H1655" s="104" t="s">
        <v>702</v>
      </c>
      <c r="I1655" s="104" t="s">
        <v>104</v>
      </c>
      <c r="J1655" s="104" t="s">
        <v>105</v>
      </c>
      <c r="K1655" s="106" t="s">
        <v>733</v>
      </c>
      <c r="L1655" s="104" t="s">
        <v>734</v>
      </c>
      <c r="M1655" s="104"/>
      <c r="N1655" s="108"/>
      <c r="O1655" s="104"/>
      <c r="P1655" s="108">
        <v>3.9969999999999999</v>
      </c>
      <c r="Q1655" s="108">
        <v>1.423</v>
      </c>
      <c r="R1655" s="104" t="s">
        <v>17</v>
      </c>
      <c r="S1655" s="113">
        <f>((10^((3.236*LOG((P1655))+0.745)) +( 10^((3.375*LOG((P1655))+1.119))) +10^((3.395*LOG((P1655))+1.061)))/3)</f>
        <v>1058.1943223900437</v>
      </c>
      <c r="T1655" s="104" t="s">
        <v>735</v>
      </c>
      <c r="U1655" s="108">
        <v>0.91</v>
      </c>
      <c r="V1655" s="107">
        <v>36</v>
      </c>
      <c r="W1655" s="106" t="s">
        <v>732</v>
      </c>
    </row>
    <row r="1656" spans="1:23" ht="21" customHeight="1">
      <c r="A1656" s="104" t="s">
        <v>218</v>
      </c>
      <c r="B1656" s="104" t="s">
        <v>389</v>
      </c>
      <c r="C1656" s="454" t="s">
        <v>390</v>
      </c>
      <c r="D1656" s="105" t="s">
        <v>151</v>
      </c>
      <c r="E1656" s="104">
        <v>725</v>
      </c>
      <c r="F1656" s="104" t="s">
        <v>753</v>
      </c>
      <c r="G1656" s="106" t="s">
        <v>701</v>
      </c>
      <c r="H1656" s="104" t="s">
        <v>702</v>
      </c>
      <c r="I1656" s="104" t="s">
        <v>104</v>
      </c>
      <c r="J1656" s="104" t="s">
        <v>105</v>
      </c>
      <c r="K1656" s="104" t="s">
        <v>209</v>
      </c>
      <c r="L1656" s="104" t="s">
        <v>728</v>
      </c>
      <c r="M1656" s="104"/>
      <c r="N1656" s="108"/>
      <c r="O1656" s="104"/>
      <c r="P1656" s="108">
        <v>3.6700000000000004</v>
      </c>
      <c r="Q1656" s="108">
        <v>1.502</v>
      </c>
      <c r="R1656" s="104" t="s">
        <v>17</v>
      </c>
      <c r="S1656" s="113">
        <f>10^(((LOG(P1656))*3.375)+1.119)</f>
        <v>1058.6391891560804</v>
      </c>
      <c r="T1656" s="104" t="s">
        <v>699</v>
      </c>
      <c r="U1656" s="108">
        <v>0.93</v>
      </c>
      <c r="V1656" s="107">
        <v>33.6</v>
      </c>
      <c r="W1656" s="106" t="s">
        <v>700</v>
      </c>
    </row>
    <row r="1657" spans="1:23" ht="21" customHeight="1">
      <c r="A1657" s="104" t="s">
        <v>218</v>
      </c>
      <c r="B1657" s="104" t="s">
        <v>389</v>
      </c>
      <c r="C1657" s="454" t="s">
        <v>390</v>
      </c>
      <c r="D1657" s="105" t="s">
        <v>151</v>
      </c>
      <c r="E1657" s="104">
        <v>725</v>
      </c>
      <c r="F1657" s="104" t="s">
        <v>753</v>
      </c>
      <c r="G1657" s="106" t="s">
        <v>701</v>
      </c>
      <c r="H1657" s="104" t="s">
        <v>702</v>
      </c>
      <c r="I1657" s="104" t="s">
        <v>104</v>
      </c>
      <c r="J1657" s="104" t="s">
        <v>105</v>
      </c>
      <c r="K1657" s="106" t="s">
        <v>733</v>
      </c>
      <c r="L1657" s="104" t="s">
        <v>734</v>
      </c>
      <c r="M1657" s="104"/>
      <c r="N1657" s="108"/>
      <c r="O1657" s="104"/>
      <c r="P1657" s="108">
        <v>4</v>
      </c>
      <c r="Q1657" s="108">
        <v>1.498</v>
      </c>
      <c r="R1657" s="104" t="s">
        <v>17</v>
      </c>
      <c r="S1657" s="113">
        <f>((10^((3.236*LOG((P1657))+0.745)) +( 10^((3.375*LOG((P1657))+1.119))) +10^((3.395*LOG((P1657))+1.061)))/3)</f>
        <v>1060.8664913246619</v>
      </c>
      <c r="T1657" s="104" t="s">
        <v>735</v>
      </c>
      <c r="U1657" s="108">
        <v>0.91</v>
      </c>
      <c r="V1657" s="107">
        <v>36</v>
      </c>
      <c r="W1657" s="106" t="s">
        <v>732</v>
      </c>
    </row>
    <row r="1658" spans="1:23" ht="21" customHeight="1">
      <c r="A1658" s="104" t="s">
        <v>218</v>
      </c>
      <c r="B1658" s="104" t="s">
        <v>389</v>
      </c>
      <c r="C1658" s="454" t="s">
        <v>390</v>
      </c>
      <c r="D1658" s="105" t="s">
        <v>151</v>
      </c>
      <c r="E1658" s="104">
        <v>725</v>
      </c>
      <c r="F1658" s="104" t="s">
        <v>753</v>
      </c>
      <c r="G1658" s="106" t="s">
        <v>701</v>
      </c>
      <c r="H1658" s="104" t="s">
        <v>702</v>
      </c>
      <c r="I1658" s="104" t="s">
        <v>104</v>
      </c>
      <c r="J1658" s="104" t="s">
        <v>105</v>
      </c>
      <c r="K1658" s="106" t="s">
        <v>733</v>
      </c>
      <c r="L1658" s="104" t="s">
        <v>734</v>
      </c>
      <c r="M1658" s="104"/>
      <c r="N1658" s="108"/>
      <c r="O1658" s="104"/>
      <c r="P1658" s="108">
        <v>4</v>
      </c>
      <c r="Q1658" s="108">
        <v>1.58</v>
      </c>
      <c r="R1658" s="104" t="s">
        <v>17</v>
      </c>
      <c r="S1658" s="113">
        <f>((10^((3.236*LOG((P1658))+0.745)) +( 10^((3.375*LOG((P1658))+1.119))) +10^((3.395*LOG((P1658))+1.061)))/3)</f>
        <v>1060.8664913246619</v>
      </c>
      <c r="T1658" s="104" t="s">
        <v>735</v>
      </c>
      <c r="U1658" s="108">
        <v>0.91</v>
      </c>
      <c r="V1658" s="107">
        <v>36</v>
      </c>
      <c r="W1658" s="106" t="s">
        <v>732</v>
      </c>
    </row>
    <row r="1659" spans="1:23" ht="21" customHeight="1">
      <c r="A1659" s="104" t="s">
        <v>218</v>
      </c>
      <c r="B1659" s="104" t="s">
        <v>389</v>
      </c>
      <c r="C1659" s="454" t="s">
        <v>390</v>
      </c>
      <c r="D1659" s="105" t="s">
        <v>151</v>
      </c>
      <c r="E1659" s="104">
        <v>725</v>
      </c>
      <c r="F1659" s="104" t="s">
        <v>753</v>
      </c>
      <c r="G1659" s="106" t="s">
        <v>701</v>
      </c>
      <c r="H1659" s="104" t="s">
        <v>702</v>
      </c>
      <c r="I1659" s="104" t="s">
        <v>104</v>
      </c>
      <c r="J1659" s="104" t="s">
        <v>105</v>
      </c>
      <c r="K1659" s="104" t="s">
        <v>209</v>
      </c>
      <c r="L1659" s="104" t="s">
        <v>728</v>
      </c>
      <c r="M1659" s="104"/>
      <c r="N1659" s="108"/>
      <c r="O1659" s="104"/>
      <c r="P1659" s="108">
        <v>3.6799999999999997</v>
      </c>
      <c r="Q1659" s="108">
        <v>1.8069999999999999</v>
      </c>
      <c r="R1659" s="104" t="s">
        <v>17</v>
      </c>
      <c r="S1659" s="113">
        <f>10^(((LOG(P1659))*3.375)+1.119)</f>
        <v>1068.4061715608343</v>
      </c>
      <c r="T1659" s="104" t="s">
        <v>699</v>
      </c>
      <c r="U1659" s="108">
        <v>0.93</v>
      </c>
      <c r="V1659" s="107">
        <v>33.6</v>
      </c>
      <c r="W1659" s="106" t="s">
        <v>700</v>
      </c>
    </row>
    <row r="1660" spans="1:23" ht="21" customHeight="1">
      <c r="A1660" s="104" t="s">
        <v>218</v>
      </c>
      <c r="B1660" s="104" t="s">
        <v>389</v>
      </c>
      <c r="C1660" s="454" t="s">
        <v>390</v>
      </c>
      <c r="D1660" s="105" t="s">
        <v>151</v>
      </c>
      <c r="E1660" s="104">
        <v>725</v>
      </c>
      <c r="F1660" s="104" t="s">
        <v>753</v>
      </c>
      <c r="G1660" s="106" t="s">
        <v>701</v>
      </c>
      <c r="H1660" s="104" t="s">
        <v>702</v>
      </c>
      <c r="I1660" s="104" t="s">
        <v>104</v>
      </c>
      <c r="J1660" s="104" t="s">
        <v>105</v>
      </c>
      <c r="K1660" s="106" t="s">
        <v>733</v>
      </c>
      <c r="L1660" s="104" t="s">
        <v>734</v>
      </c>
      <c r="M1660" s="104"/>
      <c r="N1660" s="108"/>
      <c r="O1660" s="104"/>
      <c r="P1660" s="108">
        <v>4.01</v>
      </c>
      <c r="Q1660" s="108">
        <v>1.5470000000000002</v>
      </c>
      <c r="R1660" s="104" t="s">
        <v>17</v>
      </c>
      <c r="S1660" s="113">
        <f>((10^((3.236*LOG((P1660))+0.745)) +( 10^((3.375*LOG((P1660))+1.119))) +10^((3.395*LOG((P1660))+1.061)))/3)</f>
        <v>1069.8079716581469</v>
      </c>
      <c r="T1660" s="104" t="s">
        <v>735</v>
      </c>
      <c r="U1660" s="108">
        <v>0.91</v>
      </c>
      <c r="V1660" s="107">
        <v>36</v>
      </c>
      <c r="W1660" s="106" t="s">
        <v>732</v>
      </c>
    </row>
    <row r="1661" spans="1:23" ht="21" customHeight="1">
      <c r="A1661" s="104" t="s">
        <v>218</v>
      </c>
      <c r="B1661" s="104" t="s">
        <v>389</v>
      </c>
      <c r="C1661" s="454" t="s">
        <v>390</v>
      </c>
      <c r="D1661" s="105" t="s">
        <v>151</v>
      </c>
      <c r="E1661" s="104">
        <v>725</v>
      </c>
      <c r="F1661" s="104" t="s">
        <v>753</v>
      </c>
      <c r="G1661" s="106" t="s">
        <v>701</v>
      </c>
      <c r="H1661" s="104" t="s">
        <v>702</v>
      </c>
      <c r="I1661" s="104" t="s">
        <v>104</v>
      </c>
      <c r="J1661" s="104" t="s">
        <v>105</v>
      </c>
      <c r="K1661" s="104" t="s">
        <v>209</v>
      </c>
      <c r="L1661" s="104" t="s">
        <v>728</v>
      </c>
      <c r="M1661" s="104"/>
      <c r="N1661" s="108"/>
      <c r="O1661" s="104"/>
      <c r="P1661" s="108">
        <v>3.6859999999999999</v>
      </c>
      <c r="Q1661" s="108">
        <v>1.427</v>
      </c>
      <c r="R1661" s="104" t="s">
        <v>17</v>
      </c>
      <c r="S1661" s="113">
        <f>10^(((LOG(P1661))*3.375)+1.119)</f>
        <v>1074.2967001299658</v>
      </c>
      <c r="T1661" s="104" t="s">
        <v>699</v>
      </c>
      <c r="U1661" s="108">
        <v>0.93</v>
      </c>
      <c r="V1661" s="107">
        <v>33.6</v>
      </c>
      <c r="W1661" s="106" t="s">
        <v>700</v>
      </c>
    </row>
    <row r="1662" spans="1:23" ht="21" customHeight="1">
      <c r="A1662" s="104" t="s">
        <v>218</v>
      </c>
      <c r="B1662" s="104" t="s">
        <v>389</v>
      </c>
      <c r="C1662" s="454" t="s">
        <v>390</v>
      </c>
      <c r="D1662" s="105" t="s">
        <v>151</v>
      </c>
      <c r="E1662" s="104">
        <v>725</v>
      </c>
      <c r="F1662" s="104" t="s">
        <v>753</v>
      </c>
      <c r="G1662" s="106" t="s">
        <v>701</v>
      </c>
      <c r="H1662" s="104" t="s">
        <v>702</v>
      </c>
      <c r="I1662" s="104" t="s">
        <v>104</v>
      </c>
      <c r="J1662" s="104" t="s">
        <v>105</v>
      </c>
      <c r="K1662" s="104" t="s">
        <v>112</v>
      </c>
      <c r="L1662" s="104" t="s">
        <v>728</v>
      </c>
      <c r="M1662" s="104"/>
      <c r="N1662" s="108"/>
      <c r="O1662" s="104"/>
      <c r="P1662" s="108">
        <v>2.9630000000000001</v>
      </c>
      <c r="Q1662" s="108">
        <v>1.6</v>
      </c>
      <c r="R1662" s="104" t="s">
        <v>17</v>
      </c>
      <c r="S1662" s="113">
        <f>10^((3.52*LOG((P1662))+1.372))</f>
        <v>1077.6938715975662</v>
      </c>
      <c r="T1662" s="104" t="s">
        <v>718</v>
      </c>
      <c r="U1662" s="108">
        <v>0.93</v>
      </c>
      <c r="V1662" s="107">
        <v>34</v>
      </c>
      <c r="W1662" s="106" t="s">
        <v>700</v>
      </c>
    </row>
    <row r="1663" spans="1:23" ht="21" customHeight="1">
      <c r="A1663" s="104" t="s">
        <v>218</v>
      </c>
      <c r="B1663" s="104" t="s">
        <v>389</v>
      </c>
      <c r="C1663" s="454" t="s">
        <v>390</v>
      </c>
      <c r="D1663" s="105" t="s">
        <v>151</v>
      </c>
      <c r="E1663" s="104">
        <v>725</v>
      </c>
      <c r="F1663" s="104" t="s">
        <v>753</v>
      </c>
      <c r="G1663" s="106" t="s">
        <v>701</v>
      </c>
      <c r="H1663" s="104" t="s">
        <v>702</v>
      </c>
      <c r="I1663" s="104" t="s">
        <v>104</v>
      </c>
      <c r="J1663" s="104" t="s">
        <v>105</v>
      </c>
      <c r="K1663" s="104" t="s">
        <v>209</v>
      </c>
      <c r="L1663" s="104" t="s">
        <v>728</v>
      </c>
      <c r="M1663" s="104"/>
      <c r="N1663" s="108"/>
      <c r="O1663" s="104"/>
      <c r="P1663" s="108">
        <v>3.69</v>
      </c>
      <c r="Q1663" s="108">
        <v>1.9</v>
      </c>
      <c r="R1663" s="104" t="s">
        <v>17</v>
      </c>
      <c r="S1663" s="113">
        <f>10^(((LOG(P1663))*3.375)+1.119)</f>
        <v>1078.2363919879203</v>
      </c>
      <c r="T1663" s="104" t="s">
        <v>699</v>
      </c>
      <c r="U1663" s="108">
        <v>0.93</v>
      </c>
      <c r="V1663" s="107">
        <v>33.6</v>
      </c>
      <c r="W1663" s="106" t="s">
        <v>700</v>
      </c>
    </row>
    <row r="1664" spans="1:23" ht="21" customHeight="1">
      <c r="A1664" s="104" t="s">
        <v>218</v>
      </c>
      <c r="B1664" s="104" t="s">
        <v>389</v>
      </c>
      <c r="C1664" s="454" t="s">
        <v>390</v>
      </c>
      <c r="D1664" s="105" t="s">
        <v>151</v>
      </c>
      <c r="E1664" s="104">
        <v>725</v>
      </c>
      <c r="F1664" s="104" t="s">
        <v>753</v>
      </c>
      <c r="G1664" s="106" t="s">
        <v>701</v>
      </c>
      <c r="H1664" s="104" t="s">
        <v>702</v>
      </c>
      <c r="I1664" s="104" t="s">
        <v>104</v>
      </c>
      <c r="J1664" s="104" t="s">
        <v>105</v>
      </c>
      <c r="K1664" s="106" t="s">
        <v>733</v>
      </c>
      <c r="L1664" s="104" t="s">
        <v>734</v>
      </c>
      <c r="M1664" s="104"/>
      <c r="N1664" s="108"/>
      <c r="O1664" s="104"/>
      <c r="P1664" s="108">
        <v>4.0220000000000002</v>
      </c>
      <c r="Q1664" s="108">
        <v>1.5249999999999999</v>
      </c>
      <c r="R1664" s="104" t="s">
        <v>17</v>
      </c>
      <c r="S1664" s="113">
        <f>((10^((3.236*LOG((P1664))+0.745)) +( 10^((3.375*LOG((P1664))+1.119))) +10^((3.395*LOG((P1664))+1.061)))/3)</f>
        <v>1080.6075005856048</v>
      </c>
      <c r="T1664" s="104" t="s">
        <v>735</v>
      </c>
      <c r="U1664" s="108">
        <v>0.91</v>
      </c>
      <c r="V1664" s="107">
        <v>36</v>
      </c>
      <c r="W1664" s="106" t="s">
        <v>732</v>
      </c>
    </row>
    <row r="1665" spans="1:23" ht="21" customHeight="1">
      <c r="A1665" s="104" t="s">
        <v>218</v>
      </c>
      <c r="B1665" s="104" t="s">
        <v>389</v>
      </c>
      <c r="C1665" s="454" t="s">
        <v>390</v>
      </c>
      <c r="D1665" s="105" t="s">
        <v>151</v>
      </c>
      <c r="E1665" s="104">
        <v>725</v>
      </c>
      <c r="F1665" s="104" t="s">
        <v>753</v>
      </c>
      <c r="G1665" s="106" t="s">
        <v>701</v>
      </c>
      <c r="H1665" s="104" t="s">
        <v>702</v>
      </c>
      <c r="I1665" s="104" t="s">
        <v>104</v>
      </c>
      <c r="J1665" s="104" t="s">
        <v>105</v>
      </c>
      <c r="K1665" s="104" t="s">
        <v>683</v>
      </c>
      <c r="L1665" s="104" t="s">
        <v>728</v>
      </c>
      <c r="M1665" s="104"/>
      <c r="N1665" s="108"/>
      <c r="O1665" s="104"/>
      <c r="P1665" s="108">
        <v>3.2380000000000004</v>
      </c>
      <c r="Q1665" s="108">
        <v>1.3839999999999999</v>
      </c>
      <c r="R1665" s="104" t="s">
        <v>17</v>
      </c>
      <c r="S1665" s="113">
        <f>(((10^((3.52*LOG((P1665))+1.372)))+(10^(3.375*LOG((P1665))+1.119)))/2)</f>
        <v>1083.3121934754063</v>
      </c>
      <c r="T1665" s="104" t="s">
        <v>910</v>
      </c>
      <c r="U1665" s="108">
        <v>0.93500000000000005</v>
      </c>
      <c r="V1665" s="107">
        <v>30.8</v>
      </c>
      <c r="W1665" s="106" t="s">
        <v>700</v>
      </c>
    </row>
    <row r="1666" spans="1:23" ht="21" customHeight="1">
      <c r="A1666" s="104" t="s">
        <v>218</v>
      </c>
      <c r="B1666" s="104" t="s">
        <v>389</v>
      </c>
      <c r="C1666" s="454" t="s">
        <v>390</v>
      </c>
      <c r="D1666" s="105" t="s">
        <v>151</v>
      </c>
      <c r="E1666" s="104">
        <v>725</v>
      </c>
      <c r="F1666" s="104" t="s">
        <v>753</v>
      </c>
      <c r="G1666" s="106" t="s">
        <v>701</v>
      </c>
      <c r="H1666" s="104" t="s">
        <v>702</v>
      </c>
      <c r="I1666" s="104" t="s">
        <v>104</v>
      </c>
      <c r="J1666" s="104" t="s">
        <v>105</v>
      </c>
      <c r="K1666" s="106" t="s">
        <v>733</v>
      </c>
      <c r="L1666" s="104" t="s">
        <v>734</v>
      </c>
      <c r="M1666" s="104"/>
      <c r="N1666" s="108"/>
      <c r="O1666" s="104"/>
      <c r="P1666" s="108">
        <v>4.0299999999999994</v>
      </c>
      <c r="Q1666" s="108">
        <v>1.56</v>
      </c>
      <c r="R1666" s="104" t="s">
        <v>17</v>
      </c>
      <c r="S1666" s="113">
        <f>((10^((3.236*LOG((P1666))+0.745)) +( 10^((3.375*LOG((P1666))+1.119))) +10^((3.395*LOG((P1666))+1.061)))/3)</f>
        <v>1087.8496045852105</v>
      </c>
      <c r="T1666" s="104" t="s">
        <v>735</v>
      </c>
      <c r="U1666" s="108">
        <v>0.91</v>
      </c>
      <c r="V1666" s="107">
        <v>36</v>
      </c>
      <c r="W1666" s="106" t="s">
        <v>732</v>
      </c>
    </row>
    <row r="1667" spans="1:23" ht="21" customHeight="1">
      <c r="A1667" s="104" t="s">
        <v>218</v>
      </c>
      <c r="B1667" s="104" t="s">
        <v>389</v>
      </c>
      <c r="C1667" s="454" t="s">
        <v>390</v>
      </c>
      <c r="D1667" s="105" t="s">
        <v>151</v>
      </c>
      <c r="E1667" s="104">
        <v>725</v>
      </c>
      <c r="F1667" s="104" t="s">
        <v>753</v>
      </c>
      <c r="G1667" s="106" t="s">
        <v>701</v>
      </c>
      <c r="H1667" s="104" t="s">
        <v>702</v>
      </c>
      <c r="I1667" s="104" t="s">
        <v>104</v>
      </c>
      <c r="J1667" s="104" t="s">
        <v>105</v>
      </c>
      <c r="K1667" s="104" t="s">
        <v>683</v>
      </c>
      <c r="L1667" s="104" t="s">
        <v>728</v>
      </c>
      <c r="M1667" s="104"/>
      <c r="N1667" s="108"/>
      <c r="O1667" s="104"/>
      <c r="P1667" s="108">
        <v>3.2429999999999999</v>
      </c>
      <c r="Q1667" s="108">
        <v>1.7670000000000001</v>
      </c>
      <c r="R1667" s="104" t="s">
        <v>17</v>
      </c>
      <c r="S1667" s="113">
        <f>(((10^((3.52*LOG((P1667))+1.372)))+(10^(3.375*LOG((P1667))+1.119)))/2)</f>
        <v>1089.1339353057133</v>
      </c>
      <c r="T1667" s="104" t="s">
        <v>910</v>
      </c>
      <c r="U1667" s="108">
        <v>0.93500000000000005</v>
      </c>
      <c r="V1667" s="107">
        <v>30.8</v>
      </c>
      <c r="W1667" s="106" t="s">
        <v>700</v>
      </c>
    </row>
    <row r="1668" spans="1:23" ht="21" customHeight="1">
      <c r="A1668" s="104" t="s">
        <v>218</v>
      </c>
      <c r="B1668" s="104" t="s">
        <v>389</v>
      </c>
      <c r="C1668" s="454" t="s">
        <v>390</v>
      </c>
      <c r="D1668" s="105" t="s">
        <v>151</v>
      </c>
      <c r="E1668" s="104">
        <v>725</v>
      </c>
      <c r="F1668" s="104" t="s">
        <v>753</v>
      </c>
      <c r="G1668" s="106" t="s">
        <v>701</v>
      </c>
      <c r="H1668" s="104" t="s">
        <v>702</v>
      </c>
      <c r="I1668" s="104" t="s">
        <v>104</v>
      </c>
      <c r="J1668" s="104" t="s">
        <v>105</v>
      </c>
      <c r="K1668" s="104" t="s">
        <v>209</v>
      </c>
      <c r="L1668" s="104" t="s">
        <v>728</v>
      </c>
      <c r="M1668" s="104"/>
      <c r="N1668" s="108"/>
      <c r="O1668" s="104"/>
      <c r="P1668" s="108">
        <v>3.7130000000000001</v>
      </c>
      <c r="Q1668" s="108">
        <v>1.5779999999999998</v>
      </c>
      <c r="R1668" s="104" t="s">
        <v>17</v>
      </c>
      <c r="S1668" s="113">
        <f>10^(((LOG(P1668))*3.375)+1.119)</f>
        <v>1101.0871736071492</v>
      </c>
      <c r="T1668" s="104" t="s">
        <v>699</v>
      </c>
      <c r="U1668" s="108">
        <v>0.93</v>
      </c>
      <c r="V1668" s="107">
        <v>33.6</v>
      </c>
      <c r="W1668" s="106" t="s">
        <v>700</v>
      </c>
    </row>
    <row r="1669" spans="1:23" ht="21" customHeight="1">
      <c r="A1669" s="104" t="s">
        <v>218</v>
      </c>
      <c r="B1669" s="104" t="s">
        <v>389</v>
      </c>
      <c r="C1669" s="454" t="s">
        <v>390</v>
      </c>
      <c r="D1669" s="105" t="s">
        <v>151</v>
      </c>
      <c r="E1669" s="104">
        <v>725</v>
      </c>
      <c r="F1669" s="104" t="s">
        <v>753</v>
      </c>
      <c r="G1669" s="106" t="s">
        <v>701</v>
      </c>
      <c r="H1669" s="104" t="s">
        <v>702</v>
      </c>
      <c r="I1669" s="104" t="s">
        <v>104</v>
      </c>
      <c r="J1669" s="104" t="s">
        <v>105</v>
      </c>
      <c r="K1669" s="104" t="s">
        <v>209</v>
      </c>
      <c r="L1669" s="104" t="s">
        <v>728</v>
      </c>
      <c r="M1669" s="104"/>
      <c r="N1669" s="108"/>
      <c r="O1669" s="104"/>
      <c r="P1669" s="108">
        <v>3.7229999999999999</v>
      </c>
      <c r="Q1669" s="108">
        <v>1.2170000000000001</v>
      </c>
      <c r="R1669" s="104" t="s">
        <v>17</v>
      </c>
      <c r="S1669" s="113">
        <f>10^(((LOG(P1669))*3.375)+1.119)</f>
        <v>1111.1277580981275</v>
      </c>
      <c r="T1669" s="104" t="s">
        <v>699</v>
      </c>
      <c r="U1669" s="108">
        <v>0.93</v>
      </c>
      <c r="V1669" s="107">
        <v>33.6</v>
      </c>
      <c r="W1669" s="106" t="s">
        <v>700</v>
      </c>
    </row>
    <row r="1670" spans="1:23" ht="21" customHeight="1">
      <c r="A1670" s="104" t="s">
        <v>218</v>
      </c>
      <c r="B1670" s="104" t="s">
        <v>389</v>
      </c>
      <c r="C1670" s="454" t="s">
        <v>390</v>
      </c>
      <c r="D1670" s="105" t="s">
        <v>151</v>
      </c>
      <c r="E1670" s="104">
        <v>725</v>
      </c>
      <c r="F1670" s="104" t="s">
        <v>753</v>
      </c>
      <c r="G1670" s="106" t="s">
        <v>701</v>
      </c>
      <c r="H1670" s="104" t="s">
        <v>702</v>
      </c>
      <c r="I1670" s="104" t="s">
        <v>104</v>
      </c>
      <c r="J1670" s="104" t="s">
        <v>105</v>
      </c>
      <c r="K1670" s="104" t="s">
        <v>112</v>
      </c>
      <c r="L1670" s="104" t="s">
        <v>728</v>
      </c>
      <c r="M1670" s="104"/>
      <c r="N1670" s="108"/>
      <c r="O1670" s="104"/>
      <c r="P1670" s="108">
        <v>2.9899999999999998</v>
      </c>
      <c r="Q1670" s="108">
        <v>1.6969999999999998</v>
      </c>
      <c r="R1670" s="104" t="s">
        <v>17</v>
      </c>
      <c r="S1670" s="113">
        <f>10^((3.52*LOG((P1670))+1.372))</f>
        <v>1112.6602751842061</v>
      </c>
      <c r="T1670" s="104" t="s">
        <v>718</v>
      </c>
      <c r="U1670" s="108">
        <v>0.93</v>
      </c>
      <c r="V1670" s="107">
        <v>34</v>
      </c>
      <c r="W1670" s="106" t="s">
        <v>700</v>
      </c>
    </row>
    <row r="1671" spans="1:23" ht="21" customHeight="1">
      <c r="A1671" s="104" t="s">
        <v>218</v>
      </c>
      <c r="B1671" s="104" t="s">
        <v>389</v>
      </c>
      <c r="C1671" s="454" t="s">
        <v>390</v>
      </c>
      <c r="D1671" s="105" t="s">
        <v>151</v>
      </c>
      <c r="E1671" s="104">
        <v>725</v>
      </c>
      <c r="F1671" s="104" t="s">
        <v>753</v>
      </c>
      <c r="G1671" s="106" t="s">
        <v>701</v>
      </c>
      <c r="H1671" s="104" t="s">
        <v>702</v>
      </c>
      <c r="I1671" s="104" t="s">
        <v>104</v>
      </c>
      <c r="J1671" s="104" t="s">
        <v>105</v>
      </c>
      <c r="K1671" s="104" t="s">
        <v>683</v>
      </c>
      <c r="L1671" s="104" t="s">
        <v>728</v>
      </c>
      <c r="M1671" s="104"/>
      <c r="N1671" s="108"/>
      <c r="O1671" s="104"/>
      <c r="P1671" s="108">
        <v>3.2640000000000002</v>
      </c>
      <c r="Q1671" s="108">
        <v>1.75</v>
      </c>
      <c r="R1671" s="104" t="s">
        <v>17</v>
      </c>
      <c r="S1671" s="113">
        <f>(((10^((3.52*LOG((P1671))+1.372)))+(10^(3.375*LOG((P1671))+1.119)))/2)</f>
        <v>1113.8288855749793</v>
      </c>
      <c r="T1671" s="104" t="s">
        <v>910</v>
      </c>
      <c r="U1671" s="108">
        <v>0.93500000000000005</v>
      </c>
      <c r="V1671" s="107">
        <v>30.8</v>
      </c>
      <c r="W1671" s="106" t="s">
        <v>700</v>
      </c>
    </row>
    <row r="1672" spans="1:23" ht="21" customHeight="1">
      <c r="A1672" s="104" t="s">
        <v>218</v>
      </c>
      <c r="B1672" s="104" t="s">
        <v>389</v>
      </c>
      <c r="C1672" s="454" t="s">
        <v>390</v>
      </c>
      <c r="D1672" s="105" t="s">
        <v>151</v>
      </c>
      <c r="E1672" s="104">
        <v>725</v>
      </c>
      <c r="F1672" s="104" t="s">
        <v>753</v>
      </c>
      <c r="G1672" s="106" t="s">
        <v>701</v>
      </c>
      <c r="H1672" s="104" t="s">
        <v>702</v>
      </c>
      <c r="I1672" s="104" t="s">
        <v>104</v>
      </c>
      <c r="J1672" s="104" t="s">
        <v>105</v>
      </c>
      <c r="K1672" s="104" t="s">
        <v>683</v>
      </c>
      <c r="L1672" s="104" t="s">
        <v>728</v>
      </c>
      <c r="M1672" s="104"/>
      <c r="N1672" s="108"/>
      <c r="O1672" s="104"/>
      <c r="P1672" s="108">
        <v>3.2659999999999996</v>
      </c>
      <c r="Q1672" s="108">
        <v>1.8219999999999998</v>
      </c>
      <c r="R1672" s="104" t="s">
        <v>17</v>
      </c>
      <c r="S1672" s="113">
        <f>(((10^((3.52*LOG((P1672))+1.372)))+(10^(3.375*LOG((P1672))+1.119)))/2)</f>
        <v>1116.2013987400669</v>
      </c>
      <c r="T1672" s="104" t="s">
        <v>910</v>
      </c>
      <c r="U1672" s="108">
        <v>0.93500000000000005</v>
      </c>
      <c r="V1672" s="107">
        <v>30.8</v>
      </c>
      <c r="W1672" s="106" t="s">
        <v>700</v>
      </c>
    </row>
    <row r="1673" spans="1:23" ht="21" customHeight="1">
      <c r="A1673" s="104" t="s">
        <v>218</v>
      </c>
      <c r="B1673" s="104" t="s">
        <v>389</v>
      </c>
      <c r="C1673" s="454" t="s">
        <v>390</v>
      </c>
      <c r="D1673" s="105" t="s">
        <v>151</v>
      </c>
      <c r="E1673" s="104">
        <v>725</v>
      </c>
      <c r="F1673" s="104" t="s">
        <v>753</v>
      </c>
      <c r="G1673" s="106" t="s">
        <v>701</v>
      </c>
      <c r="H1673" s="104" t="s">
        <v>702</v>
      </c>
      <c r="I1673" s="104" t="s">
        <v>104</v>
      </c>
      <c r="J1673" s="104" t="s">
        <v>105</v>
      </c>
      <c r="K1673" s="106" t="s">
        <v>166</v>
      </c>
      <c r="L1673" s="104" t="s">
        <v>939</v>
      </c>
      <c r="M1673" s="104"/>
      <c r="N1673" s="108"/>
      <c r="O1673" s="104"/>
      <c r="P1673" s="108">
        <v>3.8020000000000005</v>
      </c>
      <c r="Q1673" s="108">
        <v>2.1239999999999997</v>
      </c>
      <c r="R1673" s="104" t="s">
        <v>17</v>
      </c>
      <c r="S1673" s="113">
        <f>((10^((3.375*LOG((P1673))+1.119)))+10^((3.395*LOG((P1673))+1.061)))/2</f>
        <v>1132.2970390709431</v>
      </c>
      <c r="T1673" s="104" t="s">
        <v>965</v>
      </c>
      <c r="U1673" s="108">
        <v>0.91</v>
      </c>
      <c r="V1673" s="107">
        <v>36</v>
      </c>
      <c r="W1673" s="106" t="s">
        <v>732</v>
      </c>
    </row>
    <row r="1674" spans="1:23" ht="21" customHeight="1">
      <c r="A1674" s="104" t="s">
        <v>218</v>
      </c>
      <c r="B1674" s="104" t="s">
        <v>389</v>
      </c>
      <c r="C1674" s="454" t="s">
        <v>390</v>
      </c>
      <c r="D1674" s="105" t="s">
        <v>151</v>
      </c>
      <c r="E1674" s="104">
        <v>725</v>
      </c>
      <c r="F1674" s="104" t="s">
        <v>753</v>
      </c>
      <c r="G1674" s="106" t="s">
        <v>701</v>
      </c>
      <c r="H1674" s="104" t="s">
        <v>702</v>
      </c>
      <c r="I1674" s="104" t="s">
        <v>104</v>
      </c>
      <c r="J1674" s="104" t="s">
        <v>105</v>
      </c>
      <c r="K1674" s="104" t="s">
        <v>683</v>
      </c>
      <c r="L1674" s="104" t="s">
        <v>728</v>
      </c>
      <c r="M1674" s="104"/>
      <c r="N1674" s="108"/>
      <c r="O1674" s="104"/>
      <c r="P1674" s="108">
        <v>3.28</v>
      </c>
      <c r="Q1674" s="108">
        <v>1.8190000000000002</v>
      </c>
      <c r="R1674" s="104" t="s">
        <v>17</v>
      </c>
      <c r="S1674" s="113">
        <f>(((10^((3.52*LOG((P1674))+1.372)))+(10^(3.375*LOG((P1674))+1.119)))/2)</f>
        <v>1132.9099295752042</v>
      </c>
      <c r="T1674" s="104" t="s">
        <v>910</v>
      </c>
      <c r="U1674" s="108">
        <v>0.93500000000000005</v>
      </c>
      <c r="V1674" s="107">
        <v>30.8</v>
      </c>
      <c r="W1674" s="106" t="s">
        <v>700</v>
      </c>
    </row>
    <row r="1675" spans="1:23" ht="21" customHeight="1">
      <c r="A1675" s="104" t="s">
        <v>218</v>
      </c>
      <c r="B1675" s="104" t="s">
        <v>389</v>
      </c>
      <c r="C1675" s="454" t="s">
        <v>390</v>
      </c>
      <c r="D1675" s="105" t="s">
        <v>151</v>
      </c>
      <c r="E1675" s="104">
        <v>725</v>
      </c>
      <c r="F1675" s="104" t="s">
        <v>753</v>
      </c>
      <c r="G1675" s="106" t="s">
        <v>701</v>
      </c>
      <c r="H1675" s="104" t="s">
        <v>702</v>
      </c>
      <c r="I1675" s="104" t="s">
        <v>104</v>
      </c>
      <c r="J1675" s="104" t="s">
        <v>105</v>
      </c>
      <c r="K1675" s="104" t="s">
        <v>683</v>
      </c>
      <c r="L1675" s="104" t="s">
        <v>728</v>
      </c>
      <c r="M1675" s="104"/>
      <c r="N1675" s="108"/>
      <c r="O1675" s="104"/>
      <c r="P1675" s="108">
        <v>3.2869999999999999</v>
      </c>
      <c r="Q1675" s="108">
        <v>1.8190000000000002</v>
      </c>
      <c r="R1675" s="104" t="s">
        <v>17</v>
      </c>
      <c r="S1675" s="113">
        <f>(((10^((3.52*LOG((P1675))+1.372)))+(10^(3.375*LOG((P1675))+1.119)))/2)</f>
        <v>1141.330665491573</v>
      </c>
      <c r="T1675" s="104" t="s">
        <v>910</v>
      </c>
      <c r="U1675" s="108">
        <v>0.93500000000000005</v>
      </c>
      <c r="V1675" s="107">
        <v>30.8</v>
      </c>
      <c r="W1675" s="106" t="s">
        <v>700</v>
      </c>
    </row>
    <row r="1676" spans="1:23" ht="21" customHeight="1">
      <c r="A1676" s="104" t="s">
        <v>218</v>
      </c>
      <c r="B1676" s="104" t="s">
        <v>389</v>
      </c>
      <c r="C1676" s="454" t="s">
        <v>390</v>
      </c>
      <c r="D1676" s="105" t="s">
        <v>151</v>
      </c>
      <c r="E1676" s="104">
        <v>725</v>
      </c>
      <c r="F1676" s="104" t="s">
        <v>753</v>
      </c>
      <c r="G1676" s="106" t="s">
        <v>701</v>
      </c>
      <c r="H1676" s="104" t="s">
        <v>702</v>
      </c>
      <c r="I1676" s="104" t="s">
        <v>104</v>
      </c>
      <c r="J1676" s="104" t="s">
        <v>105</v>
      </c>
      <c r="K1676" s="104" t="s">
        <v>209</v>
      </c>
      <c r="L1676" s="104" t="s">
        <v>728</v>
      </c>
      <c r="M1676" s="104"/>
      <c r="N1676" s="108"/>
      <c r="O1676" s="104"/>
      <c r="P1676" s="108">
        <v>3.7700000000000005</v>
      </c>
      <c r="Q1676" s="108">
        <v>1.444</v>
      </c>
      <c r="R1676" s="104" t="s">
        <v>17</v>
      </c>
      <c r="S1676" s="113">
        <f>10^(((LOG(P1676))*3.375)+1.119)</f>
        <v>1159.1831430142522</v>
      </c>
      <c r="T1676" s="104" t="s">
        <v>699</v>
      </c>
      <c r="U1676" s="108">
        <v>0.93</v>
      </c>
      <c r="V1676" s="107">
        <v>33.6</v>
      </c>
      <c r="W1676" s="106" t="s">
        <v>700</v>
      </c>
    </row>
    <row r="1677" spans="1:23" ht="21" customHeight="1">
      <c r="A1677" s="104" t="s">
        <v>218</v>
      </c>
      <c r="B1677" s="104" t="s">
        <v>389</v>
      </c>
      <c r="C1677" s="454" t="s">
        <v>390</v>
      </c>
      <c r="D1677" s="105" t="s">
        <v>151</v>
      </c>
      <c r="E1677" s="104">
        <v>725</v>
      </c>
      <c r="F1677" s="104" t="s">
        <v>753</v>
      </c>
      <c r="G1677" s="106" t="s">
        <v>701</v>
      </c>
      <c r="H1677" s="104" t="s">
        <v>702</v>
      </c>
      <c r="I1677" s="104" t="s">
        <v>104</v>
      </c>
      <c r="J1677" s="104" t="s">
        <v>105</v>
      </c>
      <c r="K1677" s="104" t="s">
        <v>683</v>
      </c>
      <c r="L1677" s="104" t="s">
        <v>728</v>
      </c>
      <c r="M1677" s="104"/>
      <c r="N1677" s="108"/>
      <c r="O1677" s="104"/>
      <c r="P1677" s="108">
        <v>3.3409999999999997</v>
      </c>
      <c r="Q1677" s="108">
        <v>1.47</v>
      </c>
      <c r="R1677" s="104" t="s">
        <v>17</v>
      </c>
      <c r="S1677" s="113">
        <f>(((10^((3.52*LOG((P1677))+1.372)))+(10^(3.375*LOG((P1677))+1.119)))/2)</f>
        <v>1207.7969261461953</v>
      </c>
      <c r="T1677" s="104" t="s">
        <v>910</v>
      </c>
      <c r="U1677" s="108">
        <v>0.93500000000000005</v>
      </c>
      <c r="V1677" s="107">
        <v>30.8</v>
      </c>
      <c r="W1677" s="106" t="s">
        <v>700</v>
      </c>
    </row>
    <row r="1678" spans="1:23" ht="21" customHeight="1">
      <c r="A1678" s="104" t="s">
        <v>218</v>
      </c>
      <c r="B1678" s="104" t="s">
        <v>389</v>
      </c>
      <c r="C1678" s="454" t="s">
        <v>390</v>
      </c>
      <c r="D1678" s="105" t="s">
        <v>151</v>
      </c>
      <c r="E1678" s="104">
        <v>725</v>
      </c>
      <c r="F1678" s="104" t="s">
        <v>753</v>
      </c>
      <c r="G1678" s="106" t="s">
        <v>701</v>
      </c>
      <c r="H1678" s="104" t="s">
        <v>702</v>
      </c>
      <c r="I1678" s="104" t="s">
        <v>104</v>
      </c>
      <c r="J1678" s="104" t="s">
        <v>105</v>
      </c>
      <c r="K1678" s="106" t="s">
        <v>733</v>
      </c>
      <c r="L1678" s="104" t="s">
        <v>734</v>
      </c>
      <c r="M1678" s="104"/>
      <c r="N1678" s="108"/>
      <c r="O1678" s="104"/>
      <c r="P1678" s="108">
        <v>4.17</v>
      </c>
      <c r="Q1678" s="108">
        <v>1.583</v>
      </c>
      <c r="R1678" s="104" t="s">
        <v>17</v>
      </c>
      <c r="S1678" s="113">
        <f>((10^((3.236*LOG((P1678))+0.745)) +( 10^((3.375*LOG((P1678))+1.119))) +10^((3.395*LOG((P1678))+1.061)))/3)</f>
        <v>1220.1792545056733</v>
      </c>
      <c r="T1678" s="104" t="s">
        <v>735</v>
      </c>
      <c r="U1678" s="108">
        <v>0.91</v>
      </c>
      <c r="V1678" s="107">
        <v>36</v>
      </c>
      <c r="W1678" s="106" t="s">
        <v>732</v>
      </c>
    </row>
    <row r="1679" spans="1:23" ht="21" customHeight="1">
      <c r="A1679" s="104" t="s">
        <v>218</v>
      </c>
      <c r="B1679" s="104" t="s">
        <v>389</v>
      </c>
      <c r="C1679" s="454" t="s">
        <v>390</v>
      </c>
      <c r="D1679" s="105" t="s">
        <v>151</v>
      </c>
      <c r="E1679" s="104">
        <v>725</v>
      </c>
      <c r="F1679" s="104" t="s">
        <v>753</v>
      </c>
      <c r="G1679" s="106" t="s">
        <v>701</v>
      </c>
      <c r="H1679" s="104" t="s">
        <v>702</v>
      </c>
      <c r="I1679" s="104" t="s">
        <v>104</v>
      </c>
      <c r="J1679" s="104" t="s">
        <v>105</v>
      </c>
      <c r="K1679" s="104" t="s">
        <v>683</v>
      </c>
      <c r="L1679" s="104" t="s">
        <v>728</v>
      </c>
      <c r="M1679" s="104"/>
      <c r="N1679" s="108"/>
      <c r="O1679" s="104"/>
      <c r="P1679" s="108">
        <v>3.3609999999999998</v>
      </c>
      <c r="Q1679" s="108">
        <v>1.9469999999999998</v>
      </c>
      <c r="R1679" s="104" t="s">
        <v>17</v>
      </c>
      <c r="S1679" s="113">
        <f>(((10^((3.52*LOG((P1679))+1.372)))+(10^(3.375*LOG((P1679))+1.119)))/2)</f>
        <v>1233.0990301144693</v>
      </c>
      <c r="T1679" s="104" t="s">
        <v>910</v>
      </c>
      <c r="U1679" s="108">
        <v>0.93500000000000005</v>
      </c>
      <c r="V1679" s="107">
        <v>30.8</v>
      </c>
      <c r="W1679" s="106" t="s">
        <v>700</v>
      </c>
    </row>
    <row r="1680" spans="1:23" ht="21" customHeight="1">
      <c r="A1680" s="104" t="s">
        <v>218</v>
      </c>
      <c r="B1680" s="104" t="s">
        <v>389</v>
      </c>
      <c r="C1680" s="454" t="s">
        <v>390</v>
      </c>
      <c r="D1680" s="105" t="s">
        <v>151</v>
      </c>
      <c r="E1680" s="104">
        <v>725</v>
      </c>
      <c r="F1680" s="104" t="s">
        <v>753</v>
      </c>
      <c r="G1680" s="106" t="s">
        <v>701</v>
      </c>
      <c r="H1680" s="104" t="s">
        <v>702</v>
      </c>
      <c r="I1680" s="104" t="s">
        <v>104</v>
      </c>
      <c r="J1680" s="104" t="s">
        <v>105</v>
      </c>
      <c r="K1680" s="104" t="s">
        <v>683</v>
      </c>
      <c r="L1680" s="104" t="s">
        <v>728</v>
      </c>
      <c r="M1680" s="104"/>
      <c r="N1680" s="108"/>
      <c r="O1680" s="104"/>
      <c r="P1680" s="108">
        <v>3.3920000000000003</v>
      </c>
      <c r="Q1680" s="108">
        <v>1.7120000000000002</v>
      </c>
      <c r="R1680" s="104" t="s">
        <v>17</v>
      </c>
      <c r="S1680" s="113">
        <f>(((10^((3.52*LOG((P1680))+1.372)))+(10^(3.375*LOG((P1680))+1.119)))/2)</f>
        <v>1273.0603906337915</v>
      </c>
      <c r="T1680" s="104" t="s">
        <v>910</v>
      </c>
      <c r="U1680" s="108">
        <v>0.93500000000000005</v>
      </c>
      <c r="V1680" s="107">
        <v>30.8</v>
      </c>
      <c r="W1680" s="106" t="s">
        <v>700</v>
      </c>
    </row>
    <row r="1681" spans="1:23" ht="21" customHeight="1">
      <c r="A1681" s="104" t="s">
        <v>218</v>
      </c>
      <c r="B1681" s="104" t="s">
        <v>389</v>
      </c>
      <c r="C1681" s="454" t="s">
        <v>390</v>
      </c>
      <c r="D1681" s="105" t="s">
        <v>151</v>
      </c>
      <c r="E1681" s="104">
        <v>725</v>
      </c>
      <c r="F1681" s="104" t="s">
        <v>753</v>
      </c>
      <c r="G1681" s="106" t="s">
        <v>701</v>
      </c>
      <c r="H1681" s="104" t="s">
        <v>702</v>
      </c>
      <c r="I1681" s="104" t="s">
        <v>104</v>
      </c>
      <c r="J1681" s="104" t="s">
        <v>105</v>
      </c>
      <c r="K1681" s="104" t="s">
        <v>209</v>
      </c>
      <c r="L1681" s="104" t="s">
        <v>728</v>
      </c>
      <c r="M1681" s="104"/>
      <c r="N1681" s="108"/>
      <c r="O1681" s="104"/>
      <c r="P1681" s="108">
        <v>3.8840000000000003</v>
      </c>
      <c r="Q1681" s="108">
        <v>1.6039999999999999</v>
      </c>
      <c r="R1681" s="104" t="s">
        <v>17</v>
      </c>
      <c r="S1681" s="113">
        <f>10^(((LOG(P1681))*3.375)+1.119)</f>
        <v>1281.7914538684188</v>
      </c>
      <c r="T1681" s="104" t="s">
        <v>699</v>
      </c>
      <c r="U1681" s="108">
        <v>0.93</v>
      </c>
      <c r="V1681" s="107">
        <v>33.6</v>
      </c>
      <c r="W1681" s="106" t="s">
        <v>700</v>
      </c>
    </row>
    <row r="1682" spans="1:23" ht="21" customHeight="1">
      <c r="A1682" s="104" t="s">
        <v>218</v>
      </c>
      <c r="B1682" s="104" t="s">
        <v>389</v>
      </c>
      <c r="C1682" s="454" t="s">
        <v>390</v>
      </c>
      <c r="D1682" s="105" t="s">
        <v>151</v>
      </c>
      <c r="E1682" s="104">
        <v>725</v>
      </c>
      <c r="F1682" s="104" t="s">
        <v>753</v>
      </c>
      <c r="G1682" s="106" t="s">
        <v>701</v>
      </c>
      <c r="H1682" s="104" t="s">
        <v>702</v>
      </c>
      <c r="I1682" s="104" t="s">
        <v>104</v>
      </c>
      <c r="J1682" s="104" t="s">
        <v>105</v>
      </c>
      <c r="K1682" s="104" t="s">
        <v>683</v>
      </c>
      <c r="L1682" s="104" t="s">
        <v>728</v>
      </c>
      <c r="M1682" s="104"/>
      <c r="N1682" s="108"/>
      <c r="O1682" s="104"/>
      <c r="P1682" s="108">
        <v>3.4</v>
      </c>
      <c r="Q1682" s="108">
        <v>1.75</v>
      </c>
      <c r="R1682" s="104" t="s">
        <v>17</v>
      </c>
      <c r="S1682" s="113">
        <f t="shared" ref="S1682:S1688" si="24">(((10^((3.52*LOG((P1682))+1.372)))+(10^(3.375*LOG((P1682))+1.119)))/2)</f>
        <v>1283.5209130957278</v>
      </c>
      <c r="T1682" s="104" t="s">
        <v>910</v>
      </c>
      <c r="U1682" s="108">
        <v>0.93500000000000005</v>
      </c>
      <c r="V1682" s="107">
        <v>30.8</v>
      </c>
      <c r="W1682" s="106" t="s">
        <v>700</v>
      </c>
    </row>
    <row r="1683" spans="1:23" ht="21" customHeight="1">
      <c r="A1683" s="104" t="s">
        <v>218</v>
      </c>
      <c r="B1683" s="104" t="s">
        <v>389</v>
      </c>
      <c r="C1683" s="454" t="s">
        <v>390</v>
      </c>
      <c r="D1683" s="105" t="s">
        <v>151</v>
      </c>
      <c r="E1683" s="104">
        <v>725</v>
      </c>
      <c r="F1683" s="104" t="s">
        <v>753</v>
      </c>
      <c r="G1683" s="106" t="s">
        <v>701</v>
      </c>
      <c r="H1683" s="104" t="s">
        <v>702</v>
      </c>
      <c r="I1683" s="104" t="s">
        <v>104</v>
      </c>
      <c r="J1683" s="104" t="s">
        <v>105</v>
      </c>
      <c r="K1683" s="104" t="s">
        <v>683</v>
      </c>
      <c r="L1683" s="104" t="s">
        <v>728</v>
      </c>
      <c r="M1683" s="104"/>
      <c r="N1683" s="108"/>
      <c r="O1683" s="104"/>
      <c r="P1683" s="108">
        <v>3.4390000000000001</v>
      </c>
      <c r="Q1683" s="108">
        <v>1.494</v>
      </c>
      <c r="R1683" s="104" t="s">
        <v>17</v>
      </c>
      <c r="S1683" s="113">
        <f t="shared" si="24"/>
        <v>1335.3948295585005</v>
      </c>
      <c r="T1683" s="104" t="s">
        <v>910</v>
      </c>
      <c r="U1683" s="108">
        <v>0.93500000000000005</v>
      </c>
      <c r="V1683" s="107">
        <v>30.8</v>
      </c>
      <c r="W1683" s="106" t="s">
        <v>700</v>
      </c>
    </row>
    <row r="1684" spans="1:23" ht="21" customHeight="1">
      <c r="A1684" s="104" t="s">
        <v>218</v>
      </c>
      <c r="B1684" s="104" t="s">
        <v>389</v>
      </c>
      <c r="C1684" s="454" t="s">
        <v>390</v>
      </c>
      <c r="D1684" s="105" t="s">
        <v>151</v>
      </c>
      <c r="E1684" s="104">
        <v>725</v>
      </c>
      <c r="F1684" s="104" t="s">
        <v>753</v>
      </c>
      <c r="G1684" s="106" t="s">
        <v>701</v>
      </c>
      <c r="H1684" s="104" t="s">
        <v>702</v>
      </c>
      <c r="I1684" s="104" t="s">
        <v>104</v>
      </c>
      <c r="J1684" s="104" t="s">
        <v>105</v>
      </c>
      <c r="K1684" s="104" t="s">
        <v>683</v>
      </c>
      <c r="L1684" s="104" t="s">
        <v>728</v>
      </c>
      <c r="M1684" s="104"/>
      <c r="N1684" s="108"/>
      <c r="O1684" s="104"/>
      <c r="P1684" s="108">
        <v>3.44</v>
      </c>
      <c r="Q1684" s="108">
        <v>1.534</v>
      </c>
      <c r="R1684" s="104" t="s">
        <v>17</v>
      </c>
      <c r="S1684" s="113">
        <f t="shared" si="24"/>
        <v>1336.7442418341507</v>
      </c>
      <c r="T1684" s="104" t="s">
        <v>910</v>
      </c>
      <c r="U1684" s="108">
        <v>0.93500000000000005</v>
      </c>
      <c r="V1684" s="107">
        <v>30.8</v>
      </c>
      <c r="W1684" s="106" t="s">
        <v>700</v>
      </c>
    </row>
    <row r="1685" spans="1:23" ht="21" customHeight="1">
      <c r="A1685" s="104" t="s">
        <v>218</v>
      </c>
      <c r="B1685" s="104" t="s">
        <v>389</v>
      </c>
      <c r="C1685" s="454" t="s">
        <v>390</v>
      </c>
      <c r="D1685" s="105" t="s">
        <v>151</v>
      </c>
      <c r="E1685" s="104">
        <v>725</v>
      </c>
      <c r="F1685" s="104" t="s">
        <v>753</v>
      </c>
      <c r="G1685" s="106" t="s">
        <v>701</v>
      </c>
      <c r="H1685" s="104" t="s">
        <v>702</v>
      </c>
      <c r="I1685" s="104" t="s">
        <v>104</v>
      </c>
      <c r="J1685" s="104" t="s">
        <v>105</v>
      </c>
      <c r="K1685" s="104" t="s">
        <v>683</v>
      </c>
      <c r="L1685" s="104" t="s">
        <v>728</v>
      </c>
      <c r="M1685" s="104"/>
      <c r="N1685" s="108"/>
      <c r="O1685" s="104"/>
      <c r="P1685" s="108">
        <v>3.45</v>
      </c>
      <c r="Q1685" s="108">
        <v>1.454</v>
      </c>
      <c r="R1685" s="104" t="s">
        <v>17</v>
      </c>
      <c r="S1685" s="113">
        <f t="shared" si="24"/>
        <v>1350.2918540465271</v>
      </c>
      <c r="T1685" s="104" t="s">
        <v>910</v>
      </c>
      <c r="U1685" s="108">
        <v>0.93500000000000005</v>
      </c>
      <c r="V1685" s="107">
        <v>30.8</v>
      </c>
      <c r="W1685" s="106" t="s">
        <v>700</v>
      </c>
    </row>
    <row r="1686" spans="1:23" ht="21" customHeight="1">
      <c r="A1686" s="104" t="s">
        <v>218</v>
      </c>
      <c r="B1686" s="104" t="s">
        <v>389</v>
      </c>
      <c r="C1686" s="454" t="s">
        <v>390</v>
      </c>
      <c r="D1686" s="105" t="s">
        <v>151</v>
      </c>
      <c r="E1686" s="104">
        <v>725</v>
      </c>
      <c r="F1686" s="104" t="s">
        <v>753</v>
      </c>
      <c r="G1686" s="106" t="s">
        <v>701</v>
      </c>
      <c r="H1686" s="104" t="s">
        <v>702</v>
      </c>
      <c r="I1686" s="104" t="s">
        <v>104</v>
      </c>
      <c r="J1686" s="104" t="s">
        <v>105</v>
      </c>
      <c r="K1686" s="104" t="s">
        <v>683</v>
      </c>
      <c r="L1686" s="104" t="s">
        <v>728</v>
      </c>
      <c r="M1686" s="104"/>
      <c r="N1686" s="108"/>
      <c r="O1686" s="104"/>
      <c r="P1686" s="108">
        <v>3.4509999999999996</v>
      </c>
      <c r="Q1686" s="108">
        <v>1.9710000000000001</v>
      </c>
      <c r="R1686" s="104" t="s">
        <v>17</v>
      </c>
      <c r="S1686" s="113">
        <f t="shared" si="24"/>
        <v>1351.6519733942878</v>
      </c>
      <c r="T1686" s="104" t="s">
        <v>910</v>
      </c>
      <c r="U1686" s="108">
        <v>0.93500000000000005</v>
      </c>
      <c r="V1686" s="107">
        <v>30.8</v>
      </c>
      <c r="W1686" s="106" t="s">
        <v>700</v>
      </c>
    </row>
    <row r="1687" spans="1:23" ht="21" customHeight="1">
      <c r="A1687" s="104" t="s">
        <v>218</v>
      </c>
      <c r="B1687" s="104" t="s">
        <v>389</v>
      </c>
      <c r="C1687" s="454" t="s">
        <v>390</v>
      </c>
      <c r="D1687" s="105" t="s">
        <v>151</v>
      </c>
      <c r="E1687" s="104">
        <v>725</v>
      </c>
      <c r="F1687" s="104" t="s">
        <v>753</v>
      </c>
      <c r="G1687" s="106" t="s">
        <v>701</v>
      </c>
      <c r="H1687" s="104" t="s">
        <v>702</v>
      </c>
      <c r="I1687" s="104" t="s">
        <v>104</v>
      </c>
      <c r="J1687" s="104" t="s">
        <v>105</v>
      </c>
      <c r="K1687" s="104" t="s">
        <v>683</v>
      </c>
      <c r="L1687" s="104" t="s">
        <v>728</v>
      </c>
      <c r="M1687" s="104"/>
      <c r="N1687" s="108"/>
      <c r="O1687" s="104"/>
      <c r="P1687" s="108">
        <v>3.4899999999999998</v>
      </c>
      <c r="Q1687" s="108">
        <v>1.47</v>
      </c>
      <c r="R1687" s="104" t="s">
        <v>17</v>
      </c>
      <c r="S1687" s="113">
        <f t="shared" si="24"/>
        <v>1405.4619424421749</v>
      </c>
      <c r="T1687" s="104" t="s">
        <v>910</v>
      </c>
      <c r="U1687" s="108">
        <v>0.93500000000000005</v>
      </c>
      <c r="V1687" s="107">
        <v>30.8</v>
      </c>
      <c r="W1687" s="106" t="s">
        <v>700</v>
      </c>
    </row>
    <row r="1688" spans="1:23" ht="21" customHeight="1">
      <c r="A1688" s="104" t="s">
        <v>218</v>
      </c>
      <c r="B1688" s="104" t="s">
        <v>389</v>
      </c>
      <c r="C1688" s="454" t="s">
        <v>390</v>
      </c>
      <c r="D1688" s="105" t="s">
        <v>151</v>
      </c>
      <c r="E1688" s="104">
        <v>725</v>
      </c>
      <c r="F1688" s="104" t="s">
        <v>753</v>
      </c>
      <c r="G1688" s="106" t="s">
        <v>701</v>
      </c>
      <c r="H1688" s="104" t="s">
        <v>702</v>
      </c>
      <c r="I1688" s="104" t="s">
        <v>104</v>
      </c>
      <c r="J1688" s="104" t="s">
        <v>105</v>
      </c>
      <c r="K1688" s="104" t="s">
        <v>683</v>
      </c>
      <c r="L1688" s="104" t="s">
        <v>728</v>
      </c>
      <c r="M1688" s="104"/>
      <c r="N1688" s="108"/>
      <c r="O1688" s="104"/>
      <c r="P1688" s="108">
        <v>3.4929999999999999</v>
      </c>
      <c r="Q1688" s="108">
        <v>1.244</v>
      </c>
      <c r="R1688" s="104" t="s">
        <v>17</v>
      </c>
      <c r="S1688" s="113">
        <f t="shared" si="24"/>
        <v>1409.6633628905952</v>
      </c>
      <c r="T1688" s="104" t="s">
        <v>910</v>
      </c>
      <c r="U1688" s="108">
        <v>0.93500000000000005</v>
      </c>
      <c r="V1688" s="107">
        <v>30.8</v>
      </c>
      <c r="W1688" s="106" t="s">
        <v>700</v>
      </c>
    </row>
    <row r="1689" spans="1:23" ht="21" customHeight="1">
      <c r="A1689" s="104" t="s">
        <v>273</v>
      </c>
      <c r="B1689" s="104" t="s">
        <v>74</v>
      </c>
      <c r="C1689" s="454" t="s">
        <v>266</v>
      </c>
      <c r="D1689" s="105" t="s">
        <v>505</v>
      </c>
      <c r="E1689" s="104">
        <v>725</v>
      </c>
      <c r="F1689" s="104">
        <v>182</v>
      </c>
      <c r="G1689" s="106" t="s">
        <v>701</v>
      </c>
      <c r="H1689" s="104" t="s">
        <v>702</v>
      </c>
      <c r="I1689" s="104" t="s">
        <v>104</v>
      </c>
      <c r="J1689" s="104" t="s">
        <v>105</v>
      </c>
      <c r="K1689" s="104" t="s">
        <v>172</v>
      </c>
      <c r="L1689" s="104" t="s">
        <v>1238</v>
      </c>
      <c r="M1689" s="104"/>
      <c r="N1689" s="108" t="s">
        <v>17</v>
      </c>
      <c r="O1689" s="104" t="s">
        <v>17</v>
      </c>
      <c r="P1689" s="108">
        <v>2.859</v>
      </c>
      <c r="Q1689" s="108">
        <v>1.1800000000000002</v>
      </c>
      <c r="R1689" s="104" t="s">
        <v>17</v>
      </c>
      <c r="S1689" s="253">
        <f>(10^((2.93*LOG((P1689*10))+0.27)))/1000</f>
        <v>34.411806740218658</v>
      </c>
      <c r="T1689" s="104" t="s">
        <v>1239</v>
      </c>
      <c r="U1689" s="108">
        <v>0.96</v>
      </c>
      <c r="V1689" s="107">
        <v>12.4</v>
      </c>
      <c r="W1689" s="114" t="s">
        <v>279</v>
      </c>
    </row>
    <row r="1690" spans="1:23" ht="21" customHeight="1">
      <c r="A1690" s="104" t="s">
        <v>273</v>
      </c>
      <c r="B1690" s="104" t="s">
        <v>74</v>
      </c>
      <c r="C1690" s="454" t="s">
        <v>299</v>
      </c>
      <c r="D1690" s="105" t="s">
        <v>1255</v>
      </c>
      <c r="E1690" s="104">
        <v>41172</v>
      </c>
      <c r="F1690" s="104">
        <v>326</v>
      </c>
      <c r="G1690" s="106" t="s">
        <v>1256</v>
      </c>
      <c r="H1690" s="104" t="s">
        <v>1257</v>
      </c>
      <c r="I1690" s="104" t="s">
        <v>225</v>
      </c>
      <c r="J1690" s="104" t="s">
        <v>105</v>
      </c>
      <c r="K1690" s="104" t="s">
        <v>172</v>
      </c>
      <c r="L1690" s="104" t="s">
        <v>1238</v>
      </c>
      <c r="M1690" s="104"/>
      <c r="N1690" s="108" t="s">
        <v>17</v>
      </c>
      <c r="O1690" s="104" t="s">
        <v>17</v>
      </c>
      <c r="P1690" s="108">
        <v>0.91300000000000003</v>
      </c>
      <c r="Q1690" s="108">
        <v>0.74399999999999999</v>
      </c>
      <c r="R1690" s="104" t="s">
        <v>17</v>
      </c>
      <c r="S1690" s="253">
        <f>(10^((2.93*LOG((P1690*10))+0.27)))/1000</f>
        <v>1.2138901242387135</v>
      </c>
      <c r="T1690" s="104" t="s">
        <v>1239</v>
      </c>
      <c r="U1690" s="108">
        <v>0.96</v>
      </c>
      <c r="V1690" s="107">
        <v>12.4</v>
      </c>
      <c r="W1690" s="114" t="s">
        <v>284</v>
      </c>
    </row>
    <row r="1691" spans="1:23" ht="21" customHeight="1">
      <c r="A1691" s="104" t="s">
        <v>273</v>
      </c>
      <c r="B1691" s="104" t="s">
        <v>534</v>
      </c>
      <c r="C1691" s="454" t="s">
        <v>539</v>
      </c>
      <c r="D1691" s="105" t="s">
        <v>540</v>
      </c>
      <c r="E1691" s="104">
        <v>41172</v>
      </c>
      <c r="F1691" s="104">
        <v>222</v>
      </c>
      <c r="G1691" s="106" t="s">
        <v>1256</v>
      </c>
      <c r="H1691" s="104" t="s">
        <v>1257</v>
      </c>
      <c r="I1691" s="104" t="s">
        <v>225</v>
      </c>
      <c r="J1691" s="104" t="s">
        <v>105</v>
      </c>
      <c r="K1691" s="104" t="s">
        <v>112</v>
      </c>
      <c r="L1691" s="104" t="s">
        <v>663</v>
      </c>
      <c r="M1691" s="104" t="s">
        <v>108</v>
      </c>
      <c r="N1691" s="108" t="s">
        <v>17</v>
      </c>
      <c r="O1691" s="104" t="s">
        <v>17</v>
      </c>
      <c r="P1691" s="113">
        <v>0.97300000000000009</v>
      </c>
      <c r="Q1691" s="113">
        <v>0.48200000000000004</v>
      </c>
      <c r="R1691" s="104" t="s">
        <v>17</v>
      </c>
      <c r="S1691" s="253">
        <f>(10^((3.9287*LOG(P1691*10))+-0.5516))/1000</f>
        <v>2.1399267890303779</v>
      </c>
      <c r="T1691" s="104" t="s">
        <v>1292</v>
      </c>
      <c r="U1691" s="108">
        <v>0.81</v>
      </c>
      <c r="V1691" s="107"/>
      <c r="W1691" s="114" t="s">
        <v>1293</v>
      </c>
    </row>
    <row r="1692" spans="1:23" ht="21" customHeight="1">
      <c r="A1692" s="104" t="s">
        <v>579</v>
      </c>
      <c r="B1692" s="104" t="s">
        <v>580</v>
      </c>
      <c r="C1692" s="454" t="s">
        <v>585</v>
      </c>
      <c r="D1692" s="105" t="s">
        <v>151</v>
      </c>
      <c r="E1692" s="104" t="s">
        <v>185</v>
      </c>
      <c r="F1692" s="104">
        <v>3902</v>
      </c>
      <c r="G1692" s="663" t="s">
        <v>3678</v>
      </c>
      <c r="H1692" s="104"/>
      <c r="I1692" s="104" t="s">
        <v>289</v>
      </c>
      <c r="J1692" s="104" t="s">
        <v>105</v>
      </c>
      <c r="K1692" s="104" t="s">
        <v>290</v>
      </c>
      <c r="L1692" s="104" t="s">
        <v>973</v>
      </c>
      <c r="M1692" s="104" t="s">
        <v>292</v>
      </c>
      <c r="N1692" s="108"/>
      <c r="O1692" s="108"/>
      <c r="P1692" s="108">
        <v>6.9769999999999994</v>
      </c>
      <c r="Q1692" s="108" t="s">
        <v>17</v>
      </c>
      <c r="R1692" s="108"/>
      <c r="S1692" s="253"/>
      <c r="T1692" s="108"/>
      <c r="U1692" s="108"/>
      <c r="V1692" s="107"/>
      <c r="W1692" s="106"/>
    </row>
    <row r="1693" spans="1:23" ht="21" customHeight="1">
      <c r="A1693" s="104" t="s">
        <v>218</v>
      </c>
      <c r="B1693" s="104" t="s">
        <v>389</v>
      </c>
      <c r="C1693" s="454" t="s">
        <v>390</v>
      </c>
      <c r="D1693" s="105" t="s">
        <v>151</v>
      </c>
      <c r="E1693" s="104">
        <v>45819</v>
      </c>
      <c r="F1693" s="104" t="s">
        <v>967</v>
      </c>
      <c r="G1693" s="106" t="s">
        <v>968</v>
      </c>
      <c r="H1693" s="104" t="s">
        <v>969</v>
      </c>
      <c r="I1693" s="104" t="s">
        <v>104</v>
      </c>
      <c r="J1693" s="104" t="s">
        <v>105</v>
      </c>
      <c r="K1693" s="106" t="s">
        <v>158</v>
      </c>
      <c r="L1693" s="104" t="s">
        <v>686</v>
      </c>
      <c r="M1693" s="104"/>
      <c r="N1693" s="108"/>
      <c r="O1693" s="104"/>
      <c r="P1693" s="108">
        <v>4.4670000000000005</v>
      </c>
      <c r="Q1693" s="108">
        <v>2.6589999999999998</v>
      </c>
      <c r="R1693" s="104" t="s">
        <v>17</v>
      </c>
      <c r="S1693" s="113">
        <f>(10^((3.12*LOG((P1693*10))+0.94)))/1000</f>
        <v>1224.7565527354177</v>
      </c>
      <c r="T1693" s="104" t="s">
        <v>896</v>
      </c>
      <c r="U1693" s="108">
        <v>0.9</v>
      </c>
      <c r="V1693" s="107">
        <v>39.4</v>
      </c>
      <c r="W1693" s="106" t="s">
        <v>704</v>
      </c>
    </row>
    <row r="1694" spans="1:23" ht="21" customHeight="1">
      <c r="A1694" s="104" t="s">
        <v>218</v>
      </c>
      <c r="B1694" s="104" t="s">
        <v>389</v>
      </c>
      <c r="C1694" s="454" t="s">
        <v>390</v>
      </c>
      <c r="D1694" s="105" t="s">
        <v>151</v>
      </c>
      <c r="E1694" s="104">
        <v>45819</v>
      </c>
      <c r="F1694" s="104" t="s">
        <v>970</v>
      </c>
      <c r="G1694" s="106" t="s">
        <v>968</v>
      </c>
      <c r="H1694" s="104" t="s">
        <v>969</v>
      </c>
      <c r="I1694" s="104" t="s">
        <v>104</v>
      </c>
      <c r="J1694" s="104" t="s">
        <v>105</v>
      </c>
      <c r="K1694" s="106" t="s">
        <v>158</v>
      </c>
      <c r="L1694" s="104" t="s">
        <v>686</v>
      </c>
      <c r="M1694" s="104"/>
      <c r="N1694" s="108"/>
      <c r="O1694" s="104"/>
      <c r="P1694" s="108">
        <v>4.5619999999999994</v>
      </c>
      <c r="Q1694" s="108">
        <v>2.4750000000000001</v>
      </c>
      <c r="R1694" s="104" t="s">
        <v>17</v>
      </c>
      <c r="S1694" s="113">
        <f>(10^((3.12*LOG((P1694*10))+0.94)))/1000</f>
        <v>1307.8696943837133</v>
      </c>
      <c r="T1694" s="104" t="s">
        <v>896</v>
      </c>
      <c r="U1694" s="108">
        <v>0.9</v>
      </c>
      <c r="V1694" s="107">
        <v>39.4</v>
      </c>
      <c r="W1694" s="106" t="s">
        <v>704</v>
      </c>
    </row>
    <row r="1695" spans="1:23" ht="21" customHeight="1">
      <c r="A1695" s="663" t="s">
        <v>3682</v>
      </c>
      <c r="B1695" s="663"/>
      <c r="C1695" s="664" t="s">
        <v>460</v>
      </c>
      <c r="D1695" s="665" t="s">
        <v>151</v>
      </c>
      <c r="E1695" s="663">
        <v>45819</v>
      </c>
      <c r="F1695" s="663">
        <v>2821</v>
      </c>
      <c r="G1695" s="666" t="s">
        <v>968</v>
      </c>
      <c r="H1695" s="663"/>
      <c r="I1695" s="663" t="s">
        <v>104</v>
      </c>
      <c r="J1695" s="663" t="s">
        <v>3678</v>
      </c>
      <c r="K1695" s="663" t="s">
        <v>3683</v>
      </c>
      <c r="L1695" s="663" t="s">
        <v>3681</v>
      </c>
      <c r="M1695" s="663"/>
      <c r="N1695" s="667">
        <v>13.82</v>
      </c>
      <c r="O1695" s="663"/>
      <c r="P1695" s="670"/>
      <c r="Q1695" s="670"/>
      <c r="R1695" s="663"/>
      <c r="S1695" s="668"/>
      <c r="T1695" s="663"/>
      <c r="U1695" s="667"/>
      <c r="V1695" s="669"/>
      <c r="W1695" s="671"/>
    </row>
    <row r="1696" spans="1:23" ht="21" customHeight="1">
      <c r="A1696" s="104" t="s">
        <v>169</v>
      </c>
      <c r="B1696" s="104" t="s">
        <v>149</v>
      </c>
      <c r="C1696" s="454" t="s">
        <v>150</v>
      </c>
      <c r="D1696" s="105" t="s">
        <v>151</v>
      </c>
      <c r="E1696" s="104"/>
      <c r="F1696" s="104">
        <v>2819</v>
      </c>
      <c r="G1696" s="106" t="s">
        <v>968</v>
      </c>
      <c r="H1696" s="104" t="s">
        <v>969</v>
      </c>
      <c r="I1696" s="104" t="s">
        <v>104</v>
      </c>
      <c r="J1696" s="104" t="s">
        <v>105</v>
      </c>
      <c r="K1696" s="104" t="s">
        <v>112</v>
      </c>
      <c r="L1696" s="104" t="s">
        <v>663</v>
      </c>
      <c r="M1696" s="104"/>
      <c r="N1696" s="108" t="s">
        <v>17</v>
      </c>
      <c r="O1696" s="104" t="s">
        <v>17</v>
      </c>
      <c r="P1696" s="113">
        <v>2.4989999999999997</v>
      </c>
      <c r="Q1696" s="113">
        <v>1.627</v>
      </c>
      <c r="R1696" s="104" t="s">
        <v>17</v>
      </c>
      <c r="S1696" s="253">
        <f>(10^((3.187*LOG((P1696))+1.264)))</f>
        <v>340.15828894705527</v>
      </c>
      <c r="T1696" s="103" t="s">
        <v>1387</v>
      </c>
      <c r="U1696" s="108">
        <v>0.98499999999999999</v>
      </c>
      <c r="V1696" s="107">
        <v>16.5</v>
      </c>
      <c r="W1696" s="414" t="s">
        <v>1385</v>
      </c>
    </row>
    <row r="1697" spans="1:23" ht="21" customHeight="1">
      <c r="A1697" s="104" t="s">
        <v>169</v>
      </c>
      <c r="B1697" s="104" t="s">
        <v>149</v>
      </c>
      <c r="C1697" s="454" t="s">
        <v>150</v>
      </c>
      <c r="D1697" s="105" t="s">
        <v>151</v>
      </c>
      <c r="E1697" s="104"/>
      <c r="F1697" s="104">
        <v>3047</v>
      </c>
      <c r="G1697" s="106" t="s">
        <v>968</v>
      </c>
      <c r="H1697" s="104" t="s">
        <v>969</v>
      </c>
      <c r="I1697" s="104" t="s">
        <v>104</v>
      </c>
      <c r="J1697" s="104" t="s">
        <v>105</v>
      </c>
      <c r="K1697" s="104" t="s">
        <v>655</v>
      </c>
      <c r="L1697" s="104" t="s">
        <v>656</v>
      </c>
      <c r="M1697" s="104"/>
      <c r="N1697" s="254"/>
      <c r="O1697" s="103"/>
      <c r="P1697" s="108">
        <v>5.8280000000000003</v>
      </c>
      <c r="Q1697" s="108">
        <v>6.0220000000000002</v>
      </c>
      <c r="R1697" s="104" t="s">
        <v>17</v>
      </c>
      <c r="S1697" s="253">
        <f>(10^((1.463*LOG((P1697*Q1697*100))+0.633)))/1000</f>
        <v>660.26125116169158</v>
      </c>
      <c r="T1697" s="104" t="s">
        <v>657</v>
      </c>
      <c r="U1697" s="106">
        <v>0.97</v>
      </c>
      <c r="V1697" s="106">
        <v>47.5</v>
      </c>
      <c r="W1697" s="106" t="s">
        <v>404</v>
      </c>
    </row>
    <row r="1698" spans="1:23" ht="21" customHeight="1">
      <c r="A1698" s="104" t="s">
        <v>273</v>
      </c>
      <c r="B1698" s="104" t="s">
        <v>74</v>
      </c>
      <c r="C1698" s="454" t="s">
        <v>266</v>
      </c>
      <c r="D1698" s="105" t="s">
        <v>499</v>
      </c>
      <c r="E1698" s="104">
        <v>43202</v>
      </c>
      <c r="F1698" s="104">
        <v>81</v>
      </c>
      <c r="G1698" s="106" t="s">
        <v>1181</v>
      </c>
      <c r="H1698" s="104"/>
      <c r="I1698" s="104" t="s">
        <v>225</v>
      </c>
      <c r="J1698" s="104" t="s">
        <v>284</v>
      </c>
      <c r="K1698" s="104" t="s">
        <v>660</v>
      </c>
      <c r="L1698" s="104" t="s">
        <v>661</v>
      </c>
      <c r="M1698" s="104" t="s">
        <v>108</v>
      </c>
      <c r="N1698" s="108"/>
      <c r="O1698" s="104"/>
      <c r="P1698" s="108"/>
      <c r="Q1698" s="108"/>
      <c r="R1698" s="104"/>
      <c r="S1698" s="253">
        <v>5.1005500000000001</v>
      </c>
      <c r="T1698" s="104"/>
      <c r="U1698" s="108"/>
      <c r="V1698" s="107"/>
      <c r="W1698" s="106"/>
    </row>
    <row r="1699" spans="1:23" ht="21" customHeight="1">
      <c r="A1699" s="104" t="s">
        <v>273</v>
      </c>
      <c r="B1699" s="104" t="s">
        <v>74</v>
      </c>
      <c r="C1699" s="454" t="s">
        <v>266</v>
      </c>
      <c r="D1699" s="105" t="s">
        <v>499</v>
      </c>
      <c r="E1699" s="104">
        <v>43202</v>
      </c>
      <c r="F1699" s="104">
        <v>79</v>
      </c>
      <c r="G1699" s="106" t="s">
        <v>1181</v>
      </c>
      <c r="H1699" s="104"/>
      <c r="I1699" s="104" t="s">
        <v>225</v>
      </c>
      <c r="J1699" s="104" t="s">
        <v>284</v>
      </c>
      <c r="K1699" s="104" t="s">
        <v>1157</v>
      </c>
      <c r="L1699" s="104" t="s">
        <v>1158</v>
      </c>
      <c r="M1699" s="104" t="s">
        <v>114</v>
      </c>
      <c r="N1699" s="108"/>
      <c r="O1699" s="462"/>
      <c r="P1699" s="108"/>
      <c r="Q1699" s="108"/>
      <c r="R1699" s="104"/>
      <c r="S1699" s="253">
        <v>5.5680500000000004</v>
      </c>
      <c r="T1699" s="104"/>
      <c r="U1699" s="108"/>
      <c r="V1699" s="107"/>
      <c r="W1699" s="106"/>
    </row>
    <row r="1700" spans="1:23" ht="21" customHeight="1">
      <c r="A1700" s="104" t="s">
        <v>273</v>
      </c>
      <c r="B1700" s="104" t="s">
        <v>74</v>
      </c>
      <c r="C1700" s="454" t="s">
        <v>266</v>
      </c>
      <c r="D1700" s="105" t="s">
        <v>499</v>
      </c>
      <c r="E1700" s="104">
        <v>43202</v>
      </c>
      <c r="F1700" s="104">
        <v>70</v>
      </c>
      <c r="G1700" s="106" t="s">
        <v>1181</v>
      </c>
      <c r="H1700" s="104"/>
      <c r="I1700" s="104" t="s">
        <v>225</v>
      </c>
      <c r="J1700" s="104" t="s">
        <v>284</v>
      </c>
      <c r="K1700" s="104" t="s">
        <v>112</v>
      </c>
      <c r="L1700" s="104" t="s">
        <v>663</v>
      </c>
      <c r="M1700" s="104" t="s">
        <v>114</v>
      </c>
      <c r="N1700" s="108"/>
      <c r="O1700" s="104"/>
      <c r="P1700" s="108"/>
      <c r="Q1700" s="108"/>
      <c r="R1700" s="104"/>
      <c r="S1700" s="253">
        <v>7.0997500000000002</v>
      </c>
      <c r="T1700" s="104"/>
      <c r="U1700" s="108"/>
      <c r="V1700" s="107"/>
      <c r="W1700" s="106"/>
    </row>
    <row r="1701" spans="1:23" ht="21" customHeight="1">
      <c r="A1701" s="104" t="s">
        <v>273</v>
      </c>
      <c r="B1701" s="104" t="s">
        <v>74</v>
      </c>
      <c r="C1701" s="454" t="s">
        <v>266</v>
      </c>
      <c r="D1701" s="105" t="s">
        <v>499</v>
      </c>
      <c r="E1701" s="104">
        <v>43202</v>
      </c>
      <c r="F1701" s="104">
        <v>77</v>
      </c>
      <c r="G1701" s="106" t="s">
        <v>1181</v>
      </c>
      <c r="H1701" s="104"/>
      <c r="I1701" s="104" t="s">
        <v>225</v>
      </c>
      <c r="J1701" s="104" t="s">
        <v>284</v>
      </c>
      <c r="K1701" s="104" t="s">
        <v>252</v>
      </c>
      <c r="L1701" s="104" t="s">
        <v>415</v>
      </c>
      <c r="M1701" s="104" t="s">
        <v>114</v>
      </c>
      <c r="N1701" s="108"/>
      <c r="O1701" s="104"/>
      <c r="P1701" s="108"/>
      <c r="Q1701" s="108"/>
      <c r="R1701" s="104"/>
      <c r="S1701" s="253">
        <v>7.2799899999999997</v>
      </c>
      <c r="T1701" s="104"/>
      <c r="U1701" s="108"/>
      <c r="V1701" s="107"/>
      <c r="W1701" s="106"/>
    </row>
    <row r="1702" spans="1:23" ht="21" customHeight="1">
      <c r="A1702" s="104" t="s">
        <v>273</v>
      </c>
      <c r="B1702" s="104" t="s">
        <v>74</v>
      </c>
      <c r="C1702" s="454" t="s">
        <v>266</v>
      </c>
      <c r="D1702" s="105" t="s">
        <v>499</v>
      </c>
      <c r="E1702" s="104">
        <v>43202</v>
      </c>
      <c r="F1702" s="104">
        <v>84</v>
      </c>
      <c r="G1702" s="106" t="s">
        <v>1181</v>
      </c>
      <c r="H1702" s="104"/>
      <c r="I1702" s="104" t="s">
        <v>225</v>
      </c>
      <c r="J1702" s="104" t="s">
        <v>284</v>
      </c>
      <c r="K1702" s="104" t="s">
        <v>121</v>
      </c>
      <c r="L1702" s="104" t="s">
        <v>1041</v>
      </c>
      <c r="M1702" s="104" t="s">
        <v>114</v>
      </c>
      <c r="N1702" s="108"/>
      <c r="O1702" s="104"/>
      <c r="P1702" s="108"/>
      <c r="Q1702" s="108"/>
      <c r="R1702" s="104"/>
      <c r="S1702" s="253">
        <v>8.5657399999999999</v>
      </c>
      <c r="T1702" s="104"/>
      <c r="U1702" s="108"/>
      <c r="V1702" s="107"/>
      <c r="W1702" s="106"/>
    </row>
    <row r="1703" spans="1:23" ht="21" customHeight="1">
      <c r="A1703" s="104" t="s">
        <v>273</v>
      </c>
      <c r="B1703" s="104" t="s">
        <v>74</v>
      </c>
      <c r="C1703" s="454" t="s">
        <v>266</v>
      </c>
      <c r="D1703" s="105" t="s">
        <v>499</v>
      </c>
      <c r="E1703" s="104">
        <v>43202</v>
      </c>
      <c r="F1703" s="104">
        <v>71</v>
      </c>
      <c r="G1703" s="106" t="s">
        <v>1181</v>
      </c>
      <c r="H1703" s="104"/>
      <c r="I1703" s="104" t="s">
        <v>225</v>
      </c>
      <c r="J1703" s="104" t="s">
        <v>284</v>
      </c>
      <c r="K1703" s="104" t="s">
        <v>112</v>
      </c>
      <c r="L1703" s="104" t="s">
        <v>663</v>
      </c>
      <c r="M1703" s="104" t="s">
        <v>114</v>
      </c>
      <c r="N1703" s="108"/>
      <c r="O1703" s="104"/>
      <c r="P1703" s="108"/>
      <c r="Q1703" s="108"/>
      <c r="R1703" s="104"/>
      <c r="S1703" s="253">
        <v>8.9573999999999998</v>
      </c>
      <c r="T1703" s="104"/>
      <c r="U1703" s="108"/>
      <c r="V1703" s="107"/>
      <c r="W1703" s="106"/>
    </row>
    <row r="1704" spans="1:23" ht="21" customHeight="1">
      <c r="A1704" s="104" t="s">
        <v>273</v>
      </c>
      <c r="B1704" s="104" t="s">
        <v>74</v>
      </c>
      <c r="C1704" s="454" t="s">
        <v>266</v>
      </c>
      <c r="D1704" s="105" t="s">
        <v>499</v>
      </c>
      <c r="E1704" s="104">
        <v>43202</v>
      </c>
      <c r="F1704" s="104">
        <v>7</v>
      </c>
      <c r="G1704" s="106" t="s">
        <v>1181</v>
      </c>
      <c r="H1704" s="104"/>
      <c r="I1704" s="104" t="s">
        <v>225</v>
      </c>
      <c r="J1704" s="104" t="s">
        <v>284</v>
      </c>
      <c r="K1704" s="104" t="s">
        <v>1159</v>
      </c>
      <c r="L1704" s="104" t="s">
        <v>1160</v>
      </c>
      <c r="M1704" s="104" t="s">
        <v>108</v>
      </c>
      <c r="N1704" s="108"/>
      <c r="O1704" s="104"/>
      <c r="P1704" s="108"/>
      <c r="Q1704" s="108"/>
      <c r="R1704" s="104"/>
      <c r="S1704" s="253">
        <v>10.109500000000001</v>
      </c>
      <c r="T1704" s="104"/>
      <c r="U1704" s="108"/>
      <c r="V1704" s="107"/>
      <c r="W1704" s="106"/>
    </row>
    <row r="1705" spans="1:23" ht="21" customHeight="1">
      <c r="A1705" s="104" t="s">
        <v>273</v>
      </c>
      <c r="B1705" s="104" t="s">
        <v>74</v>
      </c>
      <c r="C1705" s="454" t="s">
        <v>266</v>
      </c>
      <c r="D1705" s="105" t="s">
        <v>1185</v>
      </c>
      <c r="E1705" s="104">
        <v>43202</v>
      </c>
      <c r="F1705" s="104">
        <v>6</v>
      </c>
      <c r="G1705" s="106" t="s">
        <v>1181</v>
      </c>
      <c r="H1705" s="104"/>
      <c r="I1705" s="104" t="s">
        <v>225</v>
      </c>
      <c r="J1705" s="104" t="s">
        <v>284</v>
      </c>
      <c r="K1705" s="104" t="s">
        <v>136</v>
      </c>
      <c r="L1705" s="104" t="s">
        <v>1032</v>
      </c>
      <c r="M1705" s="104" t="s">
        <v>114</v>
      </c>
      <c r="N1705" s="108"/>
      <c r="O1705" s="104"/>
      <c r="P1705" s="108"/>
      <c r="Q1705" s="108"/>
      <c r="R1705" s="104"/>
      <c r="S1705" s="253">
        <v>7.3381300000000005</v>
      </c>
      <c r="T1705" s="104"/>
      <c r="U1705" s="108"/>
      <c r="V1705" s="107"/>
      <c r="W1705" s="106"/>
    </row>
    <row r="1706" spans="1:23" ht="21" customHeight="1">
      <c r="A1706" s="104" t="s">
        <v>273</v>
      </c>
      <c r="B1706" s="104" t="s">
        <v>74</v>
      </c>
      <c r="C1706" s="454" t="s">
        <v>266</v>
      </c>
      <c r="D1706" s="105" t="s">
        <v>1185</v>
      </c>
      <c r="E1706" s="104">
        <v>43202</v>
      </c>
      <c r="F1706" s="104">
        <v>5</v>
      </c>
      <c r="G1706" s="106" t="s">
        <v>1181</v>
      </c>
      <c r="H1706" s="104"/>
      <c r="I1706" s="104" t="s">
        <v>225</v>
      </c>
      <c r="J1706" s="104" t="s">
        <v>284</v>
      </c>
      <c r="K1706" s="104" t="s">
        <v>136</v>
      </c>
      <c r="L1706" s="104" t="s">
        <v>1032</v>
      </c>
      <c r="M1706" s="104" t="s">
        <v>108</v>
      </c>
      <c r="N1706" s="108"/>
      <c r="O1706" s="104"/>
      <c r="P1706" s="108"/>
      <c r="Q1706" s="108"/>
      <c r="R1706" s="104"/>
      <c r="S1706" s="253">
        <v>7.4059600000000003</v>
      </c>
      <c r="T1706" s="104"/>
      <c r="U1706" s="108"/>
      <c r="V1706" s="107"/>
      <c r="W1706" s="106"/>
    </row>
    <row r="1707" spans="1:23" ht="21" customHeight="1">
      <c r="A1707" s="104" t="s">
        <v>273</v>
      </c>
      <c r="B1707" s="104" t="s">
        <v>74</v>
      </c>
      <c r="C1707" s="454" t="s">
        <v>266</v>
      </c>
      <c r="D1707" s="105" t="s">
        <v>1185</v>
      </c>
      <c r="E1707" s="104">
        <v>43202</v>
      </c>
      <c r="F1707" s="104">
        <v>73</v>
      </c>
      <c r="G1707" s="106" t="s">
        <v>1181</v>
      </c>
      <c r="H1707" s="104"/>
      <c r="I1707" s="104" t="s">
        <v>225</v>
      </c>
      <c r="J1707" s="104" t="s">
        <v>284</v>
      </c>
      <c r="K1707" s="104" t="s">
        <v>252</v>
      </c>
      <c r="L1707" s="104" t="s">
        <v>415</v>
      </c>
      <c r="M1707" s="104" t="s">
        <v>108</v>
      </c>
      <c r="N1707" s="108"/>
      <c r="O1707" s="104"/>
      <c r="P1707" s="108"/>
      <c r="Q1707" s="108"/>
      <c r="R1707" s="104"/>
      <c r="S1707" s="253">
        <v>9.6378700000000013</v>
      </c>
      <c r="T1707" s="104"/>
      <c r="U1707" s="108"/>
      <c r="V1707" s="107"/>
      <c r="W1707" s="106"/>
    </row>
    <row r="1708" spans="1:23" ht="21" customHeight="1">
      <c r="A1708" s="104" t="s">
        <v>273</v>
      </c>
      <c r="B1708" s="104" t="s">
        <v>74</v>
      </c>
      <c r="C1708" s="454" t="s">
        <v>266</v>
      </c>
      <c r="D1708" s="105" t="s">
        <v>267</v>
      </c>
      <c r="E1708" s="104">
        <v>43202</v>
      </c>
      <c r="F1708" s="104">
        <v>72</v>
      </c>
      <c r="G1708" s="106" t="s">
        <v>1181</v>
      </c>
      <c r="H1708" s="104"/>
      <c r="I1708" s="104" t="s">
        <v>225</v>
      </c>
      <c r="J1708" s="104" t="s">
        <v>284</v>
      </c>
      <c r="K1708" s="104" t="s">
        <v>112</v>
      </c>
      <c r="L1708" s="104" t="s">
        <v>663</v>
      </c>
      <c r="M1708" s="104" t="s">
        <v>114</v>
      </c>
      <c r="N1708" s="108"/>
      <c r="O1708" s="104"/>
      <c r="P1708" s="108"/>
      <c r="Q1708" s="108"/>
      <c r="R1708" s="104"/>
      <c r="S1708" s="253">
        <v>8.39358</v>
      </c>
      <c r="T1708" s="104"/>
      <c r="U1708" s="108"/>
      <c r="V1708" s="107"/>
      <c r="W1708" s="106"/>
    </row>
    <row r="1709" spans="1:23" ht="21" customHeight="1">
      <c r="A1709" s="104" t="s">
        <v>273</v>
      </c>
      <c r="B1709" s="104" t="s">
        <v>74</v>
      </c>
      <c r="C1709" s="454" t="s">
        <v>266</v>
      </c>
      <c r="D1709" s="105" t="s">
        <v>267</v>
      </c>
      <c r="E1709" s="104">
        <v>43202</v>
      </c>
      <c r="F1709" s="104">
        <v>80</v>
      </c>
      <c r="G1709" s="106" t="s">
        <v>1181</v>
      </c>
      <c r="H1709" s="104"/>
      <c r="I1709" s="104" t="s">
        <v>225</v>
      </c>
      <c r="J1709" s="104" t="s">
        <v>284</v>
      </c>
      <c r="K1709" s="104" t="s">
        <v>1157</v>
      </c>
      <c r="L1709" s="104" t="s">
        <v>1158</v>
      </c>
      <c r="M1709" s="104" t="s">
        <v>114</v>
      </c>
      <c r="N1709" s="108"/>
      <c r="O1709" s="104"/>
      <c r="P1709" s="108"/>
      <c r="Q1709" s="108"/>
      <c r="R1709" s="104"/>
      <c r="S1709" s="253">
        <v>9.2583099999999998</v>
      </c>
      <c r="T1709" s="104"/>
      <c r="U1709" s="108"/>
      <c r="V1709" s="107"/>
      <c r="W1709" s="106"/>
    </row>
    <row r="1710" spans="1:23" ht="21" customHeight="1">
      <c r="A1710" s="104" t="s">
        <v>273</v>
      </c>
      <c r="B1710" s="104" t="s">
        <v>74</v>
      </c>
      <c r="C1710" s="454" t="s">
        <v>266</v>
      </c>
      <c r="D1710" s="105" t="s">
        <v>267</v>
      </c>
      <c r="E1710" s="104">
        <v>43202</v>
      </c>
      <c r="F1710" s="104">
        <v>43</v>
      </c>
      <c r="G1710" s="106" t="s">
        <v>1181</v>
      </c>
      <c r="H1710" s="104"/>
      <c r="I1710" s="104" t="s">
        <v>225</v>
      </c>
      <c r="J1710" s="104" t="s">
        <v>284</v>
      </c>
      <c r="K1710" s="104" t="s">
        <v>112</v>
      </c>
      <c r="L1710" s="104" t="s">
        <v>663</v>
      </c>
      <c r="M1710" s="104" t="s">
        <v>108</v>
      </c>
      <c r="N1710" s="108"/>
      <c r="O1710" s="104"/>
      <c r="P1710" s="108"/>
      <c r="Q1710" s="108"/>
      <c r="R1710" s="104"/>
      <c r="S1710" s="253">
        <v>13.034610000000001</v>
      </c>
      <c r="T1710" s="104"/>
      <c r="U1710" s="108"/>
      <c r="V1710" s="107"/>
      <c r="W1710" s="106"/>
    </row>
    <row r="1711" spans="1:23" ht="21" customHeight="1">
      <c r="A1711" s="104" t="s">
        <v>218</v>
      </c>
      <c r="B1711" s="104" t="s">
        <v>221</v>
      </c>
      <c r="C1711" s="454" t="s">
        <v>222</v>
      </c>
      <c r="D1711" s="105" t="s">
        <v>151</v>
      </c>
      <c r="E1711" s="104">
        <v>40434</v>
      </c>
      <c r="F1711" s="104">
        <v>820</v>
      </c>
      <c r="G1711" s="106" t="s">
        <v>1103</v>
      </c>
      <c r="H1711" s="104" t="s">
        <v>1104</v>
      </c>
      <c r="I1711" s="104" t="s">
        <v>225</v>
      </c>
      <c r="J1711" s="104" t="s">
        <v>105</v>
      </c>
      <c r="K1711" s="104" t="s">
        <v>1105</v>
      </c>
      <c r="L1711" s="104" t="s">
        <v>1106</v>
      </c>
      <c r="M1711" s="104" t="s">
        <v>114</v>
      </c>
      <c r="N1711" s="108" t="s">
        <v>17</v>
      </c>
      <c r="O1711" s="104" t="s">
        <v>17</v>
      </c>
      <c r="P1711" s="108">
        <v>1.3460000000000001</v>
      </c>
      <c r="Q1711" s="108">
        <v>0.82699999999999996</v>
      </c>
      <c r="R1711" s="104" t="s">
        <v>17</v>
      </c>
      <c r="S1711" s="253">
        <f>(((10^((3.13*LOG((P1711*10))+1.4)))+(10^(3.05*LOG((P1711*10))+1.6)))/2)/1000</f>
        <v>98.220529904590421</v>
      </c>
      <c r="T1711" s="104" t="s">
        <v>1107</v>
      </c>
      <c r="U1711" s="108" t="s">
        <v>1073</v>
      </c>
      <c r="V1711" s="107" t="s">
        <v>1108</v>
      </c>
      <c r="W1711" s="106" t="s">
        <v>342</v>
      </c>
    </row>
    <row r="1712" spans="1:23" ht="21" customHeight="1">
      <c r="A1712" s="103" t="s">
        <v>601</v>
      </c>
      <c r="B1712" s="103" t="s">
        <v>602</v>
      </c>
      <c r="C1712" s="421" t="s">
        <v>1120</v>
      </c>
      <c r="D1712" s="105" t="s">
        <v>151</v>
      </c>
      <c r="E1712" s="103">
        <v>801</v>
      </c>
      <c r="F1712" s="103" t="s">
        <v>1465</v>
      </c>
      <c r="G1712" s="103" t="s">
        <v>1466</v>
      </c>
      <c r="H1712" s="103" t="s">
        <v>1467</v>
      </c>
      <c r="I1712" s="104" t="s">
        <v>104</v>
      </c>
      <c r="J1712" s="103" t="s">
        <v>105</v>
      </c>
      <c r="K1712" s="103" t="s">
        <v>185</v>
      </c>
      <c r="L1712" s="103" t="s">
        <v>186</v>
      </c>
      <c r="M1712" s="103"/>
      <c r="N1712" s="103"/>
      <c r="O1712" s="103"/>
      <c r="P1712" s="103">
        <v>20.399999999999999</v>
      </c>
      <c r="Q1712" s="103">
        <v>10.7</v>
      </c>
      <c r="R1712" s="103"/>
      <c r="S1712" s="476"/>
      <c r="T1712" s="103"/>
      <c r="U1712" s="103"/>
      <c r="V1712" s="103"/>
      <c r="W1712" s="414"/>
    </row>
    <row r="1713" spans="1:23" ht="21" customHeight="1">
      <c r="A1713" s="103" t="s">
        <v>601</v>
      </c>
      <c r="B1713" s="103" t="s">
        <v>602</v>
      </c>
      <c r="C1713" s="421" t="s">
        <v>603</v>
      </c>
      <c r="D1713" s="105" t="s">
        <v>151</v>
      </c>
      <c r="E1713" s="103">
        <v>801</v>
      </c>
      <c r="F1713" s="103">
        <v>1</v>
      </c>
      <c r="G1713" s="103" t="s">
        <v>1466</v>
      </c>
      <c r="H1713" s="103" t="s">
        <v>1467</v>
      </c>
      <c r="I1713" s="104" t="s">
        <v>104</v>
      </c>
      <c r="J1713" s="103" t="s">
        <v>105</v>
      </c>
      <c r="K1713" s="103" t="s">
        <v>883</v>
      </c>
      <c r="L1713" s="103" t="s">
        <v>1517</v>
      </c>
      <c r="M1713" s="103"/>
      <c r="N1713" s="103"/>
      <c r="O1713" s="103"/>
      <c r="P1713" s="103">
        <v>23.2</v>
      </c>
      <c r="Q1713" s="103">
        <v>10.7</v>
      </c>
      <c r="R1713" s="103"/>
      <c r="S1713" s="476"/>
      <c r="T1713" s="103"/>
      <c r="U1713" s="103"/>
      <c r="V1713" s="103"/>
      <c r="W1713" s="414"/>
    </row>
    <row r="1714" spans="1:23" ht="21" customHeight="1">
      <c r="A1714" s="103" t="s">
        <v>601</v>
      </c>
      <c r="B1714" s="103" t="s">
        <v>602</v>
      </c>
      <c r="C1714" s="421" t="s">
        <v>603</v>
      </c>
      <c r="D1714" s="105" t="s">
        <v>151</v>
      </c>
      <c r="E1714" s="103">
        <v>30905</v>
      </c>
      <c r="F1714" s="103">
        <v>2</v>
      </c>
      <c r="G1714" s="103" t="s">
        <v>1466</v>
      </c>
      <c r="H1714" s="103" t="s">
        <v>1485</v>
      </c>
      <c r="I1714" s="104" t="s">
        <v>104</v>
      </c>
      <c r="J1714" s="103" t="s">
        <v>105</v>
      </c>
      <c r="K1714" s="104" t="s">
        <v>1441</v>
      </c>
      <c r="L1714" s="104" t="s">
        <v>1442</v>
      </c>
      <c r="M1714" s="103" t="s">
        <v>108</v>
      </c>
      <c r="N1714" s="103"/>
      <c r="O1714" s="103">
        <v>43.7</v>
      </c>
      <c r="P1714" s="103"/>
      <c r="Q1714" s="103"/>
      <c r="R1714" s="103"/>
      <c r="S1714" s="476">
        <v>7174.6</v>
      </c>
      <c r="T1714" s="103" t="s">
        <v>1472</v>
      </c>
      <c r="U1714" s="103">
        <v>0.95</v>
      </c>
      <c r="V1714" s="103" t="s">
        <v>287</v>
      </c>
      <c r="W1714" s="414" t="s">
        <v>1471</v>
      </c>
    </row>
    <row r="1715" spans="1:23" ht="21" customHeight="1">
      <c r="A1715" s="104" t="s">
        <v>273</v>
      </c>
      <c r="B1715" s="104" t="s">
        <v>74</v>
      </c>
      <c r="C1715" s="454" t="s">
        <v>266</v>
      </c>
      <c r="D1715" s="105" t="s">
        <v>267</v>
      </c>
      <c r="E1715" s="104" t="s">
        <v>185</v>
      </c>
      <c r="F1715" s="104">
        <v>3977</v>
      </c>
      <c r="G1715" s="106" t="s">
        <v>295</v>
      </c>
      <c r="H1715" s="104"/>
      <c r="I1715" s="104" t="s">
        <v>289</v>
      </c>
      <c r="J1715" s="104" t="s">
        <v>105</v>
      </c>
      <c r="K1715" s="104" t="s">
        <v>155</v>
      </c>
      <c r="L1715" s="104" t="s">
        <v>658</v>
      </c>
      <c r="M1715" s="104" t="s">
        <v>108</v>
      </c>
      <c r="N1715" s="108" t="s">
        <v>17</v>
      </c>
      <c r="O1715" s="104" t="s">
        <v>17</v>
      </c>
      <c r="P1715" s="108">
        <v>1.292</v>
      </c>
      <c r="Q1715" s="108" t="s">
        <v>17</v>
      </c>
      <c r="R1715" s="104" t="s">
        <v>17</v>
      </c>
      <c r="S1715" s="253">
        <f>((10^(((LOG((P1715*10)))*2.5447)+1.4669)))/1000</f>
        <v>19.711955883456074</v>
      </c>
      <c r="T1715" s="104" t="s">
        <v>1152</v>
      </c>
      <c r="U1715" s="108">
        <v>0.88</v>
      </c>
      <c r="V1715" s="107" t="s">
        <v>287</v>
      </c>
      <c r="W1715" s="114" t="s">
        <v>410</v>
      </c>
    </row>
    <row r="1716" spans="1:23" ht="21" customHeight="1">
      <c r="A1716" s="390" t="s">
        <v>601</v>
      </c>
      <c r="B1716" s="390" t="s">
        <v>602</v>
      </c>
      <c r="C1716" s="423" t="s">
        <v>603</v>
      </c>
      <c r="D1716" s="105" t="s">
        <v>151</v>
      </c>
      <c r="E1716" s="390">
        <v>31037</v>
      </c>
      <c r="F1716" s="390">
        <v>1</v>
      </c>
      <c r="G1716" s="390" t="s">
        <v>1495</v>
      </c>
      <c r="H1716" s="390" t="s">
        <v>1496</v>
      </c>
      <c r="I1716" s="104" t="s">
        <v>104</v>
      </c>
      <c r="J1716" s="390" t="s">
        <v>105</v>
      </c>
      <c r="K1716" s="390" t="s">
        <v>986</v>
      </c>
      <c r="L1716" s="416" t="s">
        <v>987</v>
      </c>
      <c r="M1716" s="390" t="s">
        <v>114</v>
      </c>
      <c r="N1716" s="390"/>
      <c r="O1716" s="390">
        <v>34.299999999999997</v>
      </c>
      <c r="P1716" s="390"/>
      <c r="Q1716" s="390"/>
      <c r="R1716" s="390"/>
      <c r="S1716" s="477">
        <v>4194.7</v>
      </c>
      <c r="T1716" s="390" t="s">
        <v>1470</v>
      </c>
      <c r="U1716" s="390">
        <v>0.99</v>
      </c>
      <c r="V1716" s="390" t="s">
        <v>287</v>
      </c>
      <c r="W1716" s="389" t="s">
        <v>1471</v>
      </c>
    </row>
    <row r="1717" spans="1:23" ht="21" customHeight="1">
      <c r="A1717" s="104" t="s">
        <v>218</v>
      </c>
      <c r="B1717" s="104" t="s">
        <v>389</v>
      </c>
      <c r="C1717" s="454" t="s">
        <v>390</v>
      </c>
      <c r="D1717" s="105" t="s">
        <v>151</v>
      </c>
      <c r="E1717" s="104">
        <v>31041</v>
      </c>
      <c r="F1717" s="104">
        <v>47</v>
      </c>
      <c r="G1717" s="106" t="s">
        <v>170</v>
      </c>
      <c r="H1717" s="104" t="s">
        <v>171</v>
      </c>
      <c r="I1717" s="104" t="s">
        <v>104</v>
      </c>
      <c r="J1717" s="104" t="s">
        <v>105</v>
      </c>
      <c r="K1717" s="104" t="s">
        <v>112</v>
      </c>
      <c r="L1717" s="104" t="s">
        <v>663</v>
      </c>
      <c r="M1717" s="104" t="s">
        <v>114</v>
      </c>
      <c r="N1717" s="108"/>
      <c r="O1717" s="104"/>
      <c r="P1717" s="108">
        <v>3.085</v>
      </c>
      <c r="Q1717" s="108">
        <v>2.1109999999999998</v>
      </c>
      <c r="R1717" s="104" t="s">
        <v>17</v>
      </c>
      <c r="S1717" s="113">
        <f>10^((3.52*LOG((P1717))+1.372))</f>
        <v>1242.1618667353412</v>
      </c>
      <c r="T1717" s="104" t="s">
        <v>718</v>
      </c>
      <c r="U1717" s="108">
        <v>0.93</v>
      </c>
      <c r="V1717" s="107">
        <v>34</v>
      </c>
      <c r="W1717" s="106" t="s">
        <v>700</v>
      </c>
    </row>
    <row r="1718" spans="1:23" ht="21" customHeight="1">
      <c r="A1718" s="104" t="s">
        <v>218</v>
      </c>
      <c r="B1718" s="104" t="s">
        <v>202</v>
      </c>
      <c r="C1718" s="454" t="s">
        <v>203</v>
      </c>
      <c r="D1718" s="105" t="s">
        <v>204</v>
      </c>
      <c r="E1718" s="104">
        <v>31041</v>
      </c>
      <c r="F1718" s="104">
        <v>79</v>
      </c>
      <c r="G1718" s="106" t="s">
        <v>170</v>
      </c>
      <c r="H1718" s="104" t="s">
        <v>171</v>
      </c>
      <c r="I1718" s="104" t="s">
        <v>104</v>
      </c>
      <c r="J1718" s="104" t="s">
        <v>105</v>
      </c>
      <c r="K1718" s="104" t="s">
        <v>112</v>
      </c>
      <c r="L1718" s="104" t="s">
        <v>636</v>
      </c>
      <c r="M1718" s="104" t="s">
        <v>108</v>
      </c>
      <c r="N1718" s="108" t="s">
        <v>17</v>
      </c>
      <c r="O1718" s="104" t="s">
        <v>17</v>
      </c>
      <c r="P1718" s="113">
        <v>4.7490000000000006</v>
      </c>
      <c r="Q1718" s="113">
        <v>1.6469999999999998</v>
      </c>
      <c r="R1718" s="104" t="s">
        <v>17</v>
      </c>
      <c r="S1718" s="253">
        <f>(10^((3.19*LOG((P1718*10))+0.51)))/1000</f>
        <v>721.70700552991855</v>
      </c>
      <c r="T1718" s="104" t="s">
        <v>979</v>
      </c>
      <c r="U1718" s="108">
        <v>0.9</v>
      </c>
      <c r="V1718" s="107">
        <v>39.4</v>
      </c>
      <c r="W1718" s="106" t="s">
        <v>980</v>
      </c>
    </row>
    <row r="1719" spans="1:23" ht="21" customHeight="1">
      <c r="A1719" s="104" t="s">
        <v>218</v>
      </c>
      <c r="B1719" s="104" t="s">
        <v>202</v>
      </c>
      <c r="C1719" s="454" t="s">
        <v>203</v>
      </c>
      <c r="D1719" s="105" t="s">
        <v>204</v>
      </c>
      <c r="E1719" s="104">
        <v>31041</v>
      </c>
      <c r="F1719" s="104">
        <v>75</v>
      </c>
      <c r="G1719" s="106" t="s">
        <v>170</v>
      </c>
      <c r="H1719" s="104" t="s">
        <v>171</v>
      </c>
      <c r="I1719" s="104" t="s">
        <v>104</v>
      </c>
      <c r="J1719" s="104" t="s">
        <v>105</v>
      </c>
      <c r="K1719" s="104" t="s">
        <v>986</v>
      </c>
      <c r="L1719" s="104" t="s">
        <v>987</v>
      </c>
      <c r="M1719" s="104"/>
      <c r="N1719" s="108" t="s">
        <v>17</v>
      </c>
      <c r="O1719" s="104">
        <v>20.5</v>
      </c>
      <c r="P1719" s="113" t="s">
        <v>17</v>
      </c>
      <c r="Q1719" s="113" t="s">
        <v>17</v>
      </c>
      <c r="R1719" s="104" t="s">
        <v>17</v>
      </c>
      <c r="S1719" s="253">
        <f>(10^(2.66975*LOG(O1719*10)-0.13193))/1000</f>
        <v>1096.1623230388129</v>
      </c>
      <c r="T1719" s="108" t="s">
        <v>988</v>
      </c>
      <c r="U1719" s="108">
        <v>0.98</v>
      </c>
      <c r="V1719" s="107"/>
      <c r="W1719" s="114" t="s">
        <v>989</v>
      </c>
    </row>
    <row r="1720" spans="1:23" ht="21" customHeight="1">
      <c r="A1720" s="104" t="s">
        <v>218</v>
      </c>
      <c r="B1720" s="104" t="s">
        <v>202</v>
      </c>
      <c r="C1720" s="454" t="s">
        <v>203</v>
      </c>
      <c r="D1720" s="105" t="s">
        <v>204</v>
      </c>
      <c r="E1720" s="104">
        <v>31041</v>
      </c>
      <c r="F1720" s="104">
        <v>46</v>
      </c>
      <c r="G1720" s="106" t="s">
        <v>170</v>
      </c>
      <c r="H1720" s="104" t="s">
        <v>171</v>
      </c>
      <c r="I1720" s="104" t="s">
        <v>104</v>
      </c>
      <c r="J1720" s="104" t="s">
        <v>105</v>
      </c>
      <c r="K1720" s="104" t="s">
        <v>981</v>
      </c>
      <c r="L1720" s="104" t="s">
        <v>636</v>
      </c>
      <c r="M1720" s="104" t="s">
        <v>114</v>
      </c>
      <c r="N1720" s="108" t="s">
        <v>17</v>
      </c>
      <c r="O1720" s="104" t="s">
        <v>17</v>
      </c>
      <c r="P1720" s="113">
        <v>5.444</v>
      </c>
      <c r="Q1720" s="113">
        <v>2.0780000000000003</v>
      </c>
      <c r="R1720" s="104" t="s">
        <v>17</v>
      </c>
      <c r="S1720" s="253">
        <f>(10^((3.19*LOG((P1720*10))+0.51)))/1000</f>
        <v>1115.78056311407</v>
      </c>
      <c r="T1720" s="104" t="s">
        <v>979</v>
      </c>
      <c r="U1720" s="108">
        <v>0.9</v>
      </c>
      <c r="V1720" s="107">
        <v>39.4</v>
      </c>
      <c r="W1720" s="106" t="s">
        <v>980</v>
      </c>
    </row>
    <row r="1721" spans="1:23" ht="21" customHeight="1">
      <c r="A1721" s="104" t="s">
        <v>218</v>
      </c>
      <c r="B1721" s="104" t="s">
        <v>202</v>
      </c>
      <c r="C1721" s="454" t="s">
        <v>203</v>
      </c>
      <c r="D1721" s="105" t="s">
        <v>204</v>
      </c>
      <c r="E1721" s="104">
        <v>31041</v>
      </c>
      <c r="F1721" s="104">
        <v>1</v>
      </c>
      <c r="G1721" s="106" t="s">
        <v>170</v>
      </c>
      <c r="H1721" s="104" t="s">
        <v>171</v>
      </c>
      <c r="I1721" s="104" t="s">
        <v>104</v>
      </c>
      <c r="J1721" s="104" t="s">
        <v>105</v>
      </c>
      <c r="K1721" s="104" t="s">
        <v>209</v>
      </c>
      <c r="L1721" s="104" t="s">
        <v>984</v>
      </c>
      <c r="M1721" s="104" t="s">
        <v>114</v>
      </c>
      <c r="N1721" s="108" t="s">
        <v>17</v>
      </c>
      <c r="O1721" s="104" t="s">
        <v>17</v>
      </c>
      <c r="P1721" s="113">
        <v>5.1779999999999999</v>
      </c>
      <c r="Q1721" s="113">
        <v>1.8</v>
      </c>
      <c r="R1721" s="104" t="s">
        <v>17</v>
      </c>
      <c r="S1721" s="253">
        <f>((((10^(3.15*LOG((P1721*10))+0.94))+(10^(3.12*LOG((P1721*10))+0.94))+(10^(3.21*LOG((P1721*10))+0.92))+(10^(3.19*LOG((P1721*10))+0.51)))/6)/1000)</f>
        <v>1287.2862951288</v>
      </c>
      <c r="T1721" s="104" t="s">
        <v>993</v>
      </c>
      <c r="U1721" s="108">
        <v>0.88</v>
      </c>
      <c r="V1721" s="107">
        <v>42.47</v>
      </c>
      <c r="W1721" s="106" t="s">
        <v>980</v>
      </c>
    </row>
    <row r="1722" spans="1:23" ht="21" customHeight="1">
      <c r="A1722" s="104" t="s">
        <v>218</v>
      </c>
      <c r="B1722" s="104" t="s">
        <v>202</v>
      </c>
      <c r="C1722" s="454" t="s">
        <v>203</v>
      </c>
      <c r="D1722" s="105" t="s">
        <v>204</v>
      </c>
      <c r="E1722" s="104">
        <v>31041</v>
      </c>
      <c r="F1722" s="104">
        <v>44</v>
      </c>
      <c r="G1722" s="106" t="s">
        <v>170</v>
      </c>
      <c r="H1722" s="104" t="s">
        <v>171</v>
      </c>
      <c r="I1722" s="104" t="s">
        <v>104</v>
      </c>
      <c r="J1722" s="104" t="s">
        <v>105</v>
      </c>
      <c r="K1722" s="104" t="s">
        <v>981</v>
      </c>
      <c r="L1722" s="104" t="s">
        <v>636</v>
      </c>
      <c r="M1722" s="104" t="s">
        <v>108</v>
      </c>
      <c r="N1722" s="108" t="s">
        <v>17</v>
      </c>
      <c r="O1722" s="104" t="s">
        <v>17</v>
      </c>
      <c r="P1722" s="113">
        <v>5.694</v>
      </c>
      <c r="Q1722" s="113">
        <v>2.496</v>
      </c>
      <c r="R1722" s="104" t="s">
        <v>17</v>
      </c>
      <c r="S1722" s="253">
        <f>(10^((3.19*LOG((P1722*10))+0.51)))/1000</f>
        <v>1287.6021890780819</v>
      </c>
      <c r="T1722" s="104" t="s">
        <v>979</v>
      </c>
      <c r="U1722" s="108">
        <v>0.9</v>
      </c>
      <c r="V1722" s="107">
        <v>39.4</v>
      </c>
      <c r="W1722" s="106" t="s">
        <v>980</v>
      </c>
    </row>
    <row r="1723" spans="1:23" ht="21" customHeight="1">
      <c r="A1723" s="104" t="s">
        <v>169</v>
      </c>
      <c r="B1723" s="104" t="s">
        <v>149</v>
      </c>
      <c r="C1723" s="454" t="s">
        <v>150</v>
      </c>
      <c r="D1723" s="105" t="s">
        <v>151</v>
      </c>
      <c r="E1723" s="104">
        <v>31041</v>
      </c>
      <c r="F1723" s="104">
        <v>33</v>
      </c>
      <c r="G1723" s="106" t="s">
        <v>170</v>
      </c>
      <c r="H1723" s="104" t="s">
        <v>171</v>
      </c>
      <c r="I1723" s="104" t="s">
        <v>104</v>
      </c>
      <c r="J1723" s="104" t="s">
        <v>105</v>
      </c>
      <c r="K1723" s="104" t="s">
        <v>112</v>
      </c>
      <c r="L1723" s="104" t="s">
        <v>663</v>
      </c>
      <c r="M1723" s="104" t="s">
        <v>114</v>
      </c>
      <c r="N1723" s="108" t="s">
        <v>17</v>
      </c>
      <c r="O1723" s="104" t="s">
        <v>17</v>
      </c>
      <c r="P1723" s="113">
        <v>2.3090000000000002</v>
      </c>
      <c r="Q1723" s="113">
        <v>1.752</v>
      </c>
      <c r="R1723" s="104" t="s">
        <v>17</v>
      </c>
      <c r="S1723" s="253">
        <f>(10^((3.187*LOG((P1723))+1.264)))</f>
        <v>264.38211602401094</v>
      </c>
      <c r="T1723" s="103" t="s">
        <v>1387</v>
      </c>
      <c r="U1723" s="108">
        <v>0.98499999999999999</v>
      </c>
      <c r="V1723" s="107">
        <v>16.5</v>
      </c>
      <c r="W1723" s="414" t="s">
        <v>1385</v>
      </c>
    </row>
    <row r="1724" spans="1:23" ht="21" customHeight="1">
      <c r="A1724" s="104" t="s">
        <v>169</v>
      </c>
      <c r="B1724" s="104" t="s">
        <v>149</v>
      </c>
      <c r="C1724" s="454" t="s">
        <v>150</v>
      </c>
      <c r="D1724" s="105" t="s">
        <v>151</v>
      </c>
      <c r="E1724" s="104">
        <v>31041</v>
      </c>
      <c r="F1724" s="104">
        <v>198</v>
      </c>
      <c r="G1724" s="106" t="s">
        <v>170</v>
      </c>
      <c r="H1724" s="104" t="s">
        <v>171</v>
      </c>
      <c r="I1724" s="104" t="s">
        <v>104</v>
      </c>
      <c r="J1724" s="104" t="s">
        <v>105</v>
      </c>
      <c r="K1724" s="104" t="s">
        <v>155</v>
      </c>
      <c r="L1724" s="104" t="s">
        <v>658</v>
      </c>
      <c r="M1724" s="104" t="s">
        <v>114</v>
      </c>
      <c r="N1724" s="108" t="s">
        <v>17</v>
      </c>
      <c r="O1724" s="104" t="s">
        <v>17</v>
      </c>
      <c r="P1724" s="113">
        <v>2.9670000000000001</v>
      </c>
      <c r="Q1724" s="113">
        <v>1.8839999999999999</v>
      </c>
      <c r="R1724" s="104" t="s">
        <v>17</v>
      </c>
      <c r="S1724" s="253">
        <f>(10^((2.9*LOG((P1724))+1.209)))</f>
        <v>379.07128225456728</v>
      </c>
      <c r="T1724" s="103" t="s">
        <v>1386</v>
      </c>
      <c r="U1724" s="108">
        <v>0.96399999999999997</v>
      </c>
      <c r="V1724" s="107">
        <v>30.5</v>
      </c>
      <c r="W1724" s="414" t="s">
        <v>1385</v>
      </c>
    </row>
    <row r="1725" spans="1:23" ht="21" customHeight="1">
      <c r="A1725" s="104" t="s">
        <v>169</v>
      </c>
      <c r="B1725" s="104" t="s">
        <v>149</v>
      </c>
      <c r="C1725" s="454" t="s">
        <v>150</v>
      </c>
      <c r="D1725" s="105" t="s">
        <v>151</v>
      </c>
      <c r="E1725" s="104">
        <v>31041</v>
      </c>
      <c r="F1725" s="104">
        <v>2</v>
      </c>
      <c r="G1725" s="106" t="s">
        <v>170</v>
      </c>
      <c r="H1725" s="104" t="s">
        <v>171</v>
      </c>
      <c r="I1725" s="104" t="s">
        <v>104</v>
      </c>
      <c r="J1725" s="104" t="s">
        <v>105</v>
      </c>
      <c r="K1725" s="104" t="s">
        <v>112</v>
      </c>
      <c r="L1725" s="104" t="s">
        <v>663</v>
      </c>
      <c r="M1725" s="104" t="s">
        <v>114</v>
      </c>
      <c r="N1725" s="108" t="s">
        <v>17</v>
      </c>
      <c r="O1725" s="104" t="s">
        <v>17</v>
      </c>
      <c r="P1725" s="113">
        <v>3</v>
      </c>
      <c r="Q1725" s="113">
        <v>2.0710000000000002</v>
      </c>
      <c r="R1725" s="104" t="s">
        <v>17</v>
      </c>
      <c r="S1725" s="253">
        <f>(10^((3.187*LOG((P1725))+1.264)))</f>
        <v>608.95533381435098</v>
      </c>
      <c r="T1725" s="103" t="s">
        <v>1387</v>
      </c>
      <c r="U1725" s="108">
        <v>0.98499999999999999</v>
      </c>
      <c r="V1725" s="107">
        <v>16.5</v>
      </c>
      <c r="W1725" s="414" t="s">
        <v>1385</v>
      </c>
    </row>
    <row r="1726" spans="1:23" ht="21" customHeight="1">
      <c r="A1726" s="104" t="s">
        <v>169</v>
      </c>
      <c r="B1726" s="104" t="s">
        <v>149</v>
      </c>
      <c r="C1726" s="454" t="s">
        <v>150</v>
      </c>
      <c r="D1726" s="105" t="s">
        <v>151</v>
      </c>
      <c r="E1726" s="104">
        <v>31041</v>
      </c>
      <c r="F1726" s="104">
        <v>33</v>
      </c>
      <c r="G1726" s="106" t="s">
        <v>170</v>
      </c>
      <c r="H1726" s="104" t="s">
        <v>171</v>
      </c>
      <c r="I1726" s="104" t="s">
        <v>104</v>
      </c>
      <c r="J1726" s="104" t="s">
        <v>105</v>
      </c>
      <c r="K1726" s="104" t="s">
        <v>1428</v>
      </c>
      <c r="L1726" s="104" t="s">
        <v>720</v>
      </c>
      <c r="M1726" s="104" t="s">
        <v>108</v>
      </c>
      <c r="N1726" s="108" t="s">
        <v>17</v>
      </c>
      <c r="O1726" s="104" t="s">
        <v>17</v>
      </c>
      <c r="P1726" s="113">
        <v>3.29</v>
      </c>
      <c r="Q1726" s="113">
        <v>1.7749999999999999</v>
      </c>
      <c r="R1726" s="104" t="s">
        <v>17</v>
      </c>
      <c r="S1726" s="253">
        <f>(10^(((LOG(P1726)*2.637)+1.527)))</f>
        <v>777.75996268498295</v>
      </c>
      <c r="T1726" s="104" t="s">
        <v>1429</v>
      </c>
      <c r="U1726" s="108">
        <v>0.83899999999999997</v>
      </c>
      <c r="V1726" s="107">
        <v>88.6</v>
      </c>
      <c r="W1726" s="414" t="s">
        <v>1385</v>
      </c>
    </row>
    <row r="1727" spans="1:23" ht="21" customHeight="1">
      <c r="A1727" s="104" t="s">
        <v>169</v>
      </c>
      <c r="B1727" s="104" t="s">
        <v>149</v>
      </c>
      <c r="C1727" s="454" t="s">
        <v>150</v>
      </c>
      <c r="D1727" s="105" t="s">
        <v>151</v>
      </c>
      <c r="E1727" s="104">
        <v>31041</v>
      </c>
      <c r="F1727" s="104">
        <v>116</v>
      </c>
      <c r="G1727" s="106" t="s">
        <v>170</v>
      </c>
      <c r="H1727" s="104" t="s">
        <v>171</v>
      </c>
      <c r="I1727" s="104" t="s">
        <v>104</v>
      </c>
      <c r="J1727" s="104" t="s">
        <v>105</v>
      </c>
      <c r="K1727" s="104" t="s">
        <v>112</v>
      </c>
      <c r="L1727" s="104" t="s">
        <v>663</v>
      </c>
      <c r="M1727" s="104" t="s">
        <v>114</v>
      </c>
      <c r="N1727" s="108" t="s">
        <v>17</v>
      </c>
      <c r="O1727" s="104" t="s">
        <v>17</v>
      </c>
      <c r="P1727" s="113">
        <v>3.242</v>
      </c>
      <c r="Q1727" s="113">
        <v>2.3980000000000001</v>
      </c>
      <c r="R1727" s="104" t="s">
        <v>17</v>
      </c>
      <c r="S1727" s="253">
        <f>(10^((3.187*LOG((P1727))+1.264)))</f>
        <v>779.76020009860133</v>
      </c>
      <c r="T1727" s="103" t="s">
        <v>1387</v>
      </c>
      <c r="U1727" s="108">
        <v>0.98499999999999999</v>
      </c>
      <c r="V1727" s="107">
        <v>16.5</v>
      </c>
      <c r="W1727" s="414" t="s">
        <v>1385</v>
      </c>
    </row>
    <row r="1728" spans="1:23" ht="21" customHeight="1">
      <c r="A1728" s="104" t="s">
        <v>592</v>
      </c>
      <c r="B1728" s="105" t="s">
        <v>1120</v>
      </c>
      <c r="C1728" s="454" t="s">
        <v>1440</v>
      </c>
      <c r="D1728" s="105" t="s">
        <v>151</v>
      </c>
      <c r="E1728" s="104">
        <v>31041</v>
      </c>
      <c r="F1728" s="104">
        <v>76</v>
      </c>
      <c r="G1728" s="106" t="s">
        <v>170</v>
      </c>
      <c r="H1728" s="104" t="s">
        <v>171</v>
      </c>
      <c r="I1728" s="104" t="s">
        <v>104</v>
      </c>
      <c r="J1728" s="104" t="s">
        <v>105</v>
      </c>
      <c r="K1728" s="104" t="s">
        <v>1441</v>
      </c>
      <c r="L1728" s="104" t="s">
        <v>1442</v>
      </c>
      <c r="M1728" s="104"/>
      <c r="N1728" s="108" t="s">
        <v>17</v>
      </c>
      <c r="O1728" s="104">
        <v>20.3</v>
      </c>
      <c r="P1728" s="113" t="s">
        <v>17</v>
      </c>
      <c r="Q1728" s="113" t="s">
        <v>17</v>
      </c>
      <c r="R1728" s="104" t="s">
        <v>17</v>
      </c>
      <c r="S1728" s="253">
        <f>(10^(2.87355*LOG(O1728*10)-0.52682))/1000</f>
        <v>1270.2384063902434</v>
      </c>
      <c r="T1728" s="103" t="s">
        <v>1443</v>
      </c>
      <c r="U1728" s="103">
        <v>0.98</v>
      </c>
      <c r="V1728" s="103" t="s">
        <v>287</v>
      </c>
      <c r="W1728" s="414" t="s">
        <v>989</v>
      </c>
    </row>
    <row r="1729" spans="1:23" ht="21" customHeight="1">
      <c r="A1729" s="104" t="s">
        <v>592</v>
      </c>
      <c r="B1729" s="104" t="s">
        <v>597</v>
      </c>
      <c r="C1729" s="454" t="s">
        <v>1451</v>
      </c>
      <c r="D1729" s="105" t="s">
        <v>151</v>
      </c>
      <c r="E1729" s="104">
        <v>31041</v>
      </c>
      <c r="F1729" s="104">
        <v>63</v>
      </c>
      <c r="G1729" s="106" t="s">
        <v>170</v>
      </c>
      <c r="H1729" s="104" t="s">
        <v>171</v>
      </c>
      <c r="I1729" s="104" t="s">
        <v>104</v>
      </c>
      <c r="J1729" s="104" t="s">
        <v>105</v>
      </c>
      <c r="K1729" s="104" t="s">
        <v>185</v>
      </c>
      <c r="L1729" s="104" t="s">
        <v>186</v>
      </c>
      <c r="M1729" s="104"/>
      <c r="N1729" s="108" t="s">
        <v>17</v>
      </c>
      <c r="O1729" s="104" t="s">
        <v>17</v>
      </c>
      <c r="P1729" s="113">
        <v>3.87</v>
      </c>
      <c r="Q1729" s="113">
        <v>2.5499999999999998</v>
      </c>
      <c r="R1729" s="104" t="s">
        <v>17</v>
      </c>
      <c r="S1729" s="253"/>
      <c r="T1729" s="104"/>
      <c r="U1729" s="108"/>
      <c r="V1729" s="107"/>
      <c r="W1729" s="114"/>
    </row>
    <row r="1730" spans="1:23" ht="21" customHeight="1">
      <c r="A1730" s="104" t="s">
        <v>592</v>
      </c>
      <c r="B1730" s="104" t="s">
        <v>597</v>
      </c>
      <c r="C1730" s="454" t="s">
        <v>1451</v>
      </c>
      <c r="D1730" s="105" t="s">
        <v>151</v>
      </c>
      <c r="E1730" s="104">
        <v>31052</v>
      </c>
      <c r="F1730" s="104">
        <v>3</v>
      </c>
      <c r="G1730" s="106" t="s">
        <v>170</v>
      </c>
      <c r="H1730" s="104" t="s">
        <v>171</v>
      </c>
      <c r="I1730" s="104" t="s">
        <v>104</v>
      </c>
      <c r="J1730" s="104" t="s">
        <v>105</v>
      </c>
      <c r="K1730" s="104" t="s">
        <v>986</v>
      </c>
      <c r="L1730" s="104" t="s">
        <v>987</v>
      </c>
      <c r="M1730" s="104" t="s">
        <v>114</v>
      </c>
      <c r="N1730" s="108" t="s">
        <v>17</v>
      </c>
      <c r="O1730" s="104">
        <v>30.5</v>
      </c>
      <c r="P1730" s="113" t="s">
        <v>17</v>
      </c>
      <c r="Q1730" s="113" t="s">
        <v>17</v>
      </c>
      <c r="R1730" s="104" t="s">
        <v>17</v>
      </c>
      <c r="S1730" s="253">
        <f>(10^(2.66975*LOG(O1730*10)-0.13193))/1000</f>
        <v>3166.1354914127373</v>
      </c>
      <c r="T1730" s="108" t="s">
        <v>988</v>
      </c>
      <c r="U1730" s="108">
        <v>0.98</v>
      </c>
      <c r="V1730" s="107"/>
      <c r="W1730" s="114" t="s">
        <v>989</v>
      </c>
    </row>
    <row r="1731" spans="1:23" ht="21" customHeight="1">
      <c r="A1731" s="416" t="s">
        <v>592</v>
      </c>
      <c r="B1731" s="416" t="s">
        <v>597</v>
      </c>
      <c r="C1731" s="455" t="s">
        <v>598</v>
      </c>
      <c r="D1731" s="461" t="s">
        <v>599</v>
      </c>
      <c r="E1731" s="416">
        <v>31052</v>
      </c>
      <c r="F1731" s="416">
        <v>11</v>
      </c>
      <c r="G1731" s="456" t="s">
        <v>170</v>
      </c>
      <c r="H1731" s="416" t="s">
        <v>171</v>
      </c>
      <c r="I1731" s="104" t="s">
        <v>104</v>
      </c>
      <c r="J1731" s="416" t="s">
        <v>105</v>
      </c>
      <c r="K1731" s="416" t="s">
        <v>1441</v>
      </c>
      <c r="L1731" s="416" t="s">
        <v>1442</v>
      </c>
      <c r="M1731" s="416" t="s">
        <v>108</v>
      </c>
      <c r="N1731" s="458" t="s">
        <v>17</v>
      </c>
      <c r="O1731" s="416">
        <v>46.2</v>
      </c>
      <c r="P1731" s="457" t="s">
        <v>17</v>
      </c>
      <c r="Q1731" s="457" t="s">
        <v>17</v>
      </c>
      <c r="R1731" s="416" t="s">
        <v>17</v>
      </c>
      <c r="S1731" s="459">
        <f>(10^(2.87355*LOG(O1731*10)-0.52682))/1000</f>
        <v>13494.660060408085</v>
      </c>
      <c r="T1731" s="390" t="s">
        <v>1443</v>
      </c>
      <c r="U1731" s="390">
        <v>0.98</v>
      </c>
      <c r="V1731" s="390" t="s">
        <v>287</v>
      </c>
      <c r="W1731" s="389" t="s">
        <v>989</v>
      </c>
    </row>
    <row r="1732" spans="1:23" ht="21" customHeight="1">
      <c r="A1732" s="103" t="s">
        <v>601</v>
      </c>
      <c r="B1732" s="103" t="s">
        <v>602</v>
      </c>
      <c r="C1732" s="421" t="s">
        <v>603</v>
      </c>
      <c r="D1732" s="105" t="s">
        <v>151</v>
      </c>
      <c r="E1732" s="103">
        <v>31041</v>
      </c>
      <c r="F1732" s="103">
        <v>186</v>
      </c>
      <c r="G1732" s="103" t="s">
        <v>170</v>
      </c>
      <c r="H1732" s="103" t="s">
        <v>171</v>
      </c>
      <c r="I1732" s="104" t="s">
        <v>104</v>
      </c>
      <c r="J1732" s="103" t="s">
        <v>105</v>
      </c>
      <c r="K1732" s="103" t="s">
        <v>986</v>
      </c>
      <c r="L1732" s="104" t="s">
        <v>987</v>
      </c>
      <c r="M1732" s="103"/>
      <c r="N1732" s="103"/>
      <c r="O1732" s="103">
        <v>51.5</v>
      </c>
      <c r="P1732" s="103"/>
      <c r="Q1732" s="103"/>
      <c r="R1732" s="103"/>
      <c r="S1732" s="476">
        <v>9690</v>
      </c>
      <c r="T1732" s="103" t="s">
        <v>1470</v>
      </c>
      <c r="U1732" s="103">
        <v>0.99</v>
      </c>
      <c r="V1732" s="103" t="s">
        <v>287</v>
      </c>
      <c r="W1732" s="414" t="s">
        <v>1471</v>
      </c>
    </row>
    <row r="1733" spans="1:23" ht="21" customHeight="1">
      <c r="A1733" s="103" t="s">
        <v>601</v>
      </c>
      <c r="B1733" s="103" t="s">
        <v>602</v>
      </c>
      <c r="C1733" s="421" t="s">
        <v>603</v>
      </c>
      <c r="D1733" s="105" t="s">
        <v>151</v>
      </c>
      <c r="E1733" s="103">
        <v>31041</v>
      </c>
      <c r="F1733" s="103">
        <v>94</v>
      </c>
      <c r="G1733" s="103" t="s">
        <v>170</v>
      </c>
      <c r="H1733" s="103" t="s">
        <v>171</v>
      </c>
      <c r="I1733" s="104" t="s">
        <v>104</v>
      </c>
      <c r="J1733" s="103" t="s">
        <v>105</v>
      </c>
      <c r="K1733" s="103" t="s">
        <v>810</v>
      </c>
      <c r="L1733" s="103" t="s">
        <v>130</v>
      </c>
      <c r="M1733" s="103" t="s">
        <v>114</v>
      </c>
      <c r="N1733" s="103"/>
      <c r="O1733" s="103"/>
      <c r="P1733" s="103">
        <v>22.3</v>
      </c>
      <c r="Q1733" s="103">
        <v>9.98</v>
      </c>
      <c r="R1733" s="103"/>
      <c r="S1733" s="476"/>
      <c r="T1733" s="103"/>
      <c r="U1733" s="103"/>
      <c r="V1733" s="103"/>
      <c r="W1733" s="414"/>
    </row>
    <row r="1734" spans="1:23" ht="21" customHeight="1">
      <c r="A1734" s="103" t="s">
        <v>601</v>
      </c>
      <c r="B1734" s="103" t="s">
        <v>602</v>
      </c>
      <c r="C1734" s="421" t="s">
        <v>603</v>
      </c>
      <c r="D1734" s="105" t="s">
        <v>151</v>
      </c>
      <c r="E1734" s="103">
        <v>31041</v>
      </c>
      <c r="F1734" s="103">
        <v>170</v>
      </c>
      <c r="G1734" s="103" t="s">
        <v>170</v>
      </c>
      <c r="H1734" s="103" t="s">
        <v>171</v>
      </c>
      <c r="I1734" s="104" t="s">
        <v>104</v>
      </c>
      <c r="J1734" s="103" t="s">
        <v>105</v>
      </c>
      <c r="K1734" s="103" t="s">
        <v>810</v>
      </c>
      <c r="L1734" s="103" t="s">
        <v>130</v>
      </c>
      <c r="M1734" s="103" t="s">
        <v>114</v>
      </c>
      <c r="N1734" s="103"/>
      <c r="O1734" s="103"/>
      <c r="P1734" s="103">
        <v>23.2</v>
      </c>
      <c r="Q1734" s="103">
        <v>9.9600000000000009</v>
      </c>
      <c r="R1734" s="103"/>
      <c r="S1734" s="476"/>
      <c r="T1734" s="103"/>
      <c r="U1734" s="103"/>
      <c r="V1734" s="103"/>
      <c r="W1734" s="414"/>
    </row>
    <row r="1735" spans="1:23" ht="21" customHeight="1">
      <c r="A1735" s="103" t="s">
        <v>601</v>
      </c>
      <c r="B1735" s="103" t="s">
        <v>602</v>
      </c>
      <c r="C1735" s="421" t="s">
        <v>603</v>
      </c>
      <c r="D1735" s="105" t="s">
        <v>151</v>
      </c>
      <c r="E1735" s="103">
        <v>31041</v>
      </c>
      <c r="F1735" s="103">
        <v>69</v>
      </c>
      <c r="G1735" s="103" t="s">
        <v>170</v>
      </c>
      <c r="H1735" s="103" t="s">
        <v>171</v>
      </c>
      <c r="I1735" s="104" t="s">
        <v>104</v>
      </c>
      <c r="J1735" s="103" t="s">
        <v>105</v>
      </c>
      <c r="K1735" s="103" t="s">
        <v>185</v>
      </c>
      <c r="L1735" s="103" t="s">
        <v>186</v>
      </c>
      <c r="M1735" s="103"/>
      <c r="N1735" s="103"/>
      <c r="O1735" s="103"/>
      <c r="P1735" s="103">
        <v>17.8</v>
      </c>
      <c r="Q1735" s="103">
        <v>10.6</v>
      </c>
      <c r="R1735" s="103"/>
      <c r="S1735" s="476"/>
      <c r="T1735" s="103"/>
      <c r="U1735" s="103"/>
      <c r="V1735" s="103"/>
      <c r="W1735" s="414"/>
    </row>
    <row r="1736" spans="1:23" ht="21" customHeight="1">
      <c r="A1736" s="103" t="s">
        <v>601</v>
      </c>
      <c r="B1736" s="103" t="s">
        <v>602</v>
      </c>
      <c r="C1736" s="421" t="s">
        <v>603</v>
      </c>
      <c r="D1736" s="105" t="s">
        <v>151</v>
      </c>
      <c r="E1736" s="103">
        <v>31041</v>
      </c>
      <c r="F1736" s="103">
        <v>100</v>
      </c>
      <c r="G1736" s="103" t="s">
        <v>170</v>
      </c>
      <c r="H1736" s="103" t="s">
        <v>171</v>
      </c>
      <c r="I1736" s="104" t="s">
        <v>104</v>
      </c>
      <c r="J1736" s="103" t="s">
        <v>105</v>
      </c>
      <c r="K1736" s="103" t="s">
        <v>185</v>
      </c>
      <c r="L1736" s="103" t="s">
        <v>186</v>
      </c>
      <c r="M1736" s="103"/>
      <c r="N1736" s="103"/>
      <c r="O1736" s="103"/>
      <c r="P1736" s="103">
        <v>22.3</v>
      </c>
      <c r="Q1736" s="103">
        <v>8.8699999999999992</v>
      </c>
      <c r="R1736" s="103"/>
      <c r="S1736" s="476"/>
      <c r="T1736" s="103"/>
      <c r="U1736" s="103"/>
      <c r="V1736" s="103"/>
      <c r="W1736" s="414"/>
    </row>
    <row r="1737" spans="1:23" ht="21" customHeight="1">
      <c r="A1737" s="104" t="s">
        <v>218</v>
      </c>
      <c r="B1737" s="104" t="s">
        <v>389</v>
      </c>
      <c r="C1737" s="454" t="s">
        <v>390</v>
      </c>
      <c r="D1737" s="105" t="s">
        <v>151</v>
      </c>
      <c r="E1737" s="104">
        <v>41427</v>
      </c>
      <c r="F1737" s="104">
        <v>1</v>
      </c>
      <c r="G1737" s="106" t="s">
        <v>843</v>
      </c>
      <c r="H1737" s="104" t="s">
        <v>306</v>
      </c>
      <c r="I1737" s="104" t="s">
        <v>104</v>
      </c>
      <c r="J1737" s="104" t="s">
        <v>105</v>
      </c>
      <c r="K1737" s="106" t="s">
        <v>143</v>
      </c>
      <c r="L1737" s="104" t="s">
        <v>708</v>
      </c>
      <c r="M1737" s="104" t="s">
        <v>114</v>
      </c>
      <c r="N1737" s="108"/>
      <c r="O1737" s="104"/>
      <c r="P1737" s="108">
        <v>2.851</v>
      </c>
      <c r="Q1737" s="108">
        <v>2.0300000000000002</v>
      </c>
      <c r="R1737" s="104" t="s">
        <v>17</v>
      </c>
      <c r="S1737" s="113">
        <f>((10^((3.395*LOG((P1737))+1.061))))</f>
        <v>403.38110634048741</v>
      </c>
      <c r="T1737" s="104" t="s">
        <v>709</v>
      </c>
      <c r="U1737" s="108">
        <v>0.91200000000000003</v>
      </c>
      <c r="V1737" s="107">
        <v>36.5</v>
      </c>
      <c r="W1737" s="106" t="s">
        <v>700</v>
      </c>
    </row>
    <row r="1738" spans="1:23" ht="21" customHeight="1">
      <c r="A1738" s="104" t="s">
        <v>273</v>
      </c>
      <c r="B1738" s="104" t="s">
        <v>74</v>
      </c>
      <c r="C1738" s="454" t="s">
        <v>266</v>
      </c>
      <c r="D1738" s="105" t="s">
        <v>505</v>
      </c>
      <c r="E1738" s="104">
        <v>41352</v>
      </c>
      <c r="F1738" s="104">
        <v>1</v>
      </c>
      <c r="G1738" s="106" t="s">
        <v>1236</v>
      </c>
      <c r="H1738" s="104" t="s">
        <v>103</v>
      </c>
      <c r="I1738" s="104" t="s">
        <v>104</v>
      </c>
      <c r="J1738" s="104" t="s">
        <v>105</v>
      </c>
      <c r="K1738" s="104" t="s">
        <v>112</v>
      </c>
      <c r="L1738" s="104" t="s">
        <v>663</v>
      </c>
      <c r="M1738" s="104" t="s">
        <v>114</v>
      </c>
      <c r="N1738" s="108" t="s">
        <v>17</v>
      </c>
      <c r="O1738" s="104" t="s">
        <v>17</v>
      </c>
      <c r="P1738" s="113">
        <v>2.5750000000000002</v>
      </c>
      <c r="Q1738" s="113">
        <v>1.1279999999999999</v>
      </c>
      <c r="R1738" s="104" t="s">
        <v>17</v>
      </c>
      <c r="S1738" s="253">
        <v>25.326623471223552</v>
      </c>
      <c r="T1738" s="104" t="s">
        <v>1167</v>
      </c>
      <c r="U1738" s="108">
        <v>0.96</v>
      </c>
      <c r="V1738" s="107">
        <v>12.4</v>
      </c>
      <c r="W1738" s="114" t="s">
        <v>284</v>
      </c>
    </row>
    <row r="1739" spans="1:23" ht="21" customHeight="1">
      <c r="A1739" s="103" t="s">
        <v>601</v>
      </c>
      <c r="B1739" s="103" t="s">
        <v>602</v>
      </c>
      <c r="C1739" s="421" t="s">
        <v>609</v>
      </c>
      <c r="D1739" s="396" t="s">
        <v>610</v>
      </c>
      <c r="E1739" s="103">
        <v>16</v>
      </c>
      <c r="F1739" s="103">
        <v>2138</v>
      </c>
      <c r="G1739" s="103" t="s">
        <v>1473</v>
      </c>
      <c r="H1739" s="103" t="s">
        <v>1396</v>
      </c>
      <c r="I1739" s="104" t="s">
        <v>104</v>
      </c>
      <c r="J1739" s="103" t="s">
        <v>105</v>
      </c>
      <c r="K1739" s="103" t="s">
        <v>1474</v>
      </c>
      <c r="L1739" s="103" t="s">
        <v>1475</v>
      </c>
      <c r="M1739" s="103"/>
      <c r="N1739" s="103"/>
      <c r="O1739" s="103"/>
      <c r="P1739" s="103">
        <v>16.21</v>
      </c>
      <c r="Q1739" s="103">
        <v>8.4499999999999993</v>
      </c>
      <c r="R1739" s="103"/>
      <c r="S1739" s="476"/>
      <c r="T1739" s="103"/>
      <c r="U1739" s="103"/>
      <c r="V1739" s="103"/>
      <c r="W1739" s="414"/>
    </row>
    <row r="1740" spans="1:23" ht="21" customHeight="1">
      <c r="A1740" s="104" t="s">
        <v>169</v>
      </c>
      <c r="B1740" s="104" t="s">
        <v>149</v>
      </c>
      <c r="C1740" s="454" t="s">
        <v>150</v>
      </c>
      <c r="D1740" s="105" t="s">
        <v>151</v>
      </c>
      <c r="E1740" s="104">
        <v>16</v>
      </c>
      <c r="F1740" s="104">
        <v>2372</v>
      </c>
      <c r="G1740" s="106" t="s">
        <v>1408</v>
      </c>
      <c r="H1740" s="104" t="s">
        <v>1396</v>
      </c>
      <c r="I1740" s="104" t="s">
        <v>104</v>
      </c>
      <c r="J1740" s="104" t="s">
        <v>105</v>
      </c>
      <c r="K1740" s="104" t="s">
        <v>155</v>
      </c>
      <c r="L1740" s="104" t="s">
        <v>658</v>
      </c>
      <c r="M1740" s="104" t="s">
        <v>114</v>
      </c>
      <c r="N1740" s="108" t="s">
        <v>17</v>
      </c>
      <c r="O1740" s="104" t="s">
        <v>17</v>
      </c>
      <c r="P1740" s="113">
        <v>2.9</v>
      </c>
      <c r="Q1740" s="113">
        <v>2.718</v>
      </c>
      <c r="R1740" s="104" t="s">
        <v>17</v>
      </c>
      <c r="S1740" s="253">
        <f>(10^((2.9*LOG((P1740))+1.209)))</f>
        <v>354.77596817777027</v>
      </c>
      <c r="T1740" s="103" t="s">
        <v>1386</v>
      </c>
      <c r="U1740" s="108">
        <v>0.96399999999999997</v>
      </c>
      <c r="V1740" s="107">
        <v>30.5</v>
      </c>
      <c r="W1740" s="414" t="s">
        <v>1385</v>
      </c>
    </row>
    <row r="1741" spans="1:23" ht="21" customHeight="1">
      <c r="A1741" s="104" t="s">
        <v>169</v>
      </c>
      <c r="B1741" s="104" t="s">
        <v>149</v>
      </c>
      <c r="C1741" s="454" t="s">
        <v>150</v>
      </c>
      <c r="D1741" s="105" t="s">
        <v>151</v>
      </c>
      <c r="E1741" s="104">
        <v>16</v>
      </c>
      <c r="F1741" s="104">
        <v>2371</v>
      </c>
      <c r="G1741" s="106" t="s">
        <v>1408</v>
      </c>
      <c r="H1741" s="104" t="s">
        <v>1396</v>
      </c>
      <c r="I1741" s="104" t="s">
        <v>104</v>
      </c>
      <c r="J1741" s="104" t="s">
        <v>105</v>
      </c>
      <c r="K1741" s="104" t="s">
        <v>172</v>
      </c>
      <c r="L1741" s="104" t="s">
        <v>1238</v>
      </c>
      <c r="M1741" s="104" t="s">
        <v>108</v>
      </c>
      <c r="N1741" s="108" t="s">
        <v>17</v>
      </c>
      <c r="O1741" s="104" t="s">
        <v>17</v>
      </c>
      <c r="P1741" s="113">
        <v>2.73</v>
      </c>
      <c r="Q1741" s="113">
        <v>1.4769999999999999</v>
      </c>
      <c r="R1741" s="104" t="s">
        <v>17</v>
      </c>
      <c r="S1741" s="253">
        <f>(10^((3.187*LOG((P1741))+1.264)))</f>
        <v>450.86897943020995</v>
      </c>
      <c r="T1741" s="103" t="s">
        <v>1387</v>
      </c>
      <c r="U1741" s="108">
        <v>0.98499999999999999</v>
      </c>
      <c r="V1741" s="107">
        <v>16.5</v>
      </c>
      <c r="W1741" s="414" t="s">
        <v>1385</v>
      </c>
    </row>
    <row r="1742" spans="1:23" ht="21" customHeight="1">
      <c r="A1742" s="416" t="s">
        <v>273</v>
      </c>
      <c r="B1742" s="416" t="s">
        <v>80</v>
      </c>
      <c r="C1742" s="455" t="s">
        <v>132</v>
      </c>
      <c r="D1742" s="461" t="s">
        <v>133</v>
      </c>
      <c r="E1742" s="416">
        <v>43365</v>
      </c>
      <c r="F1742" s="416">
        <v>1</v>
      </c>
      <c r="G1742" s="456" t="s">
        <v>140</v>
      </c>
      <c r="H1742" s="416" t="s">
        <v>141</v>
      </c>
      <c r="I1742" s="104" t="s">
        <v>225</v>
      </c>
      <c r="J1742" s="416" t="s">
        <v>105</v>
      </c>
      <c r="K1742" s="416" t="s">
        <v>155</v>
      </c>
      <c r="L1742" s="416" t="s">
        <v>658</v>
      </c>
      <c r="M1742" s="416" t="s">
        <v>114</v>
      </c>
      <c r="N1742" s="458" t="s">
        <v>17</v>
      </c>
      <c r="O1742" s="416" t="s">
        <v>17</v>
      </c>
      <c r="P1742" s="458">
        <v>1.645</v>
      </c>
      <c r="Q1742" s="458">
        <v>1.157</v>
      </c>
      <c r="R1742" s="416" t="s">
        <v>17</v>
      </c>
      <c r="S1742" s="459">
        <f>(10^((LOG(P1742*10)*1.6579)+3.0836))/1000</f>
        <v>125.85818062431942</v>
      </c>
      <c r="T1742" s="416" t="s">
        <v>1323</v>
      </c>
      <c r="U1742" s="458">
        <v>0.4</v>
      </c>
      <c r="V1742" s="460" t="s">
        <v>287</v>
      </c>
      <c r="W1742" s="456" t="s">
        <v>1319</v>
      </c>
    </row>
    <row r="1743" spans="1:23" ht="21" customHeight="1">
      <c r="A1743" s="104" t="s">
        <v>218</v>
      </c>
      <c r="B1743" s="104" t="s">
        <v>193</v>
      </c>
      <c r="C1743" s="454" t="s">
        <v>194</v>
      </c>
      <c r="D1743" s="105" t="s">
        <v>195</v>
      </c>
      <c r="E1743" s="104">
        <v>998</v>
      </c>
      <c r="F1743" s="104">
        <v>40</v>
      </c>
      <c r="G1743" s="106" t="s">
        <v>190</v>
      </c>
      <c r="H1743" s="104" t="s">
        <v>191</v>
      </c>
      <c r="I1743" s="104" t="s">
        <v>104</v>
      </c>
      <c r="J1743" s="104" t="s">
        <v>105</v>
      </c>
      <c r="K1743" s="104" t="s">
        <v>126</v>
      </c>
      <c r="L1743" s="104" t="s">
        <v>636</v>
      </c>
      <c r="M1743" s="104" t="s">
        <v>114</v>
      </c>
      <c r="N1743" s="113" t="s">
        <v>17</v>
      </c>
      <c r="O1743" s="104" t="s">
        <v>17</v>
      </c>
      <c r="P1743" s="108">
        <v>2.2010000000000001</v>
      </c>
      <c r="Q1743" s="108">
        <v>0.7</v>
      </c>
      <c r="R1743" s="104" t="s">
        <v>17</v>
      </c>
      <c r="S1743" s="253">
        <f>(10^((3.35*LOG((P1743*10))+0.35)))/1000</f>
        <v>70.433154972793545</v>
      </c>
      <c r="T1743" s="104" t="s">
        <v>637</v>
      </c>
      <c r="U1743" s="108">
        <v>0.93</v>
      </c>
      <c r="V1743" s="107">
        <v>47.2</v>
      </c>
      <c r="W1743" s="106" t="s">
        <v>638</v>
      </c>
    </row>
    <row r="1744" spans="1:23" ht="21" customHeight="1">
      <c r="A1744" s="104" t="s">
        <v>218</v>
      </c>
      <c r="B1744" s="104" t="s">
        <v>193</v>
      </c>
      <c r="C1744" s="454" t="s">
        <v>460</v>
      </c>
      <c r="D1744" s="105" t="s">
        <v>461</v>
      </c>
      <c r="E1744" s="104">
        <v>998</v>
      </c>
      <c r="F1744" s="104">
        <v>19</v>
      </c>
      <c r="G1744" s="106" t="s">
        <v>190</v>
      </c>
      <c r="H1744" s="104" t="s">
        <v>191</v>
      </c>
      <c r="I1744" s="104" t="s">
        <v>104</v>
      </c>
      <c r="J1744" s="104" t="s">
        <v>105</v>
      </c>
      <c r="K1744" s="104" t="s">
        <v>126</v>
      </c>
      <c r="L1744" s="104" t="s">
        <v>636</v>
      </c>
      <c r="M1744" s="104" t="s">
        <v>114</v>
      </c>
      <c r="N1744" s="113" t="s">
        <v>17</v>
      </c>
      <c r="O1744" s="104" t="s">
        <v>17</v>
      </c>
      <c r="P1744" s="108">
        <v>1.4630000000000001</v>
      </c>
      <c r="Q1744" s="108">
        <v>0.47099999999999997</v>
      </c>
      <c r="R1744" s="104" t="s">
        <v>17</v>
      </c>
      <c r="S1744" s="253">
        <f>(10^((3.35*LOG((P1744*10))+0.35)))/1000</f>
        <v>17.92951296158239</v>
      </c>
      <c r="T1744" s="104" t="s">
        <v>637</v>
      </c>
      <c r="U1744" s="108">
        <v>0.93</v>
      </c>
      <c r="V1744" s="107">
        <v>47.2</v>
      </c>
      <c r="W1744" s="106" t="s">
        <v>638</v>
      </c>
    </row>
    <row r="1745" spans="1:23" ht="21" customHeight="1">
      <c r="A1745" s="104" t="s">
        <v>218</v>
      </c>
      <c r="B1745" s="104" t="s">
        <v>193</v>
      </c>
      <c r="C1745" s="454" t="s">
        <v>460</v>
      </c>
      <c r="D1745" s="105" t="s">
        <v>461</v>
      </c>
      <c r="E1745" s="104">
        <v>998</v>
      </c>
      <c r="F1745" s="104">
        <v>137</v>
      </c>
      <c r="G1745" s="106" t="s">
        <v>190</v>
      </c>
      <c r="H1745" s="104" t="s">
        <v>191</v>
      </c>
      <c r="I1745" s="104" t="s">
        <v>104</v>
      </c>
      <c r="J1745" s="104" t="s">
        <v>105</v>
      </c>
      <c r="K1745" s="104" t="s">
        <v>673</v>
      </c>
      <c r="L1745" s="104" t="s">
        <v>674</v>
      </c>
      <c r="M1745" s="104"/>
      <c r="N1745" s="113" t="s">
        <v>17</v>
      </c>
      <c r="O1745" s="104" t="s">
        <v>17</v>
      </c>
      <c r="P1745" s="108">
        <v>1.9179999999999999</v>
      </c>
      <c r="Q1745" s="108">
        <v>1.181</v>
      </c>
      <c r="R1745" s="104" t="s">
        <v>17</v>
      </c>
      <c r="S1745" s="253">
        <f>(((10^((2.6115*LOG((P1745))+0.6185)))+(10^(2.8912*LOG((P1745))+0.621)))/2)</f>
        <v>25.111911721083359</v>
      </c>
      <c r="T1745" s="104" t="s">
        <v>675</v>
      </c>
      <c r="U1745" s="108" t="s">
        <v>676</v>
      </c>
      <c r="V1745" s="107">
        <v>24</v>
      </c>
      <c r="W1745" s="106" t="s">
        <v>668</v>
      </c>
    </row>
    <row r="1746" spans="1:23" ht="21" customHeight="1">
      <c r="A1746" s="104" t="s">
        <v>218</v>
      </c>
      <c r="B1746" s="104" t="s">
        <v>193</v>
      </c>
      <c r="C1746" s="454" t="s">
        <v>460</v>
      </c>
      <c r="D1746" s="105" t="s">
        <v>461</v>
      </c>
      <c r="E1746" s="104">
        <v>998</v>
      </c>
      <c r="F1746" s="104">
        <v>195</v>
      </c>
      <c r="G1746" s="106" t="s">
        <v>190</v>
      </c>
      <c r="H1746" s="104" t="s">
        <v>191</v>
      </c>
      <c r="I1746" s="104" t="s">
        <v>104</v>
      </c>
      <c r="J1746" s="104" t="s">
        <v>105</v>
      </c>
      <c r="K1746" s="104" t="s">
        <v>665</v>
      </c>
      <c r="L1746" s="104" t="s">
        <v>666</v>
      </c>
      <c r="M1746" s="104"/>
      <c r="N1746" s="113" t="s">
        <v>17</v>
      </c>
      <c r="O1746" s="104" t="s">
        <v>17</v>
      </c>
      <c r="P1746" s="108">
        <v>2.0309999999999997</v>
      </c>
      <c r="Q1746" s="108">
        <v>1.4060000000000001</v>
      </c>
      <c r="R1746" s="104" t="s">
        <v>17</v>
      </c>
      <c r="S1746" s="253">
        <f>((((10^(2.8912*LOG((P1746))+0.621)))))</f>
        <v>32.40790301910679</v>
      </c>
      <c r="T1746" s="104" t="s">
        <v>667</v>
      </c>
      <c r="U1746" s="108" t="s">
        <v>676</v>
      </c>
      <c r="V1746" s="107">
        <v>24</v>
      </c>
      <c r="W1746" s="106" t="s">
        <v>668</v>
      </c>
    </row>
    <row r="1747" spans="1:23" ht="21" customHeight="1">
      <c r="A1747" s="104" t="s">
        <v>218</v>
      </c>
      <c r="B1747" s="104" t="s">
        <v>202</v>
      </c>
      <c r="C1747" s="454" t="s">
        <v>203</v>
      </c>
      <c r="D1747" s="105" t="s">
        <v>204</v>
      </c>
      <c r="E1747" s="104">
        <v>998</v>
      </c>
      <c r="F1747" s="104">
        <v>28</v>
      </c>
      <c r="G1747" s="106" t="s">
        <v>190</v>
      </c>
      <c r="H1747" s="104" t="s">
        <v>191</v>
      </c>
      <c r="I1747" s="104" t="s">
        <v>104</v>
      </c>
      <c r="J1747" s="104" t="s">
        <v>105</v>
      </c>
      <c r="K1747" s="104" t="s">
        <v>655</v>
      </c>
      <c r="L1747" s="104" t="s">
        <v>656</v>
      </c>
      <c r="M1747" s="104" t="s">
        <v>108</v>
      </c>
      <c r="N1747" s="254"/>
      <c r="O1747" s="103"/>
      <c r="P1747" s="113">
        <v>8.18</v>
      </c>
      <c r="Q1747" s="113">
        <v>4.43</v>
      </c>
      <c r="R1747" s="104" t="s">
        <v>17</v>
      </c>
      <c r="S1747" s="253">
        <f>(10^((1.463*LOG((P1747*Q1747*100))+0.633)))/1000</f>
        <v>691.90542334351949</v>
      </c>
      <c r="T1747" s="104" t="s">
        <v>657</v>
      </c>
      <c r="U1747" s="108">
        <v>0.97660000000000002</v>
      </c>
      <c r="V1747" s="107">
        <v>33.36</v>
      </c>
      <c r="W1747" s="106" t="s">
        <v>404</v>
      </c>
    </row>
    <row r="1748" spans="1:23" ht="21" customHeight="1">
      <c r="A1748" s="104" t="s">
        <v>218</v>
      </c>
      <c r="B1748" s="104" t="s">
        <v>1120</v>
      </c>
      <c r="C1748" s="454" t="s">
        <v>1120</v>
      </c>
      <c r="D1748" s="105" t="s">
        <v>151</v>
      </c>
      <c r="E1748" s="104">
        <v>988</v>
      </c>
      <c r="F1748" s="104">
        <v>103</v>
      </c>
      <c r="G1748" s="106" t="s">
        <v>190</v>
      </c>
      <c r="H1748" s="104" t="s">
        <v>191</v>
      </c>
      <c r="I1748" s="104" t="s">
        <v>104</v>
      </c>
      <c r="J1748" s="104" t="s">
        <v>105</v>
      </c>
      <c r="K1748" s="104" t="s">
        <v>655</v>
      </c>
      <c r="L1748" s="104" t="s">
        <v>656</v>
      </c>
      <c r="M1748" s="104"/>
      <c r="N1748" s="254"/>
      <c r="O1748" s="103"/>
      <c r="P1748" s="108">
        <v>3.5979999999999999</v>
      </c>
      <c r="Q1748" s="108">
        <v>2.0289999999999999</v>
      </c>
      <c r="R1748" s="104" t="s">
        <v>17</v>
      </c>
      <c r="S1748" s="253">
        <f>(10^((1.463*LOG((P1748*Q1748*100))+0.633)))/1000</f>
        <v>66.385175915708146</v>
      </c>
      <c r="T1748" s="104" t="s">
        <v>657</v>
      </c>
      <c r="U1748" s="108">
        <v>0.97660000000000002</v>
      </c>
      <c r="V1748" s="107">
        <v>33.36</v>
      </c>
      <c r="W1748" s="106" t="s">
        <v>404</v>
      </c>
    </row>
    <row r="1749" spans="1:23" ht="21" customHeight="1">
      <c r="A1749" s="104" t="s">
        <v>218</v>
      </c>
      <c r="B1749" s="104" t="s">
        <v>187</v>
      </c>
      <c r="C1749" s="454" t="s">
        <v>188</v>
      </c>
      <c r="D1749" s="105" t="s">
        <v>189</v>
      </c>
      <c r="E1749" s="104">
        <v>998</v>
      </c>
      <c r="F1749" s="104">
        <v>31</v>
      </c>
      <c r="G1749" s="106" t="s">
        <v>190</v>
      </c>
      <c r="H1749" s="104" t="s">
        <v>191</v>
      </c>
      <c r="I1749" s="104" t="s">
        <v>104</v>
      </c>
      <c r="J1749" s="104" t="s">
        <v>105</v>
      </c>
      <c r="K1749" s="104" t="s">
        <v>155</v>
      </c>
      <c r="L1749" s="104" t="s">
        <v>658</v>
      </c>
      <c r="M1749" s="104" t="s">
        <v>114</v>
      </c>
      <c r="N1749" s="108" t="s">
        <v>17</v>
      </c>
      <c r="O1749" s="104" t="s">
        <v>17</v>
      </c>
      <c r="P1749" s="113">
        <v>1.3560000000000001</v>
      </c>
      <c r="Q1749" s="113">
        <v>1.143</v>
      </c>
      <c r="R1749" s="104" t="s">
        <v>17</v>
      </c>
      <c r="S1749" s="253">
        <f>(10^((3.11*LOG((P1749*10))+1.11)))/1000</f>
        <v>42.788556393544589</v>
      </c>
      <c r="T1749" s="104" t="s">
        <v>1124</v>
      </c>
      <c r="U1749" s="108">
        <v>0.97</v>
      </c>
      <c r="V1749" s="107">
        <v>34.6</v>
      </c>
      <c r="W1749" s="106" t="s">
        <v>1125</v>
      </c>
    </row>
    <row r="1750" spans="1:23" ht="21" customHeight="1">
      <c r="A1750" s="104" t="s">
        <v>218</v>
      </c>
      <c r="B1750" s="104" t="s">
        <v>187</v>
      </c>
      <c r="C1750" s="454" t="s">
        <v>188</v>
      </c>
      <c r="D1750" s="105" t="s">
        <v>189</v>
      </c>
      <c r="E1750" s="104">
        <v>998</v>
      </c>
      <c r="F1750" s="104">
        <v>226</v>
      </c>
      <c r="G1750" s="106" t="s">
        <v>190</v>
      </c>
      <c r="H1750" s="104" t="s">
        <v>191</v>
      </c>
      <c r="I1750" s="104" t="s">
        <v>104</v>
      </c>
      <c r="J1750" s="104" t="s">
        <v>105</v>
      </c>
      <c r="K1750" s="104" t="s">
        <v>112</v>
      </c>
      <c r="L1750" s="104" t="s">
        <v>663</v>
      </c>
      <c r="M1750" s="104" t="s">
        <v>108</v>
      </c>
      <c r="N1750" s="108" t="s">
        <v>17</v>
      </c>
      <c r="O1750" s="104" t="s">
        <v>17</v>
      </c>
      <c r="P1750" s="113">
        <v>1.405</v>
      </c>
      <c r="Q1750" s="113">
        <v>1.17</v>
      </c>
      <c r="R1750" s="104" t="s">
        <v>17</v>
      </c>
      <c r="S1750" s="253">
        <f>(10^((3.263*LOG((P1750))+1.337)))</f>
        <v>65.897334188986036</v>
      </c>
      <c r="T1750" s="104" t="s">
        <v>977</v>
      </c>
      <c r="U1750" s="108">
        <v>0.93300000000000005</v>
      </c>
      <c r="V1750" s="107">
        <v>34.6</v>
      </c>
      <c r="W1750" s="106" t="s">
        <v>978</v>
      </c>
    </row>
    <row r="1751" spans="1:23" ht="21" customHeight="1">
      <c r="A1751" s="104" t="s">
        <v>579</v>
      </c>
      <c r="B1751" s="104" t="s">
        <v>580</v>
      </c>
      <c r="C1751" s="454" t="s">
        <v>581</v>
      </c>
      <c r="D1751" s="105" t="s">
        <v>151</v>
      </c>
      <c r="E1751" s="104">
        <v>988</v>
      </c>
      <c r="F1751" s="104">
        <v>37</v>
      </c>
      <c r="G1751" s="106" t="s">
        <v>190</v>
      </c>
      <c r="H1751" s="104" t="s">
        <v>191</v>
      </c>
      <c r="I1751" s="104" t="s">
        <v>104</v>
      </c>
      <c r="J1751" s="104" t="s">
        <v>105</v>
      </c>
      <c r="K1751" s="104" t="s">
        <v>155</v>
      </c>
      <c r="L1751" s="104" t="s">
        <v>658</v>
      </c>
      <c r="M1751" s="104" t="s">
        <v>108</v>
      </c>
      <c r="N1751" s="108"/>
      <c r="O1751" s="108"/>
      <c r="P1751" s="108">
        <v>0.31</v>
      </c>
      <c r="Q1751" s="108">
        <v>0.47099999999999997</v>
      </c>
      <c r="R1751" s="108"/>
      <c r="S1751" s="253">
        <f>(10^(3.353*LOG(P1751*10)+1.807))/1000</f>
        <v>2.8479722900575291</v>
      </c>
      <c r="T1751" s="108" t="s">
        <v>1346</v>
      </c>
      <c r="U1751" s="108">
        <v>0.87005746936624828</v>
      </c>
      <c r="V1751" s="107">
        <v>21.492000000000001</v>
      </c>
      <c r="W1751" s="106" t="s">
        <v>1347</v>
      </c>
    </row>
    <row r="1752" spans="1:23" ht="21" customHeight="1">
      <c r="A1752" s="104" t="s">
        <v>579</v>
      </c>
      <c r="B1752" s="104" t="s">
        <v>580</v>
      </c>
      <c r="C1752" s="454" t="s">
        <v>581</v>
      </c>
      <c r="D1752" s="105" t="s">
        <v>151</v>
      </c>
      <c r="E1752" s="104">
        <v>988</v>
      </c>
      <c r="F1752" s="104">
        <v>38</v>
      </c>
      <c r="G1752" s="106" t="s">
        <v>190</v>
      </c>
      <c r="H1752" s="104" t="s">
        <v>191</v>
      </c>
      <c r="I1752" s="104" t="s">
        <v>104</v>
      </c>
      <c r="J1752" s="104" t="s">
        <v>105</v>
      </c>
      <c r="K1752" s="104" t="s">
        <v>112</v>
      </c>
      <c r="L1752" s="104" t="s">
        <v>663</v>
      </c>
      <c r="M1752" s="104"/>
      <c r="N1752" s="108"/>
      <c r="O1752" s="108"/>
      <c r="P1752" s="108">
        <v>0.378</v>
      </c>
      <c r="Q1752" s="108">
        <v>0.30599999999999999</v>
      </c>
      <c r="R1752" s="108"/>
      <c r="S1752" s="253">
        <f>(10^(3.353*LOG(P1752*10)+1.807))/1000</f>
        <v>5.5377073997675659</v>
      </c>
      <c r="T1752" s="108" t="s">
        <v>1346</v>
      </c>
      <c r="U1752" s="108">
        <v>0.87005746936624828</v>
      </c>
      <c r="V1752" s="107">
        <v>21.492000000000001</v>
      </c>
      <c r="W1752" s="106" t="s">
        <v>1347</v>
      </c>
    </row>
    <row r="1753" spans="1:23" ht="21" customHeight="1">
      <c r="A1753" s="104" t="s">
        <v>579</v>
      </c>
      <c r="B1753" s="104" t="s">
        <v>580</v>
      </c>
      <c r="C1753" s="454" t="s">
        <v>585</v>
      </c>
      <c r="D1753" s="105" t="s">
        <v>151</v>
      </c>
      <c r="E1753" s="104">
        <v>988</v>
      </c>
      <c r="F1753" s="104">
        <v>142</v>
      </c>
      <c r="G1753" s="106" t="s">
        <v>190</v>
      </c>
      <c r="H1753" s="104" t="s">
        <v>191</v>
      </c>
      <c r="I1753" s="104" t="s">
        <v>104</v>
      </c>
      <c r="J1753" s="104" t="s">
        <v>105</v>
      </c>
      <c r="K1753" s="104" t="s">
        <v>655</v>
      </c>
      <c r="L1753" s="104" t="s">
        <v>656</v>
      </c>
      <c r="M1753" s="104"/>
      <c r="N1753" s="254"/>
      <c r="O1753" s="103"/>
      <c r="P1753" s="108">
        <v>0.70499999999999996</v>
      </c>
      <c r="Q1753" s="108">
        <v>0.67999999999999994</v>
      </c>
      <c r="R1753" s="108"/>
      <c r="S1753" s="253">
        <f>(10^((1.463*LOG((P1753*Q1753*100))+0.633)))/1000</f>
        <v>1.2355525388675719</v>
      </c>
      <c r="T1753" s="104" t="s">
        <v>657</v>
      </c>
      <c r="U1753" s="108">
        <v>0.97660000000000002</v>
      </c>
      <c r="V1753" s="107">
        <v>33.36</v>
      </c>
      <c r="W1753" s="106" t="s">
        <v>404</v>
      </c>
    </row>
    <row r="1754" spans="1:23" ht="21" customHeight="1">
      <c r="A1754" s="104" t="s">
        <v>169</v>
      </c>
      <c r="B1754" s="104" t="s">
        <v>149</v>
      </c>
      <c r="C1754" s="454" t="s">
        <v>150</v>
      </c>
      <c r="D1754" s="105" t="s">
        <v>151</v>
      </c>
      <c r="E1754" s="104">
        <v>998</v>
      </c>
      <c r="F1754" s="104">
        <v>1</v>
      </c>
      <c r="G1754" s="106" t="s">
        <v>190</v>
      </c>
      <c r="H1754" s="104" t="s">
        <v>191</v>
      </c>
      <c r="I1754" s="104" t="s">
        <v>104</v>
      </c>
      <c r="J1754" s="104" t="s">
        <v>105</v>
      </c>
      <c r="K1754" s="104" t="s">
        <v>112</v>
      </c>
      <c r="L1754" s="104" t="s">
        <v>663</v>
      </c>
      <c r="M1754" s="104" t="s">
        <v>114</v>
      </c>
      <c r="N1754" s="108" t="s">
        <v>17</v>
      </c>
      <c r="O1754" s="104" t="s">
        <v>17</v>
      </c>
      <c r="P1754" s="113">
        <v>3.17</v>
      </c>
      <c r="Q1754" s="113">
        <v>2.0350000000000001</v>
      </c>
      <c r="R1754" s="104" t="s">
        <v>17</v>
      </c>
      <c r="S1754" s="253">
        <f>(10^((3.187*LOG((P1754))+1.264)))</f>
        <v>725.89844937510804</v>
      </c>
      <c r="T1754" s="103" t="s">
        <v>1387</v>
      </c>
      <c r="U1754" s="108">
        <v>0.98499999999999999</v>
      </c>
      <c r="V1754" s="107">
        <v>16.5</v>
      </c>
      <c r="W1754" s="414" t="s">
        <v>1385</v>
      </c>
    </row>
    <row r="1755" spans="1:23" ht="21" customHeight="1">
      <c r="A1755" s="104" t="s">
        <v>218</v>
      </c>
      <c r="B1755" s="104" t="s">
        <v>221</v>
      </c>
      <c r="C1755" s="454" t="s">
        <v>222</v>
      </c>
      <c r="D1755" s="105" t="s">
        <v>151</v>
      </c>
      <c r="E1755" s="104" t="s">
        <v>1029</v>
      </c>
      <c r="F1755" s="104">
        <v>7322</v>
      </c>
      <c r="G1755" s="106" t="s">
        <v>1030</v>
      </c>
      <c r="H1755" s="104" t="s">
        <v>1031</v>
      </c>
      <c r="I1755" s="104" t="s">
        <v>225</v>
      </c>
      <c r="J1755" s="104" t="s">
        <v>105</v>
      </c>
      <c r="K1755" s="104" t="s">
        <v>136</v>
      </c>
      <c r="L1755" s="104" t="s">
        <v>1032</v>
      </c>
      <c r="M1755" s="104"/>
      <c r="N1755" s="108" t="s">
        <v>17</v>
      </c>
      <c r="O1755" s="104" t="s">
        <v>17</v>
      </c>
      <c r="P1755" s="108">
        <v>3.5529999999999999</v>
      </c>
      <c r="Q1755" s="108">
        <v>3.1399999999999997</v>
      </c>
      <c r="R1755" s="104" t="s">
        <v>17</v>
      </c>
      <c r="S1755" s="253">
        <f>(10^((2.9*LOG((Q1755))-0.0883)))</f>
        <v>22.53180476162078</v>
      </c>
      <c r="T1755" s="104" t="s">
        <v>1033</v>
      </c>
      <c r="U1755" s="108">
        <v>0.95</v>
      </c>
      <c r="V1755" s="107">
        <v>22</v>
      </c>
      <c r="W1755" s="106" t="s">
        <v>1034</v>
      </c>
    </row>
    <row r="1756" spans="1:23" ht="21" customHeight="1">
      <c r="A1756" s="104" t="s">
        <v>273</v>
      </c>
      <c r="B1756" s="104" t="s">
        <v>74</v>
      </c>
      <c r="C1756" s="454" t="s">
        <v>266</v>
      </c>
      <c r="D1756" s="105" t="s">
        <v>499</v>
      </c>
      <c r="E1756" s="104" t="s">
        <v>1030</v>
      </c>
      <c r="F1756" s="104">
        <v>7187</v>
      </c>
      <c r="G1756" s="104" t="s">
        <v>1030</v>
      </c>
      <c r="H1756" s="104"/>
      <c r="I1756" s="104" t="s">
        <v>225</v>
      </c>
      <c r="J1756" s="104" t="s">
        <v>284</v>
      </c>
      <c r="K1756" s="104" t="s">
        <v>252</v>
      </c>
      <c r="L1756" s="104" t="s">
        <v>415</v>
      </c>
      <c r="M1756" s="104"/>
      <c r="N1756" s="108"/>
      <c r="O1756" s="104"/>
      <c r="P1756" s="108"/>
      <c r="Q1756" s="108"/>
      <c r="R1756" s="104"/>
      <c r="S1756" s="253">
        <v>11.10937</v>
      </c>
      <c r="T1756" s="104"/>
      <c r="U1756" s="108"/>
      <c r="V1756" s="107"/>
      <c r="W1756" s="106"/>
    </row>
    <row r="1757" spans="1:23" ht="21" customHeight="1">
      <c r="A1757" s="104" t="s">
        <v>273</v>
      </c>
      <c r="B1757" s="104" t="s">
        <v>74</v>
      </c>
      <c r="C1757" s="454" t="s">
        <v>266</v>
      </c>
      <c r="D1757" s="105" t="s">
        <v>1185</v>
      </c>
      <c r="E1757" s="104" t="s">
        <v>1030</v>
      </c>
      <c r="F1757" s="104">
        <v>7212</v>
      </c>
      <c r="G1757" s="106" t="s">
        <v>1030</v>
      </c>
      <c r="H1757" s="104"/>
      <c r="I1757" s="104" t="s">
        <v>225</v>
      </c>
      <c r="J1757" s="104" t="s">
        <v>284</v>
      </c>
      <c r="K1757" s="104" t="s">
        <v>1157</v>
      </c>
      <c r="L1757" s="104" t="s">
        <v>1158</v>
      </c>
      <c r="M1757" s="104"/>
      <c r="N1757" s="108"/>
      <c r="O1757" s="104"/>
      <c r="P1757" s="108"/>
      <c r="Q1757" s="108"/>
      <c r="R1757" s="104"/>
      <c r="S1757" s="253">
        <v>10.90748</v>
      </c>
      <c r="T1757" s="104"/>
      <c r="U1757" s="108"/>
      <c r="V1757" s="107"/>
      <c r="W1757" s="106"/>
    </row>
    <row r="1758" spans="1:23" ht="21" customHeight="1">
      <c r="A1758" s="104" t="s">
        <v>273</v>
      </c>
      <c r="B1758" s="104" t="s">
        <v>74</v>
      </c>
      <c r="C1758" s="454" t="s">
        <v>266</v>
      </c>
      <c r="D1758" s="105" t="s">
        <v>1185</v>
      </c>
      <c r="E1758" s="104" t="s">
        <v>1030</v>
      </c>
      <c r="F1758" s="104" t="s">
        <v>1196</v>
      </c>
      <c r="G1758" s="106" t="s">
        <v>1030</v>
      </c>
      <c r="H1758" s="104"/>
      <c r="I1758" s="104" t="s">
        <v>225</v>
      </c>
      <c r="J1758" s="104" t="s">
        <v>284</v>
      </c>
      <c r="K1758" s="104" t="s">
        <v>1179</v>
      </c>
      <c r="L1758" s="104" t="s">
        <v>1180</v>
      </c>
      <c r="M1758" s="104" t="s">
        <v>108</v>
      </c>
      <c r="N1758" s="108"/>
      <c r="O1758" s="104"/>
      <c r="P1758" s="108"/>
      <c r="Q1758" s="108"/>
      <c r="R1758" s="104"/>
      <c r="S1758" s="253">
        <v>11.39653</v>
      </c>
      <c r="T1758" s="104"/>
      <c r="U1758" s="108"/>
      <c r="V1758" s="107"/>
      <c r="W1758" s="106"/>
    </row>
    <row r="1759" spans="1:23" ht="21" customHeight="1">
      <c r="A1759" s="104" t="s">
        <v>273</v>
      </c>
      <c r="B1759" s="104" t="s">
        <v>74</v>
      </c>
      <c r="C1759" s="454" t="s">
        <v>266</v>
      </c>
      <c r="D1759" s="105" t="s">
        <v>1185</v>
      </c>
      <c r="E1759" s="104" t="s">
        <v>1030</v>
      </c>
      <c r="F1759" s="104" t="s">
        <v>1196</v>
      </c>
      <c r="G1759" s="106" t="s">
        <v>1030</v>
      </c>
      <c r="H1759" s="104"/>
      <c r="I1759" s="104" t="s">
        <v>225</v>
      </c>
      <c r="J1759" s="104" t="s">
        <v>284</v>
      </c>
      <c r="K1759" s="104" t="s">
        <v>394</v>
      </c>
      <c r="L1759" s="104" t="s">
        <v>671</v>
      </c>
      <c r="M1759" s="104"/>
      <c r="N1759" s="108"/>
      <c r="O1759" s="104"/>
      <c r="P1759" s="108"/>
      <c r="Q1759" s="108"/>
      <c r="R1759" s="104"/>
      <c r="S1759" s="253">
        <v>12.41155</v>
      </c>
      <c r="T1759" s="104"/>
      <c r="U1759" s="108"/>
      <c r="V1759" s="107"/>
      <c r="W1759" s="106"/>
    </row>
    <row r="1760" spans="1:23" ht="21" customHeight="1">
      <c r="A1760" s="104" t="s">
        <v>273</v>
      </c>
      <c r="B1760" s="104" t="s">
        <v>74</v>
      </c>
      <c r="C1760" s="454" t="s">
        <v>266</v>
      </c>
      <c r="D1760" s="105" t="s">
        <v>1185</v>
      </c>
      <c r="E1760" s="104" t="s">
        <v>1030</v>
      </c>
      <c r="F1760" s="104">
        <v>7211</v>
      </c>
      <c r="G1760" s="106" t="s">
        <v>1030</v>
      </c>
      <c r="H1760" s="104"/>
      <c r="I1760" s="104" t="s">
        <v>225</v>
      </c>
      <c r="J1760" s="104" t="s">
        <v>284</v>
      </c>
      <c r="K1760" s="104" t="s">
        <v>121</v>
      </c>
      <c r="L1760" s="104" t="s">
        <v>1041</v>
      </c>
      <c r="M1760" s="104"/>
      <c r="N1760" s="108"/>
      <c r="O1760" s="104"/>
      <c r="P1760" s="108"/>
      <c r="Q1760" s="108"/>
      <c r="R1760" s="104"/>
      <c r="S1760" s="253">
        <v>12.467459999999999</v>
      </c>
      <c r="T1760" s="104"/>
      <c r="U1760" s="108"/>
      <c r="V1760" s="107"/>
      <c r="W1760" s="106"/>
    </row>
    <row r="1761" spans="1:23" ht="21" customHeight="1">
      <c r="A1761" s="104" t="s">
        <v>273</v>
      </c>
      <c r="B1761" s="104" t="s">
        <v>74</v>
      </c>
      <c r="C1761" s="454" t="s">
        <v>266</v>
      </c>
      <c r="D1761" s="105" t="s">
        <v>267</v>
      </c>
      <c r="E1761" s="104" t="s">
        <v>1030</v>
      </c>
      <c r="F1761" s="104">
        <v>7301</v>
      </c>
      <c r="G1761" s="106" t="s">
        <v>1030</v>
      </c>
      <c r="H1761" s="104"/>
      <c r="I1761" s="104" t="s">
        <v>225</v>
      </c>
      <c r="J1761" s="104" t="s">
        <v>284</v>
      </c>
      <c r="K1761" s="104" t="s">
        <v>112</v>
      </c>
      <c r="L1761" s="104" t="s">
        <v>663</v>
      </c>
      <c r="M1761" s="104" t="s">
        <v>108</v>
      </c>
      <c r="N1761" s="108"/>
      <c r="O1761" s="104"/>
      <c r="P1761" s="108"/>
      <c r="Q1761" s="108"/>
      <c r="R1761" s="104"/>
      <c r="S1761" s="253">
        <v>1.9512400000000001</v>
      </c>
      <c r="T1761" s="104"/>
      <c r="U1761" s="108"/>
      <c r="V1761" s="107"/>
      <c r="W1761" s="106"/>
    </row>
    <row r="1762" spans="1:23" ht="21" customHeight="1">
      <c r="A1762" s="104" t="s">
        <v>273</v>
      </c>
      <c r="B1762" s="104" t="s">
        <v>74</v>
      </c>
      <c r="C1762" s="454" t="s">
        <v>266</v>
      </c>
      <c r="D1762" s="105" t="s">
        <v>267</v>
      </c>
      <c r="E1762" s="104" t="s">
        <v>1030</v>
      </c>
      <c r="F1762" s="104">
        <v>7304</v>
      </c>
      <c r="G1762" s="106" t="s">
        <v>1030</v>
      </c>
      <c r="H1762" s="104"/>
      <c r="I1762" s="104" t="s">
        <v>225</v>
      </c>
      <c r="J1762" s="104" t="s">
        <v>284</v>
      </c>
      <c r="K1762" s="104" t="s">
        <v>1164</v>
      </c>
      <c r="L1762" s="104" t="s">
        <v>1165</v>
      </c>
      <c r="M1762" s="104"/>
      <c r="N1762" s="108"/>
      <c r="O1762" s="104"/>
      <c r="P1762" s="108"/>
      <c r="Q1762" s="108"/>
      <c r="R1762" s="104"/>
      <c r="S1762" s="253">
        <v>8.6472000000000016</v>
      </c>
      <c r="T1762" s="104"/>
      <c r="U1762" s="108"/>
      <c r="V1762" s="107"/>
      <c r="W1762" s="106"/>
    </row>
    <row r="1763" spans="1:23" ht="21" customHeight="1">
      <c r="A1763" s="104" t="s">
        <v>273</v>
      </c>
      <c r="B1763" s="104" t="s">
        <v>74</v>
      </c>
      <c r="C1763" s="454" t="s">
        <v>266</v>
      </c>
      <c r="D1763" s="105" t="s">
        <v>267</v>
      </c>
      <c r="E1763" s="104" t="s">
        <v>1030</v>
      </c>
      <c r="F1763" s="104">
        <v>7297</v>
      </c>
      <c r="G1763" s="106" t="s">
        <v>1030</v>
      </c>
      <c r="H1763" s="104"/>
      <c r="I1763" s="104" t="s">
        <v>225</v>
      </c>
      <c r="J1763" s="104" t="s">
        <v>284</v>
      </c>
      <c r="K1763" s="104" t="s">
        <v>252</v>
      </c>
      <c r="L1763" s="104" t="s">
        <v>415</v>
      </c>
      <c r="M1763" s="104"/>
      <c r="N1763" s="108"/>
      <c r="O1763" s="104"/>
      <c r="P1763" s="108"/>
      <c r="Q1763" s="108"/>
      <c r="R1763" s="104"/>
      <c r="S1763" s="253">
        <v>9.8296100000000006</v>
      </c>
      <c r="T1763" s="104"/>
      <c r="U1763" s="108"/>
      <c r="V1763" s="107"/>
      <c r="W1763" s="106"/>
    </row>
    <row r="1764" spans="1:23" ht="21" customHeight="1">
      <c r="A1764" s="104" t="s">
        <v>273</v>
      </c>
      <c r="B1764" s="104" t="s">
        <v>74</v>
      </c>
      <c r="C1764" s="454" t="s">
        <v>266</v>
      </c>
      <c r="D1764" s="105" t="s">
        <v>267</v>
      </c>
      <c r="E1764" s="104" t="s">
        <v>1030</v>
      </c>
      <c r="F1764" s="104">
        <v>7305</v>
      </c>
      <c r="G1764" s="106" t="s">
        <v>1030</v>
      </c>
      <c r="H1764" s="104"/>
      <c r="I1764" s="104" t="s">
        <v>225</v>
      </c>
      <c r="J1764" s="104" t="s">
        <v>284</v>
      </c>
      <c r="K1764" s="104" t="s">
        <v>691</v>
      </c>
      <c r="L1764" s="104" t="s">
        <v>692</v>
      </c>
      <c r="M1764" s="104"/>
      <c r="N1764" s="108"/>
      <c r="O1764" s="104"/>
      <c r="P1764" s="108"/>
      <c r="Q1764" s="108"/>
      <c r="R1764" s="104"/>
      <c r="S1764" s="253">
        <v>10.735149999999999</v>
      </c>
      <c r="T1764" s="104"/>
      <c r="U1764" s="108"/>
      <c r="V1764" s="107"/>
      <c r="W1764" s="106"/>
    </row>
    <row r="1765" spans="1:23" ht="21" customHeight="1">
      <c r="A1765" s="104" t="s">
        <v>273</v>
      </c>
      <c r="B1765" s="104" t="s">
        <v>74</v>
      </c>
      <c r="C1765" s="454" t="s">
        <v>266</v>
      </c>
      <c r="D1765" s="105" t="s">
        <v>267</v>
      </c>
      <c r="E1765" s="104" t="s">
        <v>1030</v>
      </c>
      <c r="F1765" s="104">
        <v>7303</v>
      </c>
      <c r="G1765" s="106" t="s">
        <v>1030</v>
      </c>
      <c r="H1765" s="104"/>
      <c r="I1765" s="104" t="s">
        <v>225</v>
      </c>
      <c r="J1765" s="104" t="s">
        <v>284</v>
      </c>
      <c r="K1765" s="104" t="s">
        <v>1179</v>
      </c>
      <c r="L1765" s="104" t="s">
        <v>1180</v>
      </c>
      <c r="M1765" s="104" t="s">
        <v>108</v>
      </c>
      <c r="N1765" s="108"/>
      <c r="O1765" s="104"/>
      <c r="P1765" s="108"/>
      <c r="Q1765" s="108"/>
      <c r="R1765" s="104"/>
      <c r="S1765" s="253">
        <v>12.702590000000001</v>
      </c>
      <c r="T1765" s="104"/>
      <c r="U1765" s="108"/>
      <c r="V1765" s="107"/>
      <c r="W1765" s="106"/>
    </row>
    <row r="1766" spans="1:23" ht="21" customHeight="1">
      <c r="A1766" s="104" t="s">
        <v>273</v>
      </c>
      <c r="B1766" s="104" t="s">
        <v>74</v>
      </c>
      <c r="C1766" s="454" t="s">
        <v>299</v>
      </c>
      <c r="D1766" s="105" t="s">
        <v>1260</v>
      </c>
      <c r="E1766" s="104" t="s">
        <v>1030</v>
      </c>
      <c r="F1766" s="104">
        <v>7372</v>
      </c>
      <c r="G1766" s="106" t="s">
        <v>1030</v>
      </c>
      <c r="H1766" s="104"/>
      <c r="I1766" s="104" t="s">
        <v>225</v>
      </c>
      <c r="J1766" s="104" t="s">
        <v>284</v>
      </c>
      <c r="K1766" s="104" t="s">
        <v>252</v>
      </c>
      <c r="L1766" s="104" t="s">
        <v>415</v>
      </c>
      <c r="M1766" s="104"/>
      <c r="N1766" s="108"/>
      <c r="O1766" s="104"/>
      <c r="P1766" s="108"/>
      <c r="Q1766" s="108"/>
      <c r="R1766" s="104"/>
      <c r="S1766" s="253">
        <v>2.5825999999999998</v>
      </c>
      <c r="T1766" s="104"/>
      <c r="U1766" s="108"/>
      <c r="V1766" s="107"/>
      <c r="W1766" s="106"/>
    </row>
    <row r="1767" spans="1:23" ht="21" customHeight="1">
      <c r="A1767" s="104" t="s">
        <v>273</v>
      </c>
      <c r="B1767" s="104" t="s">
        <v>74</v>
      </c>
      <c r="C1767" s="454" t="s">
        <v>299</v>
      </c>
      <c r="D1767" s="105" t="s">
        <v>1260</v>
      </c>
      <c r="E1767" s="104" t="s">
        <v>1030</v>
      </c>
      <c r="F1767" s="104">
        <v>7374</v>
      </c>
      <c r="G1767" s="106" t="s">
        <v>1030</v>
      </c>
      <c r="H1767" s="104"/>
      <c r="I1767" s="104" t="s">
        <v>225</v>
      </c>
      <c r="J1767" s="104" t="s">
        <v>284</v>
      </c>
      <c r="K1767" s="104" t="s">
        <v>112</v>
      </c>
      <c r="L1767" s="104" t="s">
        <v>663</v>
      </c>
      <c r="M1767" s="104" t="s">
        <v>108</v>
      </c>
      <c r="N1767" s="108"/>
      <c r="O1767" s="104"/>
      <c r="P1767" s="108"/>
      <c r="Q1767" s="108"/>
      <c r="R1767" s="104"/>
      <c r="S1767" s="253">
        <v>2.5844299999999998</v>
      </c>
      <c r="T1767" s="104"/>
      <c r="U1767" s="108"/>
      <c r="V1767" s="107"/>
      <c r="W1767" s="106"/>
    </row>
    <row r="1768" spans="1:23" ht="21" customHeight="1">
      <c r="A1768" s="104" t="s">
        <v>273</v>
      </c>
      <c r="B1768" s="104" t="s">
        <v>74</v>
      </c>
      <c r="C1768" s="454" t="s">
        <v>299</v>
      </c>
      <c r="D1768" s="105" t="s">
        <v>1261</v>
      </c>
      <c r="E1768" s="104" t="s">
        <v>1030</v>
      </c>
      <c r="F1768" s="104">
        <v>7371</v>
      </c>
      <c r="G1768" s="106" t="s">
        <v>1030</v>
      </c>
      <c r="H1768" s="104"/>
      <c r="I1768" s="104" t="s">
        <v>225</v>
      </c>
      <c r="J1768" s="104" t="s">
        <v>284</v>
      </c>
      <c r="K1768" s="104" t="s">
        <v>1179</v>
      </c>
      <c r="L1768" s="104" t="s">
        <v>1180</v>
      </c>
      <c r="M1768" s="104" t="s">
        <v>108</v>
      </c>
      <c r="N1768" s="108"/>
      <c r="O1768" s="104"/>
      <c r="P1768" s="108"/>
      <c r="Q1768" s="108"/>
      <c r="R1768" s="104"/>
      <c r="S1768" s="253">
        <v>5.2771699999999999</v>
      </c>
      <c r="T1768" s="104"/>
      <c r="U1768" s="108"/>
      <c r="V1768" s="107"/>
      <c r="W1768" s="106"/>
    </row>
    <row r="1769" spans="1:23" ht="21" customHeight="1">
      <c r="A1769" s="456" t="s">
        <v>273</v>
      </c>
      <c r="B1769" s="456" t="s">
        <v>76</v>
      </c>
      <c r="C1769" s="455" t="s">
        <v>344</v>
      </c>
      <c r="D1769" s="455" t="s">
        <v>345</v>
      </c>
      <c r="E1769" s="456" t="s">
        <v>1275</v>
      </c>
      <c r="F1769" s="416">
        <v>7319</v>
      </c>
      <c r="G1769" s="456" t="s">
        <v>1030</v>
      </c>
      <c r="H1769" s="456" t="s">
        <v>1031</v>
      </c>
      <c r="I1769" s="104" t="s">
        <v>225</v>
      </c>
      <c r="J1769" s="456" t="s">
        <v>105</v>
      </c>
      <c r="K1769" s="456" t="s">
        <v>136</v>
      </c>
      <c r="L1769" s="416" t="s">
        <v>1032</v>
      </c>
      <c r="M1769" s="456" t="s">
        <v>108</v>
      </c>
      <c r="N1769" s="467" t="s">
        <v>17</v>
      </c>
      <c r="O1769" s="456" t="s">
        <v>17</v>
      </c>
      <c r="P1769" s="467">
        <v>2.5989999999999998</v>
      </c>
      <c r="Q1769" s="467">
        <v>2.452</v>
      </c>
      <c r="R1769" s="456" t="s">
        <v>17</v>
      </c>
      <c r="S1769" s="468">
        <f>(10^(((LOG(P1769*10))*2.786696)+-0.005865))/1000</f>
        <v>8.6450995746104677</v>
      </c>
      <c r="T1769" s="416" t="s">
        <v>1270</v>
      </c>
      <c r="U1769" s="467">
        <v>0.94</v>
      </c>
      <c r="V1769" s="469" t="s">
        <v>287</v>
      </c>
      <c r="W1769" s="466" t="s">
        <v>269</v>
      </c>
    </row>
    <row r="1770" spans="1:23" ht="21" customHeight="1">
      <c r="A1770" s="456" t="s">
        <v>273</v>
      </c>
      <c r="B1770" s="456" t="s">
        <v>76</v>
      </c>
      <c r="C1770" s="455" t="s">
        <v>344</v>
      </c>
      <c r="D1770" s="455" t="s">
        <v>345</v>
      </c>
      <c r="E1770" s="456" t="s">
        <v>1275</v>
      </c>
      <c r="F1770" s="416">
        <v>7317</v>
      </c>
      <c r="G1770" s="456" t="s">
        <v>1030</v>
      </c>
      <c r="H1770" s="456" t="s">
        <v>1031</v>
      </c>
      <c r="I1770" s="104" t="s">
        <v>225</v>
      </c>
      <c r="J1770" s="456" t="s">
        <v>105</v>
      </c>
      <c r="K1770" s="456" t="s">
        <v>172</v>
      </c>
      <c r="L1770" s="416" t="s">
        <v>1238</v>
      </c>
      <c r="M1770" s="456"/>
      <c r="N1770" s="467" t="s">
        <v>17</v>
      </c>
      <c r="O1770" s="456" t="s">
        <v>17</v>
      </c>
      <c r="P1770" s="467">
        <v>1.3539999999999999</v>
      </c>
      <c r="Q1770" s="467">
        <v>0.61</v>
      </c>
      <c r="R1770" s="456" t="s">
        <v>17</v>
      </c>
      <c r="S1770" s="468">
        <f>10^(((LOG(P1770*10))*3.05)+-2.15)</f>
        <v>20.018748628997205</v>
      </c>
      <c r="T1770" s="416" t="s">
        <v>1271</v>
      </c>
      <c r="U1770" s="467">
        <v>0.9</v>
      </c>
      <c r="V1770" s="469">
        <v>28</v>
      </c>
      <c r="W1770" s="466" t="s">
        <v>1272</v>
      </c>
    </row>
    <row r="1771" spans="1:23" ht="21" customHeight="1">
      <c r="A1771" s="104" t="s">
        <v>273</v>
      </c>
      <c r="B1771" s="104" t="s">
        <v>76</v>
      </c>
      <c r="C1771" s="454" t="s">
        <v>344</v>
      </c>
      <c r="D1771" s="105" t="s">
        <v>345</v>
      </c>
      <c r="E1771" s="104" t="s">
        <v>1275</v>
      </c>
      <c r="F1771" s="104" t="s">
        <v>1277</v>
      </c>
      <c r="G1771" s="106" t="s">
        <v>1030</v>
      </c>
      <c r="H1771" s="104" t="s">
        <v>1031</v>
      </c>
      <c r="I1771" s="104" t="s">
        <v>225</v>
      </c>
      <c r="J1771" s="104" t="s">
        <v>105</v>
      </c>
      <c r="K1771" s="104" t="s">
        <v>172</v>
      </c>
      <c r="L1771" s="104" t="s">
        <v>1238</v>
      </c>
      <c r="M1771" s="104"/>
      <c r="N1771" s="108" t="s">
        <v>17</v>
      </c>
      <c r="O1771" s="104" t="s">
        <v>17</v>
      </c>
      <c r="P1771" s="108">
        <v>1.4730000000000001</v>
      </c>
      <c r="Q1771" s="108">
        <v>0.48399999999999999</v>
      </c>
      <c r="R1771" s="104" t="s">
        <v>17</v>
      </c>
      <c r="S1771" s="253">
        <f>10^(((LOG(P1771*10))*3.05)+-2.15)</f>
        <v>25.883224418658582</v>
      </c>
      <c r="T1771" s="104" t="s">
        <v>1271</v>
      </c>
      <c r="U1771" s="108">
        <v>0.9</v>
      </c>
      <c r="V1771" s="107">
        <v>28</v>
      </c>
      <c r="W1771" s="114" t="s">
        <v>1272</v>
      </c>
    </row>
    <row r="1772" spans="1:23" ht="21" customHeight="1">
      <c r="A1772" s="104" t="s">
        <v>273</v>
      </c>
      <c r="B1772" s="104" t="s">
        <v>76</v>
      </c>
      <c r="C1772" s="454" t="s">
        <v>344</v>
      </c>
      <c r="D1772" s="105" t="s">
        <v>345</v>
      </c>
      <c r="E1772" s="104" t="s">
        <v>1275</v>
      </c>
      <c r="F1772" s="104" t="s">
        <v>1278</v>
      </c>
      <c r="G1772" s="106" t="s">
        <v>1030</v>
      </c>
      <c r="H1772" s="104" t="s">
        <v>1031</v>
      </c>
      <c r="I1772" s="104" t="s">
        <v>225</v>
      </c>
      <c r="J1772" s="104" t="s">
        <v>105</v>
      </c>
      <c r="K1772" s="104" t="s">
        <v>172</v>
      </c>
      <c r="L1772" s="104" t="s">
        <v>1238</v>
      </c>
      <c r="M1772" s="104"/>
      <c r="N1772" s="108" t="s">
        <v>17</v>
      </c>
      <c r="O1772" s="104" t="s">
        <v>17</v>
      </c>
      <c r="P1772" s="108">
        <v>1.5150000000000001</v>
      </c>
      <c r="Q1772" s="108">
        <v>0.53099999999999992</v>
      </c>
      <c r="R1772" s="104" t="s">
        <v>17</v>
      </c>
      <c r="S1772" s="253">
        <f>10^(((LOG(P1772*10))*3.05)+-2.15)</f>
        <v>28.200611793866685</v>
      </c>
      <c r="T1772" s="104" t="s">
        <v>1271</v>
      </c>
      <c r="U1772" s="108">
        <v>0.9</v>
      </c>
      <c r="V1772" s="107">
        <v>28</v>
      </c>
      <c r="W1772" s="114" t="s">
        <v>1272</v>
      </c>
    </row>
    <row r="1773" spans="1:23" ht="21" customHeight="1">
      <c r="A1773" s="416" t="s">
        <v>273</v>
      </c>
      <c r="B1773" s="416" t="s">
        <v>80</v>
      </c>
      <c r="C1773" s="455" t="s">
        <v>132</v>
      </c>
      <c r="D1773" s="461" t="s">
        <v>133</v>
      </c>
      <c r="E1773" s="416" t="s">
        <v>1029</v>
      </c>
      <c r="F1773" s="416">
        <v>7308</v>
      </c>
      <c r="G1773" s="456" t="s">
        <v>1030</v>
      </c>
      <c r="H1773" s="416" t="s">
        <v>1031</v>
      </c>
      <c r="I1773" s="104" t="s">
        <v>225</v>
      </c>
      <c r="J1773" s="416" t="s">
        <v>105</v>
      </c>
      <c r="K1773" s="416" t="s">
        <v>136</v>
      </c>
      <c r="L1773" s="416" t="s">
        <v>1032</v>
      </c>
      <c r="M1773" s="416" t="s">
        <v>108</v>
      </c>
      <c r="N1773" s="458" t="s">
        <v>17</v>
      </c>
      <c r="O1773" s="416" t="s">
        <v>17</v>
      </c>
      <c r="P1773" s="458">
        <v>6.7120000000000006</v>
      </c>
      <c r="Q1773" s="458">
        <v>6.234</v>
      </c>
      <c r="R1773" s="416" t="s">
        <v>17</v>
      </c>
      <c r="S1773" s="459">
        <f>(10^((LOG(P1773*10)*1.6064)+2.1902))/1000</f>
        <v>133.30761820083274</v>
      </c>
      <c r="T1773" s="416" t="s">
        <v>1322</v>
      </c>
      <c r="U1773" s="458">
        <v>0.6</v>
      </c>
      <c r="V1773" s="460" t="s">
        <v>287</v>
      </c>
      <c r="W1773" s="466" t="s">
        <v>105</v>
      </c>
    </row>
    <row r="1774" spans="1:23" ht="21" customHeight="1">
      <c r="A1774" s="416" t="s">
        <v>273</v>
      </c>
      <c r="B1774" s="416" t="s">
        <v>80</v>
      </c>
      <c r="C1774" s="455" t="s">
        <v>132</v>
      </c>
      <c r="D1774" s="461" t="s">
        <v>133</v>
      </c>
      <c r="E1774" s="416" t="s">
        <v>1029</v>
      </c>
      <c r="F1774" s="416">
        <v>7188</v>
      </c>
      <c r="G1774" s="456" t="s">
        <v>1030</v>
      </c>
      <c r="H1774" s="416" t="s">
        <v>1031</v>
      </c>
      <c r="I1774" s="104" t="s">
        <v>225</v>
      </c>
      <c r="J1774" s="416" t="s">
        <v>105</v>
      </c>
      <c r="K1774" s="416" t="s">
        <v>883</v>
      </c>
      <c r="L1774" s="416" t="s">
        <v>884</v>
      </c>
      <c r="M1774" s="416"/>
      <c r="N1774" s="458" t="s">
        <v>17</v>
      </c>
      <c r="O1774" s="416" t="s">
        <v>17</v>
      </c>
      <c r="P1774" s="458">
        <v>1.8350000000000002</v>
      </c>
      <c r="Q1774" s="458">
        <v>1.3119999999999998</v>
      </c>
      <c r="R1774" s="416" t="s">
        <v>17</v>
      </c>
      <c r="S1774" s="459">
        <f>(10^((LOG(P1774*10)*1.6579)+3.0836))/1000</f>
        <v>150.86282577204929</v>
      </c>
      <c r="T1774" s="416" t="s">
        <v>1326</v>
      </c>
      <c r="U1774" s="458">
        <v>0.4</v>
      </c>
      <c r="V1774" s="460" t="s">
        <v>287</v>
      </c>
      <c r="W1774" s="456" t="s">
        <v>1319</v>
      </c>
    </row>
    <row r="1775" spans="1:23" ht="21" customHeight="1">
      <c r="A1775" s="104" t="s">
        <v>169</v>
      </c>
      <c r="B1775" s="104" t="s">
        <v>149</v>
      </c>
      <c r="C1775" s="454" t="s">
        <v>150</v>
      </c>
      <c r="D1775" s="105" t="s">
        <v>151</v>
      </c>
      <c r="E1775" s="104" t="s">
        <v>1402</v>
      </c>
      <c r="F1775" s="104" t="s">
        <v>1403</v>
      </c>
      <c r="G1775" s="106" t="s">
        <v>1395</v>
      </c>
      <c r="H1775" s="104" t="s">
        <v>1396</v>
      </c>
      <c r="I1775" s="104" t="s">
        <v>104</v>
      </c>
      <c r="J1775" s="104" t="s">
        <v>105</v>
      </c>
      <c r="K1775" s="104" t="s">
        <v>1404</v>
      </c>
      <c r="L1775" s="104" t="s">
        <v>340</v>
      </c>
      <c r="M1775" s="104"/>
      <c r="N1775" s="108" t="s">
        <v>17</v>
      </c>
      <c r="O1775" s="104" t="s">
        <v>17</v>
      </c>
      <c r="P1775" s="113">
        <v>2.806</v>
      </c>
      <c r="Q1775" s="113">
        <v>2.4870000000000001</v>
      </c>
      <c r="R1775" s="104" t="s">
        <v>17</v>
      </c>
      <c r="S1775" s="253">
        <f xml:space="preserve"> (10^((2.999*LOG((P1775))+1.162)))</f>
        <v>320.49031680205502</v>
      </c>
      <c r="T1775" s="103" t="s">
        <v>1392</v>
      </c>
      <c r="U1775" s="108">
        <v>0.98699999999999999</v>
      </c>
      <c r="V1775" s="107">
        <v>18</v>
      </c>
      <c r="W1775" s="414" t="s">
        <v>1388</v>
      </c>
    </row>
    <row r="1776" spans="1:23" ht="21" customHeight="1">
      <c r="A1776" s="104" t="s">
        <v>169</v>
      </c>
      <c r="B1776" s="104" t="s">
        <v>149</v>
      </c>
      <c r="C1776" s="454" t="s">
        <v>150</v>
      </c>
      <c r="D1776" s="105" t="s">
        <v>151</v>
      </c>
      <c r="E1776" s="104"/>
      <c r="F1776" s="104" t="s">
        <v>1394</v>
      </c>
      <c r="G1776" s="106" t="s">
        <v>1395</v>
      </c>
      <c r="H1776" s="104" t="s">
        <v>1396</v>
      </c>
      <c r="I1776" s="104" t="s">
        <v>104</v>
      </c>
      <c r="J1776" s="104" t="s">
        <v>105</v>
      </c>
      <c r="K1776" s="104" t="s">
        <v>185</v>
      </c>
      <c r="L1776" s="104" t="s">
        <v>997</v>
      </c>
      <c r="M1776" s="104"/>
      <c r="N1776" s="108" t="s">
        <v>17</v>
      </c>
      <c r="O1776" s="104" t="s">
        <v>17</v>
      </c>
      <c r="P1776" s="113">
        <v>2.4219999999999997</v>
      </c>
      <c r="Q1776" s="113">
        <v>2.4910000000000001</v>
      </c>
      <c r="R1776" s="104" t="s">
        <v>17</v>
      </c>
      <c r="S1776" s="253">
        <f>((10^((3.187*LOG((P1776))+1.264))+(10^((3.01*LOG((P1776))+1.216)))+(10^(((2.999*(LOG(P1776)))+1.162)))))/3</f>
        <v>249.89932158846645</v>
      </c>
      <c r="T1776" s="103" t="s">
        <v>1384</v>
      </c>
      <c r="U1776" s="108">
        <v>0.98499999999999999</v>
      </c>
      <c r="V1776" s="107">
        <v>16.5</v>
      </c>
      <c r="W1776" s="414" t="s">
        <v>1385</v>
      </c>
    </row>
    <row r="1777" spans="1:23" ht="21" customHeight="1">
      <c r="A1777" s="104" t="s">
        <v>169</v>
      </c>
      <c r="B1777" s="104" t="s">
        <v>149</v>
      </c>
      <c r="C1777" s="454" t="s">
        <v>150</v>
      </c>
      <c r="D1777" s="105" t="s">
        <v>151</v>
      </c>
      <c r="E1777" s="104"/>
      <c r="F1777" s="104" t="s">
        <v>1403</v>
      </c>
      <c r="G1777" s="106" t="s">
        <v>1395</v>
      </c>
      <c r="H1777" s="104" t="s">
        <v>1396</v>
      </c>
      <c r="I1777" s="104" t="s">
        <v>104</v>
      </c>
      <c r="J1777" s="104" t="s">
        <v>105</v>
      </c>
      <c r="K1777" s="104" t="s">
        <v>153</v>
      </c>
      <c r="L1777" s="104" t="s">
        <v>1100</v>
      </c>
      <c r="M1777" s="104"/>
      <c r="N1777" s="108" t="s">
        <v>17</v>
      </c>
      <c r="O1777" s="104" t="s">
        <v>17</v>
      </c>
      <c r="P1777" s="113">
        <v>2.6219999999999999</v>
      </c>
      <c r="Q1777" s="113">
        <v>1.361</v>
      </c>
      <c r="R1777" s="104" t="s">
        <v>17</v>
      </c>
      <c r="S1777" s="253">
        <f>( (10^((2.965*LOG((P1777))+1.383))) +  (10^((3.09*LOG((P1777))+1.29))))/2</f>
        <v>402.1484341607225</v>
      </c>
      <c r="T1777" s="103" t="s">
        <v>1415</v>
      </c>
      <c r="U1777" s="108"/>
      <c r="V1777" s="107"/>
      <c r="W1777" s="414" t="s">
        <v>1385</v>
      </c>
    </row>
    <row r="1778" spans="1:23" ht="21" customHeight="1">
      <c r="A1778" s="104" t="s">
        <v>169</v>
      </c>
      <c r="B1778" s="104" t="s">
        <v>149</v>
      </c>
      <c r="C1778" s="454" t="s">
        <v>150</v>
      </c>
      <c r="D1778" s="105" t="s">
        <v>151</v>
      </c>
      <c r="E1778" s="104"/>
      <c r="F1778" s="104">
        <v>2370</v>
      </c>
      <c r="G1778" s="106" t="s">
        <v>1395</v>
      </c>
      <c r="H1778" s="104" t="s">
        <v>1396</v>
      </c>
      <c r="I1778" s="104" t="s">
        <v>104</v>
      </c>
      <c r="J1778" s="104" t="s">
        <v>105</v>
      </c>
      <c r="K1778" s="104" t="s">
        <v>172</v>
      </c>
      <c r="L1778" s="104" t="s">
        <v>1238</v>
      </c>
      <c r="M1778" s="104"/>
      <c r="N1778" s="108" t="s">
        <v>17</v>
      </c>
      <c r="O1778" s="104" t="s">
        <v>17</v>
      </c>
      <c r="P1778" s="113">
        <v>2.6749999999999998</v>
      </c>
      <c r="Q1778" s="113">
        <v>2.6019999999999999</v>
      </c>
      <c r="R1778" s="104" t="s">
        <v>17</v>
      </c>
      <c r="S1778" s="253">
        <f>(10^((3.187*LOG((P1778))+1.264)))</f>
        <v>422.55272533922692</v>
      </c>
      <c r="T1778" s="103" t="s">
        <v>1387</v>
      </c>
      <c r="U1778" s="108">
        <v>0.98499999999999999</v>
      </c>
      <c r="V1778" s="107">
        <v>16.5</v>
      </c>
      <c r="W1778" s="414" t="s">
        <v>1385</v>
      </c>
    </row>
    <row r="1779" spans="1:23" ht="21" customHeight="1">
      <c r="A1779" s="104" t="s">
        <v>169</v>
      </c>
      <c r="B1779" s="104" t="s">
        <v>149</v>
      </c>
      <c r="C1779" s="454" t="s">
        <v>150</v>
      </c>
      <c r="D1779" s="105" t="s">
        <v>151</v>
      </c>
      <c r="E1779" s="104"/>
      <c r="F1779" s="104" t="s">
        <v>1403</v>
      </c>
      <c r="G1779" s="106" t="s">
        <v>1395</v>
      </c>
      <c r="H1779" s="104" t="s">
        <v>1396</v>
      </c>
      <c r="I1779" s="104" t="s">
        <v>104</v>
      </c>
      <c r="J1779" s="104" t="s">
        <v>105</v>
      </c>
      <c r="K1779" s="104" t="s">
        <v>153</v>
      </c>
      <c r="L1779" s="104" t="s">
        <v>1100</v>
      </c>
      <c r="M1779" s="104"/>
      <c r="N1779" s="108" t="s">
        <v>17</v>
      </c>
      <c r="O1779" s="104" t="s">
        <v>17</v>
      </c>
      <c r="P1779" s="113">
        <v>3.0710000000000002</v>
      </c>
      <c r="Q1779" s="113">
        <v>1.546</v>
      </c>
      <c r="R1779" s="104" t="s">
        <v>17</v>
      </c>
      <c r="S1779" s="253">
        <f>( (10^((2.965*LOG((P1779))+1.383))) +  (10^((3.09*LOG((P1779))+1.29))))/2</f>
        <v>648.6881558551778</v>
      </c>
      <c r="T1779" s="103" t="s">
        <v>1415</v>
      </c>
      <c r="U1779" s="108"/>
      <c r="V1779" s="107"/>
      <c r="W1779" s="414" t="s">
        <v>1385</v>
      </c>
    </row>
    <row r="1780" spans="1:23" ht="21" customHeight="1">
      <c r="A1780" s="104" t="s">
        <v>218</v>
      </c>
      <c r="B1780" s="104" t="s">
        <v>221</v>
      </c>
      <c r="C1780" s="454" t="s">
        <v>222</v>
      </c>
      <c r="D1780" s="105" t="s">
        <v>151</v>
      </c>
      <c r="E1780" s="104">
        <v>40544</v>
      </c>
      <c r="F1780" s="104">
        <v>311</v>
      </c>
      <c r="G1780" s="106" t="s">
        <v>240</v>
      </c>
      <c r="H1780" s="104" t="s">
        <v>241</v>
      </c>
      <c r="I1780" s="104" t="s">
        <v>225</v>
      </c>
      <c r="J1780" s="104" t="s">
        <v>105</v>
      </c>
      <c r="K1780" s="104" t="s">
        <v>112</v>
      </c>
      <c r="L1780" s="104" t="s">
        <v>663</v>
      </c>
      <c r="M1780" s="104" t="s">
        <v>114</v>
      </c>
      <c r="N1780" s="108" t="s">
        <v>17</v>
      </c>
      <c r="O1780" s="104" t="s">
        <v>17</v>
      </c>
      <c r="P1780" s="108">
        <v>1.365</v>
      </c>
      <c r="Q1780" s="108">
        <v>0.99700000000000011</v>
      </c>
      <c r="R1780" s="104" t="s">
        <v>17</v>
      </c>
      <c r="S1780" s="253">
        <f>(10^((3.334*LOG((P1780))+1.27)))</f>
        <v>52.545104452227484</v>
      </c>
      <c r="T1780" s="104" t="s">
        <v>1027</v>
      </c>
      <c r="U1780" s="108">
        <v>0.93</v>
      </c>
      <c r="V1780" s="107">
        <v>23.9</v>
      </c>
      <c r="W1780" s="106" t="s">
        <v>1028</v>
      </c>
    </row>
    <row r="1781" spans="1:23" ht="21" customHeight="1">
      <c r="A1781" s="104" t="s">
        <v>218</v>
      </c>
      <c r="B1781" s="104" t="s">
        <v>221</v>
      </c>
      <c r="C1781" s="454" t="s">
        <v>222</v>
      </c>
      <c r="D1781" s="105" t="s">
        <v>151</v>
      </c>
      <c r="E1781" s="104">
        <v>40544</v>
      </c>
      <c r="F1781" s="104">
        <v>223</v>
      </c>
      <c r="G1781" s="106" t="s">
        <v>240</v>
      </c>
      <c r="H1781" s="104" t="s">
        <v>241</v>
      </c>
      <c r="I1781" s="104" t="s">
        <v>225</v>
      </c>
      <c r="J1781" s="104" t="s">
        <v>105</v>
      </c>
      <c r="K1781" s="104" t="s">
        <v>1070</v>
      </c>
      <c r="L1781" s="104" t="s">
        <v>1071</v>
      </c>
      <c r="M1781" s="104"/>
      <c r="N1781" s="108" t="s">
        <v>17</v>
      </c>
      <c r="O1781" s="104" t="s">
        <v>17</v>
      </c>
      <c r="P1781" s="108">
        <v>1.151</v>
      </c>
      <c r="Q1781" s="108">
        <v>1.284</v>
      </c>
      <c r="R1781" s="104" t="s">
        <v>17</v>
      </c>
      <c r="S1781" s="253">
        <f>(((10^((3.05*LOG((P1781*10))+1.6)))+(10^(3.13*LOG((P1781*10))+1.4))+(10^(3.26*LOG((P1781*10))+1.31)))/3)/1000</f>
        <v>59.992671328155069</v>
      </c>
      <c r="T1781" s="104" t="s">
        <v>1072</v>
      </c>
      <c r="U1781" s="108" t="s">
        <v>1073</v>
      </c>
      <c r="V1781" s="107" t="s">
        <v>1074</v>
      </c>
      <c r="W1781" s="106" t="s">
        <v>342</v>
      </c>
    </row>
    <row r="1782" spans="1:23" ht="21" customHeight="1">
      <c r="A1782" s="104" t="s">
        <v>218</v>
      </c>
      <c r="B1782" s="104" t="s">
        <v>221</v>
      </c>
      <c r="C1782" s="454" t="s">
        <v>222</v>
      </c>
      <c r="D1782" s="105" t="s">
        <v>151</v>
      </c>
      <c r="E1782" s="104">
        <v>40544</v>
      </c>
      <c r="F1782" s="104">
        <v>316</v>
      </c>
      <c r="G1782" s="106" t="s">
        <v>240</v>
      </c>
      <c r="H1782" s="104" t="s">
        <v>241</v>
      </c>
      <c r="I1782" s="104" t="s">
        <v>225</v>
      </c>
      <c r="J1782" s="104" t="s">
        <v>105</v>
      </c>
      <c r="K1782" s="104" t="s">
        <v>112</v>
      </c>
      <c r="L1782" s="104" t="s">
        <v>663</v>
      </c>
      <c r="M1782" s="104" t="s">
        <v>108</v>
      </c>
      <c r="N1782" s="108" t="s">
        <v>17</v>
      </c>
      <c r="O1782" s="104" t="s">
        <v>17</v>
      </c>
      <c r="P1782" s="108">
        <v>1.5660000000000001</v>
      </c>
      <c r="Q1782" s="108">
        <v>1.1099999999999999</v>
      </c>
      <c r="R1782" s="104" t="s">
        <v>17</v>
      </c>
      <c r="S1782" s="253">
        <f>(10^((3.334*LOG((P1782))+1.27)))</f>
        <v>83.068376042664283</v>
      </c>
      <c r="T1782" s="104" t="s">
        <v>1027</v>
      </c>
      <c r="U1782" s="108">
        <v>0.93</v>
      </c>
      <c r="V1782" s="107">
        <v>23.9</v>
      </c>
      <c r="W1782" s="106" t="s">
        <v>1028</v>
      </c>
    </row>
    <row r="1783" spans="1:23" ht="21" customHeight="1">
      <c r="A1783" s="104" t="s">
        <v>218</v>
      </c>
      <c r="B1783" s="104" t="s">
        <v>221</v>
      </c>
      <c r="C1783" s="454" t="s">
        <v>222</v>
      </c>
      <c r="D1783" s="105" t="s">
        <v>151</v>
      </c>
      <c r="E1783" s="104">
        <v>40544</v>
      </c>
      <c r="F1783" s="104">
        <v>126</v>
      </c>
      <c r="G1783" s="106" t="s">
        <v>240</v>
      </c>
      <c r="H1783" s="104" t="s">
        <v>241</v>
      </c>
      <c r="I1783" s="104" t="s">
        <v>225</v>
      </c>
      <c r="J1783" s="104" t="s">
        <v>105</v>
      </c>
      <c r="K1783" s="104" t="s">
        <v>883</v>
      </c>
      <c r="L1783" s="104" t="s">
        <v>884</v>
      </c>
      <c r="M1783" s="104" t="s">
        <v>114</v>
      </c>
      <c r="N1783" s="108" t="s">
        <v>17</v>
      </c>
      <c r="O1783" s="104" t="s">
        <v>17</v>
      </c>
      <c r="P1783" s="108">
        <v>1.3560000000000001</v>
      </c>
      <c r="Q1783" s="108">
        <v>0.91199999999999992</v>
      </c>
      <c r="R1783" s="104" t="s">
        <v>17</v>
      </c>
      <c r="S1783" s="253">
        <f>(((10^((3.21*LOG((P1783*10))+1.07)))+(10^(3.34*LOG((P1783*10))+0.73))+(10^(3.29*LOG((P1783*10))+0.8))/3)/1000)</f>
        <v>94.305780046629522</v>
      </c>
      <c r="T1783" s="104" t="s">
        <v>1097</v>
      </c>
      <c r="U1783" s="108">
        <v>0.93</v>
      </c>
      <c r="V1783" s="107" t="s">
        <v>1098</v>
      </c>
      <c r="W1783" s="114" t="s">
        <v>1099</v>
      </c>
    </row>
    <row r="1784" spans="1:23" ht="21" customHeight="1">
      <c r="A1784" s="104" t="s">
        <v>218</v>
      </c>
      <c r="B1784" s="104" t="s">
        <v>221</v>
      </c>
      <c r="C1784" s="454" t="s">
        <v>222</v>
      </c>
      <c r="D1784" s="105" t="s">
        <v>151</v>
      </c>
      <c r="E1784" s="104">
        <v>40544</v>
      </c>
      <c r="F1784" s="104">
        <v>16</v>
      </c>
      <c r="G1784" s="106" t="s">
        <v>240</v>
      </c>
      <c r="H1784" s="104" t="s">
        <v>241</v>
      </c>
      <c r="I1784" s="104" t="s">
        <v>225</v>
      </c>
      <c r="J1784" s="104" t="s">
        <v>105</v>
      </c>
      <c r="K1784" s="104" t="s">
        <v>1109</v>
      </c>
      <c r="L1784" s="104" t="s">
        <v>1071</v>
      </c>
      <c r="M1784" s="104" t="s">
        <v>108</v>
      </c>
      <c r="N1784" s="108" t="s">
        <v>17</v>
      </c>
      <c r="O1784" s="104" t="s">
        <v>17</v>
      </c>
      <c r="P1784" s="108">
        <v>1.3699999999999999</v>
      </c>
      <c r="Q1784" s="108">
        <v>0.80199999999999994</v>
      </c>
      <c r="R1784" s="104" t="s">
        <v>17</v>
      </c>
      <c r="S1784" s="253">
        <f>(((10^((3.05*LOG((P1784*10))+1.6)))+(10^(3.13*LOG((P1784*10))+1.4))+(10^(3.26*LOG((P1784*10))+1.31)))/3)/1000</f>
        <v>103.71075126301467</v>
      </c>
      <c r="T1784" s="104" t="s">
        <v>1072</v>
      </c>
      <c r="U1784" s="108" t="s">
        <v>1073</v>
      </c>
      <c r="V1784" s="107" t="s">
        <v>1074</v>
      </c>
      <c r="W1784" s="106" t="s">
        <v>342</v>
      </c>
    </row>
    <row r="1785" spans="1:23" ht="21" customHeight="1">
      <c r="A1785" s="104" t="s">
        <v>218</v>
      </c>
      <c r="B1785" s="104" t="s">
        <v>221</v>
      </c>
      <c r="C1785" s="454" t="s">
        <v>222</v>
      </c>
      <c r="D1785" s="105" t="s">
        <v>151</v>
      </c>
      <c r="E1785" s="104">
        <v>40544</v>
      </c>
      <c r="F1785" s="104">
        <v>56</v>
      </c>
      <c r="G1785" s="106" t="s">
        <v>240</v>
      </c>
      <c r="H1785" s="104" t="s">
        <v>241</v>
      </c>
      <c r="I1785" s="104" t="s">
        <v>225</v>
      </c>
      <c r="J1785" s="104" t="s">
        <v>105</v>
      </c>
      <c r="K1785" s="104" t="s">
        <v>1000</v>
      </c>
      <c r="L1785" s="104" t="s">
        <v>686</v>
      </c>
      <c r="M1785" s="104" t="s">
        <v>114</v>
      </c>
      <c r="N1785" s="108" t="s">
        <v>17</v>
      </c>
      <c r="O1785" s="104" t="s">
        <v>17</v>
      </c>
      <c r="P1785" s="108">
        <v>1.966</v>
      </c>
      <c r="Q1785" s="108">
        <v>0.90100000000000002</v>
      </c>
      <c r="R1785" s="104" t="s">
        <v>17</v>
      </c>
      <c r="S1785" s="253">
        <f>(10^((3.29*LOG((P1785*10))+0.8)))/1000</f>
        <v>113.7338549030015</v>
      </c>
      <c r="T1785" s="104" t="s">
        <v>1112</v>
      </c>
      <c r="U1785" s="108">
        <v>0.93</v>
      </c>
      <c r="V1785" s="107">
        <v>44.7</v>
      </c>
      <c r="W1785" s="106" t="s">
        <v>644</v>
      </c>
    </row>
    <row r="1786" spans="1:23" ht="21" customHeight="1">
      <c r="A1786" s="104" t="s">
        <v>218</v>
      </c>
      <c r="B1786" s="104" t="s">
        <v>221</v>
      </c>
      <c r="C1786" s="454" t="s">
        <v>222</v>
      </c>
      <c r="D1786" s="105" t="s">
        <v>151</v>
      </c>
      <c r="E1786" s="104">
        <v>40544</v>
      </c>
      <c r="F1786" s="104">
        <v>169</v>
      </c>
      <c r="G1786" s="106" t="s">
        <v>240</v>
      </c>
      <c r="H1786" s="104" t="s">
        <v>241</v>
      </c>
      <c r="I1786" s="104" t="s">
        <v>225</v>
      </c>
      <c r="J1786" s="104" t="s">
        <v>105</v>
      </c>
      <c r="K1786" s="104" t="s">
        <v>112</v>
      </c>
      <c r="L1786" s="104" t="s">
        <v>663</v>
      </c>
      <c r="M1786" s="104" t="s">
        <v>108</v>
      </c>
      <c r="N1786" s="108" t="s">
        <v>17</v>
      </c>
      <c r="O1786" s="104" t="s">
        <v>17</v>
      </c>
      <c r="P1786" s="108">
        <v>1.7390000000000001</v>
      </c>
      <c r="Q1786" s="108">
        <v>0.8</v>
      </c>
      <c r="R1786" s="104" t="s">
        <v>17</v>
      </c>
      <c r="S1786" s="253">
        <f>(10^((3.334*LOG((P1786))+1.27)))</f>
        <v>117.80366618337639</v>
      </c>
      <c r="T1786" s="104" t="s">
        <v>1027</v>
      </c>
      <c r="U1786" s="108">
        <v>0.93</v>
      </c>
      <c r="V1786" s="107">
        <v>23.9</v>
      </c>
      <c r="W1786" s="106" t="s">
        <v>1028</v>
      </c>
    </row>
    <row r="1787" spans="1:23" ht="21" customHeight="1">
      <c r="A1787" s="104" t="s">
        <v>218</v>
      </c>
      <c r="B1787" s="104" t="s">
        <v>221</v>
      </c>
      <c r="C1787" s="454" t="s">
        <v>222</v>
      </c>
      <c r="D1787" s="105" t="s">
        <v>151</v>
      </c>
      <c r="E1787" s="104">
        <v>40544</v>
      </c>
      <c r="F1787" s="104">
        <v>199</v>
      </c>
      <c r="G1787" s="106" t="s">
        <v>240</v>
      </c>
      <c r="H1787" s="104" t="s">
        <v>241</v>
      </c>
      <c r="I1787" s="104" t="s">
        <v>225</v>
      </c>
      <c r="J1787" s="104" t="s">
        <v>105</v>
      </c>
      <c r="K1787" s="104" t="s">
        <v>112</v>
      </c>
      <c r="L1787" s="104" t="s">
        <v>663</v>
      </c>
      <c r="M1787" s="104" t="s">
        <v>114</v>
      </c>
      <c r="N1787" s="108" t="s">
        <v>17</v>
      </c>
      <c r="O1787" s="104" t="s">
        <v>17</v>
      </c>
      <c r="P1787" s="108">
        <v>1.7710000000000001</v>
      </c>
      <c r="Q1787" s="108">
        <v>0.78</v>
      </c>
      <c r="R1787" s="104" t="s">
        <v>17</v>
      </c>
      <c r="S1787" s="253">
        <f>(10^((3.334*LOG((P1787))+1.27)))</f>
        <v>125.18741824231432</v>
      </c>
      <c r="T1787" s="104" t="s">
        <v>1027</v>
      </c>
      <c r="U1787" s="108">
        <v>0.93</v>
      </c>
      <c r="V1787" s="107">
        <v>23.9</v>
      </c>
      <c r="W1787" s="106" t="s">
        <v>1028</v>
      </c>
    </row>
    <row r="1788" spans="1:23" ht="21" customHeight="1">
      <c r="A1788" s="104" t="s">
        <v>218</v>
      </c>
      <c r="B1788" s="104" t="s">
        <v>221</v>
      </c>
      <c r="C1788" s="454" t="s">
        <v>222</v>
      </c>
      <c r="D1788" s="105" t="s">
        <v>151</v>
      </c>
      <c r="E1788" s="104">
        <v>40544</v>
      </c>
      <c r="F1788" s="104">
        <v>165</v>
      </c>
      <c r="G1788" s="106" t="s">
        <v>240</v>
      </c>
      <c r="H1788" s="104" t="s">
        <v>241</v>
      </c>
      <c r="I1788" s="104" t="s">
        <v>225</v>
      </c>
      <c r="J1788" s="104" t="s">
        <v>105</v>
      </c>
      <c r="K1788" s="104" t="s">
        <v>883</v>
      </c>
      <c r="L1788" s="104" t="s">
        <v>884</v>
      </c>
      <c r="M1788" s="104" t="s">
        <v>114</v>
      </c>
      <c r="N1788" s="108" t="s">
        <v>17</v>
      </c>
      <c r="O1788" s="104" t="s">
        <v>17</v>
      </c>
      <c r="P1788" s="108">
        <v>1.5189999999999999</v>
      </c>
      <c r="Q1788" s="108">
        <v>1.4689999999999999</v>
      </c>
      <c r="R1788" s="104" t="s">
        <v>17</v>
      </c>
      <c r="S1788" s="253">
        <f>(((10^((3.21*LOG((P1788*10))+1.07)))+(10^(3.34*LOG((P1788*10))+0.73))+(10^(3.29*LOG((P1788*10))+0.8))/3)/1000)</f>
        <v>136.60617839664846</v>
      </c>
      <c r="T1788" s="104" t="s">
        <v>1097</v>
      </c>
      <c r="U1788" s="108">
        <v>0.93</v>
      </c>
      <c r="V1788" s="107" t="s">
        <v>1098</v>
      </c>
      <c r="W1788" s="114" t="s">
        <v>1099</v>
      </c>
    </row>
    <row r="1789" spans="1:23" ht="21" customHeight="1">
      <c r="A1789" s="104" t="s">
        <v>218</v>
      </c>
      <c r="B1789" s="104" t="s">
        <v>221</v>
      </c>
      <c r="C1789" s="454" t="s">
        <v>222</v>
      </c>
      <c r="D1789" s="105" t="s">
        <v>151</v>
      </c>
      <c r="E1789" s="104">
        <v>40544</v>
      </c>
      <c r="F1789" s="104">
        <v>43</v>
      </c>
      <c r="G1789" s="106" t="s">
        <v>240</v>
      </c>
      <c r="H1789" s="104" t="s">
        <v>241</v>
      </c>
      <c r="I1789" s="104" t="s">
        <v>225</v>
      </c>
      <c r="J1789" s="104" t="s">
        <v>105</v>
      </c>
      <c r="K1789" s="104" t="s">
        <v>883</v>
      </c>
      <c r="L1789" s="104" t="s">
        <v>884</v>
      </c>
      <c r="M1789" s="104" t="s">
        <v>114</v>
      </c>
      <c r="N1789" s="108" t="s">
        <v>17</v>
      </c>
      <c r="O1789" s="104" t="s">
        <v>17</v>
      </c>
      <c r="P1789" s="108">
        <v>1.5779999999999998</v>
      </c>
      <c r="Q1789" s="108">
        <v>0.97499999999999998</v>
      </c>
      <c r="R1789" s="104" t="s">
        <v>17</v>
      </c>
      <c r="S1789" s="253">
        <f>(((10^((3.21*LOG((P1789*10))+1.07)))+(10^(3.34*LOG((P1789*10))+0.73))+(10^(3.29*LOG((P1789*10))+0.8))/3)/1000)</f>
        <v>154.70321177247558</v>
      </c>
      <c r="T1789" s="104" t="s">
        <v>1097</v>
      </c>
      <c r="U1789" s="108">
        <v>0.93</v>
      </c>
      <c r="V1789" s="107" t="s">
        <v>1098</v>
      </c>
      <c r="W1789" s="114" t="s">
        <v>1099</v>
      </c>
    </row>
    <row r="1790" spans="1:23" ht="19">
      <c r="A1790" s="104" t="s">
        <v>218</v>
      </c>
      <c r="B1790" s="104" t="s">
        <v>221</v>
      </c>
      <c r="C1790" s="454" t="s">
        <v>222</v>
      </c>
      <c r="D1790" s="105" t="s">
        <v>151</v>
      </c>
      <c r="E1790" s="104">
        <v>40544</v>
      </c>
      <c r="F1790" s="104">
        <v>246</v>
      </c>
      <c r="G1790" s="106" t="s">
        <v>240</v>
      </c>
      <c r="H1790" s="104" t="s">
        <v>241</v>
      </c>
      <c r="I1790" s="104" t="s">
        <v>225</v>
      </c>
      <c r="J1790" s="104" t="s">
        <v>105</v>
      </c>
      <c r="K1790" s="104" t="s">
        <v>1000</v>
      </c>
      <c r="L1790" s="104" t="s">
        <v>686</v>
      </c>
      <c r="M1790" s="104" t="s">
        <v>108</v>
      </c>
      <c r="N1790" s="108" t="s">
        <v>17</v>
      </c>
      <c r="O1790" s="104" t="s">
        <v>17</v>
      </c>
      <c r="P1790" s="108">
        <v>2.2570000000000001</v>
      </c>
      <c r="Q1790" s="108">
        <v>1.0289999999999999</v>
      </c>
      <c r="R1790" s="104" t="s">
        <v>17</v>
      </c>
      <c r="S1790" s="253">
        <f>(10^((3.29*LOG((P1790*10))+0.8)))/1000</f>
        <v>179.10958571990969</v>
      </c>
      <c r="T1790" s="104" t="s">
        <v>1112</v>
      </c>
      <c r="U1790" s="108">
        <v>0.93</v>
      </c>
      <c r="V1790" s="107">
        <v>44.7</v>
      </c>
      <c r="W1790" s="106" t="s">
        <v>644</v>
      </c>
    </row>
    <row r="1791" spans="1:23" ht="19">
      <c r="A1791" s="416" t="s">
        <v>218</v>
      </c>
      <c r="B1791" s="416" t="s">
        <v>221</v>
      </c>
      <c r="C1791" s="455" t="s">
        <v>222</v>
      </c>
      <c r="D1791" s="105" t="s">
        <v>151</v>
      </c>
      <c r="E1791" s="416">
        <v>40544</v>
      </c>
      <c r="F1791" s="416">
        <v>288</v>
      </c>
      <c r="G1791" s="456" t="s">
        <v>240</v>
      </c>
      <c r="H1791" s="416" t="s">
        <v>241</v>
      </c>
      <c r="I1791" s="104" t="s">
        <v>225</v>
      </c>
      <c r="J1791" s="416" t="s">
        <v>105</v>
      </c>
      <c r="K1791" s="416" t="s">
        <v>1114</v>
      </c>
      <c r="L1791" s="416" t="s">
        <v>1115</v>
      </c>
      <c r="M1791" s="416" t="s">
        <v>114</v>
      </c>
      <c r="N1791" s="458" t="s">
        <v>17</v>
      </c>
      <c r="O1791" s="416" t="s">
        <v>17</v>
      </c>
      <c r="P1791" s="458">
        <v>1.425</v>
      </c>
      <c r="Q1791" s="458">
        <v>0.90199999999999991</v>
      </c>
      <c r="R1791" s="416" t="s">
        <v>17</v>
      </c>
      <c r="S1791" s="459">
        <f>(((10^((3.619*LOG((P1791))+1.885)))+(10^(3.399*LOG((P1791))+1.556))+(10^(3.13*LOG((P1791))+2.139)))/3)</f>
        <v>271.22228347566858</v>
      </c>
      <c r="T1791" s="416" t="s">
        <v>1116</v>
      </c>
      <c r="U1791" s="458">
        <v>0.873</v>
      </c>
      <c r="V1791" s="460">
        <v>33</v>
      </c>
      <c r="W1791" s="456" t="s">
        <v>1028</v>
      </c>
    </row>
    <row r="1792" spans="1:23" ht="19">
      <c r="A1792" s="104" t="s">
        <v>218</v>
      </c>
      <c r="B1792" s="104" t="s">
        <v>389</v>
      </c>
      <c r="C1792" s="454" t="s">
        <v>390</v>
      </c>
      <c r="D1792" s="105" t="s">
        <v>777</v>
      </c>
      <c r="E1792" s="104">
        <v>1018</v>
      </c>
      <c r="F1792" s="104">
        <v>8</v>
      </c>
      <c r="G1792" s="106" t="s">
        <v>779</v>
      </c>
      <c r="H1792" s="104" t="s">
        <v>780</v>
      </c>
      <c r="I1792" s="104" t="s">
        <v>104</v>
      </c>
      <c r="J1792" s="104" t="s">
        <v>105</v>
      </c>
      <c r="K1792" s="104" t="s">
        <v>126</v>
      </c>
      <c r="L1792" s="104" t="s">
        <v>636</v>
      </c>
      <c r="M1792" s="104" t="s">
        <v>114</v>
      </c>
      <c r="N1792" s="108"/>
      <c r="O1792" s="104"/>
      <c r="P1792" s="108">
        <v>5.04</v>
      </c>
      <c r="Q1792" s="108">
        <v>1.5</v>
      </c>
      <c r="R1792" s="104" t="s">
        <v>17</v>
      </c>
      <c r="S1792" s="113">
        <f>10^(((LOG(P1792))*3.236)+0.745)</f>
        <v>1042.4739609990302</v>
      </c>
      <c r="T1792" s="104" t="s">
        <v>717</v>
      </c>
      <c r="U1792" s="108">
        <v>0.92900000000000005</v>
      </c>
      <c r="V1792" s="107">
        <v>33.299999999999997</v>
      </c>
      <c r="W1792" s="106" t="s">
        <v>700</v>
      </c>
    </row>
    <row r="1793" spans="1:23" ht="19">
      <c r="A1793" s="104" t="s">
        <v>218</v>
      </c>
      <c r="B1793" s="104" t="s">
        <v>389</v>
      </c>
      <c r="C1793" s="454" t="s">
        <v>390</v>
      </c>
      <c r="D1793" s="105" t="s">
        <v>151</v>
      </c>
      <c r="E1793" s="104">
        <v>1018</v>
      </c>
      <c r="F1793" s="104" t="s">
        <v>753</v>
      </c>
      <c r="G1793" s="106" t="s">
        <v>779</v>
      </c>
      <c r="H1793" s="104" t="s">
        <v>780</v>
      </c>
      <c r="I1793" s="104" t="s">
        <v>104</v>
      </c>
      <c r="J1793" s="104" t="s">
        <v>105</v>
      </c>
      <c r="K1793" s="104" t="s">
        <v>172</v>
      </c>
      <c r="L1793" s="104" t="s">
        <v>651</v>
      </c>
      <c r="M1793" s="104"/>
      <c r="N1793" s="108"/>
      <c r="O1793" s="104"/>
      <c r="P1793" s="108">
        <v>2.7229999999999999</v>
      </c>
      <c r="Q1793" s="108">
        <v>2.573</v>
      </c>
      <c r="R1793" s="104" t="s">
        <v>17</v>
      </c>
      <c r="S1793" s="113">
        <f>((10^((3.13*LOG((P1793*10))+1.17)) +10^((3.2*LOG((P1793*10))+1.17)))/2)/1000</f>
        <v>518.58950082777483</v>
      </c>
      <c r="T1793" s="104" t="s">
        <v>864</v>
      </c>
      <c r="U1793" s="108">
        <v>0.92</v>
      </c>
      <c r="V1793" s="107">
        <v>41.2</v>
      </c>
      <c r="W1793" s="106" t="s">
        <v>704</v>
      </c>
    </row>
    <row r="1794" spans="1:23" ht="19">
      <c r="A1794" s="104" t="s">
        <v>218</v>
      </c>
      <c r="B1794" s="104" t="s">
        <v>389</v>
      </c>
      <c r="C1794" s="454" t="s">
        <v>390</v>
      </c>
      <c r="D1794" s="105" t="s">
        <v>151</v>
      </c>
      <c r="E1794" s="104">
        <v>1018</v>
      </c>
      <c r="F1794" s="104">
        <v>12</v>
      </c>
      <c r="G1794" s="106" t="s">
        <v>779</v>
      </c>
      <c r="H1794" s="104" t="s">
        <v>780</v>
      </c>
      <c r="I1794" s="104" t="s">
        <v>104</v>
      </c>
      <c r="J1794" s="104" t="s">
        <v>105</v>
      </c>
      <c r="K1794" s="104" t="s">
        <v>126</v>
      </c>
      <c r="L1794" s="104" t="s">
        <v>636</v>
      </c>
      <c r="M1794" s="104" t="s">
        <v>108</v>
      </c>
      <c r="N1794" s="108"/>
      <c r="O1794" s="104"/>
      <c r="P1794" s="108">
        <v>4.085</v>
      </c>
      <c r="Q1794" s="108">
        <v>1.48</v>
      </c>
      <c r="R1794" s="104" t="s">
        <v>17</v>
      </c>
      <c r="S1794" s="113">
        <f t="shared" ref="S1794:S1800" si="25">10^(((LOG(P1794))*3.236)+0.745)</f>
        <v>528.22324513302954</v>
      </c>
      <c r="T1794" s="104" t="s">
        <v>717</v>
      </c>
      <c r="U1794" s="108">
        <v>0.92900000000000005</v>
      </c>
      <c r="V1794" s="107">
        <v>33.299999999999997</v>
      </c>
      <c r="W1794" s="106" t="s">
        <v>700</v>
      </c>
    </row>
    <row r="1795" spans="1:23" ht="19">
      <c r="A1795" s="104" t="s">
        <v>218</v>
      </c>
      <c r="B1795" s="104" t="s">
        <v>389</v>
      </c>
      <c r="C1795" s="454" t="s">
        <v>390</v>
      </c>
      <c r="D1795" s="105" t="s">
        <v>151</v>
      </c>
      <c r="E1795" s="104">
        <v>1018</v>
      </c>
      <c r="F1795" s="104" t="s">
        <v>753</v>
      </c>
      <c r="G1795" s="106" t="s">
        <v>779</v>
      </c>
      <c r="H1795" s="104" t="s">
        <v>780</v>
      </c>
      <c r="I1795" s="104" t="s">
        <v>104</v>
      </c>
      <c r="J1795" s="104" t="s">
        <v>105</v>
      </c>
      <c r="K1795" s="104" t="s">
        <v>126</v>
      </c>
      <c r="L1795" s="104" t="s">
        <v>636</v>
      </c>
      <c r="M1795" s="104"/>
      <c r="N1795" s="108"/>
      <c r="O1795" s="104"/>
      <c r="P1795" s="108">
        <v>4.1850000000000005</v>
      </c>
      <c r="Q1795" s="108">
        <v>1.484</v>
      </c>
      <c r="R1795" s="104" t="s">
        <v>17</v>
      </c>
      <c r="S1795" s="113">
        <f t="shared" si="25"/>
        <v>571.22409213023866</v>
      </c>
      <c r="T1795" s="104" t="s">
        <v>717</v>
      </c>
      <c r="U1795" s="108">
        <v>0.92900000000000005</v>
      </c>
      <c r="V1795" s="107">
        <v>33.299999999999997</v>
      </c>
      <c r="W1795" s="106" t="s">
        <v>700</v>
      </c>
    </row>
    <row r="1796" spans="1:23" ht="19">
      <c r="A1796" s="104" t="s">
        <v>218</v>
      </c>
      <c r="B1796" s="104" t="s">
        <v>389</v>
      </c>
      <c r="C1796" s="454" t="s">
        <v>390</v>
      </c>
      <c r="D1796" s="105" t="s">
        <v>151</v>
      </c>
      <c r="E1796" s="104">
        <v>1018</v>
      </c>
      <c r="F1796" s="104">
        <v>3</v>
      </c>
      <c r="G1796" s="106" t="s">
        <v>779</v>
      </c>
      <c r="H1796" s="104" t="s">
        <v>780</v>
      </c>
      <c r="I1796" s="104" t="s">
        <v>104</v>
      </c>
      <c r="J1796" s="104" t="s">
        <v>105</v>
      </c>
      <c r="K1796" s="104" t="s">
        <v>126</v>
      </c>
      <c r="L1796" s="104" t="s">
        <v>636</v>
      </c>
      <c r="M1796" s="104"/>
      <c r="N1796" s="108"/>
      <c r="O1796" s="104"/>
      <c r="P1796" s="108">
        <v>4.2229999999999999</v>
      </c>
      <c r="Q1796" s="108">
        <v>1.845</v>
      </c>
      <c r="R1796" s="104" t="s">
        <v>17</v>
      </c>
      <c r="S1796" s="113">
        <f t="shared" si="25"/>
        <v>588.1794128548554</v>
      </c>
      <c r="T1796" s="104" t="s">
        <v>717</v>
      </c>
      <c r="U1796" s="108">
        <v>0.92900000000000005</v>
      </c>
      <c r="V1796" s="107">
        <v>33.299999999999997</v>
      </c>
      <c r="W1796" s="106" t="s">
        <v>700</v>
      </c>
    </row>
    <row r="1797" spans="1:23" ht="19">
      <c r="A1797" s="104" t="s">
        <v>218</v>
      </c>
      <c r="B1797" s="104" t="s">
        <v>389</v>
      </c>
      <c r="C1797" s="454" t="s">
        <v>390</v>
      </c>
      <c r="D1797" s="105" t="s">
        <v>151</v>
      </c>
      <c r="E1797" s="104">
        <v>1018</v>
      </c>
      <c r="F1797" s="104">
        <v>6</v>
      </c>
      <c r="G1797" s="106" t="s">
        <v>779</v>
      </c>
      <c r="H1797" s="104" t="s">
        <v>780</v>
      </c>
      <c r="I1797" s="104" t="s">
        <v>104</v>
      </c>
      <c r="J1797" s="104" t="s">
        <v>105</v>
      </c>
      <c r="K1797" s="104" t="s">
        <v>126</v>
      </c>
      <c r="L1797" s="104" t="s">
        <v>636</v>
      </c>
      <c r="M1797" s="104"/>
      <c r="N1797" s="108"/>
      <c r="O1797" s="104"/>
      <c r="P1797" s="108">
        <v>4.3770000000000007</v>
      </c>
      <c r="Q1797" s="108">
        <v>1.454</v>
      </c>
      <c r="R1797" s="104" t="s">
        <v>17</v>
      </c>
      <c r="S1797" s="113">
        <f t="shared" si="25"/>
        <v>660.46119325234315</v>
      </c>
      <c r="T1797" s="104" t="s">
        <v>717</v>
      </c>
      <c r="U1797" s="108">
        <v>0.92900000000000005</v>
      </c>
      <c r="V1797" s="107">
        <v>33.299999999999997</v>
      </c>
      <c r="W1797" s="106" t="s">
        <v>700</v>
      </c>
    </row>
    <row r="1798" spans="1:23" ht="19">
      <c r="A1798" s="104" t="s">
        <v>218</v>
      </c>
      <c r="B1798" s="104" t="s">
        <v>389</v>
      </c>
      <c r="C1798" s="454" t="s">
        <v>390</v>
      </c>
      <c r="D1798" s="105" t="s">
        <v>151</v>
      </c>
      <c r="E1798" s="104">
        <v>1018</v>
      </c>
      <c r="F1798" s="104">
        <v>2</v>
      </c>
      <c r="G1798" s="106" t="s">
        <v>779</v>
      </c>
      <c r="H1798" s="104" t="s">
        <v>780</v>
      </c>
      <c r="I1798" s="104" t="s">
        <v>104</v>
      </c>
      <c r="J1798" s="104" t="s">
        <v>105</v>
      </c>
      <c r="K1798" s="104" t="s">
        <v>126</v>
      </c>
      <c r="L1798" s="104" t="s">
        <v>636</v>
      </c>
      <c r="M1798" s="104"/>
      <c r="N1798" s="108"/>
      <c r="O1798" s="104"/>
      <c r="P1798" s="108">
        <v>4.383</v>
      </c>
      <c r="Q1798" s="108">
        <v>1.482</v>
      </c>
      <c r="R1798" s="104" t="s">
        <v>17</v>
      </c>
      <c r="S1798" s="113">
        <f t="shared" si="25"/>
        <v>663.39543551633903</v>
      </c>
      <c r="T1798" s="104" t="s">
        <v>717</v>
      </c>
      <c r="U1798" s="108">
        <v>0.92900000000000005</v>
      </c>
      <c r="V1798" s="107">
        <v>33.299999999999997</v>
      </c>
      <c r="W1798" s="106" t="s">
        <v>700</v>
      </c>
    </row>
    <row r="1799" spans="1:23" ht="19">
      <c r="A1799" s="104" t="s">
        <v>218</v>
      </c>
      <c r="B1799" s="104" t="s">
        <v>389</v>
      </c>
      <c r="C1799" s="454" t="s">
        <v>390</v>
      </c>
      <c r="D1799" s="105" t="s">
        <v>151</v>
      </c>
      <c r="E1799" s="104">
        <v>1018</v>
      </c>
      <c r="F1799" s="104" t="s">
        <v>753</v>
      </c>
      <c r="G1799" s="106" t="s">
        <v>779</v>
      </c>
      <c r="H1799" s="104" t="s">
        <v>780</v>
      </c>
      <c r="I1799" s="104" t="s">
        <v>104</v>
      </c>
      <c r="J1799" s="104" t="s">
        <v>105</v>
      </c>
      <c r="K1799" s="104" t="s">
        <v>126</v>
      </c>
      <c r="L1799" s="104" t="s">
        <v>636</v>
      </c>
      <c r="M1799" s="104"/>
      <c r="N1799" s="108"/>
      <c r="O1799" s="104"/>
      <c r="P1799" s="108">
        <v>4.4189999999999996</v>
      </c>
      <c r="Q1799" s="108">
        <v>1.7239999999999998</v>
      </c>
      <c r="R1799" s="104" t="s">
        <v>17</v>
      </c>
      <c r="S1799" s="113">
        <f t="shared" si="25"/>
        <v>681.19032192582063</v>
      </c>
      <c r="T1799" s="104" t="s">
        <v>717</v>
      </c>
      <c r="U1799" s="108">
        <v>0.92900000000000005</v>
      </c>
      <c r="V1799" s="107">
        <v>33.299999999999997</v>
      </c>
      <c r="W1799" s="106" t="s">
        <v>700</v>
      </c>
    </row>
    <row r="1800" spans="1:23" ht="19">
      <c r="A1800" s="104" t="s">
        <v>218</v>
      </c>
      <c r="B1800" s="104" t="s">
        <v>389</v>
      </c>
      <c r="C1800" s="454" t="s">
        <v>390</v>
      </c>
      <c r="D1800" s="105" t="s">
        <v>151</v>
      </c>
      <c r="E1800" s="104">
        <v>1018</v>
      </c>
      <c r="F1800" s="104">
        <v>5</v>
      </c>
      <c r="G1800" s="106" t="s">
        <v>779</v>
      </c>
      <c r="H1800" s="104" t="s">
        <v>780</v>
      </c>
      <c r="I1800" s="104" t="s">
        <v>104</v>
      </c>
      <c r="J1800" s="104" t="s">
        <v>105</v>
      </c>
      <c r="K1800" s="104" t="s">
        <v>126</v>
      </c>
      <c r="L1800" s="104" t="s">
        <v>636</v>
      </c>
      <c r="M1800" s="104"/>
      <c r="N1800" s="108"/>
      <c r="O1800" s="104"/>
      <c r="P1800" s="108">
        <v>4.4240000000000004</v>
      </c>
      <c r="Q1800" s="108">
        <v>1.393</v>
      </c>
      <c r="R1800" s="104" t="s">
        <v>17</v>
      </c>
      <c r="S1800" s="113">
        <f t="shared" si="25"/>
        <v>683.6876308691393</v>
      </c>
      <c r="T1800" s="104" t="s">
        <v>717</v>
      </c>
      <c r="U1800" s="108">
        <v>0.92900000000000005</v>
      </c>
      <c r="V1800" s="107">
        <v>33.299999999999997</v>
      </c>
      <c r="W1800" s="106" t="s">
        <v>700</v>
      </c>
    </row>
    <row r="1801" spans="1:23" ht="19">
      <c r="A1801" s="104" t="s">
        <v>218</v>
      </c>
      <c r="B1801" s="104" t="s">
        <v>389</v>
      </c>
      <c r="C1801" s="454" t="s">
        <v>390</v>
      </c>
      <c r="D1801" s="105" t="s">
        <v>151</v>
      </c>
      <c r="E1801" s="104">
        <v>1018</v>
      </c>
      <c r="F1801" s="104">
        <v>71</v>
      </c>
      <c r="G1801" s="106" t="s">
        <v>779</v>
      </c>
      <c r="H1801" s="104" t="s">
        <v>780</v>
      </c>
      <c r="I1801" s="104" t="s">
        <v>104</v>
      </c>
      <c r="J1801" s="104" t="s">
        <v>105</v>
      </c>
      <c r="K1801" s="104" t="s">
        <v>112</v>
      </c>
      <c r="L1801" s="104" t="s">
        <v>663</v>
      </c>
      <c r="M1801" s="104" t="s">
        <v>114</v>
      </c>
      <c r="N1801" s="108"/>
      <c r="O1801" s="104"/>
      <c r="P1801" s="108">
        <v>2.6879999999999997</v>
      </c>
      <c r="Q1801" s="108">
        <v>1.6670000000000003</v>
      </c>
      <c r="R1801" s="104" t="s">
        <v>17</v>
      </c>
      <c r="S1801" s="113">
        <f>10^((3.52*LOG((P1801))+1.372))</f>
        <v>764.8759588261064</v>
      </c>
      <c r="T1801" s="104" t="s">
        <v>718</v>
      </c>
      <c r="U1801" s="108">
        <v>0.93</v>
      </c>
      <c r="V1801" s="107">
        <v>34</v>
      </c>
      <c r="W1801" s="106" t="s">
        <v>700</v>
      </c>
    </row>
    <row r="1802" spans="1:23" ht="19">
      <c r="A1802" s="104" t="s">
        <v>218</v>
      </c>
      <c r="B1802" s="104" t="s">
        <v>389</v>
      </c>
      <c r="C1802" s="454" t="s">
        <v>390</v>
      </c>
      <c r="D1802" s="105" t="s">
        <v>151</v>
      </c>
      <c r="E1802" s="104">
        <v>1018</v>
      </c>
      <c r="F1802" s="104">
        <v>4</v>
      </c>
      <c r="G1802" s="106" t="s">
        <v>779</v>
      </c>
      <c r="H1802" s="104" t="s">
        <v>780</v>
      </c>
      <c r="I1802" s="104" t="s">
        <v>104</v>
      </c>
      <c r="J1802" s="104" t="s">
        <v>105</v>
      </c>
      <c r="K1802" s="104" t="s">
        <v>126</v>
      </c>
      <c r="L1802" s="104" t="s">
        <v>636</v>
      </c>
      <c r="M1802" s="104"/>
      <c r="N1802" s="108"/>
      <c r="O1802" s="104"/>
      <c r="P1802" s="108">
        <v>4.5810000000000004</v>
      </c>
      <c r="Q1802" s="108">
        <v>1.45</v>
      </c>
      <c r="R1802" s="104" t="s">
        <v>17</v>
      </c>
      <c r="S1802" s="113">
        <f>10^(((LOG(P1802))*3.236)+0.745)</f>
        <v>765.36307211678036</v>
      </c>
      <c r="T1802" s="104" t="s">
        <v>717</v>
      </c>
      <c r="U1802" s="108">
        <v>0.92900000000000005</v>
      </c>
      <c r="V1802" s="107">
        <v>33.299999999999997</v>
      </c>
      <c r="W1802" s="106" t="s">
        <v>700</v>
      </c>
    </row>
    <row r="1803" spans="1:23" ht="19">
      <c r="A1803" s="104" t="s">
        <v>218</v>
      </c>
      <c r="B1803" s="104" t="s">
        <v>389</v>
      </c>
      <c r="C1803" s="454" t="s">
        <v>390</v>
      </c>
      <c r="D1803" s="105" t="s">
        <v>151</v>
      </c>
      <c r="E1803" s="104">
        <v>1018</v>
      </c>
      <c r="F1803" s="104" t="s">
        <v>753</v>
      </c>
      <c r="G1803" s="106" t="s">
        <v>779</v>
      </c>
      <c r="H1803" s="104" t="s">
        <v>780</v>
      </c>
      <c r="I1803" s="104" t="s">
        <v>104</v>
      </c>
      <c r="J1803" s="104" t="s">
        <v>105</v>
      </c>
      <c r="K1803" s="104" t="s">
        <v>172</v>
      </c>
      <c r="L1803" s="104" t="s">
        <v>651</v>
      </c>
      <c r="M1803" s="104"/>
      <c r="N1803" s="108"/>
      <c r="O1803" s="104"/>
      <c r="P1803" s="108">
        <v>3.0940000000000003</v>
      </c>
      <c r="Q1803" s="108">
        <v>2.0300000000000002</v>
      </c>
      <c r="R1803" s="104" t="s">
        <v>17</v>
      </c>
      <c r="S1803" s="113">
        <f>((10^((3.13*LOG((P1803*10))+1.17)) +10^((3.2*LOG((P1803*10))+1.17)))/2)/1000</f>
        <v>777.36062901763785</v>
      </c>
      <c r="T1803" s="104" t="s">
        <v>864</v>
      </c>
      <c r="U1803" s="108">
        <v>0.92</v>
      </c>
      <c r="V1803" s="107">
        <v>41.2</v>
      </c>
      <c r="W1803" s="106" t="s">
        <v>704</v>
      </c>
    </row>
    <row r="1804" spans="1:23" ht="19">
      <c r="A1804" s="104" t="s">
        <v>218</v>
      </c>
      <c r="B1804" s="104" t="s">
        <v>389</v>
      </c>
      <c r="C1804" s="454" t="s">
        <v>390</v>
      </c>
      <c r="D1804" s="105" t="s">
        <v>151</v>
      </c>
      <c r="E1804" s="104">
        <v>1018</v>
      </c>
      <c r="F1804" s="104" t="s">
        <v>753</v>
      </c>
      <c r="G1804" s="106" t="s">
        <v>779</v>
      </c>
      <c r="H1804" s="104" t="s">
        <v>780</v>
      </c>
      <c r="I1804" s="104" t="s">
        <v>104</v>
      </c>
      <c r="J1804" s="104" t="s">
        <v>105</v>
      </c>
      <c r="K1804" s="104" t="s">
        <v>172</v>
      </c>
      <c r="L1804" s="104" t="s">
        <v>651</v>
      </c>
      <c r="M1804" s="104"/>
      <c r="N1804" s="108"/>
      <c r="O1804" s="104"/>
      <c r="P1804" s="108">
        <v>3.15</v>
      </c>
      <c r="Q1804" s="108">
        <v>1.8210000000000002</v>
      </c>
      <c r="R1804" s="104" t="s">
        <v>17</v>
      </c>
      <c r="S1804" s="113">
        <f>((10^((3.13*LOG((P1804*10))+1.17)) +10^((3.2*LOG((P1804*10))+1.17)))/2)/1000</f>
        <v>822.83232514047859</v>
      </c>
      <c r="T1804" s="104" t="s">
        <v>864</v>
      </c>
      <c r="U1804" s="108">
        <v>0.93</v>
      </c>
      <c r="V1804" s="107">
        <v>34</v>
      </c>
      <c r="W1804" s="106" t="s">
        <v>704</v>
      </c>
    </row>
    <row r="1805" spans="1:23" ht="19">
      <c r="A1805" s="104" t="s">
        <v>218</v>
      </c>
      <c r="B1805" s="104" t="s">
        <v>389</v>
      </c>
      <c r="C1805" s="454" t="s">
        <v>390</v>
      </c>
      <c r="D1805" s="105" t="s">
        <v>151</v>
      </c>
      <c r="E1805" s="104">
        <v>1018</v>
      </c>
      <c r="F1805" s="104" t="s">
        <v>753</v>
      </c>
      <c r="G1805" s="106" t="s">
        <v>779</v>
      </c>
      <c r="H1805" s="104" t="s">
        <v>780</v>
      </c>
      <c r="I1805" s="104" t="s">
        <v>104</v>
      </c>
      <c r="J1805" s="104" t="s">
        <v>105</v>
      </c>
      <c r="K1805" s="104" t="s">
        <v>112</v>
      </c>
      <c r="L1805" s="104" t="s">
        <v>663</v>
      </c>
      <c r="M1805" s="104"/>
      <c r="N1805" s="108"/>
      <c r="O1805" s="104"/>
      <c r="P1805" s="108">
        <v>2.7730000000000001</v>
      </c>
      <c r="Q1805" s="108" t="s">
        <v>17</v>
      </c>
      <c r="R1805" s="104" t="s">
        <v>17</v>
      </c>
      <c r="S1805" s="113">
        <f>10^((3.52*LOG((P1805))+1.372))</f>
        <v>853.46072616547428</v>
      </c>
      <c r="T1805" s="104" t="s">
        <v>718</v>
      </c>
      <c r="U1805" s="108">
        <v>0.93</v>
      </c>
      <c r="V1805" s="107">
        <v>34</v>
      </c>
      <c r="W1805" s="106" t="s">
        <v>700</v>
      </c>
    </row>
    <row r="1806" spans="1:23" ht="19">
      <c r="A1806" s="104" t="s">
        <v>218</v>
      </c>
      <c r="B1806" s="104" t="s">
        <v>389</v>
      </c>
      <c r="C1806" s="454" t="s">
        <v>390</v>
      </c>
      <c r="D1806" s="105" t="s">
        <v>151</v>
      </c>
      <c r="E1806" s="104">
        <v>1018</v>
      </c>
      <c r="F1806" s="104" t="s">
        <v>923</v>
      </c>
      <c r="G1806" s="106" t="s">
        <v>779</v>
      </c>
      <c r="H1806" s="104" t="s">
        <v>780</v>
      </c>
      <c r="I1806" s="104" t="s">
        <v>104</v>
      </c>
      <c r="J1806" s="104" t="s">
        <v>105</v>
      </c>
      <c r="K1806" s="104" t="s">
        <v>172</v>
      </c>
      <c r="L1806" s="104" t="s">
        <v>651</v>
      </c>
      <c r="M1806" s="104"/>
      <c r="N1806" s="108"/>
      <c r="O1806" s="104"/>
      <c r="P1806" s="108">
        <v>3.2039999999999997</v>
      </c>
      <c r="Q1806" s="108">
        <v>1.996</v>
      </c>
      <c r="R1806" s="104" t="s">
        <v>17</v>
      </c>
      <c r="S1806" s="113">
        <f>((10^((3.13*LOG((P1806*10))+1.17)) +10^((3.2*LOG((P1806*10))+1.17)))/2)/1000</f>
        <v>868.37307828086557</v>
      </c>
      <c r="T1806" s="104" t="s">
        <v>864</v>
      </c>
      <c r="U1806" s="108">
        <v>0.92</v>
      </c>
      <c r="V1806" s="107">
        <v>41.2</v>
      </c>
      <c r="W1806" s="106" t="s">
        <v>704</v>
      </c>
    </row>
    <row r="1807" spans="1:23" ht="19">
      <c r="A1807" s="104" t="s">
        <v>218</v>
      </c>
      <c r="B1807" s="104" t="s">
        <v>389</v>
      </c>
      <c r="C1807" s="454" t="s">
        <v>390</v>
      </c>
      <c r="D1807" s="105" t="s">
        <v>151</v>
      </c>
      <c r="E1807" s="104">
        <v>1018</v>
      </c>
      <c r="F1807" s="104" t="s">
        <v>753</v>
      </c>
      <c r="G1807" s="106" t="s">
        <v>779</v>
      </c>
      <c r="H1807" s="104" t="s">
        <v>780</v>
      </c>
      <c r="I1807" s="104" t="s">
        <v>104</v>
      </c>
      <c r="J1807" s="104" t="s">
        <v>105</v>
      </c>
      <c r="K1807" s="104" t="s">
        <v>172</v>
      </c>
      <c r="L1807" s="104" t="s">
        <v>651</v>
      </c>
      <c r="M1807" s="104"/>
      <c r="N1807" s="108"/>
      <c r="O1807" s="104"/>
      <c r="P1807" s="108">
        <v>3.2149999999999999</v>
      </c>
      <c r="Q1807" s="108">
        <v>2.0010000000000003</v>
      </c>
      <c r="R1807" s="104" t="s">
        <v>17</v>
      </c>
      <c r="S1807" s="113">
        <f>((10^((3.13*LOG((P1807*10))+1.17)) +10^((3.2*LOG((P1807*10))+1.17)))/2)/1000</f>
        <v>877.8567476750701</v>
      </c>
      <c r="T1807" s="104" t="s">
        <v>864</v>
      </c>
      <c r="U1807" s="108">
        <v>0.92</v>
      </c>
      <c r="V1807" s="107">
        <v>41.2</v>
      </c>
      <c r="W1807" s="106" t="s">
        <v>704</v>
      </c>
    </row>
    <row r="1808" spans="1:23" ht="19">
      <c r="A1808" s="104" t="s">
        <v>218</v>
      </c>
      <c r="B1808" s="104" t="s">
        <v>389</v>
      </c>
      <c r="C1808" s="454" t="s">
        <v>390</v>
      </c>
      <c r="D1808" s="105" t="s">
        <v>151</v>
      </c>
      <c r="E1808" s="104">
        <v>1018</v>
      </c>
      <c r="F1808" s="104" t="s">
        <v>753</v>
      </c>
      <c r="G1808" s="106" t="s">
        <v>779</v>
      </c>
      <c r="H1808" s="104" t="s">
        <v>780</v>
      </c>
      <c r="I1808" s="104" t="s">
        <v>104</v>
      </c>
      <c r="J1808" s="104" t="s">
        <v>105</v>
      </c>
      <c r="K1808" s="104" t="s">
        <v>172</v>
      </c>
      <c r="L1808" s="104" t="s">
        <v>651</v>
      </c>
      <c r="M1808" s="104"/>
      <c r="N1808" s="108"/>
      <c r="O1808" s="104"/>
      <c r="P1808" s="108">
        <v>3.2250000000000001</v>
      </c>
      <c r="Q1808" s="108">
        <v>2.1510000000000002</v>
      </c>
      <c r="R1808" s="104" t="s">
        <v>17</v>
      </c>
      <c r="S1808" s="113">
        <f>((10^((3.13*LOG((P1808*10))+1.17)) +10^((3.2*LOG((P1808*10))+1.17)))/2)/1000</f>
        <v>886.53957570598698</v>
      </c>
      <c r="T1808" s="104" t="s">
        <v>864</v>
      </c>
      <c r="U1808" s="108">
        <v>0.92</v>
      </c>
      <c r="V1808" s="107">
        <v>41.2</v>
      </c>
      <c r="W1808" s="106" t="s">
        <v>704</v>
      </c>
    </row>
    <row r="1809" spans="1:23" ht="19">
      <c r="A1809" s="104" t="s">
        <v>218</v>
      </c>
      <c r="B1809" s="104" t="s">
        <v>389</v>
      </c>
      <c r="C1809" s="454" t="s">
        <v>390</v>
      </c>
      <c r="D1809" s="105" t="s">
        <v>151</v>
      </c>
      <c r="E1809" s="104">
        <v>1018</v>
      </c>
      <c r="F1809" s="104" t="s">
        <v>753</v>
      </c>
      <c r="G1809" s="106" t="s">
        <v>779</v>
      </c>
      <c r="H1809" s="104" t="s">
        <v>780</v>
      </c>
      <c r="I1809" s="104" t="s">
        <v>104</v>
      </c>
      <c r="J1809" s="104" t="s">
        <v>105</v>
      </c>
      <c r="K1809" s="104" t="s">
        <v>172</v>
      </c>
      <c r="L1809" s="104" t="s">
        <v>651</v>
      </c>
      <c r="M1809" s="104"/>
      <c r="N1809" s="108"/>
      <c r="O1809" s="104"/>
      <c r="P1809" s="108">
        <v>3.2290000000000001</v>
      </c>
      <c r="Q1809" s="108">
        <v>2.1280000000000001</v>
      </c>
      <c r="R1809" s="104" t="s">
        <v>17</v>
      </c>
      <c r="S1809" s="113">
        <f>((10^((3.13*LOG((P1809*10))+1.17)) +10^((3.2*LOG((P1809*10))+1.17)))/2)/1000</f>
        <v>890.02910596221363</v>
      </c>
      <c r="T1809" s="104" t="s">
        <v>864</v>
      </c>
      <c r="U1809" s="108">
        <v>0.92</v>
      </c>
      <c r="V1809" s="107">
        <v>41.2</v>
      </c>
      <c r="W1809" s="106" t="s">
        <v>704</v>
      </c>
    </row>
    <row r="1810" spans="1:23" ht="19">
      <c r="A1810" s="104" t="s">
        <v>218</v>
      </c>
      <c r="B1810" s="104" t="s">
        <v>389</v>
      </c>
      <c r="C1810" s="454" t="s">
        <v>390</v>
      </c>
      <c r="D1810" s="105" t="s">
        <v>151</v>
      </c>
      <c r="E1810" s="104">
        <v>1018</v>
      </c>
      <c r="F1810" s="104" t="s">
        <v>753</v>
      </c>
      <c r="G1810" s="106" t="s">
        <v>779</v>
      </c>
      <c r="H1810" s="104" t="s">
        <v>780</v>
      </c>
      <c r="I1810" s="104" t="s">
        <v>104</v>
      </c>
      <c r="J1810" s="104" t="s">
        <v>105</v>
      </c>
      <c r="K1810" s="104" t="s">
        <v>126</v>
      </c>
      <c r="L1810" s="104" t="s">
        <v>636</v>
      </c>
      <c r="M1810" s="104"/>
      <c r="N1810" s="108"/>
      <c r="O1810" s="104"/>
      <c r="P1810" s="108">
        <v>4.9159999999999995</v>
      </c>
      <c r="Q1810" s="108">
        <v>1.8030000000000002</v>
      </c>
      <c r="R1810" s="104" t="s">
        <v>17</v>
      </c>
      <c r="S1810" s="113">
        <f>10^(((LOG(P1810))*3.236)+0.745)</f>
        <v>961.73633651636669</v>
      </c>
      <c r="T1810" s="104" t="s">
        <v>717</v>
      </c>
      <c r="U1810" s="108">
        <v>0.92900000000000005</v>
      </c>
      <c r="V1810" s="107">
        <v>33.299999999999997</v>
      </c>
      <c r="W1810" s="106" t="s">
        <v>700</v>
      </c>
    </row>
    <row r="1811" spans="1:23" ht="19">
      <c r="A1811" s="104" t="s">
        <v>218</v>
      </c>
      <c r="B1811" s="104" t="s">
        <v>389</v>
      </c>
      <c r="C1811" s="454" t="s">
        <v>390</v>
      </c>
      <c r="D1811" s="105" t="s">
        <v>151</v>
      </c>
      <c r="E1811" s="104">
        <v>1018</v>
      </c>
      <c r="F1811" s="104" t="s">
        <v>753</v>
      </c>
      <c r="G1811" s="106" t="s">
        <v>779</v>
      </c>
      <c r="H1811" s="104" t="s">
        <v>780</v>
      </c>
      <c r="I1811" s="104" t="s">
        <v>104</v>
      </c>
      <c r="J1811" s="104" t="s">
        <v>105</v>
      </c>
      <c r="K1811" s="104" t="s">
        <v>172</v>
      </c>
      <c r="L1811" s="104" t="s">
        <v>651</v>
      </c>
      <c r="M1811" s="104"/>
      <c r="N1811" s="108"/>
      <c r="O1811" s="104"/>
      <c r="P1811" s="108">
        <v>3.339</v>
      </c>
      <c r="Q1811" s="108">
        <v>2.2090000000000001</v>
      </c>
      <c r="R1811" s="104" t="s">
        <v>17</v>
      </c>
      <c r="S1811" s="113">
        <f>((10^((3.13*LOG((P1811*10))+1.17)) +10^((3.2*LOG((P1811*10))+1.17)))/2)/1000</f>
        <v>989.7185951296193</v>
      </c>
      <c r="T1811" s="104" t="s">
        <v>864</v>
      </c>
      <c r="U1811" s="108">
        <v>0.92</v>
      </c>
      <c r="V1811" s="107">
        <v>41.2</v>
      </c>
      <c r="W1811" s="106" t="s">
        <v>704</v>
      </c>
    </row>
    <row r="1812" spans="1:23" ht="19">
      <c r="A1812" s="104" t="s">
        <v>218</v>
      </c>
      <c r="B1812" s="104" t="s">
        <v>389</v>
      </c>
      <c r="C1812" s="454" t="s">
        <v>390</v>
      </c>
      <c r="D1812" s="105" t="s">
        <v>151</v>
      </c>
      <c r="E1812" s="104">
        <v>1018</v>
      </c>
      <c r="F1812" s="104" t="s">
        <v>753</v>
      </c>
      <c r="G1812" s="106" t="s">
        <v>779</v>
      </c>
      <c r="H1812" s="104" t="s">
        <v>780</v>
      </c>
      <c r="I1812" s="104" t="s">
        <v>104</v>
      </c>
      <c r="J1812" s="104" t="s">
        <v>105</v>
      </c>
      <c r="K1812" s="104" t="s">
        <v>172</v>
      </c>
      <c r="L1812" s="104" t="s">
        <v>651</v>
      </c>
      <c r="M1812" s="104"/>
      <c r="N1812" s="108"/>
      <c r="O1812" s="104"/>
      <c r="P1812" s="108">
        <v>3.343</v>
      </c>
      <c r="Q1812" s="108">
        <v>1.7690000000000001</v>
      </c>
      <c r="R1812" s="104" t="s">
        <v>17</v>
      </c>
      <c r="S1812" s="113">
        <f>((10^((3.13*LOG((P1812*10))+1.17)) +10^((3.2*LOG((P1812*10))+1.17)))/2)/1000</f>
        <v>993.48112263558346</v>
      </c>
      <c r="T1812" s="104" t="s">
        <v>864</v>
      </c>
      <c r="U1812" s="108">
        <v>0.92</v>
      </c>
      <c r="V1812" s="107">
        <v>41.2</v>
      </c>
      <c r="W1812" s="106" t="s">
        <v>704</v>
      </c>
    </row>
    <row r="1813" spans="1:23" ht="19">
      <c r="A1813" s="104" t="s">
        <v>218</v>
      </c>
      <c r="B1813" s="104" t="s">
        <v>389</v>
      </c>
      <c r="C1813" s="454" t="s">
        <v>390</v>
      </c>
      <c r="D1813" s="105" t="s">
        <v>151</v>
      </c>
      <c r="E1813" s="104">
        <v>1018</v>
      </c>
      <c r="F1813" s="104" t="s">
        <v>923</v>
      </c>
      <c r="G1813" s="106" t="s">
        <v>779</v>
      </c>
      <c r="H1813" s="104" t="s">
        <v>780</v>
      </c>
      <c r="I1813" s="104" t="s">
        <v>104</v>
      </c>
      <c r="J1813" s="104" t="s">
        <v>105</v>
      </c>
      <c r="K1813" s="104" t="s">
        <v>172</v>
      </c>
      <c r="L1813" s="104" t="s">
        <v>651</v>
      </c>
      <c r="M1813" s="104"/>
      <c r="N1813" s="108"/>
      <c r="O1813" s="104"/>
      <c r="P1813" s="108">
        <v>3.3609999999999998</v>
      </c>
      <c r="Q1813" s="108">
        <v>1.97</v>
      </c>
      <c r="R1813" s="104" t="s">
        <v>17</v>
      </c>
      <c r="S1813" s="113">
        <f>((10^((3.13*LOG((P1813*10))+1.17)) +10^((3.2*LOG((P1813*10))+1.17)))/2)/1000</f>
        <v>1010.5337271443791</v>
      </c>
      <c r="T1813" s="104" t="s">
        <v>961</v>
      </c>
      <c r="U1813" s="108">
        <v>0.92</v>
      </c>
      <c r="V1813" s="107">
        <v>41.2</v>
      </c>
      <c r="W1813" s="106" t="s">
        <v>704</v>
      </c>
    </row>
    <row r="1814" spans="1:23" ht="19">
      <c r="A1814" s="104" t="s">
        <v>218</v>
      </c>
      <c r="B1814" s="104" t="s">
        <v>389</v>
      </c>
      <c r="C1814" s="454" t="s">
        <v>390</v>
      </c>
      <c r="D1814" s="105" t="s">
        <v>151</v>
      </c>
      <c r="E1814" s="104">
        <v>1018</v>
      </c>
      <c r="F1814" s="104">
        <v>13</v>
      </c>
      <c r="G1814" s="106" t="s">
        <v>779</v>
      </c>
      <c r="H1814" s="104" t="s">
        <v>780</v>
      </c>
      <c r="I1814" s="104" t="s">
        <v>104</v>
      </c>
      <c r="J1814" s="104" t="s">
        <v>105</v>
      </c>
      <c r="K1814" s="104" t="s">
        <v>112</v>
      </c>
      <c r="L1814" s="104" t="s">
        <v>663</v>
      </c>
      <c r="M1814" s="104" t="s">
        <v>114</v>
      </c>
      <c r="N1814" s="108"/>
      <c r="O1814" s="104"/>
      <c r="P1814" s="108">
        <v>3.0300000000000002</v>
      </c>
      <c r="Q1814" s="108">
        <v>1.9410000000000001</v>
      </c>
      <c r="R1814" s="104" t="s">
        <v>17</v>
      </c>
      <c r="S1814" s="113">
        <f>10^((3.52*LOG((P1814))+1.372))</f>
        <v>1165.9449677221455</v>
      </c>
      <c r="T1814" s="104" t="s">
        <v>718</v>
      </c>
      <c r="U1814" s="108">
        <v>0.93</v>
      </c>
      <c r="V1814" s="107">
        <v>34</v>
      </c>
      <c r="W1814" s="106" t="s">
        <v>700</v>
      </c>
    </row>
    <row r="1815" spans="1:23" ht="19">
      <c r="A1815" s="104" t="s">
        <v>218</v>
      </c>
      <c r="B1815" s="104" t="s">
        <v>389</v>
      </c>
      <c r="C1815" s="454" t="s">
        <v>390</v>
      </c>
      <c r="D1815" s="105" t="s">
        <v>151</v>
      </c>
      <c r="E1815" s="104">
        <v>1018</v>
      </c>
      <c r="F1815" s="104" t="s">
        <v>753</v>
      </c>
      <c r="G1815" s="106" t="s">
        <v>779</v>
      </c>
      <c r="H1815" s="104" t="s">
        <v>780</v>
      </c>
      <c r="I1815" s="104" t="s">
        <v>104</v>
      </c>
      <c r="J1815" s="104" t="s">
        <v>105</v>
      </c>
      <c r="K1815" s="104" t="s">
        <v>172</v>
      </c>
      <c r="L1815" s="104" t="s">
        <v>651</v>
      </c>
      <c r="M1815" s="104"/>
      <c r="N1815" s="108"/>
      <c r="O1815" s="104"/>
      <c r="P1815" s="108">
        <v>3.556</v>
      </c>
      <c r="Q1815" s="108">
        <v>2.4850000000000003</v>
      </c>
      <c r="R1815" s="104" t="s">
        <v>17</v>
      </c>
      <c r="S1815" s="113">
        <f>((10^((3.13*LOG((P1815*10))+1.17)) +10^((3.2*LOG((P1815*10))+1.17)))/2)/1000</f>
        <v>1208.3080837821474</v>
      </c>
      <c r="T1815" s="104" t="s">
        <v>864</v>
      </c>
      <c r="U1815" s="108">
        <v>0.92</v>
      </c>
      <c r="V1815" s="107">
        <v>41.2</v>
      </c>
      <c r="W1815" s="106" t="s">
        <v>704</v>
      </c>
    </row>
    <row r="1816" spans="1:23" ht="19">
      <c r="A1816" s="104" t="s">
        <v>218</v>
      </c>
      <c r="B1816" s="104" t="s">
        <v>389</v>
      </c>
      <c r="C1816" s="454" t="s">
        <v>390</v>
      </c>
      <c r="D1816" s="105" t="s">
        <v>151</v>
      </c>
      <c r="E1816" s="104">
        <v>1018</v>
      </c>
      <c r="F1816" s="104" t="s">
        <v>753</v>
      </c>
      <c r="G1816" s="106" t="s">
        <v>779</v>
      </c>
      <c r="H1816" s="104" t="s">
        <v>780</v>
      </c>
      <c r="I1816" s="104" t="s">
        <v>104</v>
      </c>
      <c r="J1816" s="104" t="s">
        <v>105</v>
      </c>
      <c r="K1816" s="104" t="s">
        <v>172</v>
      </c>
      <c r="L1816" s="104" t="s">
        <v>651</v>
      </c>
      <c r="M1816" s="104"/>
      <c r="N1816" s="108"/>
      <c r="O1816" s="104"/>
      <c r="P1816" s="108">
        <v>3.569</v>
      </c>
      <c r="Q1816" s="108">
        <v>2.2489999999999997</v>
      </c>
      <c r="R1816" s="104" t="s">
        <v>17</v>
      </c>
      <c r="S1816" s="113">
        <f>((10^((3.13*LOG((P1816*10))+1.17)) +10^((3.2*LOG((P1816*10))+1.17)))/2)/1000</f>
        <v>1222.3637438164712</v>
      </c>
      <c r="T1816" s="104" t="s">
        <v>864</v>
      </c>
      <c r="U1816" s="108">
        <v>0.92</v>
      </c>
      <c r="V1816" s="107">
        <v>41.2</v>
      </c>
      <c r="W1816" s="106" t="s">
        <v>704</v>
      </c>
    </row>
    <row r="1817" spans="1:23" ht="19">
      <c r="A1817" s="104" t="s">
        <v>218</v>
      </c>
      <c r="B1817" s="104" t="s">
        <v>389</v>
      </c>
      <c r="C1817" s="454" t="s">
        <v>390</v>
      </c>
      <c r="D1817" s="105" t="s">
        <v>151</v>
      </c>
      <c r="E1817" s="104">
        <v>1018</v>
      </c>
      <c r="F1817" s="104">
        <v>11</v>
      </c>
      <c r="G1817" s="106" t="s">
        <v>779</v>
      </c>
      <c r="H1817" s="104" t="s">
        <v>780</v>
      </c>
      <c r="I1817" s="104" t="s">
        <v>104</v>
      </c>
      <c r="J1817" s="104" t="s">
        <v>105</v>
      </c>
      <c r="K1817" s="104" t="s">
        <v>112</v>
      </c>
      <c r="L1817" s="104" t="s">
        <v>663</v>
      </c>
      <c r="M1817" s="104" t="s">
        <v>114</v>
      </c>
      <c r="N1817" s="108"/>
      <c r="O1817" s="104"/>
      <c r="P1817" s="108">
        <v>3.1070000000000002</v>
      </c>
      <c r="Q1817" s="108">
        <v>1.8539999999999999</v>
      </c>
      <c r="R1817" s="104" t="s">
        <v>17</v>
      </c>
      <c r="S1817" s="113">
        <f>10^((3.52*LOG((P1817))+1.372))</f>
        <v>1273.6239331354575</v>
      </c>
      <c r="T1817" s="104" t="s">
        <v>718</v>
      </c>
      <c r="U1817" s="108">
        <v>0.93</v>
      </c>
      <c r="V1817" s="107">
        <v>34</v>
      </c>
      <c r="W1817" s="106" t="s">
        <v>700</v>
      </c>
    </row>
    <row r="1818" spans="1:23" ht="19">
      <c r="A1818" s="104" t="s">
        <v>218</v>
      </c>
      <c r="B1818" s="104" t="s">
        <v>389</v>
      </c>
      <c r="C1818" s="454" t="s">
        <v>390</v>
      </c>
      <c r="D1818" s="105" t="s">
        <v>151</v>
      </c>
      <c r="E1818" s="104">
        <v>1018</v>
      </c>
      <c r="F1818" s="104">
        <v>70</v>
      </c>
      <c r="G1818" s="106" t="s">
        <v>779</v>
      </c>
      <c r="H1818" s="104" t="s">
        <v>780</v>
      </c>
      <c r="I1818" s="104" t="s">
        <v>104</v>
      </c>
      <c r="J1818" s="104" t="s">
        <v>105</v>
      </c>
      <c r="K1818" s="104" t="s">
        <v>112</v>
      </c>
      <c r="L1818" s="104" t="s">
        <v>663</v>
      </c>
      <c r="M1818" s="104" t="s">
        <v>114</v>
      </c>
      <c r="N1818" s="108"/>
      <c r="O1818" s="104"/>
      <c r="P1818" s="108">
        <v>3.1219999999999999</v>
      </c>
      <c r="Q1818" s="108">
        <v>1.9300000000000002</v>
      </c>
      <c r="R1818" s="104" t="s">
        <v>17</v>
      </c>
      <c r="S1818" s="113">
        <f>10^((3.52*LOG((P1818))+1.372))</f>
        <v>1295.3997339342213</v>
      </c>
      <c r="T1818" s="104" t="s">
        <v>718</v>
      </c>
      <c r="U1818" s="108">
        <v>0.93</v>
      </c>
      <c r="V1818" s="107">
        <v>34</v>
      </c>
      <c r="W1818" s="106" t="s">
        <v>700</v>
      </c>
    </row>
    <row r="1819" spans="1:23" ht="19">
      <c r="A1819" s="104" t="s">
        <v>218</v>
      </c>
      <c r="B1819" s="104" t="s">
        <v>389</v>
      </c>
      <c r="C1819" s="454" t="s">
        <v>390</v>
      </c>
      <c r="D1819" s="105" t="s">
        <v>151</v>
      </c>
      <c r="E1819" s="104">
        <v>1018</v>
      </c>
      <c r="F1819" s="104">
        <v>3</v>
      </c>
      <c r="G1819" s="106" t="s">
        <v>779</v>
      </c>
      <c r="H1819" s="104" t="s">
        <v>780</v>
      </c>
      <c r="I1819" s="104" t="s">
        <v>104</v>
      </c>
      <c r="J1819" s="104" t="s">
        <v>105</v>
      </c>
      <c r="K1819" s="104" t="s">
        <v>112</v>
      </c>
      <c r="L1819" s="104" t="s">
        <v>663</v>
      </c>
      <c r="M1819" s="104" t="s">
        <v>108</v>
      </c>
      <c r="N1819" s="108"/>
      <c r="O1819" s="104"/>
      <c r="P1819" s="108">
        <v>3.2399999999999998</v>
      </c>
      <c r="Q1819" s="108">
        <v>2.1149999999999998</v>
      </c>
      <c r="R1819" s="104" t="s">
        <v>17</v>
      </c>
      <c r="S1819" s="113">
        <f>10^((3.52*LOG((P1819))+1.372))</f>
        <v>1476.1090263138522</v>
      </c>
      <c r="T1819" s="104" t="s">
        <v>718</v>
      </c>
      <c r="U1819" s="108">
        <v>0.93</v>
      </c>
      <c r="V1819" s="107">
        <v>34</v>
      </c>
      <c r="W1819" s="106" t="s">
        <v>700</v>
      </c>
    </row>
    <row r="1820" spans="1:23" ht="19">
      <c r="A1820" s="103" t="s">
        <v>601</v>
      </c>
      <c r="B1820" s="103" t="s">
        <v>602</v>
      </c>
      <c r="C1820" s="421" t="s">
        <v>603</v>
      </c>
      <c r="D1820" s="105" t="s">
        <v>151</v>
      </c>
      <c r="E1820" s="103">
        <v>882</v>
      </c>
      <c r="F1820" s="103">
        <v>10</v>
      </c>
      <c r="G1820" s="103" t="s">
        <v>1532</v>
      </c>
      <c r="H1820" s="103" t="s">
        <v>277</v>
      </c>
      <c r="I1820" s="104" t="s">
        <v>104</v>
      </c>
      <c r="J1820" s="103" t="s">
        <v>105</v>
      </c>
      <c r="K1820" s="103" t="s">
        <v>1533</v>
      </c>
      <c r="L1820" s="103" t="s">
        <v>1534</v>
      </c>
      <c r="M1820" s="103" t="s">
        <v>114</v>
      </c>
      <c r="N1820" s="103"/>
      <c r="O1820" s="103"/>
      <c r="P1820" s="103">
        <v>24</v>
      </c>
      <c r="Q1820" s="103">
        <v>11.1</v>
      </c>
      <c r="R1820" s="103"/>
      <c r="S1820" s="476"/>
      <c r="T1820" s="103"/>
      <c r="U1820" s="103"/>
      <c r="V1820" s="103"/>
      <c r="W1820" s="414"/>
    </row>
    <row r="1821" spans="1:23" ht="19">
      <c r="A1821" s="104" t="s">
        <v>218</v>
      </c>
      <c r="B1821" s="104" t="s">
        <v>221</v>
      </c>
      <c r="C1821" s="454" t="s">
        <v>222</v>
      </c>
      <c r="D1821" s="105" t="s">
        <v>151</v>
      </c>
      <c r="E1821" s="104">
        <v>40618</v>
      </c>
      <c r="F1821" s="104">
        <v>43</v>
      </c>
      <c r="G1821" s="106" t="s">
        <v>1039</v>
      </c>
      <c r="H1821" s="104" t="s">
        <v>306</v>
      </c>
      <c r="I1821" s="104" t="s">
        <v>225</v>
      </c>
      <c r="J1821" s="104" t="s">
        <v>105</v>
      </c>
      <c r="K1821" s="104" t="s">
        <v>112</v>
      </c>
      <c r="L1821" s="104" t="s">
        <v>663</v>
      </c>
      <c r="M1821" s="104" t="s">
        <v>114</v>
      </c>
      <c r="N1821" s="108" t="s">
        <v>17</v>
      </c>
      <c r="O1821" s="104" t="s">
        <v>17</v>
      </c>
      <c r="P1821" s="108">
        <v>1.19</v>
      </c>
      <c r="Q1821" s="108">
        <v>0.76900000000000002</v>
      </c>
      <c r="R1821" s="104" t="s">
        <v>17</v>
      </c>
      <c r="S1821" s="253">
        <f>(10^((3.334*LOG((P1821))+1.27)))</f>
        <v>33.2562724376482</v>
      </c>
      <c r="T1821" s="104" t="s">
        <v>1027</v>
      </c>
      <c r="U1821" s="108">
        <v>0.93</v>
      </c>
      <c r="V1821" s="107">
        <v>23.9</v>
      </c>
      <c r="W1821" s="106" t="s">
        <v>1028</v>
      </c>
    </row>
    <row r="1822" spans="1:23" ht="19">
      <c r="A1822" s="104" t="s">
        <v>218</v>
      </c>
      <c r="B1822" s="104" t="s">
        <v>221</v>
      </c>
      <c r="C1822" s="454" t="s">
        <v>222</v>
      </c>
      <c r="D1822" s="105" t="s">
        <v>151</v>
      </c>
      <c r="E1822" s="104">
        <v>40618</v>
      </c>
      <c r="F1822" s="104">
        <v>40</v>
      </c>
      <c r="G1822" s="106" t="s">
        <v>1039</v>
      </c>
      <c r="H1822" s="104" t="s">
        <v>306</v>
      </c>
      <c r="I1822" s="104" t="s">
        <v>225</v>
      </c>
      <c r="J1822" s="104" t="s">
        <v>105</v>
      </c>
      <c r="K1822" s="104" t="s">
        <v>112</v>
      </c>
      <c r="L1822" s="104" t="s">
        <v>663</v>
      </c>
      <c r="M1822" s="104" t="s">
        <v>114</v>
      </c>
      <c r="N1822" s="108" t="s">
        <v>17</v>
      </c>
      <c r="O1822" s="104" t="s">
        <v>17</v>
      </c>
      <c r="P1822" s="108">
        <v>1.288</v>
      </c>
      <c r="Q1822" s="108">
        <v>0.83699999999999997</v>
      </c>
      <c r="R1822" s="104" t="s">
        <v>17</v>
      </c>
      <c r="S1822" s="253">
        <f>(10^((3.334*LOG((P1822))+1.27)))</f>
        <v>43.297167657186506</v>
      </c>
      <c r="T1822" s="104" t="s">
        <v>1027</v>
      </c>
      <c r="U1822" s="108">
        <v>0.93</v>
      </c>
      <c r="V1822" s="107">
        <v>23.9</v>
      </c>
      <c r="W1822" s="106" t="s">
        <v>1028</v>
      </c>
    </row>
    <row r="1823" spans="1:23" ht="19">
      <c r="A1823" s="104" t="s">
        <v>218</v>
      </c>
      <c r="B1823" s="104" t="s">
        <v>221</v>
      </c>
      <c r="C1823" s="454" t="s">
        <v>222</v>
      </c>
      <c r="D1823" s="105" t="s">
        <v>151</v>
      </c>
      <c r="E1823" s="104">
        <v>40618</v>
      </c>
      <c r="F1823" s="104">
        <v>46</v>
      </c>
      <c r="G1823" s="106" t="s">
        <v>1039</v>
      </c>
      <c r="H1823" s="104" t="s">
        <v>306</v>
      </c>
      <c r="I1823" s="104" t="s">
        <v>225</v>
      </c>
      <c r="J1823" s="104" t="s">
        <v>105</v>
      </c>
      <c r="K1823" s="104" t="s">
        <v>233</v>
      </c>
      <c r="L1823" s="104" t="s">
        <v>653</v>
      </c>
      <c r="M1823" s="104" t="s">
        <v>114</v>
      </c>
      <c r="N1823" s="108" t="s">
        <v>17</v>
      </c>
      <c r="O1823" s="104" t="s">
        <v>17</v>
      </c>
      <c r="P1823" s="108">
        <v>1.0630000000000002</v>
      </c>
      <c r="Q1823" s="108">
        <v>0.55999999999999994</v>
      </c>
      <c r="R1823" s="104" t="s">
        <v>17</v>
      </c>
      <c r="S1823" s="253">
        <f>(10^((3.339*LOG((P1823))+1.556)))</f>
        <v>44.115841756952562</v>
      </c>
      <c r="T1823" s="104" t="s">
        <v>1040</v>
      </c>
      <c r="U1823" s="108">
        <v>0.9</v>
      </c>
      <c r="V1823" s="107">
        <v>40.5</v>
      </c>
      <c r="W1823" s="106" t="s">
        <v>1028</v>
      </c>
    </row>
    <row r="1824" spans="1:23" ht="19">
      <c r="A1824" s="104" t="s">
        <v>218</v>
      </c>
      <c r="B1824" s="104" t="s">
        <v>221</v>
      </c>
      <c r="C1824" s="454" t="s">
        <v>222</v>
      </c>
      <c r="D1824" s="105" t="s">
        <v>151</v>
      </c>
      <c r="E1824" s="104">
        <v>40618</v>
      </c>
      <c r="F1824" s="104">
        <v>45</v>
      </c>
      <c r="G1824" s="106" t="s">
        <v>1039</v>
      </c>
      <c r="H1824" s="104" t="s">
        <v>306</v>
      </c>
      <c r="I1824" s="104" t="s">
        <v>225</v>
      </c>
      <c r="J1824" s="104" t="s">
        <v>105</v>
      </c>
      <c r="K1824" s="104" t="s">
        <v>243</v>
      </c>
      <c r="L1824" s="104" t="s">
        <v>645</v>
      </c>
      <c r="M1824" s="104" t="s">
        <v>114</v>
      </c>
      <c r="N1824" s="108" t="s">
        <v>17</v>
      </c>
      <c r="O1824" s="104" t="s">
        <v>17</v>
      </c>
      <c r="P1824" s="108">
        <v>1.1560000000000001</v>
      </c>
      <c r="Q1824" s="108">
        <v>0.67</v>
      </c>
      <c r="R1824" s="104" t="s">
        <v>17</v>
      </c>
      <c r="S1824" s="253">
        <f>(10^((3.13*LOG((P1824))+1.471)))</f>
        <v>46.564829884568638</v>
      </c>
      <c r="T1824" s="104" t="s">
        <v>1051</v>
      </c>
      <c r="U1824" s="108">
        <v>0.94</v>
      </c>
      <c r="V1824" s="107">
        <v>27.2</v>
      </c>
      <c r="W1824" s="106" t="s">
        <v>1028</v>
      </c>
    </row>
    <row r="1825" spans="1:23" ht="19">
      <c r="A1825" s="104" t="s">
        <v>218</v>
      </c>
      <c r="B1825" s="104" t="s">
        <v>221</v>
      </c>
      <c r="C1825" s="454" t="s">
        <v>222</v>
      </c>
      <c r="D1825" s="105" t="s">
        <v>151</v>
      </c>
      <c r="E1825" s="104">
        <v>40618</v>
      </c>
      <c r="F1825" s="104">
        <v>39</v>
      </c>
      <c r="G1825" s="106" t="s">
        <v>1039</v>
      </c>
      <c r="H1825" s="104" t="s">
        <v>306</v>
      </c>
      <c r="I1825" s="104" t="s">
        <v>225</v>
      </c>
      <c r="J1825" s="104" t="s">
        <v>105</v>
      </c>
      <c r="K1825" s="104" t="s">
        <v>112</v>
      </c>
      <c r="L1825" s="104" t="s">
        <v>663</v>
      </c>
      <c r="M1825" s="104" t="s">
        <v>114</v>
      </c>
      <c r="N1825" s="108" t="s">
        <v>17</v>
      </c>
      <c r="O1825" s="104" t="s">
        <v>17</v>
      </c>
      <c r="P1825" s="108">
        <v>1.319</v>
      </c>
      <c r="Q1825" s="108">
        <v>0.98699999999999988</v>
      </c>
      <c r="R1825" s="104" t="s">
        <v>17</v>
      </c>
      <c r="S1825" s="253">
        <f>(10^((3.334*LOG((P1825))+1.27)))</f>
        <v>46.870128948963824</v>
      </c>
      <c r="T1825" s="104" t="s">
        <v>1027</v>
      </c>
      <c r="U1825" s="108">
        <v>0.93</v>
      </c>
      <c r="V1825" s="107">
        <v>23.9</v>
      </c>
      <c r="W1825" s="106" t="s">
        <v>1028</v>
      </c>
    </row>
    <row r="1826" spans="1:23" ht="19">
      <c r="A1826" s="104" t="s">
        <v>218</v>
      </c>
      <c r="B1826" s="104" t="s">
        <v>221</v>
      </c>
      <c r="C1826" s="454" t="s">
        <v>222</v>
      </c>
      <c r="D1826" s="105" t="s">
        <v>151</v>
      </c>
      <c r="E1826" s="104">
        <v>40618</v>
      </c>
      <c r="F1826" s="104">
        <v>37</v>
      </c>
      <c r="G1826" s="106" t="s">
        <v>1039</v>
      </c>
      <c r="H1826" s="104" t="s">
        <v>306</v>
      </c>
      <c r="I1826" s="104" t="s">
        <v>225</v>
      </c>
      <c r="J1826" s="104" t="s">
        <v>105</v>
      </c>
      <c r="K1826" s="104" t="s">
        <v>112</v>
      </c>
      <c r="L1826" s="104" t="s">
        <v>663</v>
      </c>
      <c r="M1826" s="104" t="s">
        <v>114</v>
      </c>
      <c r="N1826" s="108" t="s">
        <v>17</v>
      </c>
      <c r="O1826" s="104" t="s">
        <v>17</v>
      </c>
      <c r="P1826" s="108">
        <v>1.335</v>
      </c>
      <c r="Q1826" s="108">
        <v>0.93800000000000006</v>
      </c>
      <c r="R1826" s="104" t="s">
        <v>17</v>
      </c>
      <c r="S1826" s="253">
        <f>(10^((3.334*LOG((P1826))+1.27)))</f>
        <v>48.792665046496943</v>
      </c>
      <c r="T1826" s="104" t="s">
        <v>1027</v>
      </c>
      <c r="U1826" s="108">
        <v>0.93</v>
      </c>
      <c r="V1826" s="107">
        <v>23.9</v>
      </c>
      <c r="W1826" s="106" t="s">
        <v>1028</v>
      </c>
    </row>
    <row r="1827" spans="1:23" ht="19">
      <c r="A1827" s="104" t="s">
        <v>218</v>
      </c>
      <c r="B1827" s="104" t="s">
        <v>221</v>
      </c>
      <c r="C1827" s="454" t="s">
        <v>222</v>
      </c>
      <c r="D1827" s="105" t="s">
        <v>151</v>
      </c>
      <c r="E1827" s="104">
        <v>40618</v>
      </c>
      <c r="F1827" s="104">
        <v>48</v>
      </c>
      <c r="G1827" s="106" t="s">
        <v>1039</v>
      </c>
      <c r="H1827" s="104" t="s">
        <v>306</v>
      </c>
      <c r="I1827" s="104" t="s">
        <v>225</v>
      </c>
      <c r="J1827" s="104" t="s">
        <v>105</v>
      </c>
      <c r="K1827" s="104" t="s">
        <v>112</v>
      </c>
      <c r="L1827" s="104" t="s">
        <v>663</v>
      </c>
      <c r="M1827" s="104" t="s">
        <v>114</v>
      </c>
      <c r="N1827" s="108" t="s">
        <v>17</v>
      </c>
      <c r="O1827" s="104" t="s">
        <v>17</v>
      </c>
      <c r="P1827" s="108">
        <v>1.3460000000000001</v>
      </c>
      <c r="Q1827" s="108">
        <v>0.82899999999999996</v>
      </c>
      <c r="R1827" s="104" t="s">
        <v>17</v>
      </c>
      <c r="S1827" s="253">
        <f>(10^((3.334*LOG((P1827))+1.27)))</f>
        <v>50.145992302054573</v>
      </c>
      <c r="T1827" s="104" t="s">
        <v>1027</v>
      </c>
      <c r="U1827" s="108">
        <v>0.93</v>
      </c>
      <c r="V1827" s="107">
        <v>23.9</v>
      </c>
      <c r="W1827" s="106" t="s">
        <v>1028</v>
      </c>
    </row>
    <row r="1828" spans="1:23" ht="19">
      <c r="A1828" s="104" t="s">
        <v>218</v>
      </c>
      <c r="B1828" s="104" t="s">
        <v>221</v>
      </c>
      <c r="C1828" s="454" t="s">
        <v>222</v>
      </c>
      <c r="D1828" s="105" t="s">
        <v>151</v>
      </c>
      <c r="E1828" s="104">
        <v>40618</v>
      </c>
      <c r="F1828" s="104">
        <v>49</v>
      </c>
      <c r="G1828" s="106" t="s">
        <v>1039</v>
      </c>
      <c r="H1828" s="104" t="s">
        <v>306</v>
      </c>
      <c r="I1828" s="104" t="s">
        <v>225</v>
      </c>
      <c r="J1828" s="104" t="s">
        <v>105</v>
      </c>
      <c r="K1828" s="104" t="s">
        <v>112</v>
      </c>
      <c r="L1828" s="104" t="s">
        <v>663</v>
      </c>
      <c r="M1828" s="104" t="s">
        <v>108</v>
      </c>
      <c r="N1828" s="108" t="s">
        <v>17</v>
      </c>
      <c r="O1828" s="104" t="s">
        <v>17</v>
      </c>
      <c r="P1828" s="108">
        <v>1.353</v>
      </c>
      <c r="Q1828" s="108">
        <v>0.92699999999999994</v>
      </c>
      <c r="R1828" s="104" t="s">
        <v>17</v>
      </c>
      <c r="S1828" s="253">
        <f>(10^((3.334*LOG((P1828))+1.27)))</f>
        <v>51.020751815021391</v>
      </c>
      <c r="T1828" s="104" t="s">
        <v>1027</v>
      </c>
      <c r="U1828" s="108">
        <v>0.93</v>
      </c>
      <c r="V1828" s="107">
        <v>23.9</v>
      </c>
      <c r="W1828" s="106" t="s">
        <v>1028</v>
      </c>
    </row>
    <row r="1829" spans="1:23" ht="19">
      <c r="A1829" s="104" t="s">
        <v>218</v>
      </c>
      <c r="B1829" s="104" t="s">
        <v>221</v>
      </c>
      <c r="C1829" s="454" t="s">
        <v>222</v>
      </c>
      <c r="D1829" s="105" t="s">
        <v>151</v>
      </c>
      <c r="E1829" s="104">
        <v>40618</v>
      </c>
      <c r="F1829" s="104">
        <v>50</v>
      </c>
      <c r="G1829" s="106" t="s">
        <v>1039</v>
      </c>
      <c r="H1829" s="104" t="s">
        <v>306</v>
      </c>
      <c r="I1829" s="104" t="s">
        <v>225</v>
      </c>
      <c r="J1829" s="104" t="s">
        <v>105</v>
      </c>
      <c r="K1829" s="104" t="s">
        <v>252</v>
      </c>
      <c r="L1829" s="104" t="s">
        <v>415</v>
      </c>
      <c r="M1829" s="104" t="s">
        <v>108</v>
      </c>
      <c r="N1829" s="108" t="s">
        <v>17</v>
      </c>
      <c r="O1829" s="104" t="s">
        <v>17</v>
      </c>
      <c r="P1829" s="108">
        <v>1.0509999999999999</v>
      </c>
      <c r="Q1829" s="108">
        <v>1.3210000000000002</v>
      </c>
      <c r="R1829" s="104" t="s">
        <v>17</v>
      </c>
      <c r="S1829" s="253">
        <f>(10^((3.05*LOG((P1829*10))+1.6)))/1000</f>
        <v>51.98622521196387</v>
      </c>
      <c r="T1829" s="104" t="s">
        <v>1061</v>
      </c>
      <c r="U1829" s="108">
        <v>0.91</v>
      </c>
      <c r="V1829" s="107">
        <v>52.3</v>
      </c>
      <c r="W1829" s="106" t="s">
        <v>342</v>
      </c>
    </row>
    <row r="1830" spans="1:23" ht="19">
      <c r="A1830" s="104" t="s">
        <v>218</v>
      </c>
      <c r="B1830" s="104" t="s">
        <v>221</v>
      </c>
      <c r="C1830" s="454" t="s">
        <v>222</v>
      </c>
      <c r="D1830" s="105" t="s">
        <v>151</v>
      </c>
      <c r="E1830" s="104">
        <v>40618</v>
      </c>
      <c r="F1830" s="104">
        <v>32</v>
      </c>
      <c r="G1830" s="106" t="s">
        <v>1039</v>
      </c>
      <c r="H1830" s="104" t="s">
        <v>306</v>
      </c>
      <c r="I1830" s="104" t="s">
        <v>225</v>
      </c>
      <c r="J1830" s="104" t="s">
        <v>105</v>
      </c>
      <c r="K1830" s="104" t="s">
        <v>126</v>
      </c>
      <c r="L1830" s="104" t="s">
        <v>636</v>
      </c>
      <c r="M1830" s="104" t="s">
        <v>114</v>
      </c>
      <c r="N1830" s="108" t="s">
        <v>17</v>
      </c>
      <c r="O1830" s="104" t="s">
        <v>17</v>
      </c>
      <c r="P1830" s="108">
        <v>1.9829999999999999</v>
      </c>
      <c r="Q1830" s="108">
        <v>0.94100000000000006</v>
      </c>
      <c r="R1830" s="104" t="s">
        <v>17</v>
      </c>
      <c r="S1830" s="253">
        <f>(10^((3.143*LOG((P1830))+0.799)))</f>
        <v>54.135891212148856</v>
      </c>
      <c r="T1830" s="104" t="s">
        <v>1049</v>
      </c>
      <c r="U1830" s="108">
        <v>0.96</v>
      </c>
      <c r="V1830" s="107">
        <v>19.100000000000001</v>
      </c>
      <c r="W1830" s="106" t="s">
        <v>1050</v>
      </c>
    </row>
    <row r="1831" spans="1:23" ht="19">
      <c r="A1831" s="104" t="s">
        <v>218</v>
      </c>
      <c r="B1831" s="104" t="s">
        <v>221</v>
      </c>
      <c r="C1831" s="454" t="s">
        <v>222</v>
      </c>
      <c r="D1831" s="105" t="s">
        <v>151</v>
      </c>
      <c r="E1831" s="104">
        <v>40618</v>
      </c>
      <c r="F1831" s="104">
        <v>53</v>
      </c>
      <c r="G1831" s="106" t="s">
        <v>1039</v>
      </c>
      <c r="H1831" s="104" t="s">
        <v>306</v>
      </c>
      <c r="I1831" s="104" t="s">
        <v>225</v>
      </c>
      <c r="J1831" s="104" t="s">
        <v>105</v>
      </c>
      <c r="K1831" s="104" t="s">
        <v>252</v>
      </c>
      <c r="L1831" s="104" t="s">
        <v>415</v>
      </c>
      <c r="M1831" s="104" t="s">
        <v>114</v>
      </c>
      <c r="N1831" s="108" t="s">
        <v>17</v>
      </c>
      <c r="O1831" s="104" t="s">
        <v>17</v>
      </c>
      <c r="P1831" s="108">
        <v>1.0900000000000001</v>
      </c>
      <c r="Q1831" s="108">
        <v>0.84000000000000008</v>
      </c>
      <c r="R1831" s="104" t="s">
        <v>17</v>
      </c>
      <c r="S1831" s="253">
        <f>(10^((3.05*LOG((P1831*10))+1.6)))/1000</f>
        <v>58.096613630819292</v>
      </c>
      <c r="T1831" s="104" t="s">
        <v>1061</v>
      </c>
      <c r="U1831" s="108">
        <v>0.91</v>
      </c>
      <c r="V1831" s="107">
        <v>52.3</v>
      </c>
      <c r="W1831" s="106" t="s">
        <v>342</v>
      </c>
    </row>
    <row r="1832" spans="1:23" ht="19">
      <c r="A1832" s="104" t="s">
        <v>218</v>
      </c>
      <c r="B1832" s="104" t="s">
        <v>221</v>
      </c>
      <c r="C1832" s="454" t="s">
        <v>222</v>
      </c>
      <c r="D1832" s="105" t="s">
        <v>151</v>
      </c>
      <c r="E1832" s="104">
        <v>40618</v>
      </c>
      <c r="F1832" s="104">
        <v>31</v>
      </c>
      <c r="G1832" s="106" t="s">
        <v>1039</v>
      </c>
      <c r="H1832" s="104" t="s">
        <v>306</v>
      </c>
      <c r="I1832" s="104" t="s">
        <v>225</v>
      </c>
      <c r="J1832" s="104" t="s">
        <v>105</v>
      </c>
      <c r="K1832" s="104" t="s">
        <v>112</v>
      </c>
      <c r="L1832" s="104" t="s">
        <v>663</v>
      </c>
      <c r="M1832" s="104" t="s">
        <v>108</v>
      </c>
      <c r="N1832" s="108" t="s">
        <v>17</v>
      </c>
      <c r="O1832" s="104" t="s">
        <v>17</v>
      </c>
      <c r="P1832" s="108">
        <v>1.4159999999999999</v>
      </c>
      <c r="Q1832" s="108">
        <v>0.95</v>
      </c>
      <c r="R1832" s="104" t="s">
        <v>17</v>
      </c>
      <c r="S1832" s="253">
        <f>(10^((3.334*LOG((P1832))+1.27)))</f>
        <v>59.380641723252161</v>
      </c>
      <c r="T1832" s="104" t="s">
        <v>1027</v>
      </c>
      <c r="U1832" s="108">
        <v>0.93</v>
      </c>
      <c r="V1832" s="107">
        <v>23.9</v>
      </c>
      <c r="W1832" s="106" t="s">
        <v>1028</v>
      </c>
    </row>
    <row r="1833" spans="1:23" ht="19">
      <c r="A1833" s="104" t="s">
        <v>218</v>
      </c>
      <c r="B1833" s="104" t="s">
        <v>221</v>
      </c>
      <c r="C1833" s="454" t="s">
        <v>222</v>
      </c>
      <c r="D1833" s="105" t="s">
        <v>151</v>
      </c>
      <c r="E1833" s="104">
        <v>40618</v>
      </c>
      <c r="F1833" s="104">
        <v>47</v>
      </c>
      <c r="G1833" s="106" t="s">
        <v>1039</v>
      </c>
      <c r="H1833" s="104" t="s">
        <v>306</v>
      </c>
      <c r="I1833" s="104" t="s">
        <v>225</v>
      </c>
      <c r="J1833" s="104" t="s">
        <v>105</v>
      </c>
      <c r="K1833" s="104" t="s">
        <v>252</v>
      </c>
      <c r="L1833" s="104" t="s">
        <v>415</v>
      </c>
      <c r="M1833" s="104" t="s">
        <v>108</v>
      </c>
      <c r="N1833" s="108" t="s">
        <v>17</v>
      </c>
      <c r="O1833" s="104" t="s">
        <v>17</v>
      </c>
      <c r="P1833" s="108">
        <v>1.119</v>
      </c>
      <c r="Q1833" s="108">
        <v>1.1930000000000001</v>
      </c>
      <c r="R1833" s="104" t="s">
        <v>17</v>
      </c>
      <c r="S1833" s="253">
        <f>(10^((3.05*LOG((P1833*10))+1.6)))/1000</f>
        <v>62.940728299303501</v>
      </c>
      <c r="T1833" s="104" t="s">
        <v>1061</v>
      </c>
      <c r="U1833" s="108">
        <v>0.91</v>
      </c>
      <c r="V1833" s="107">
        <v>52.3</v>
      </c>
      <c r="W1833" s="106" t="s">
        <v>342</v>
      </c>
    </row>
    <row r="1834" spans="1:23" ht="19">
      <c r="A1834" s="104" t="s">
        <v>218</v>
      </c>
      <c r="B1834" s="104" t="s">
        <v>221</v>
      </c>
      <c r="C1834" s="454" t="s">
        <v>222</v>
      </c>
      <c r="D1834" s="105" t="s">
        <v>151</v>
      </c>
      <c r="E1834" s="104">
        <v>40618</v>
      </c>
      <c r="F1834" s="104">
        <v>51</v>
      </c>
      <c r="G1834" s="106" t="s">
        <v>1039</v>
      </c>
      <c r="H1834" s="104" t="s">
        <v>306</v>
      </c>
      <c r="I1834" s="104" t="s">
        <v>225</v>
      </c>
      <c r="J1834" s="104" t="s">
        <v>105</v>
      </c>
      <c r="K1834" s="104" t="s">
        <v>126</v>
      </c>
      <c r="L1834" s="104" t="s">
        <v>636</v>
      </c>
      <c r="M1834" s="104" t="s">
        <v>108</v>
      </c>
      <c r="N1834" s="108" t="s">
        <v>17</v>
      </c>
      <c r="O1834" s="104" t="s">
        <v>17</v>
      </c>
      <c r="P1834" s="108">
        <v>2.125</v>
      </c>
      <c r="Q1834" s="108">
        <v>1.0289999999999999</v>
      </c>
      <c r="R1834" s="104" t="s">
        <v>17</v>
      </c>
      <c r="S1834" s="253">
        <f>(10^((3.143*LOG((P1834))+0.799)))</f>
        <v>67.280487681285692</v>
      </c>
      <c r="T1834" s="104" t="s">
        <v>1049</v>
      </c>
      <c r="U1834" s="108">
        <v>0.96</v>
      </c>
      <c r="V1834" s="107">
        <v>19.100000000000001</v>
      </c>
      <c r="W1834" s="106" t="s">
        <v>1050</v>
      </c>
    </row>
    <row r="1835" spans="1:23" ht="19">
      <c r="A1835" s="104" t="s">
        <v>218</v>
      </c>
      <c r="B1835" s="104" t="s">
        <v>221</v>
      </c>
      <c r="C1835" s="454" t="s">
        <v>222</v>
      </c>
      <c r="D1835" s="105" t="s">
        <v>151</v>
      </c>
      <c r="E1835" s="104">
        <v>40618</v>
      </c>
      <c r="F1835" s="104">
        <v>34</v>
      </c>
      <c r="G1835" s="106" t="s">
        <v>1039</v>
      </c>
      <c r="H1835" s="104" t="s">
        <v>306</v>
      </c>
      <c r="I1835" s="104" t="s">
        <v>225</v>
      </c>
      <c r="J1835" s="104" t="s">
        <v>105</v>
      </c>
      <c r="K1835" s="104" t="s">
        <v>112</v>
      </c>
      <c r="L1835" s="104" t="s">
        <v>663</v>
      </c>
      <c r="M1835" s="104" t="s">
        <v>114</v>
      </c>
      <c r="N1835" s="108" t="s">
        <v>17</v>
      </c>
      <c r="O1835" s="104" t="s">
        <v>17</v>
      </c>
      <c r="P1835" s="108">
        <v>1.496</v>
      </c>
      <c r="Q1835" s="108">
        <v>0.84000000000000008</v>
      </c>
      <c r="R1835" s="104" t="s">
        <v>17</v>
      </c>
      <c r="S1835" s="253">
        <f>(10^((3.334*LOG((P1835))+1.27)))</f>
        <v>71.321740481340157</v>
      </c>
      <c r="T1835" s="104" t="s">
        <v>1027</v>
      </c>
      <c r="U1835" s="108">
        <v>0.93</v>
      </c>
      <c r="V1835" s="107">
        <v>23.9</v>
      </c>
      <c r="W1835" s="106" t="s">
        <v>1028</v>
      </c>
    </row>
    <row r="1836" spans="1:23" ht="19">
      <c r="A1836" s="104" t="s">
        <v>218</v>
      </c>
      <c r="B1836" s="104" t="s">
        <v>221</v>
      </c>
      <c r="C1836" s="454" t="s">
        <v>222</v>
      </c>
      <c r="D1836" s="105" t="s">
        <v>151</v>
      </c>
      <c r="E1836" s="104">
        <v>40618</v>
      </c>
      <c r="F1836" s="104">
        <v>41</v>
      </c>
      <c r="G1836" s="106" t="s">
        <v>1039</v>
      </c>
      <c r="H1836" s="104" t="s">
        <v>306</v>
      </c>
      <c r="I1836" s="104" t="s">
        <v>225</v>
      </c>
      <c r="J1836" s="104" t="s">
        <v>105</v>
      </c>
      <c r="K1836" s="104" t="s">
        <v>112</v>
      </c>
      <c r="L1836" s="104" t="s">
        <v>663</v>
      </c>
      <c r="M1836" s="104" t="s">
        <v>108</v>
      </c>
      <c r="N1836" s="108" t="s">
        <v>17</v>
      </c>
      <c r="O1836" s="104" t="s">
        <v>17</v>
      </c>
      <c r="P1836" s="108">
        <v>1.51</v>
      </c>
      <c r="Q1836" s="108">
        <v>0.65999999999999992</v>
      </c>
      <c r="R1836" s="104" t="s">
        <v>17</v>
      </c>
      <c r="S1836" s="253">
        <f>(10^((3.334*LOG((P1836))+1.27)))</f>
        <v>73.571420651514501</v>
      </c>
      <c r="T1836" s="104" t="s">
        <v>1027</v>
      </c>
      <c r="U1836" s="108">
        <v>0.93</v>
      </c>
      <c r="V1836" s="107">
        <v>23.9</v>
      </c>
      <c r="W1836" s="106" t="s">
        <v>1028</v>
      </c>
    </row>
    <row r="1837" spans="1:23" ht="19">
      <c r="A1837" s="104" t="s">
        <v>218</v>
      </c>
      <c r="B1837" s="104" t="s">
        <v>221</v>
      </c>
      <c r="C1837" s="454" t="s">
        <v>222</v>
      </c>
      <c r="D1837" s="105" t="s">
        <v>151</v>
      </c>
      <c r="E1837" s="104">
        <v>40618</v>
      </c>
      <c r="F1837" s="104">
        <v>9</v>
      </c>
      <c r="G1837" s="106" t="s">
        <v>1039</v>
      </c>
      <c r="H1837" s="104" t="s">
        <v>306</v>
      </c>
      <c r="I1837" s="104" t="s">
        <v>225</v>
      </c>
      <c r="J1837" s="104" t="s">
        <v>105</v>
      </c>
      <c r="K1837" s="104" t="s">
        <v>126</v>
      </c>
      <c r="L1837" s="104" t="s">
        <v>636</v>
      </c>
      <c r="M1837" s="104" t="s">
        <v>114</v>
      </c>
      <c r="N1837" s="108" t="s">
        <v>17</v>
      </c>
      <c r="O1837" s="104" t="s">
        <v>17</v>
      </c>
      <c r="P1837" s="108">
        <v>2.1870000000000003</v>
      </c>
      <c r="Q1837" s="108">
        <v>1.0580000000000001</v>
      </c>
      <c r="R1837" s="104" t="s">
        <v>17</v>
      </c>
      <c r="S1837" s="253">
        <f>(10^((3.143*LOG((P1837))+0.799)))</f>
        <v>73.645247337660521</v>
      </c>
      <c r="T1837" s="104" t="s">
        <v>1049</v>
      </c>
      <c r="U1837" s="108">
        <v>0.96</v>
      </c>
      <c r="V1837" s="107">
        <v>19.100000000000001</v>
      </c>
      <c r="W1837" s="106" t="s">
        <v>1050</v>
      </c>
    </row>
    <row r="1838" spans="1:23" ht="19">
      <c r="A1838" s="104" t="s">
        <v>218</v>
      </c>
      <c r="B1838" s="104" t="s">
        <v>221</v>
      </c>
      <c r="C1838" s="454" t="s">
        <v>222</v>
      </c>
      <c r="D1838" s="105" t="s">
        <v>151</v>
      </c>
      <c r="E1838" s="104">
        <v>40618</v>
      </c>
      <c r="F1838" s="104">
        <v>33</v>
      </c>
      <c r="G1838" s="106" t="s">
        <v>1039</v>
      </c>
      <c r="H1838" s="104" t="s">
        <v>306</v>
      </c>
      <c r="I1838" s="104" t="s">
        <v>225</v>
      </c>
      <c r="J1838" s="104" t="s">
        <v>105</v>
      </c>
      <c r="K1838" s="104" t="s">
        <v>126</v>
      </c>
      <c r="L1838" s="104" t="s">
        <v>636</v>
      </c>
      <c r="M1838" s="104" t="s">
        <v>114</v>
      </c>
      <c r="N1838" s="108" t="s">
        <v>17</v>
      </c>
      <c r="O1838" s="104" t="s">
        <v>17</v>
      </c>
      <c r="P1838" s="108">
        <v>2.2239999999999998</v>
      </c>
      <c r="Q1838" s="108">
        <v>0.97699999999999998</v>
      </c>
      <c r="R1838" s="104" t="s">
        <v>17</v>
      </c>
      <c r="S1838" s="253">
        <f>(10^((3.143*LOG((P1838))+0.799)))</f>
        <v>77.632687820175832</v>
      </c>
      <c r="T1838" s="104" t="s">
        <v>1049</v>
      </c>
      <c r="U1838" s="108">
        <v>0.96</v>
      </c>
      <c r="V1838" s="107">
        <v>19.100000000000001</v>
      </c>
      <c r="W1838" s="106" t="s">
        <v>1050</v>
      </c>
    </row>
    <row r="1839" spans="1:23" ht="19">
      <c r="A1839" s="104" t="s">
        <v>218</v>
      </c>
      <c r="B1839" s="104" t="s">
        <v>221</v>
      </c>
      <c r="C1839" s="454" t="s">
        <v>222</v>
      </c>
      <c r="D1839" s="105" t="s">
        <v>151</v>
      </c>
      <c r="E1839" s="104">
        <v>40618</v>
      </c>
      <c r="F1839" s="104">
        <v>38</v>
      </c>
      <c r="G1839" s="106" t="s">
        <v>1039</v>
      </c>
      <c r="H1839" s="104" t="s">
        <v>306</v>
      </c>
      <c r="I1839" s="104" t="s">
        <v>225</v>
      </c>
      <c r="J1839" s="104" t="s">
        <v>105</v>
      </c>
      <c r="K1839" s="104" t="s">
        <v>126</v>
      </c>
      <c r="L1839" s="104" t="s">
        <v>636</v>
      </c>
      <c r="M1839" s="104" t="s">
        <v>114</v>
      </c>
      <c r="N1839" s="108" t="s">
        <v>17</v>
      </c>
      <c r="O1839" s="104" t="s">
        <v>17</v>
      </c>
      <c r="P1839" s="108">
        <v>2.2440000000000002</v>
      </c>
      <c r="Q1839" s="108">
        <v>1.0680000000000001</v>
      </c>
      <c r="R1839" s="104" t="s">
        <v>17</v>
      </c>
      <c r="S1839" s="253">
        <f>(10^((3.143*LOG((P1839))+0.799)))</f>
        <v>79.848143976833512</v>
      </c>
      <c r="T1839" s="104" t="s">
        <v>1049</v>
      </c>
      <c r="U1839" s="108">
        <v>0.96</v>
      </c>
      <c r="V1839" s="107">
        <v>19.100000000000001</v>
      </c>
      <c r="W1839" s="106" t="s">
        <v>1050</v>
      </c>
    </row>
    <row r="1840" spans="1:23" ht="19">
      <c r="A1840" s="104" t="s">
        <v>218</v>
      </c>
      <c r="B1840" s="104" t="s">
        <v>221</v>
      </c>
      <c r="C1840" s="454" t="s">
        <v>222</v>
      </c>
      <c r="D1840" s="105" t="s">
        <v>151</v>
      </c>
      <c r="E1840" s="104">
        <v>40618</v>
      </c>
      <c r="F1840" s="104">
        <v>30</v>
      </c>
      <c r="G1840" s="106" t="s">
        <v>1039</v>
      </c>
      <c r="H1840" s="104" t="s">
        <v>306</v>
      </c>
      <c r="I1840" s="104" t="s">
        <v>225</v>
      </c>
      <c r="J1840" s="104" t="s">
        <v>105</v>
      </c>
      <c r="K1840" s="104" t="s">
        <v>229</v>
      </c>
      <c r="L1840" s="104" t="s">
        <v>720</v>
      </c>
      <c r="M1840" s="104" t="s">
        <v>114</v>
      </c>
      <c r="N1840" s="108" t="s">
        <v>17</v>
      </c>
      <c r="O1840" s="104" t="s">
        <v>17</v>
      </c>
      <c r="P1840" s="108">
        <v>1.044</v>
      </c>
      <c r="Q1840" s="108">
        <v>0.68399999999999994</v>
      </c>
      <c r="R1840" s="104" t="s">
        <v>17</v>
      </c>
      <c r="S1840" s="253">
        <f>(10^((3.619*LOG((P1840))+1.885)))</f>
        <v>89.676180958726462</v>
      </c>
      <c r="T1840" s="104" t="s">
        <v>1093</v>
      </c>
      <c r="U1840" s="108">
        <v>0.873</v>
      </c>
      <c r="V1840" s="107">
        <v>33</v>
      </c>
      <c r="W1840" s="106" t="s">
        <v>1028</v>
      </c>
    </row>
    <row r="1841" spans="1:23" ht="19">
      <c r="A1841" s="104" t="s">
        <v>273</v>
      </c>
      <c r="B1841" s="104" t="s">
        <v>74</v>
      </c>
      <c r="C1841" s="454" t="s">
        <v>266</v>
      </c>
      <c r="D1841" s="105" t="s">
        <v>1185</v>
      </c>
      <c r="E1841" s="104">
        <v>40618</v>
      </c>
      <c r="F1841" s="104">
        <v>225</v>
      </c>
      <c r="G1841" s="106" t="s">
        <v>1039</v>
      </c>
      <c r="H1841" s="104"/>
      <c r="I1841" s="104" t="s">
        <v>225</v>
      </c>
      <c r="J1841" s="104" t="s">
        <v>284</v>
      </c>
      <c r="K1841" s="104" t="s">
        <v>252</v>
      </c>
      <c r="L1841" s="104" t="s">
        <v>415</v>
      </c>
      <c r="M1841" s="104" t="s">
        <v>108</v>
      </c>
      <c r="N1841" s="108"/>
      <c r="O1841" s="104"/>
      <c r="P1841" s="108"/>
      <c r="Q1841" s="108"/>
      <c r="R1841" s="104"/>
      <c r="S1841" s="253">
        <v>7.6601800000000004</v>
      </c>
      <c r="T1841" s="104"/>
      <c r="U1841" s="108"/>
      <c r="V1841" s="107"/>
      <c r="W1841" s="106"/>
    </row>
    <row r="1842" spans="1:23" ht="19">
      <c r="A1842" s="104" t="s">
        <v>273</v>
      </c>
      <c r="B1842" s="104" t="s">
        <v>74</v>
      </c>
      <c r="C1842" s="454" t="s">
        <v>266</v>
      </c>
      <c r="D1842" s="105" t="s">
        <v>1185</v>
      </c>
      <c r="E1842" s="104">
        <v>40618</v>
      </c>
      <c r="F1842" s="104">
        <v>244</v>
      </c>
      <c r="G1842" s="106" t="s">
        <v>1039</v>
      </c>
      <c r="H1842" s="104"/>
      <c r="I1842" s="104" t="s">
        <v>225</v>
      </c>
      <c r="J1842" s="104" t="s">
        <v>284</v>
      </c>
      <c r="K1842" s="104" t="s">
        <v>136</v>
      </c>
      <c r="L1842" s="104" t="s">
        <v>1032</v>
      </c>
      <c r="M1842" s="104" t="s">
        <v>114</v>
      </c>
      <c r="N1842" s="108"/>
      <c r="O1842" s="104"/>
      <c r="P1842" s="108"/>
      <c r="Q1842" s="108"/>
      <c r="R1842" s="104"/>
      <c r="S1842" s="253">
        <v>8.9644099999999991</v>
      </c>
      <c r="T1842" s="104"/>
      <c r="U1842" s="108"/>
      <c r="V1842" s="107"/>
      <c r="W1842" s="106"/>
    </row>
    <row r="1843" spans="1:23" ht="19">
      <c r="A1843" s="104" t="s">
        <v>273</v>
      </c>
      <c r="B1843" s="104" t="s">
        <v>74</v>
      </c>
      <c r="C1843" s="454" t="s">
        <v>266</v>
      </c>
      <c r="D1843" s="105" t="s">
        <v>1185</v>
      </c>
      <c r="E1843" s="104">
        <v>40618</v>
      </c>
      <c r="F1843" s="104">
        <v>227</v>
      </c>
      <c r="G1843" s="106" t="s">
        <v>1039</v>
      </c>
      <c r="H1843" s="104"/>
      <c r="I1843" s="104" t="s">
        <v>225</v>
      </c>
      <c r="J1843" s="104" t="s">
        <v>284</v>
      </c>
      <c r="K1843" s="104" t="s">
        <v>112</v>
      </c>
      <c r="L1843" s="104" t="s">
        <v>663</v>
      </c>
      <c r="M1843" s="104" t="s">
        <v>108</v>
      </c>
      <c r="N1843" s="108"/>
      <c r="O1843" s="104"/>
      <c r="P1843" s="108"/>
      <c r="Q1843" s="108"/>
      <c r="R1843" s="104"/>
      <c r="S1843" s="253">
        <v>11.46134</v>
      </c>
      <c r="T1843" s="104"/>
      <c r="U1843" s="108"/>
      <c r="V1843" s="107"/>
      <c r="W1843" s="106"/>
    </row>
    <row r="1844" spans="1:23" ht="19">
      <c r="A1844" s="104" t="s">
        <v>273</v>
      </c>
      <c r="B1844" s="104" t="s">
        <v>74</v>
      </c>
      <c r="C1844" s="454" t="s">
        <v>266</v>
      </c>
      <c r="D1844" s="105" t="s">
        <v>505</v>
      </c>
      <c r="E1844" s="104">
        <v>738</v>
      </c>
      <c r="F1844" s="104">
        <v>1</v>
      </c>
      <c r="G1844" s="106" t="s">
        <v>1237</v>
      </c>
      <c r="H1844" s="104"/>
      <c r="I1844" s="104" t="s">
        <v>104</v>
      </c>
      <c r="J1844" s="104" t="s">
        <v>105</v>
      </c>
      <c r="K1844" s="104" t="s">
        <v>112</v>
      </c>
      <c r="L1844" s="104" t="s">
        <v>663</v>
      </c>
      <c r="M1844" s="104" t="s">
        <v>114</v>
      </c>
      <c r="N1844" s="108" t="s">
        <v>17</v>
      </c>
      <c r="O1844" s="104" t="s">
        <v>17</v>
      </c>
      <c r="P1844" s="113">
        <v>2.83</v>
      </c>
      <c r="Q1844" s="113">
        <v>1.1910000000000001</v>
      </c>
      <c r="R1844" s="104" t="s">
        <v>17</v>
      </c>
      <c r="S1844" s="253">
        <v>33.399060930977086</v>
      </c>
      <c r="T1844" s="104" t="s">
        <v>1167</v>
      </c>
      <c r="U1844" s="108">
        <v>0.96</v>
      </c>
      <c r="V1844" s="107">
        <v>12.4</v>
      </c>
      <c r="W1844" s="114" t="s">
        <v>279</v>
      </c>
    </row>
    <row r="1845" spans="1:23" ht="19">
      <c r="A1845" s="104" t="s">
        <v>592</v>
      </c>
      <c r="B1845" s="104" t="s">
        <v>1446</v>
      </c>
      <c r="C1845" s="454" t="s">
        <v>1447</v>
      </c>
      <c r="D1845" s="105" t="s">
        <v>151</v>
      </c>
      <c r="E1845" s="104">
        <v>31141</v>
      </c>
      <c r="F1845" s="104">
        <v>6</v>
      </c>
      <c r="G1845" s="106" t="s">
        <v>1448</v>
      </c>
      <c r="H1845" s="104" t="s">
        <v>1449</v>
      </c>
      <c r="I1845" s="104" t="s">
        <v>104</v>
      </c>
      <c r="J1845" s="104" t="s">
        <v>1450</v>
      </c>
      <c r="K1845" s="104" t="s">
        <v>185</v>
      </c>
      <c r="L1845" s="104" t="s">
        <v>186</v>
      </c>
      <c r="M1845" s="104"/>
      <c r="N1845" s="108"/>
      <c r="O1845" s="104"/>
      <c r="P1845" s="113"/>
      <c r="Q1845" s="113">
        <v>3.6</v>
      </c>
      <c r="R1845" s="104"/>
      <c r="S1845" s="253"/>
      <c r="T1845" s="104"/>
      <c r="U1845" s="108"/>
      <c r="V1845" s="107"/>
      <c r="W1845" s="114"/>
    </row>
    <row r="1846" spans="1:23" ht="19">
      <c r="A1846" s="104" t="s">
        <v>592</v>
      </c>
      <c r="B1846" s="104" t="s">
        <v>1446</v>
      </c>
      <c r="C1846" s="454" t="s">
        <v>1447</v>
      </c>
      <c r="D1846" s="105" t="s">
        <v>151</v>
      </c>
      <c r="E1846" s="104">
        <v>31141</v>
      </c>
      <c r="F1846" s="104">
        <v>71</v>
      </c>
      <c r="G1846" s="106" t="s">
        <v>1448</v>
      </c>
      <c r="H1846" s="104" t="s">
        <v>1449</v>
      </c>
      <c r="I1846" s="104" t="s">
        <v>104</v>
      </c>
      <c r="J1846" s="104" t="s">
        <v>1450</v>
      </c>
      <c r="K1846" s="104" t="s">
        <v>185</v>
      </c>
      <c r="L1846" s="104" t="s">
        <v>186</v>
      </c>
      <c r="M1846" s="104"/>
      <c r="N1846" s="108"/>
      <c r="O1846" s="104"/>
      <c r="P1846" s="113"/>
      <c r="Q1846" s="113">
        <v>3.52</v>
      </c>
      <c r="R1846" s="104"/>
      <c r="S1846" s="253"/>
      <c r="T1846" s="104"/>
      <c r="U1846" s="108"/>
      <c r="V1846" s="107"/>
      <c r="W1846" s="114"/>
    </row>
    <row r="1847" spans="1:23" ht="19">
      <c r="A1847" s="104" t="s">
        <v>592</v>
      </c>
      <c r="B1847" s="104" t="s">
        <v>1446</v>
      </c>
      <c r="C1847" s="454" t="s">
        <v>1447</v>
      </c>
      <c r="D1847" s="105" t="s">
        <v>151</v>
      </c>
      <c r="E1847" s="104">
        <v>41075</v>
      </c>
      <c r="F1847" s="104">
        <v>10</v>
      </c>
      <c r="G1847" s="106" t="s">
        <v>1448</v>
      </c>
      <c r="H1847" s="104" t="s">
        <v>1449</v>
      </c>
      <c r="I1847" s="104" t="s">
        <v>104</v>
      </c>
      <c r="J1847" s="104" t="s">
        <v>1450</v>
      </c>
      <c r="K1847" s="104" t="s">
        <v>710</v>
      </c>
      <c r="L1847" s="104" t="s">
        <v>711</v>
      </c>
      <c r="M1847" s="104"/>
      <c r="N1847" s="108"/>
      <c r="O1847" s="104"/>
      <c r="P1847" s="113">
        <v>79</v>
      </c>
      <c r="Q1847" s="113"/>
      <c r="R1847" s="104"/>
      <c r="S1847" s="253">
        <f>(10^(2.79712*LOG(P1847*10)-1.72502))/1000</f>
        <v>2398.7814933653253</v>
      </c>
      <c r="T1847" s="108" t="s">
        <v>1345</v>
      </c>
      <c r="U1847" s="108">
        <v>0.95499999999999996</v>
      </c>
      <c r="V1847" s="107"/>
      <c r="W1847" s="114" t="s">
        <v>989</v>
      </c>
    </row>
    <row r="1848" spans="1:23" ht="19">
      <c r="A1848" s="104" t="s">
        <v>218</v>
      </c>
      <c r="B1848" s="104" t="s">
        <v>193</v>
      </c>
      <c r="C1848" s="454" t="s">
        <v>194</v>
      </c>
      <c r="D1848" s="105" t="s">
        <v>195</v>
      </c>
      <c r="E1848" s="104">
        <v>40541</v>
      </c>
      <c r="F1848" s="104">
        <v>221</v>
      </c>
      <c r="G1848" s="106" t="s">
        <v>300</v>
      </c>
      <c r="H1848" s="104" t="s">
        <v>301</v>
      </c>
      <c r="I1848" s="104" t="s">
        <v>225</v>
      </c>
      <c r="J1848" s="104" t="s">
        <v>105</v>
      </c>
      <c r="K1848" s="104" t="s">
        <v>126</v>
      </c>
      <c r="L1848" s="104" t="s">
        <v>636</v>
      </c>
      <c r="M1848" s="104" t="s">
        <v>114</v>
      </c>
      <c r="N1848" s="113" t="s">
        <v>17</v>
      </c>
      <c r="O1848" s="104" t="s">
        <v>17</v>
      </c>
      <c r="P1848" s="108">
        <v>1.532</v>
      </c>
      <c r="Q1848" s="108">
        <v>0.57499999999999996</v>
      </c>
      <c r="R1848" s="104" t="s">
        <v>17</v>
      </c>
      <c r="S1848" s="253">
        <f>(10^((3.35*LOG((P1848*10))+0.35)))/1000</f>
        <v>20.922658364834248</v>
      </c>
      <c r="T1848" s="104" t="s">
        <v>637</v>
      </c>
      <c r="U1848" s="108">
        <v>0.93</v>
      </c>
      <c r="V1848" s="107">
        <v>47.2</v>
      </c>
      <c r="W1848" s="106" t="s">
        <v>638</v>
      </c>
    </row>
    <row r="1849" spans="1:23" ht="19">
      <c r="A1849" s="104" t="s">
        <v>218</v>
      </c>
      <c r="B1849" s="104" t="s">
        <v>193</v>
      </c>
      <c r="C1849" s="454" t="s">
        <v>194</v>
      </c>
      <c r="D1849" s="105" t="s">
        <v>195</v>
      </c>
      <c r="E1849" s="104">
        <v>40541</v>
      </c>
      <c r="F1849" s="104">
        <v>101</v>
      </c>
      <c r="G1849" s="106" t="s">
        <v>300</v>
      </c>
      <c r="H1849" s="104" t="s">
        <v>301</v>
      </c>
      <c r="I1849" s="104" t="s">
        <v>225</v>
      </c>
      <c r="J1849" s="104" t="s">
        <v>105</v>
      </c>
      <c r="K1849" s="104" t="s">
        <v>243</v>
      </c>
      <c r="L1849" s="104" t="s">
        <v>645</v>
      </c>
      <c r="M1849" s="104" t="s">
        <v>108</v>
      </c>
      <c r="N1849" s="113" t="s">
        <v>17</v>
      </c>
      <c r="O1849" s="104" t="s">
        <v>17</v>
      </c>
      <c r="P1849" s="108">
        <v>1.03</v>
      </c>
      <c r="Q1849" s="108">
        <v>0.65100000000000002</v>
      </c>
      <c r="R1849" s="104" t="s">
        <v>17</v>
      </c>
      <c r="S1849" s="253">
        <f>(10^((3.11*LOG((P1849*10))+1.3)))/1000</f>
        <v>28.178882674507015</v>
      </c>
      <c r="T1849" s="104" t="s">
        <v>646</v>
      </c>
      <c r="U1849" s="108">
        <v>0.9</v>
      </c>
      <c r="V1849" s="107">
        <v>57</v>
      </c>
      <c r="W1849" s="106" t="s">
        <v>644</v>
      </c>
    </row>
    <row r="1850" spans="1:23" ht="19">
      <c r="A1850" s="104" t="s">
        <v>218</v>
      </c>
      <c r="B1850" s="104" t="s">
        <v>193</v>
      </c>
      <c r="C1850" s="454" t="s">
        <v>194</v>
      </c>
      <c r="D1850" s="105" t="s">
        <v>195</v>
      </c>
      <c r="E1850" s="104">
        <v>40541</v>
      </c>
      <c r="F1850" s="104">
        <v>1229</v>
      </c>
      <c r="G1850" s="106" t="s">
        <v>300</v>
      </c>
      <c r="H1850" s="104" t="s">
        <v>301</v>
      </c>
      <c r="I1850" s="104" t="s">
        <v>225</v>
      </c>
      <c r="J1850" s="104" t="s">
        <v>105</v>
      </c>
      <c r="K1850" s="104" t="s">
        <v>243</v>
      </c>
      <c r="L1850" s="104" t="s">
        <v>645</v>
      </c>
      <c r="M1850" s="104" t="s">
        <v>114</v>
      </c>
      <c r="N1850" s="113" t="s">
        <v>17</v>
      </c>
      <c r="O1850" s="104" t="s">
        <v>17</v>
      </c>
      <c r="P1850" s="108">
        <v>1.1320000000000001</v>
      </c>
      <c r="Q1850" s="108">
        <v>0.64800000000000002</v>
      </c>
      <c r="R1850" s="104" t="s">
        <v>17</v>
      </c>
      <c r="S1850" s="253">
        <f>(10^((3.11*LOG((P1850*10))+1.3)))/1000</f>
        <v>37.797440104929599</v>
      </c>
      <c r="T1850" s="104" t="s">
        <v>646</v>
      </c>
      <c r="U1850" s="108">
        <v>0.9</v>
      </c>
      <c r="V1850" s="107">
        <v>57</v>
      </c>
      <c r="W1850" s="106" t="s">
        <v>644</v>
      </c>
    </row>
    <row r="1851" spans="1:23" ht="19">
      <c r="A1851" s="104" t="s">
        <v>218</v>
      </c>
      <c r="B1851" s="104" t="s">
        <v>193</v>
      </c>
      <c r="C1851" s="454" t="s">
        <v>194</v>
      </c>
      <c r="D1851" s="105" t="s">
        <v>195</v>
      </c>
      <c r="E1851" s="104">
        <v>40541</v>
      </c>
      <c r="F1851" s="104">
        <v>110</v>
      </c>
      <c r="G1851" s="106" t="s">
        <v>300</v>
      </c>
      <c r="H1851" s="104" t="s">
        <v>301</v>
      </c>
      <c r="I1851" s="104" t="s">
        <v>225</v>
      </c>
      <c r="J1851" s="104" t="s">
        <v>105</v>
      </c>
      <c r="K1851" s="104" t="s">
        <v>233</v>
      </c>
      <c r="L1851" s="104" t="s">
        <v>653</v>
      </c>
      <c r="M1851" s="104" t="s">
        <v>114</v>
      </c>
      <c r="N1851" s="113" t="s">
        <v>17</v>
      </c>
      <c r="O1851" s="104" t="s">
        <v>17</v>
      </c>
      <c r="P1851" s="108">
        <v>1.1800000000000002</v>
      </c>
      <c r="Q1851" s="108">
        <v>0.64400000000000002</v>
      </c>
      <c r="R1851" s="104" t="s">
        <v>17</v>
      </c>
      <c r="S1851" s="253">
        <f>(10^(((LOG(P1851*10))*3.19)+1.31))/1000</f>
        <v>53.617134914728538</v>
      </c>
      <c r="T1851" s="104" t="s">
        <v>654</v>
      </c>
      <c r="U1851" s="108">
        <v>0.84</v>
      </c>
      <c r="V1851" s="107">
        <v>80</v>
      </c>
      <c r="W1851" s="106" t="s">
        <v>342</v>
      </c>
    </row>
    <row r="1852" spans="1:23" ht="19">
      <c r="A1852" s="104" t="s">
        <v>218</v>
      </c>
      <c r="B1852" s="104" t="s">
        <v>193</v>
      </c>
      <c r="C1852" s="454" t="s">
        <v>194</v>
      </c>
      <c r="D1852" s="105" t="s">
        <v>195</v>
      </c>
      <c r="E1852" s="104">
        <v>40541</v>
      </c>
      <c r="F1852" s="104">
        <v>1232</v>
      </c>
      <c r="G1852" s="106" t="s">
        <v>300</v>
      </c>
      <c r="H1852" s="104" t="s">
        <v>301</v>
      </c>
      <c r="I1852" s="104" t="s">
        <v>225</v>
      </c>
      <c r="J1852" s="104" t="s">
        <v>105</v>
      </c>
      <c r="K1852" s="104" t="s">
        <v>155</v>
      </c>
      <c r="L1852" s="104" t="s">
        <v>658</v>
      </c>
      <c r="M1852" s="104" t="s">
        <v>108</v>
      </c>
      <c r="N1852" s="113" t="s">
        <v>17</v>
      </c>
      <c r="O1852" s="104" t="s">
        <v>17</v>
      </c>
      <c r="P1852" s="108">
        <v>1.4239999999999999</v>
      </c>
      <c r="Q1852" s="108">
        <v>0.96</v>
      </c>
      <c r="R1852" s="104" t="s">
        <v>17</v>
      </c>
      <c r="S1852" s="253">
        <f>(10^((3.21*LOG((P1852*10))+1.07)))/1000</f>
        <v>59.260739366990109</v>
      </c>
      <c r="T1852" s="104" t="s">
        <v>659</v>
      </c>
      <c r="U1852" s="108">
        <v>0.96</v>
      </c>
      <c r="V1852" s="107">
        <v>35.1</v>
      </c>
      <c r="W1852" s="106" t="s">
        <v>644</v>
      </c>
    </row>
    <row r="1853" spans="1:23" ht="19">
      <c r="A1853" s="104" t="s">
        <v>218</v>
      </c>
      <c r="B1853" s="104" t="s">
        <v>193</v>
      </c>
      <c r="C1853" s="454" t="s">
        <v>194</v>
      </c>
      <c r="D1853" s="105" t="s">
        <v>195</v>
      </c>
      <c r="E1853" s="104">
        <v>40541</v>
      </c>
      <c r="F1853" s="104">
        <v>1233</v>
      </c>
      <c r="G1853" s="106" t="s">
        <v>300</v>
      </c>
      <c r="H1853" s="104" t="s">
        <v>301</v>
      </c>
      <c r="I1853" s="104" t="s">
        <v>225</v>
      </c>
      <c r="J1853" s="104" t="s">
        <v>105</v>
      </c>
      <c r="K1853" s="104" t="s">
        <v>155</v>
      </c>
      <c r="L1853" s="104" t="s">
        <v>658</v>
      </c>
      <c r="M1853" s="104" t="s">
        <v>114</v>
      </c>
      <c r="N1853" s="113" t="s">
        <v>17</v>
      </c>
      <c r="O1853" s="104" t="s">
        <v>17</v>
      </c>
      <c r="P1853" s="108">
        <v>1.425</v>
      </c>
      <c r="Q1853" s="108">
        <v>1.1179999999999999</v>
      </c>
      <c r="R1853" s="104" t="s">
        <v>17</v>
      </c>
      <c r="S1853" s="253">
        <f>(10^((3.21*LOG((P1853*10))+1.07)))/1000</f>
        <v>59.39442941481645</v>
      </c>
      <c r="T1853" s="104" t="s">
        <v>659</v>
      </c>
      <c r="U1853" s="108">
        <v>0.96</v>
      </c>
      <c r="V1853" s="107">
        <v>35.1</v>
      </c>
      <c r="W1853" s="106" t="s">
        <v>644</v>
      </c>
    </row>
    <row r="1854" spans="1:23" ht="19">
      <c r="A1854" s="104" t="s">
        <v>218</v>
      </c>
      <c r="B1854" s="104" t="s">
        <v>193</v>
      </c>
      <c r="C1854" s="454" t="s">
        <v>194</v>
      </c>
      <c r="D1854" s="105" t="s">
        <v>195</v>
      </c>
      <c r="E1854" s="104">
        <v>40541</v>
      </c>
      <c r="F1854" s="104">
        <v>112</v>
      </c>
      <c r="G1854" s="106" t="s">
        <v>300</v>
      </c>
      <c r="H1854" s="104" t="s">
        <v>301</v>
      </c>
      <c r="I1854" s="104" t="s">
        <v>104</v>
      </c>
      <c r="J1854" s="104" t="s">
        <v>105</v>
      </c>
      <c r="K1854" s="104" t="s">
        <v>126</v>
      </c>
      <c r="L1854" s="104" t="s">
        <v>636</v>
      </c>
      <c r="M1854" s="104" t="s">
        <v>114</v>
      </c>
      <c r="N1854" s="113" t="s">
        <v>17</v>
      </c>
      <c r="O1854" s="104" t="s">
        <v>17</v>
      </c>
      <c r="P1854" s="108">
        <v>2.3010000000000002</v>
      </c>
      <c r="Q1854" s="108">
        <v>0.74</v>
      </c>
      <c r="R1854" s="104" t="s">
        <v>17</v>
      </c>
      <c r="S1854" s="253">
        <f>(10^((3.35*LOG((P1854*10))+0.35)))/1000</f>
        <v>81.737372427213884</v>
      </c>
      <c r="T1854" s="104" t="s">
        <v>637</v>
      </c>
      <c r="U1854" s="108">
        <v>0.93</v>
      </c>
      <c r="V1854" s="107">
        <v>47.2</v>
      </c>
      <c r="W1854" s="106" t="s">
        <v>638</v>
      </c>
    </row>
    <row r="1855" spans="1:23" ht="19">
      <c r="A1855" s="104" t="s">
        <v>218</v>
      </c>
      <c r="B1855" s="104" t="s">
        <v>193</v>
      </c>
      <c r="C1855" s="454" t="s">
        <v>194</v>
      </c>
      <c r="D1855" s="105" t="s">
        <v>195</v>
      </c>
      <c r="E1855" s="104">
        <v>40541</v>
      </c>
      <c r="F1855" s="104">
        <v>110</v>
      </c>
      <c r="G1855" s="106" t="s">
        <v>300</v>
      </c>
      <c r="H1855" s="104" t="s">
        <v>301</v>
      </c>
      <c r="I1855" s="104" t="s">
        <v>225</v>
      </c>
      <c r="J1855" s="104" t="s">
        <v>105</v>
      </c>
      <c r="K1855" s="104" t="s">
        <v>112</v>
      </c>
      <c r="L1855" s="104" t="s">
        <v>663</v>
      </c>
      <c r="M1855" s="104" t="s">
        <v>114</v>
      </c>
      <c r="N1855" s="113" t="s">
        <v>17</v>
      </c>
      <c r="O1855" s="104" t="s">
        <v>17</v>
      </c>
      <c r="P1855" s="108">
        <v>1.5230000000000001</v>
      </c>
      <c r="Q1855" s="108">
        <v>0.83399999999999996</v>
      </c>
      <c r="R1855" s="104" t="s">
        <v>17</v>
      </c>
      <c r="S1855" s="253">
        <f>(10^((3.21*LOG((P1855*10))+1.12)))/1000</f>
        <v>82.502420387690222</v>
      </c>
      <c r="T1855" s="104" t="s">
        <v>664</v>
      </c>
      <c r="U1855" s="108">
        <v>0.94</v>
      </c>
      <c r="V1855" s="107">
        <v>46.4</v>
      </c>
      <c r="W1855" s="106" t="s">
        <v>644</v>
      </c>
    </row>
    <row r="1856" spans="1:23" ht="19">
      <c r="A1856" s="103" t="s">
        <v>218</v>
      </c>
      <c r="B1856" s="103" t="s">
        <v>389</v>
      </c>
      <c r="C1856" s="421" t="s">
        <v>390</v>
      </c>
      <c r="D1856" s="396" t="s">
        <v>470</v>
      </c>
      <c r="E1856" s="103">
        <v>40541</v>
      </c>
      <c r="F1856" s="103">
        <v>159</v>
      </c>
      <c r="G1856" s="414" t="s">
        <v>300</v>
      </c>
      <c r="H1856" s="103" t="s">
        <v>301</v>
      </c>
      <c r="I1856" s="104" t="s">
        <v>225</v>
      </c>
      <c r="J1856" s="103" t="s">
        <v>105</v>
      </c>
      <c r="K1856" s="103" t="s">
        <v>126</v>
      </c>
      <c r="L1856" s="103" t="s">
        <v>636</v>
      </c>
      <c r="M1856" s="103" t="s">
        <v>108</v>
      </c>
      <c r="N1856" s="254"/>
      <c r="O1856" s="103"/>
      <c r="P1856" s="254">
        <v>4.1779999999999999</v>
      </c>
      <c r="Q1856" s="254">
        <v>1.893</v>
      </c>
      <c r="R1856" s="103" t="s">
        <v>17</v>
      </c>
      <c r="S1856" s="113">
        <f>10^(((LOG(P1856))*3.236)+0.745)</f>
        <v>568.13802569416771</v>
      </c>
      <c r="T1856" s="103" t="s">
        <v>717</v>
      </c>
      <c r="U1856" s="254">
        <v>0.92900000000000005</v>
      </c>
      <c r="V1856" s="386">
        <v>33.299999999999997</v>
      </c>
      <c r="W1856" s="414" t="s">
        <v>700</v>
      </c>
    </row>
    <row r="1857" spans="1:23" ht="19">
      <c r="A1857" s="103" t="s">
        <v>218</v>
      </c>
      <c r="B1857" s="103" t="s">
        <v>389</v>
      </c>
      <c r="C1857" s="421" t="s">
        <v>390</v>
      </c>
      <c r="D1857" s="396" t="s">
        <v>470</v>
      </c>
      <c r="E1857" s="103">
        <v>40541</v>
      </c>
      <c r="F1857" s="103">
        <v>498</v>
      </c>
      <c r="G1857" s="414" t="s">
        <v>300</v>
      </c>
      <c r="H1857" s="103" t="s">
        <v>301</v>
      </c>
      <c r="I1857" s="104" t="s">
        <v>225</v>
      </c>
      <c r="J1857" s="103" t="s">
        <v>105</v>
      </c>
      <c r="K1857" s="103" t="s">
        <v>126</v>
      </c>
      <c r="L1857" s="103" t="s">
        <v>636</v>
      </c>
      <c r="M1857" s="103" t="s">
        <v>108</v>
      </c>
      <c r="N1857" s="254"/>
      <c r="O1857" s="103"/>
      <c r="P1857" s="254">
        <v>4.4009999999999998</v>
      </c>
      <c r="Q1857" s="254">
        <v>1.5529999999999999</v>
      </c>
      <c r="R1857" s="103" t="s">
        <v>17</v>
      </c>
      <c r="S1857" s="113">
        <f>10^(((LOG(P1857))*3.236)+0.745)</f>
        <v>672.25219459468997</v>
      </c>
      <c r="T1857" s="103" t="s">
        <v>717</v>
      </c>
      <c r="U1857" s="254">
        <v>0.92900000000000005</v>
      </c>
      <c r="V1857" s="386">
        <v>33.299999999999997</v>
      </c>
      <c r="W1857" s="414" t="s">
        <v>700</v>
      </c>
    </row>
    <row r="1858" spans="1:23" ht="19">
      <c r="A1858" s="103" t="s">
        <v>218</v>
      </c>
      <c r="B1858" s="103" t="s">
        <v>389</v>
      </c>
      <c r="C1858" s="421" t="s">
        <v>390</v>
      </c>
      <c r="D1858" s="396" t="s">
        <v>470</v>
      </c>
      <c r="E1858" s="103">
        <v>40541</v>
      </c>
      <c r="F1858" s="103">
        <v>109</v>
      </c>
      <c r="G1858" s="414" t="s">
        <v>300</v>
      </c>
      <c r="H1858" s="103" t="s">
        <v>301</v>
      </c>
      <c r="I1858" s="104" t="s">
        <v>225</v>
      </c>
      <c r="J1858" s="103" t="s">
        <v>105</v>
      </c>
      <c r="K1858" s="103" t="s">
        <v>126</v>
      </c>
      <c r="L1858" s="103" t="s">
        <v>636</v>
      </c>
      <c r="M1858" s="103" t="s">
        <v>108</v>
      </c>
      <c r="N1858" s="254"/>
      <c r="O1858" s="103"/>
      <c r="P1858" s="254">
        <v>4.4859999999999998</v>
      </c>
      <c r="Q1858" s="254">
        <v>1.7329999999999999</v>
      </c>
      <c r="R1858" s="103" t="s">
        <v>17</v>
      </c>
      <c r="S1858" s="113">
        <f>10^(((LOG(P1858))*3.236)+0.745)</f>
        <v>715.18203270984429</v>
      </c>
      <c r="T1858" s="103" t="s">
        <v>717</v>
      </c>
      <c r="U1858" s="254">
        <v>0.92900000000000005</v>
      </c>
      <c r="V1858" s="386">
        <v>33.299999999999997</v>
      </c>
      <c r="W1858" s="414" t="s">
        <v>700</v>
      </c>
    </row>
    <row r="1859" spans="1:23" ht="19">
      <c r="A1859" s="104" t="s">
        <v>218</v>
      </c>
      <c r="B1859" s="104" t="s">
        <v>221</v>
      </c>
      <c r="C1859" s="454" t="s">
        <v>222</v>
      </c>
      <c r="D1859" s="105" t="s">
        <v>151</v>
      </c>
      <c r="E1859" s="104">
        <v>40541</v>
      </c>
      <c r="F1859" s="104">
        <v>114</v>
      </c>
      <c r="G1859" s="106" t="s">
        <v>300</v>
      </c>
      <c r="H1859" s="104" t="s">
        <v>301</v>
      </c>
      <c r="I1859" s="104" t="s">
        <v>225</v>
      </c>
      <c r="J1859" s="104" t="s">
        <v>105</v>
      </c>
      <c r="K1859" s="104" t="s">
        <v>143</v>
      </c>
      <c r="L1859" s="104" t="s">
        <v>408</v>
      </c>
      <c r="M1859" s="104" t="s">
        <v>108</v>
      </c>
      <c r="N1859" s="108" t="s">
        <v>17</v>
      </c>
      <c r="O1859" s="104" t="s">
        <v>17</v>
      </c>
      <c r="P1859" s="108">
        <v>1.514</v>
      </c>
      <c r="Q1859" s="108">
        <v>1.4630000000000001</v>
      </c>
      <c r="R1859" s="104" t="s">
        <v>17</v>
      </c>
      <c r="S1859" s="253">
        <f>(((10^((3.34*LOG((P1859*10))+0.73)))))/1000</f>
        <v>46.948359670790317</v>
      </c>
      <c r="T1859" s="104" t="s">
        <v>643</v>
      </c>
      <c r="U1859" s="108">
        <v>94</v>
      </c>
      <c r="V1859" s="107">
        <v>39.9</v>
      </c>
      <c r="W1859" s="106" t="s">
        <v>644</v>
      </c>
    </row>
    <row r="1860" spans="1:23" ht="19">
      <c r="A1860" s="104" t="s">
        <v>218</v>
      </c>
      <c r="B1860" s="104" t="s">
        <v>221</v>
      </c>
      <c r="C1860" s="454" t="s">
        <v>222</v>
      </c>
      <c r="D1860" s="105" t="s">
        <v>151</v>
      </c>
      <c r="E1860" s="104">
        <v>40541</v>
      </c>
      <c r="F1860" s="104">
        <v>103</v>
      </c>
      <c r="G1860" s="106" t="s">
        <v>300</v>
      </c>
      <c r="H1860" s="104" t="s">
        <v>301</v>
      </c>
      <c r="I1860" s="104" t="s">
        <v>225</v>
      </c>
      <c r="J1860" s="104" t="s">
        <v>105</v>
      </c>
      <c r="K1860" s="104" t="s">
        <v>112</v>
      </c>
      <c r="L1860" s="104" t="s">
        <v>663</v>
      </c>
      <c r="M1860" s="104"/>
      <c r="N1860" s="108" t="s">
        <v>17</v>
      </c>
      <c r="O1860" s="104" t="s">
        <v>17</v>
      </c>
      <c r="P1860" s="108">
        <v>1.6149999999999998</v>
      </c>
      <c r="Q1860" s="108">
        <v>1.1080000000000001</v>
      </c>
      <c r="R1860" s="104" t="s">
        <v>17</v>
      </c>
      <c r="S1860" s="253">
        <f>(10^((3.334*LOG((P1860))+1.27)))</f>
        <v>92.05496217888431</v>
      </c>
      <c r="T1860" s="104" t="s">
        <v>1027</v>
      </c>
      <c r="U1860" s="108">
        <v>0.93</v>
      </c>
      <c r="V1860" s="107">
        <v>23.9</v>
      </c>
      <c r="W1860" s="106" t="s">
        <v>1028</v>
      </c>
    </row>
    <row r="1861" spans="1:23" ht="19">
      <c r="A1861" s="104" t="s">
        <v>273</v>
      </c>
      <c r="B1861" s="104" t="s">
        <v>74</v>
      </c>
      <c r="C1861" s="454" t="s">
        <v>266</v>
      </c>
      <c r="D1861" s="105" t="s">
        <v>1240</v>
      </c>
      <c r="E1861" s="104">
        <v>40541</v>
      </c>
      <c r="F1861" s="104">
        <v>212</v>
      </c>
      <c r="G1861" s="106" t="s">
        <v>300</v>
      </c>
      <c r="H1861" s="104" t="s">
        <v>301</v>
      </c>
      <c r="I1861" s="104" t="s">
        <v>225</v>
      </c>
      <c r="J1861" s="104" t="s">
        <v>105</v>
      </c>
      <c r="K1861" s="104" t="s">
        <v>1241</v>
      </c>
      <c r="L1861" s="104" t="s">
        <v>1242</v>
      </c>
      <c r="M1861" s="104" t="s">
        <v>108</v>
      </c>
      <c r="N1861" s="108" t="s">
        <v>17</v>
      </c>
      <c r="O1861" s="104" t="s">
        <v>17</v>
      </c>
      <c r="P1861" s="113">
        <v>3.4939999999999998</v>
      </c>
      <c r="Q1861" s="113">
        <v>3.6789999999999998</v>
      </c>
      <c r="R1861" s="104" t="s">
        <v>17</v>
      </c>
      <c r="S1861" s="253">
        <v>20.41926792553458</v>
      </c>
      <c r="T1861" s="104" t="s">
        <v>1197</v>
      </c>
      <c r="U1861" s="108">
        <v>0.96</v>
      </c>
      <c r="V1861" s="107">
        <v>16.5</v>
      </c>
      <c r="W1861" s="114" t="s">
        <v>284</v>
      </c>
    </row>
    <row r="1862" spans="1:23" ht="19">
      <c r="A1862" s="104" t="s">
        <v>273</v>
      </c>
      <c r="B1862" s="104" t="s">
        <v>74</v>
      </c>
      <c r="C1862" s="454" t="s">
        <v>266</v>
      </c>
      <c r="D1862" s="105" t="s">
        <v>151</v>
      </c>
      <c r="E1862" s="104">
        <v>40541</v>
      </c>
      <c r="F1862" s="104">
        <v>232</v>
      </c>
      <c r="G1862" s="106" t="s">
        <v>300</v>
      </c>
      <c r="H1862" s="104" t="s">
        <v>301</v>
      </c>
      <c r="I1862" s="104" t="s">
        <v>225</v>
      </c>
      <c r="J1862" s="104" t="s">
        <v>105</v>
      </c>
      <c r="K1862" s="104" t="s">
        <v>665</v>
      </c>
      <c r="L1862" s="104" t="s">
        <v>666</v>
      </c>
      <c r="M1862" s="104" t="s">
        <v>114</v>
      </c>
      <c r="N1862" s="108" t="s">
        <v>17</v>
      </c>
      <c r="O1862" s="104" t="s">
        <v>17</v>
      </c>
      <c r="P1862" s="108">
        <v>0.65300000000000002</v>
      </c>
      <c r="Q1862" s="108">
        <v>0.77500000000000002</v>
      </c>
      <c r="R1862" s="104" t="s">
        <v>17</v>
      </c>
      <c r="S1862" s="253"/>
      <c r="T1862" s="104"/>
      <c r="U1862" s="108"/>
      <c r="V1862" s="107"/>
      <c r="W1862" s="114"/>
    </row>
    <row r="1863" spans="1:23" ht="19">
      <c r="A1863" s="104" t="s">
        <v>273</v>
      </c>
      <c r="B1863" s="104" t="s">
        <v>74</v>
      </c>
      <c r="C1863" s="454" t="s">
        <v>266</v>
      </c>
      <c r="D1863" s="105" t="s">
        <v>151</v>
      </c>
      <c r="E1863" s="104">
        <v>40541</v>
      </c>
      <c r="F1863" s="104">
        <v>233</v>
      </c>
      <c r="G1863" s="106" t="s">
        <v>300</v>
      </c>
      <c r="H1863" s="104" t="s">
        <v>301</v>
      </c>
      <c r="I1863" s="104" t="s">
        <v>225</v>
      </c>
      <c r="J1863" s="104" t="s">
        <v>105</v>
      </c>
      <c r="K1863" s="104" t="s">
        <v>665</v>
      </c>
      <c r="L1863" s="104" t="s">
        <v>666</v>
      </c>
      <c r="M1863" s="104" t="s">
        <v>108</v>
      </c>
      <c r="N1863" s="108" t="s">
        <v>17</v>
      </c>
      <c r="O1863" s="104" t="s">
        <v>17</v>
      </c>
      <c r="P1863" s="108">
        <v>0.94199999999999995</v>
      </c>
      <c r="Q1863" s="108">
        <v>1.087</v>
      </c>
      <c r="R1863" s="104" t="s">
        <v>17</v>
      </c>
      <c r="S1863" s="253"/>
      <c r="T1863" s="104"/>
      <c r="U1863" s="108"/>
      <c r="V1863" s="107"/>
      <c r="W1863" s="114"/>
    </row>
    <row r="1864" spans="1:23" ht="19">
      <c r="A1864" s="104" t="s">
        <v>273</v>
      </c>
      <c r="B1864" s="104" t="s">
        <v>74</v>
      </c>
      <c r="C1864" s="454" t="s">
        <v>266</v>
      </c>
      <c r="D1864" s="105" t="s">
        <v>151</v>
      </c>
      <c r="E1864" s="104">
        <v>40541</v>
      </c>
      <c r="F1864" s="104">
        <v>234</v>
      </c>
      <c r="G1864" s="106" t="s">
        <v>300</v>
      </c>
      <c r="H1864" s="104" t="s">
        <v>301</v>
      </c>
      <c r="I1864" s="104" t="s">
        <v>225</v>
      </c>
      <c r="J1864" s="104" t="s">
        <v>105</v>
      </c>
      <c r="K1864" s="104" t="s">
        <v>665</v>
      </c>
      <c r="L1864" s="104" t="s">
        <v>1246</v>
      </c>
      <c r="M1864" s="104" t="s">
        <v>114</v>
      </c>
      <c r="N1864" s="108" t="s">
        <v>17</v>
      </c>
      <c r="O1864" s="104" t="s">
        <v>17</v>
      </c>
      <c r="P1864" s="108">
        <v>1.1359999999999999</v>
      </c>
      <c r="Q1864" s="108">
        <v>0.64200000000000002</v>
      </c>
      <c r="R1864" s="104" t="s">
        <v>17</v>
      </c>
      <c r="S1864" s="253"/>
      <c r="T1864" s="104"/>
      <c r="U1864" s="108"/>
      <c r="V1864" s="107"/>
      <c r="W1864" s="114"/>
    </row>
    <row r="1865" spans="1:23" ht="19">
      <c r="A1865" s="104" t="s">
        <v>273</v>
      </c>
      <c r="B1865" s="104" t="s">
        <v>74</v>
      </c>
      <c r="C1865" s="454" t="s">
        <v>1253</v>
      </c>
      <c r="D1865" s="105" t="s">
        <v>151</v>
      </c>
      <c r="E1865" s="104">
        <v>40541</v>
      </c>
      <c r="F1865" s="104">
        <v>245</v>
      </c>
      <c r="G1865" s="106" t="s">
        <v>300</v>
      </c>
      <c r="H1865" s="104" t="s">
        <v>301</v>
      </c>
      <c r="I1865" s="104" t="s">
        <v>225</v>
      </c>
      <c r="J1865" s="104" t="s">
        <v>105</v>
      </c>
      <c r="K1865" s="104" t="s">
        <v>252</v>
      </c>
      <c r="L1865" s="104" t="s">
        <v>415</v>
      </c>
      <c r="M1865" s="104" t="s">
        <v>114</v>
      </c>
      <c r="N1865" s="108" t="s">
        <v>17</v>
      </c>
      <c r="O1865" s="104" t="s">
        <v>17</v>
      </c>
      <c r="P1865" s="108">
        <v>1.2810000000000001</v>
      </c>
      <c r="Q1865" s="108">
        <v>0.44900000000000001</v>
      </c>
      <c r="R1865" s="104" t="s">
        <v>17</v>
      </c>
      <c r="S1865" s="253">
        <v>4.5647911817152504</v>
      </c>
      <c r="T1865" s="104" t="s">
        <v>1254</v>
      </c>
      <c r="U1865" s="108">
        <v>0.97</v>
      </c>
      <c r="V1865" s="107">
        <v>15.5</v>
      </c>
      <c r="W1865" s="114" t="s">
        <v>284</v>
      </c>
    </row>
    <row r="1866" spans="1:23" ht="19">
      <c r="A1866" s="104" t="s">
        <v>273</v>
      </c>
      <c r="B1866" s="104" t="s">
        <v>74</v>
      </c>
      <c r="C1866" s="454" t="s">
        <v>299</v>
      </c>
      <c r="D1866" s="105" t="s">
        <v>151</v>
      </c>
      <c r="E1866" s="104">
        <v>40541</v>
      </c>
      <c r="F1866" s="104">
        <v>266</v>
      </c>
      <c r="G1866" s="106" t="s">
        <v>300</v>
      </c>
      <c r="H1866" s="104" t="s">
        <v>301</v>
      </c>
      <c r="I1866" s="104" t="s">
        <v>225</v>
      </c>
      <c r="J1866" s="104" t="s">
        <v>105</v>
      </c>
      <c r="K1866" s="104" t="s">
        <v>1241</v>
      </c>
      <c r="L1866" s="104" t="s">
        <v>1258</v>
      </c>
      <c r="M1866" s="104" t="s">
        <v>108</v>
      </c>
      <c r="N1866" s="108" t="s">
        <v>17</v>
      </c>
      <c r="O1866" s="104" t="s">
        <v>17</v>
      </c>
      <c r="P1866" s="108">
        <v>1.4339999999999999</v>
      </c>
      <c r="Q1866" s="108">
        <v>0.877</v>
      </c>
      <c r="R1866" s="104" t="s">
        <v>17</v>
      </c>
      <c r="S1866" s="253">
        <v>2.1263504547007313</v>
      </c>
      <c r="T1866" s="104" t="s">
        <v>1197</v>
      </c>
      <c r="U1866" s="108">
        <v>0.96</v>
      </c>
      <c r="V1866" s="107">
        <v>16.5</v>
      </c>
      <c r="W1866" s="114" t="s">
        <v>284</v>
      </c>
    </row>
    <row r="1867" spans="1:23" ht="19">
      <c r="A1867" s="104" t="s">
        <v>273</v>
      </c>
      <c r="B1867" s="104" t="s">
        <v>74</v>
      </c>
      <c r="C1867" s="454" t="s">
        <v>299</v>
      </c>
      <c r="D1867" s="105" t="s">
        <v>151</v>
      </c>
      <c r="E1867" s="104">
        <v>40541</v>
      </c>
      <c r="F1867" s="104">
        <v>309</v>
      </c>
      <c r="G1867" s="106" t="s">
        <v>300</v>
      </c>
      <c r="H1867" s="104" t="s">
        <v>301</v>
      </c>
      <c r="I1867" s="104" t="s">
        <v>225</v>
      </c>
      <c r="J1867" s="104" t="s">
        <v>105</v>
      </c>
      <c r="K1867" s="104" t="s">
        <v>229</v>
      </c>
      <c r="L1867" s="104" t="s">
        <v>720</v>
      </c>
      <c r="M1867" s="104" t="s">
        <v>114</v>
      </c>
      <c r="N1867" s="108" t="s">
        <v>17</v>
      </c>
      <c r="O1867" s="104" t="s">
        <v>17</v>
      </c>
      <c r="P1867" s="108">
        <v>0.70700000000000007</v>
      </c>
      <c r="Q1867" s="108">
        <v>0.29799999999999999</v>
      </c>
      <c r="R1867" s="104" t="s">
        <v>17</v>
      </c>
      <c r="S1867" s="253">
        <f>(10^(((LOG(P1867*10))*3.3177)+0.5544))/1000</f>
        <v>2.3578642035093371</v>
      </c>
      <c r="T1867" s="104" t="s">
        <v>1162</v>
      </c>
      <c r="U1867" s="108">
        <v>0.84909999999999997</v>
      </c>
      <c r="V1867" s="107"/>
      <c r="W1867" s="114" t="s">
        <v>1163</v>
      </c>
    </row>
    <row r="1868" spans="1:23" ht="19">
      <c r="A1868" s="104" t="s">
        <v>169</v>
      </c>
      <c r="B1868" s="104" t="s">
        <v>149</v>
      </c>
      <c r="C1868" s="454" t="s">
        <v>150</v>
      </c>
      <c r="D1868" s="105" t="s">
        <v>151</v>
      </c>
      <c r="E1868" s="104">
        <v>42491</v>
      </c>
      <c r="F1868" s="104">
        <v>1</v>
      </c>
      <c r="G1868" s="106" t="s">
        <v>152</v>
      </c>
      <c r="H1868" s="104"/>
      <c r="I1868" s="104" t="s">
        <v>104</v>
      </c>
      <c r="J1868" s="104" t="s">
        <v>105</v>
      </c>
      <c r="K1868" s="104" t="s">
        <v>155</v>
      </c>
      <c r="L1868" s="104" t="s">
        <v>658</v>
      </c>
      <c r="M1868" s="104"/>
      <c r="N1868" s="108" t="s">
        <v>17</v>
      </c>
      <c r="O1868" s="104" t="s">
        <v>17</v>
      </c>
      <c r="P1868" s="113">
        <v>2.391</v>
      </c>
      <c r="Q1868" s="113">
        <v>2.73</v>
      </c>
      <c r="R1868" s="104" t="s">
        <v>17</v>
      </c>
      <c r="S1868" s="253">
        <f>(10^((2.9*LOG((P1868))+1.209)))</f>
        <v>202.71261249842505</v>
      </c>
      <c r="T1868" s="103" t="s">
        <v>1386</v>
      </c>
      <c r="U1868" s="108">
        <v>0.96399999999999997</v>
      </c>
      <c r="V1868" s="107">
        <v>30.5</v>
      </c>
      <c r="W1868" s="414" t="s">
        <v>1385</v>
      </c>
    </row>
    <row r="1869" spans="1:23" ht="38">
      <c r="A1869" s="104" t="s">
        <v>273</v>
      </c>
      <c r="B1869" s="104" t="s">
        <v>74</v>
      </c>
      <c r="C1869" s="454" t="s">
        <v>266</v>
      </c>
      <c r="D1869" s="105" t="s">
        <v>267</v>
      </c>
      <c r="E1869" s="104">
        <v>43067</v>
      </c>
      <c r="F1869" s="104">
        <v>13</v>
      </c>
      <c r="G1869" s="106" t="s">
        <v>1223</v>
      </c>
      <c r="H1869" s="104" t="s">
        <v>306</v>
      </c>
      <c r="I1869" s="104" t="s">
        <v>104</v>
      </c>
      <c r="J1869" s="104" t="s">
        <v>1224</v>
      </c>
      <c r="K1869" s="104" t="s">
        <v>209</v>
      </c>
      <c r="L1869" s="104" t="s">
        <v>684</v>
      </c>
      <c r="M1869" s="104" t="s">
        <v>114</v>
      </c>
      <c r="N1869" s="108"/>
      <c r="O1869" s="104" t="s">
        <v>17</v>
      </c>
      <c r="P1869" s="108">
        <v>1.07</v>
      </c>
      <c r="Q1869" s="108">
        <v>7.5</v>
      </c>
      <c r="R1869" s="104"/>
      <c r="S1869" s="253">
        <f>(10^(((LOG(P1869*10))*3.7472)+0.4301))/1000</f>
        <v>19.382370533705494</v>
      </c>
      <c r="T1869" s="104" t="s">
        <v>1153</v>
      </c>
      <c r="U1869" s="108">
        <v>0.89439999999999997</v>
      </c>
      <c r="V1869" s="107"/>
      <c r="W1869" s="114" t="s">
        <v>269</v>
      </c>
    </row>
    <row r="1870" spans="1:23" ht="38">
      <c r="A1870" s="104" t="s">
        <v>273</v>
      </c>
      <c r="B1870" s="104" t="s">
        <v>534</v>
      </c>
      <c r="C1870" s="454" t="s">
        <v>544</v>
      </c>
      <c r="D1870" s="105" t="s">
        <v>151</v>
      </c>
      <c r="E1870" s="104">
        <v>43067</v>
      </c>
      <c r="F1870" s="104">
        <v>41</v>
      </c>
      <c r="G1870" s="106" t="s">
        <v>1223</v>
      </c>
      <c r="H1870" s="104" t="s">
        <v>306</v>
      </c>
      <c r="I1870" s="104" t="s">
        <v>104</v>
      </c>
      <c r="J1870" s="104" t="s">
        <v>1224</v>
      </c>
      <c r="K1870" s="104" t="s">
        <v>112</v>
      </c>
      <c r="L1870" s="104" t="s">
        <v>663</v>
      </c>
      <c r="M1870" s="104" t="s">
        <v>108</v>
      </c>
      <c r="N1870" s="108"/>
      <c r="O1870" s="104"/>
      <c r="P1870" s="113">
        <f>7.3/10</f>
        <v>0.73</v>
      </c>
      <c r="Q1870" s="113">
        <f>3.3/10</f>
        <v>0.32999999999999996</v>
      </c>
      <c r="R1870" s="104"/>
      <c r="S1870" s="253">
        <f>(10^((3.9287*LOG(P1870*10))+-0.5516))/1000</f>
        <v>0.69204848230539162</v>
      </c>
      <c r="T1870" s="104" t="s">
        <v>1292</v>
      </c>
      <c r="U1870" s="108">
        <v>0.81</v>
      </c>
      <c r="V1870" s="107"/>
      <c r="W1870" s="114" t="s">
        <v>105</v>
      </c>
    </row>
    <row r="1871" spans="1:23" ht="19">
      <c r="A1871" s="104" t="s">
        <v>218</v>
      </c>
      <c r="B1871" s="104" t="s">
        <v>202</v>
      </c>
      <c r="C1871" s="454" t="s">
        <v>203</v>
      </c>
      <c r="D1871" s="105" t="s">
        <v>204</v>
      </c>
      <c r="E1871" s="104">
        <v>35</v>
      </c>
      <c r="F1871" s="104">
        <v>2534</v>
      </c>
      <c r="G1871" s="106" t="s">
        <v>971</v>
      </c>
      <c r="H1871" s="104" t="s">
        <v>972</v>
      </c>
      <c r="I1871" s="104" t="s">
        <v>104</v>
      </c>
      <c r="J1871" s="104" t="s">
        <v>105</v>
      </c>
      <c r="K1871" s="104" t="s">
        <v>155</v>
      </c>
      <c r="L1871" s="104" t="s">
        <v>658</v>
      </c>
      <c r="M1871" s="104" t="s">
        <v>114</v>
      </c>
      <c r="N1871" s="108" t="s">
        <v>17</v>
      </c>
      <c r="O1871" s="104" t="s">
        <v>17</v>
      </c>
      <c r="P1871" s="113">
        <v>2.5460000000000003</v>
      </c>
      <c r="Q1871" s="113">
        <v>2.63</v>
      </c>
      <c r="R1871" s="104" t="s">
        <v>17</v>
      </c>
      <c r="S1871" s="253">
        <f>(10^((3.13*LOG((P1871*10))+1.17)))/1000</f>
        <v>371.8234617024832</v>
      </c>
      <c r="T1871" s="104" t="s">
        <v>703</v>
      </c>
      <c r="U1871" s="108">
        <v>0.9</v>
      </c>
      <c r="V1871" s="107">
        <v>39.799999999999997</v>
      </c>
      <c r="W1871" s="114" t="s">
        <v>704</v>
      </c>
    </row>
    <row r="1872" spans="1:23" ht="19">
      <c r="A1872" s="104" t="s">
        <v>218</v>
      </c>
      <c r="B1872" s="104" t="s">
        <v>202</v>
      </c>
      <c r="C1872" s="454" t="s">
        <v>203</v>
      </c>
      <c r="D1872" s="105" t="s">
        <v>204</v>
      </c>
      <c r="E1872" s="104">
        <v>35</v>
      </c>
      <c r="F1872" s="104">
        <v>2534</v>
      </c>
      <c r="G1872" s="106" t="s">
        <v>971</v>
      </c>
      <c r="H1872" s="104" t="s">
        <v>972</v>
      </c>
      <c r="I1872" s="104" t="s">
        <v>104</v>
      </c>
      <c r="J1872" s="104" t="s">
        <v>105</v>
      </c>
      <c r="K1872" s="104" t="s">
        <v>143</v>
      </c>
      <c r="L1872" s="104" t="s">
        <v>708</v>
      </c>
      <c r="M1872" s="104" t="s">
        <v>114</v>
      </c>
      <c r="N1872" s="108" t="s">
        <v>17</v>
      </c>
      <c r="O1872" s="104" t="s">
        <v>17</v>
      </c>
      <c r="P1872" s="113">
        <v>3.2610000000000001</v>
      </c>
      <c r="Q1872" s="113">
        <v>2.9289999999999998</v>
      </c>
      <c r="R1872" s="104" t="s">
        <v>17</v>
      </c>
      <c r="S1872" s="253">
        <f>((10^((3.184*LOG((P1872))+1.091))))</f>
        <v>531.50694468207485</v>
      </c>
      <c r="T1872" s="104" t="s">
        <v>976</v>
      </c>
      <c r="U1872" s="108">
        <v>0.93200000000000005</v>
      </c>
      <c r="V1872" s="107">
        <v>34.700000000000003</v>
      </c>
      <c r="W1872" s="106" t="s">
        <v>975</v>
      </c>
    </row>
    <row r="1873" spans="1:23" ht="19">
      <c r="A1873" s="104" t="s">
        <v>218</v>
      </c>
      <c r="B1873" s="104" t="s">
        <v>202</v>
      </c>
      <c r="C1873" s="454" t="s">
        <v>203</v>
      </c>
      <c r="D1873" s="105" t="s">
        <v>204</v>
      </c>
      <c r="E1873" s="104">
        <v>35</v>
      </c>
      <c r="F1873" s="104">
        <v>2534</v>
      </c>
      <c r="G1873" s="106" t="s">
        <v>971</v>
      </c>
      <c r="H1873" s="104" t="s">
        <v>972</v>
      </c>
      <c r="I1873" s="104" t="s">
        <v>104</v>
      </c>
      <c r="J1873" s="104" t="s">
        <v>105</v>
      </c>
      <c r="K1873" s="104" t="s">
        <v>158</v>
      </c>
      <c r="L1873" s="104" t="s">
        <v>686</v>
      </c>
      <c r="M1873" s="104" t="s">
        <v>114</v>
      </c>
      <c r="N1873" s="108" t="s">
        <v>17</v>
      </c>
      <c r="O1873" s="104" t="s">
        <v>17</v>
      </c>
      <c r="P1873" s="113">
        <v>4.6440000000000001</v>
      </c>
      <c r="Q1873" s="113">
        <v>2.8519999999999999</v>
      </c>
      <c r="R1873" s="104" t="s">
        <v>17</v>
      </c>
      <c r="S1873" s="253">
        <f>(10^((3.12*LOG((P1873*10))+0.94)))/1000</f>
        <v>1382.622749805201</v>
      </c>
      <c r="T1873" s="104" t="s">
        <v>896</v>
      </c>
      <c r="U1873" s="108">
        <v>0.9</v>
      </c>
      <c r="V1873" s="107">
        <v>39.4</v>
      </c>
      <c r="W1873" s="114" t="s">
        <v>704</v>
      </c>
    </row>
    <row r="1874" spans="1:23" ht="19">
      <c r="A1874" s="103" t="s">
        <v>601</v>
      </c>
      <c r="B1874" s="103" t="s">
        <v>602</v>
      </c>
      <c r="C1874" s="421" t="s">
        <v>609</v>
      </c>
      <c r="D1874" s="396" t="s">
        <v>610</v>
      </c>
      <c r="E1874" s="103">
        <v>137</v>
      </c>
      <c r="F1874" s="103">
        <v>2149</v>
      </c>
      <c r="G1874" s="103" t="s">
        <v>1476</v>
      </c>
      <c r="H1874" s="103" t="s">
        <v>972</v>
      </c>
      <c r="I1874" s="104" t="s">
        <v>104</v>
      </c>
      <c r="J1874" s="103" t="s">
        <v>105</v>
      </c>
      <c r="K1874" s="103" t="s">
        <v>1474</v>
      </c>
      <c r="L1874" s="103" t="s">
        <v>1475</v>
      </c>
      <c r="M1874" s="103"/>
      <c r="N1874" s="103"/>
      <c r="O1874" s="103"/>
      <c r="P1874" s="103">
        <v>17.100000000000001</v>
      </c>
      <c r="Q1874" s="103">
        <v>9</v>
      </c>
      <c r="R1874" s="103"/>
      <c r="S1874" s="476"/>
      <c r="T1874" s="103"/>
      <c r="U1874" s="103"/>
      <c r="V1874" s="103"/>
      <c r="W1874" s="414"/>
    </row>
    <row r="1875" spans="1:23" ht="19">
      <c r="A1875" s="103" t="s">
        <v>601</v>
      </c>
      <c r="B1875" s="103" t="s">
        <v>602</v>
      </c>
      <c r="C1875" s="421" t="s">
        <v>609</v>
      </c>
      <c r="D1875" s="396" t="s">
        <v>610</v>
      </c>
      <c r="E1875" s="103">
        <v>137</v>
      </c>
      <c r="F1875" s="103">
        <v>2154</v>
      </c>
      <c r="G1875" s="103" t="s">
        <v>1476</v>
      </c>
      <c r="H1875" s="103" t="s">
        <v>972</v>
      </c>
      <c r="I1875" s="104" t="s">
        <v>104</v>
      </c>
      <c r="J1875" s="103" t="s">
        <v>105</v>
      </c>
      <c r="K1875" s="103" t="s">
        <v>1474</v>
      </c>
      <c r="L1875" s="103" t="s">
        <v>1475</v>
      </c>
      <c r="M1875" s="103"/>
      <c r="N1875" s="103"/>
      <c r="O1875" s="103"/>
      <c r="P1875" s="103">
        <v>20.6</v>
      </c>
      <c r="Q1875" s="103">
        <v>10.5</v>
      </c>
      <c r="R1875" s="103"/>
      <c r="S1875" s="476"/>
      <c r="T1875" s="103"/>
      <c r="U1875" s="103"/>
      <c r="V1875" s="103"/>
      <c r="W1875" s="414"/>
    </row>
    <row r="1876" spans="1:23" ht="19">
      <c r="A1876" s="103" t="s">
        <v>601</v>
      </c>
      <c r="B1876" s="103" t="s">
        <v>602</v>
      </c>
      <c r="C1876" s="421" t="s">
        <v>609</v>
      </c>
      <c r="D1876" s="396" t="s">
        <v>610</v>
      </c>
      <c r="E1876" s="103">
        <v>137</v>
      </c>
      <c r="F1876" s="103">
        <v>-999</v>
      </c>
      <c r="G1876" s="103" t="s">
        <v>1476</v>
      </c>
      <c r="H1876" s="103" t="s">
        <v>972</v>
      </c>
      <c r="I1876" s="104" t="s">
        <v>104</v>
      </c>
      <c r="J1876" s="103" t="s">
        <v>105</v>
      </c>
      <c r="K1876" s="103" t="s">
        <v>1486</v>
      </c>
      <c r="L1876" s="103" t="s">
        <v>1487</v>
      </c>
      <c r="M1876" s="103"/>
      <c r="N1876" s="103"/>
      <c r="O1876" s="103"/>
      <c r="P1876" s="103">
        <v>12</v>
      </c>
      <c r="Q1876" s="103">
        <v>8.1</v>
      </c>
      <c r="R1876" s="103"/>
      <c r="S1876" s="476"/>
      <c r="T1876" s="103"/>
      <c r="U1876" s="103"/>
      <c r="V1876" s="103"/>
      <c r="W1876" s="414"/>
    </row>
    <row r="1877" spans="1:23" ht="19">
      <c r="A1877" s="103" t="s">
        <v>601</v>
      </c>
      <c r="B1877" s="103" t="s">
        <v>602</v>
      </c>
      <c r="C1877" s="421" t="s">
        <v>609</v>
      </c>
      <c r="D1877" s="396" t="s">
        <v>610</v>
      </c>
      <c r="E1877" s="103">
        <v>137</v>
      </c>
      <c r="F1877" s="103">
        <v>2147</v>
      </c>
      <c r="G1877" s="103" t="s">
        <v>1476</v>
      </c>
      <c r="H1877" s="103" t="s">
        <v>972</v>
      </c>
      <c r="I1877" s="104" t="s">
        <v>104</v>
      </c>
      <c r="J1877" s="103" t="s">
        <v>105</v>
      </c>
      <c r="K1877" s="103" t="s">
        <v>1486</v>
      </c>
      <c r="L1877" s="103" t="s">
        <v>1487</v>
      </c>
      <c r="M1877" s="103"/>
      <c r="N1877" s="103"/>
      <c r="O1877" s="103"/>
      <c r="P1877" s="103">
        <v>9.6</v>
      </c>
      <c r="Q1877" s="103">
        <v>7.15</v>
      </c>
      <c r="R1877" s="103"/>
      <c r="S1877" s="476"/>
      <c r="T1877" s="103"/>
      <c r="U1877" s="103"/>
      <c r="V1877" s="103"/>
      <c r="W1877" s="414"/>
    </row>
    <row r="1878" spans="1:23" ht="19">
      <c r="A1878" s="103" t="s">
        <v>601</v>
      </c>
      <c r="B1878" s="103" t="s">
        <v>602</v>
      </c>
      <c r="C1878" s="421" t="s">
        <v>609</v>
      </c>
      <c r="D1878" s="396" t="s">
        <v>610</v>
      </c>
      <c r="E1878" s="103">
        <v>137</v>
      </c>
      <c r="F1878" s="103">
        <v>2154</v>
      </c>
      <c r="G1878" s="103" t="s">
        <v>1476</v>
      </c>
      <c r="H1878" s="103" t="s">
        <v>972</v>
      </c>
      <c r="I1878" s="104" t="s">
        <v>104</v>
      </c>
      <c r="J1878" s="103" t="s">
        <v>105</v>
      </c>
      <c r="K1878" s="103" t="s">
        <v>1486</v>
      </c>
      <c r="L1878" s="103" t="s">
        <v>1487</v>
      </c>
      <c r="M1878" s="103"/>
      <c r="N1878" s="103"/>
      <c r="O1878" s="103"/>
      <c r="P1878" s="103">
        <v>9.48</v>
      </c>
      <c r="Q1878" s="103">
        <v>7.19</v>
      </c>
      <c r="R1878" s="103"/>
      <c r="S1878" s="476"/>
      <c r="T1878" s="103"/>
      <c r="U1878" s="103"/>
      <c r="V1878" s="103"/>
      <c r="W1878" s="414"/>
    </row>
    <row r="1879" spans="1:23" ht="19">
      <c r="A1879" s="103" t="s">
        <v>601</v>
      </c>
      <c r="B1879" s="103" t="s">
        <v>602</v>
      </c>
      <c r="C1879" s="421" t="s">
        <v>609</v>
      </c>
      <c r="D1879" s="396" t="s">
        <v>610</v>
      </c>
      <c r="E1879" s="103">
        <v>137</v>
      </c>
      <c r="F1879" s="103">
        <v>2231</v>
      </c>
      <c r="G1879" s="103" t="s">
        <v>1476</v>
      </c>
      <c r="H1879" s="103" t="s">
        <v>972</v>
      </c>
      <c r="I1879" s="104" t="s">
        <v>104</v>
      </c>
      <c r="J1879" s="103" t="s">
        <v>105</v>
      </c>
      <c r="K1879" s="103" t="s">
        <v>1486</v>
      </c>
      <c r="L1879" s="103" t="s">
        <v>1487</v>
      </c>
      <c r="M1879" s="103"/>
      <c r="N1879" s="103"/>
      <c r="O1879" s="103"/>
      <c r="P1879" s="103">
        <v>11.64</v>
      </c>
      <c r="Q1879" s="103">
        <v>8.67</v>
      </c>
      <c r="R1879" s="103"/>
      <c r="S1879" s="476"/>
      <c r="T1879" s="103"/>
      <c r="U1879" s="103"/>
      <c r="V1879" s="103"/>
      <c r="W1879" s="414"/>
    </row>
    <row r="1880" spans="1:23" ht="19">
      <c r="A1880" s="104" t="s">
        <v>579</v>
      </c>
      <c r="B1880" s="104" t="s">
        <v>580</v>
      </c>
      <c r="C1880" s="454" t="s">
        <v>581</v>
      </c>
      <c r="D1880" s="105" t="s">
        <v>151</v>
      </c>
      <c r="E1880" s="104" t="s">
        <v>185</v>
      </c>
      <c r="F1880" s="104">
        <v>6664</v>
      </c>
      <c r="G1880" s="106" t="s">
        <v>1351</v>
      </c>
      <c r="H1880" s="104"/>
      <c r="I1880" s="104" t="s">
        <v>289</v>
      </c>
      <c r="J1880" s="104" t="s">
        <v>105</v>
      </c>
      <c r="K1880" s="104" t="s">
        <v>714</v>
      </c>
      <c r="L1880" s="104" t="s">
        <v>715</v>
      </c>
      <c r="M1880" s="107" t="s">
        <v>114</v>
      </c>
      <c r="N1880" s="108"/>
      <c r="O1880" s="108"/>
      <c r="P1880" s="108">
        <v>10.818000000000001</v>
      </c>
      <c r="Q1880" s="108"/>
      <c r="R1880" s="108"/>
      <c r="S1880" s="253">
        <f>(10^(2.229*LOG(P1880*10)-1.11))/1000</f>
        <v>2.6553001008900976</v>
      </c>
      <c r="T1880" s="108" t="s">
        <v>1352</v>
      </c>
      <c r="U1880" s="108">
        <v>0.98030607465219755</v>
      </c>
      <c r="V1880" s="107">
        <v>19.079999999999998</v>
      </c>
      <c r="W1880" s="106" t="s">
        <v>1347</v>
      </c>
    </row>
    <row r="1881" spans="1:23" ht="19">
      <c r="A1881" s="104" t="s">
        <v>273</v>
      </c>
      <c r="B1881" s="104" t="s">
        <v>74</v>
      </c>
      <c r="C1881" s="454" t="s">
        <v>266</v>
      </c>
      <c r="D1881" s="105" t="s">
        <v>267</v>
      </c>
      <c r="E1881" s="104" t="s">
        <v>185</v>
      </c>
      <c r="F1881" s="104">
        <v>2701</v>
      </c>
      <c r="G1881" s="106" t="s">
        <v>288</v>
      </c>
      <c r="H1881" s="104"/>
      <c r="I1881" s="104" t="s">
        <v>289</v>
      </c>
      <c r="J1881" s="104" t="s">
        <v>105</v>
      </c>
      <c r="K1881" s="104" t="s">
        <v>112</v>
      </c>
      <c r="L1881" s="104" t="s">
        <v>663</v>
      </c>
      <c r="M1881" s="104" t="s">
        <v>108</v>
      </c>
      <c r="N1881" s="108" t="s">
        <v>17</v>
      </c>
      <c r="O1881" s="104" t="s">
        <v>17</v>
      </c>
      <c r="P1881" s="108">
        <v>1.85</v>
      </c>
      <c r="Q1881" s="108" t="s">
        <v>17</v>
      </c>
      <c r="R1881" s="104" t="s">
        <v>17</v>
      </c>
      <c r="S1881" s="253">
        <v>9.6119867667743417</v>
      </c>
      <c r="T1881" s="104" t="s">
        <v>1167</v>
      </c>
      <c r="U1881" s="108">
        <v>0.96</v>
      </c>
      <c r="V1881" s="107">
        <v>12.4</v>
      </c>
      <c r="W1881" s="114" t="s">
        <v>284</v>
      </c>
    </row>
    <row r="1882" spans="1:23" ht="19">
      <c r="A1882" s="104" t="s">
        <v>273</v>
      </c>
      <c r="B1882" s="104" t="s">
        <v>74</v>
      </c>
      <c r="C1882" s="454" t="s">
        <v>266</v>
      </c>
      <c r="D1882" s="105" t="s">
        <v>267</v>
      </c>
      <c r="E1882" s="104" t="s">
        <v>185</v>
      </c>
      <c r="F1882" s="104">
        <v>441</v>
      </c>
      <c r="G1882" s="106" t="s">
        <v>288</v>
      </c>
      <c r="H1882" s="104"/>
      <c r="I1882" s="104" t="s">
        <v>289</v>
      </c>
      <c r="J1882" s="104" t="s">
        <v>105</v>
      </c>
      <c r="K1882" s="104" t="s">
        <v>112</v>
      </c>
      <c r="L1882" s="104" t="s">
        <v>663</v>
      </c>
      <c r="M1882" s="104" t="s">
        <v>108</v>
      </c>
      <c r="N1882" s="108" t="s">
        <v>17</v>
      </c>
      <c r="O1882" s="104" t="s">
        <v>17</v>
      </c>
      <c r="P1882" s="108">
        <v>2.1100000000000003</v>
      </c>
      <c r="Q1882" s="113" t="s">
        <v>17</v>
      </c>
      <c r="R1882" s="104" t="s">
        <v>17</v>
      </c>
      <c r="S1882" s="253">
        <v>14.130176739740788</v>
      </c>
      <c r="T1882" s="104" t="s">
        <v>1167</v>
      </c>
      <c r="U1882" s="108">
        <v>0.96</v>
      </c>
      <c r="V1882" s="107">
        <v>12.4</v>
      </c>
      <c r="W1882" s="114" t="s">
        <v>284</v>
      </c>
    </row>
    <row r="1883" spans="1:23" ht="19">
      <c r="A1883" s="104" t="s">
        <v>273</v>
      </c>
      <c r="B1883" s="104" t="s">
        <v>74</v>
      </c>
      <c r="C1883" s="454" t="s">
        <v>266</v>
      </c>
      <c r="D1883" s="105" t="s">
        <v>267</v>
      </c>
      <c r="E1883" s="104" t="s">
        <v>185</v>
      </c>
      <c r="F1883" s="104">
        <v>823</v>
      </c>
      <c r="G1883" s="106" t="s">
        <v>288</v>
      </c>
      <c r="H1883" s="104"/>
      <c r="I1883" s="104" t="s">
        <v>289</v>
      </c>
      <c r="J1883" s="104" t="s">
        <v>105</v>
      </c>
      <c r="K1883" s="104" t="s">
        <v>112</v>
      </c>
      <c r="L1883" s="104" t="s">
        <v>663</v>
      </c>
      <c r="M1883" s="104" t="s">
        <v>108</v>
      </c>
      <c r="N1883" s="108" t="s">
        <v>17</v>
      </c>
      <c r="O1883" s="104" t="s">
        <v>17</v>
      </c>
      <c r="P1883" s="108">
        <v>2.1230000000000002</v>
      </c>
      <c r="Q1883" s="108" t="s">
        <v>17</v>
      </c>
      <c r="R1883" s="104" t="s">
        <v>17</v>
      </c>
      <c r="S1883" s="253">
        <v>14.386776038117141</v>
      </c>
      <c r="T1883" s="104" t="s">
        <v>1167</v>
      </c>
      <c r="U1883" s="108">
        <v>0.96</v>
      </c>
      <c r="V1883" s="107">
        <v>12.4</v>
      </c>
      <c r="W1883" s="114" t="s">
        <v>284</v>
      </c>
    </row>
    <row r="1884" spans="1:23" ht="19">
      <c r="A1884" s="104" t="s">
        <v>273</v>
      </c>
      <c r="B1884" s="104" t="s">
        <v>76</v>
      </c>
      <c r="C1884" s="454" t="s">
        <v>344</v>
      </c>
      <c r="D1884" s="105" t="s">
        <v>345</v>
      </c>
      <c r="E1884" s="104" t="s">
        <v>185</v>
      </c>
      <c r="F1884" s="104">
        <v>1076</v>
      </c>
      <c r="G1884" s="106" t="s">
        <v>288</v>
      </c>
      <c r="H1884" s="104"/>
      <c r="I1884" s="104" t="s">
        <v>289</v>
      </c>
      <c r="J1884" s="104" t="s">
        <v>105</v>
      </c>
      <c r="K1884" s="104" t="s">
        <v>290</v>
      </c>
      <c r="L1884" s="104" t="s">
        <v>973</v>
      </c>
      <c r="M1884" s="104" t="s">
        <v>292</v>
      </c>
      <c r="N1884" s="108" t="s">
        <v>17</v>
      </c>
      <c r="O1884" s="104" t="s">
        <v>17</v>
      </c>
      <c r="P1884" s="108">
        <v>10.696999999999999</v>
      </c>
      <c r="Q1884" s="108" t="s">
        <v>17</v>
      </c>
      <c r="R1884" s="104" t="s">
        <v>17</v>
      </c>
      <c r="S1884" s="253">
        <f>((10^(((LOG(P1884*10))*3.142)+-2.44)))/1000</f>
        <v>8.6286169703624971</v>
      </c>
      <c r="T1884" s="104" t="s">
        <v>1268</v>
      </c>
      <c r="U1884" s="108">
        <v>0.86</v>
      </c>
      <c r="V1884" s="107" t="s">
        <v>287</v>
      </c>
      <c r="W1884" s="114" t="s">
        <v>105</v>
      </c>
    </row>
    <row r="1885" spans="1:23" ht="19">
      <c r="A1885" s="104" t="s">
        <v>273</v>
      </c>
      <c r="B1885" s="104" t="s">
        <v>76</v>
      </c>
      <c r="C1885" s="454" t="s">
        <v>344</v>
      </c>
      <c r="D1885" s="105" t="s">
        <v>345</v>
      </c>
      <c r="E1885" s="104" t="s">
        <v>185</v>
      </c>
      <c r="F1885" s="104">
        <v>1076</v>
      </c>
      <c r="G1885" s="106" t="s">
        <v>288</v>
      </c>
      <c r="H1885" s="104"/>
      <c r="I1885" s="104" t="s">
        <v>289</v>
      </c>
      <c r="J1885" s="104" t="s">
        <v>105</v>
      </c>
      <c r="K1885" s="104" t="s">
        <v>112</v>
      </c>
      <c r="L1885" s="104" t="s">
        <v>663</v>
      </c>
      <c r="M1885" s="104" t="s">
        <v>108</v>
      </c>
      <c r="N1885" s="108" t="s">
        <v>17</v>
      </c>
      <c r="O1885" s="104" t="s">
        <v>17</v>
      </c>
      <c r="P1885" s="108">
        <v>1.0390000000000001</v>
      </c>
      <c r="Q1885" s="108" t="s">
        <v>17</v>
      </c>
      <c r="R1885" s="104" t="s">
        <v>17</v>
      </c>
      <c r="S1885" s="253">
        <f>10^(((LOG(P1885*10))*3.05)+-2.15)</f>
        <v>8.9264221155640158</v>
      </c>
      <c r="T1885" s="104" t="s">
        <v>1271</v>
      </c>
      <c r="U1885" s="108">
        <v>0.9</v>
      </c>
      <c r="V1885" s="107">
        <v>28</v>
      </c>
      <c r="W1885" s="114" t="s">
        <v>1272</v>
      </c>
    </row>
    <row r="1886" spans="1:23" ht="19">
      <c r="A1886" s="104" t="s">
        <v>273</v>
      </c>
      <c r="B1886" s="104" t="s">
        <v>76</v>
      </c>
      <c r="C1886" s="454" t="s">
        <v>344</v>
      </c>
      <c r="D1886" s="105" t="s">
        <v>345</v>
      </c>
      <c r="E1886" s="104" t="s">
        <v>185</v>
      </c>
      <c r="F1886" s="104">
        <v>3878</v>
      </c>
      <c r="G1886" s="106" t="s">
        <v>288</v>
      </c>
      <c r="H1886" s="104"/>
      <c r="I1886" s="104" t="s">
        <v>289</v>
      </c>
      <c r="J1886" s="104" t="s">
        <v>105</v>
      </c>
      <c r="K1886" s="104" t="s">
        <v>112</v>
      </c>
      <c r="L1886" s="104" t="s">
        <v>663</v>
      </c>
      <c r="M1886" s="104" t="s">
        <v>108</v>
      </c>
      <c r="N1886" s="108" t="s">
        <v>17</v>
      </c>
      <c r="O1886" s="104" t="s">
        <v>17</v>
      </c>
      <c r="P1886" s="108">
        <v>1.0539999999999998</v>
      </c>
      <c r="Q1886" s="108" t="s">
        <v>17</v>
      </c>
      <c r="R1886" s="104" t="s">
        <v>17</v>
      </c>
      <c r="S1886" s="253">
        <f>10^(((LOG(P1886*10))*3.05)+-2.15)</f>
        <v>9.3253225669171957</v>
      </c>
      <c r="T1886" s="104" t="s">
        <v>1271</v>
      </c>
      <c r="U1886" s="108">
        <v>0.9</v>
      </c>
      <c r="V1886" s="107">
        <v>28</v>
      </c>
      <c r="W1886" s="114" t="s">
        <v>1272</v>
      </c>
    </row>
    <row r="1887" spans="1:23" ht="19">
      <c r="A1887" s="104" t="s">
        <v>273</v>
      </c>
      <c r="B1887" s="104" t="s">
        <v>76</v>
      </c>
      <c r="C1887" s="454" t="s">
        <v>344</v>
      </c>
      <c r="D1887" s="105" t="s">
        <v>345</v>
      </c>
      <c r="E1887" s="104" t="s">
        <v>185</v>
      </c>
      <c r="F1887" s="104">
        <v>2649</v>
      </c>
      <c r="G1887" s="106" t="s">
        <v>288</v>
      </c>
      <c r="H1887" s="104"/>
      <c r="I1887" s="104" t="s">
        <v>289</v>
      </c>
      <c r="J1887" s="104" t="s">
        <v>105</v>
      </c>
      <c r="K1887" s="104" t="s">
        <v>112</v>
      </c>
      <c r="L1887" s="104" t="s">
        <v>663</v>
      </c>
      <c r="M1887" s="104" t="s">
        <v>108</v>
      </c>
      <c r="N1887" s="108" t="s">
        <v>17</v>
      </c>
      <c r="O1887" s="104" t="s">
        <v>17</v>
      </c>
      <c r="P1887" s="108">
        <v>1.1099999999999999</v>
      </c>
      <c r="Q1887" s="108" t="s">
        <v>17</v>
      </c>
      <c r="R1887" s="104" t="s">
        <v>17</v>
      </c>
      <c r="S1887" s="253">
        <f>10^(((LOG(P1887*10))*3.05)+-2.15)</f>
        <v>10.920312972960593</v>
      </c>
      <c r="T1887" s="104" t="s">
        <v>1271</v>
      </c>
      <c r="U1887" s="108">
        <v>0.9</v>
      </c>
      <c r="V1887" s="107">
        <v>28</v>
      </c>
      <c r="W1887" s="114" t="s">
        <v>1272</v>
      </c>
    </row>
    <row r="1888" spans="1:23" ht="19">
      <c r="A1888" s="104" t="s">
        <v>273</v>
      </c>
      <c r="B1888" s="104" t="s">
        <v>76</v>
      </c>
      <c r="C1888" s="454" t="s">
        <v>344</v>
      </c>
      <c r="D1888" s="105" t="s">
        <v>345</v>
      </c>
      <c r="E1888" s="104" t="s">
        <v>185</v>
      </c>
      <c r="F1888" s="104">
        <v>375</v>
      </c>
      <c r="G1888" s="106" t="s">
        <v>288</v>
      </c>
      <c r="H1888" s="104"/>
      <c r="I1888" s="104" t="s">
        <v>289</v>
      </c>
      <c r="J1888" s="104" t="s">
        <v>105</v>
      </c>
      <c r="K1888" s="104" t="s">
        <v>290</v>
      </c>
      <c r="L1888" s="104" t="s">
        <v>973</v>
      </c>
      <c r="M1888" s="104" t="s">
        <v>292</v>
      </c>
      <c r="N1888" s="108" t="s">
        <v>17</v>
      </c>
      <c r="O1888" s="104" t="s">
        <v>17</v>
      </c>
      <c r="P1888" s="108">
        <v>11.568999999999999</v>
      </c>
      <c r="Q1888" s="108" t="s">
        <v>17</v>
      </c>
      <c r="R1888" s="104" t="s">
        <v>17</v>
      </c>
      <c r="S1888" s="253">
        <f>((10^(((LOG(P1888*10))*3.142)+-2.44)))/1000</f>
        <v>11.037620802903232</v>
      </c>
      <c r="T1888" s="104" t="s">
        <v>1268</v>
      </c>
      <c r="U1888" s="108">
        <v>0.86</v>
      </c>
      <c r="V1888" s="107" t="s">
        <v>287</v>
      </c>
      <c r="W1888" s="114" t="s">
        <v>105</v>
      </c>
    </row>
    <row r="1889" spans="1:23" ht="19">
      <c r="A1889" s="104" t="s">
        <v>273</v>
      </c>
      <c r="B1889" s="104" t="s">
        <v>76</v>
      </c>
      <c r="C1889" s="454" t="s">
        <v>344</v>
      </c>
      <c r="D1889" s="105" t="s">
        <v>345</v>
      </c>
      <c r="E1889" s="104" t="s">
        <v>185</v>
      </c>
      <c r="F1889" s="104">
        <v>819</v>
      </c>
      <c r="G1889" s="106" t="s">
        <v>288</v>
      </c>
      <c r="H1889" s="104"/>
      <c r="I1889" s="104" t="s">
        <v>289</v>
      </c>
      <c r="J1889" s="104" t="s">
        <v>105</v>
      </c>
      <c r="K1889" s="104" t="s">
        <v>290</v>
      </c>
      <c r="L1889" s="104" t="s">
        <v>973</v>
      </c>
      <c r="M1889" s="104" t="s">
        <v>292</v>
      </c>
      <c r="N1889" s="108" t="s">
        <v>17</v>
      </c>
      <c r="O1889" s="104" t="s">
        <v>17</v>
      </c>
      <c r="P1889" s="108">
        <v>11.622</v>
      </c>
      <c r="Q1889" s="108" t="s">
        <v>17</v>
      </c>
      <c r="R1889" s="104" t="s">
        <v>17</v>
      </c>
      <c r="S1889" s="253">
        <f>((10^(((LOG(P1889*10))*3.142)+-2.44)))/1000</f>
        <v>11.197278934170363</v>
      </c>
      <c r="T1889" s="104" t="s">
        <v>1268</v>
      </c>
      <c r="U1889" s="108">
        <v>0.86</v>
      </c>
      <c r="V1889" s="107" t="s">
        <v>287</v>
      </c>
      <c r="W1889" s="114" t="s">
        <v>105</v>
      </c>
    </row>
    <row r="1890" spans="1:23" ht="19">
      <c r="A1890" s="104" t="s">
        <v>273</v>
      </c>
      <c r="B1890" s="104" t="s">
        <v>76</v>
      </c>
      <c r="C1890" s="454" t="s">
        <v>344</v>
      </c>
      <c r="D1890" s="105" t="s">
        <v>345</v>
      </c>
      <c r="E1890" s="104" t="s">
        <v>185</v>
      </c>
      <c r="F1890" s="104">
        <v>2649</v>
      </c>
      <c r="G1890" s="106" t="s">
        <v>288</v>
      </c>
      <c r="H1890" s="104"/>
      <c r="I1890" s="104" t="s">
        <v>289</v>
      </c>
      <c r="J1890" s="104" t="s">
        <v>105</v>
      </c>
      <c r="K1890" s="104" t="s">
        <v>290</v>
      </c>
      <c r="L1890" s="104" t="s">
        <v>973</v>
      </c>
      <c r="M1890" s="104" t="s">
        <v>292</v>
      </c>
      <c r="N1890" s="108" t="s">
        <v>17</v>
      </c>
      <c r="O1890" s="104" t="s">
        <v>17</v>
      </c>
      <c r="P1890" s="108">
        <v>11.635</v>
      </c>
      <c r="Q1890" s="108" t="s">
        <v>17</v>
      </c>
      <c r="R1890" s="104" t="s">
        <v>17</v>
      </c>
      <c r="S1890" s="253">
        <f>((10^(((LOG(P1890*10))*3.142)+-2.44)))/1000</f>
        <v>11.236679399207098</v>
      </c>
      <c r="T1890" s="104" t="s">
        <v>1268</v>
      </c>
      <c r="U1890" s="108">
        <v>0.86</v>
      </c>
      <c r="V1890" s="107" t="s">
        <v>287</v>
      </c>
      <c r="W1890" s="114" t="s">
        <v>105</v>
      </c>
    </row>
    <row r="1891" spans="1:23" ht="19">
      <c r="A1891" s="104" t="s">
        <v>273</v>
      </c>
      <c r="B1891" s="104" t="s">
        <v>76</v>
      </c>
      <c r="C1891" s="454" t="s">
        <v>344</v>
      </c>
      <c r="D1891" s="105" t="s">
        <v>345</v>
      </c>
      <c r="E1891" s="104" t="s">
        <v>185</v>
      </c>
      <c r="F1891" s="104">
        <v>819</v>
      </c>
      <c r="G1891" s="106" t="s">
        <v>288</v>
      </c>
      <c r="H1891" s="104"/>
      <c r="I1891" s="104" t="s">
        <v>289</v>
      </c>
      <c r="J1891" s="104" t="s">
        <v>105</v>
      </c>
      <c r="K1891" s="104" t="s">
        <v>112</v>
      </c>
      <c r="L1891" s="104" t="s">
        <v>663</v>
      </c>
      <c r="M1891" s="104" t="s">
        <v>108</v>
      </c>
      <c r="N1891" s="108" t="s">
        <v>17</v>
      </c>
      <c r="O1891" s="104" t="s">
        <v>17</v>
      </c>
      <c r="P1891" s="108">
        <v>1.121</v>
      </c>
      <c r="Q1891" s="108" t="s">
        <v>17</v>
      </c>
      <c r="R1891" s="104" t="s">
        <v>17</v>
      </c>
      <c r="S1891" s="253">
        <f>10^(((LOG(P1891*10))*3.05)+-2.15)</f>
        <v>11.253746249448293</v>
      </c>
      <c r="T1891" s="104" t="s">
        <v>1271</v>
      </c>
      <c r="U1891" s="108">
        <v>0.9</v>
      </c>
      <c r="V1891" s="107">
        <v>28</v>
      </c>
      <c r="W1891" s="114" t="s">
        <v>1272</v>
      </c>
    </row>
    <row r="1892" spans="1:23" ht="19">
      <c r="A1892" s="104" t="s">
        <v>273</v>
      </c>
      <c r="B1892" s="104" t="s">
        <v>76</v>
      </c>
      <c r="C1892" s="454" t="s">
        <v>344</v>
      </c>
      <c r="D1892" s="105" t="s">
        <v>345</v>
      </c>
      <c r="E1892" s="104" t="s">
        <v>185</v>
      </c>
      <c r="F1892" s="104">
        <v>369</v>
      </c>
      <c r="G1892" s="106" t="s">
        <v>288</v>
      </c>
      <c r="H1892" s="104"/>
      <c r="I1892" s="104" t="s">
        <v>289</v>
      </c>
      <c r="J1892" s="104" t="s">
        <v>105</v>
      </c>
      <c r="K1892" s="104" t="s">
        <v>112</v>
      </c>
      <c r="L1892" s="104" t="s">
        <v>663</v>
      </c>
      <c r="M1892" s="104" t="s">
        <v>108</v>
      </c>
      <c r="N1892" s="108" t="s">
        <v>17</v>
      </c>
      <c r="O1892" s="104" t="s">
        <v>17</v>
      </c>
      <c r="P1892" s="108">
        <v>1.1659999999999999</v>
      </c>
      <c r="Q1892" s="108" t="s">
        <v>17</v>
      </c>
      <c r="R1892" s="104" t="s">
        <v>17</v>
      </c>
      <c r="S1892" s="253">
        <f>10^(((LOG(P1892*10))*3.05)+-2.15)</f>
        <v>12.689092953117386</v>
      </c>
      <c r="T1892" s="104" t="s">
        <v>1271</v>
      </c>
      <c r="U1892" s="108">
        <v>0.9</v>
      </c>
      <c r="V1892" s="107">
        <v>28</v>
      </c>
      <c r="W1892" s="114" t="s">
        <v>1272</v>
      </c>
    </row>
    <row r="1893" spans="1:23" ht="19">
      <c r="A1893" s="104" t="s">
        <v>273</v>
      </c>
      <c r="B1893" s="104" t="s">
        <v>76</v>
      </c>
      <c r="C1893" s="454" t="s">
        <v>344</v>
      </c>
      <c r="D1893" s="105" t="s">
        <v>345</v>
      </c>
      <c r="E1893" s="104" t="s">
        <v>185</v>
      </c>
      <c r="F1893" s="104">
        <v>3423</v>
      </c>
      <c r="G1893" s="106" t="s">
        <v>288</v>
      </c>
      <c r="H1893" s="104"/>
      <c r="I1893" s="104" t="s">
        <v>289</v>
      </c>
      <c r="J1893" s="104" t="s">
        <v>105</v>
      </c>
      <c r="K1893" s="104" t="s">
        <v>112</v>
      </c>
      <c r="L1893" s="104" t="s">
        <v>663</v>
      </c>
      <c r="M1893" s="104" t="s">
        <v>108</v>
      </c>
      <c r="N1893" s="108" t="s">
        <v>17</v>
      </c>
      <c r="O1893" s="104" t="s">
        <v>17</v>
      </c>
      <c r="P1893" s="108">
        <v>1.1869999999999998</v>
      </c>
      <c r="Q1893" s="108" t="s">
        <v>17</v>
      </c>
      <c r="R1893" s="104" t="s">
        <v>17</v>
      </c>
      <c r="S1893" s="253">
        <f>10^(((LOG(P1893*10))*3.05)+-2.15)</f>
        <v>13.399071136178442</v>
      </c>
      <c r="T1893" s="104" t="s">
        <v>1271</v>
      </c>
      <c r="U1893" s="108">
        <v>0.9</v>
      </c>
      <c r="V1893" s="107">
        <v>28</v>
      </c>
      <c r="W1893" s="114" t="s">
        <v>1272</v>
      </c>
    </row>
    <row r="1894" spans="1:23" ht="19">
      <c r="A1894" s="104" t="s">
        <v>273</v>
      </c>
      <c r="B1894" s="104" t="s">
        <v>76</v>
      </c>
      <c r="C1894" s="454" t="s">
        <v>344</v>
      </c>
      <c r="D1894" s="105" t="s">
        <v>345</v>
      </c>
      <c r="E1894" s="104" t="s">
        <v>185</v>
      </c>
      <c r="F1894" s="104">
        <v>375</v>
      </c>
      <c r="G1894" s="106" t="s">
        <v>288</v>
      </c>
      <c r="H1894" s="104"/>
      <c r="I1894" s="104" t="s">
        <v>289</v>
      </c>
      <c r="J1894" s="104" t="s">
        <v>105</v>
      </c>
      <c r="K1894" s="104" t="s">
        <v>112</v>
      </c>
      <c r="L1894" s="104" t="s">
        <v>663</v>
      </c>
      <c r="M1894" s="104" t="s">
        <v>108</v>
      </c>
      <c r="N1894" s="108" t="s">
        <v>17</v>
      </c>
      <c r="O1894" s="104" t="s">
        <v>17</v>
      </c>
      <c r="P1894" s="108">
        <v>1.2029999999999998</v>
      </c>
      <c r="Q1894" s="108" t="s">
        <v>17</v>
      </c>
      <c r="R1894" s="104" t="s">
        <v>17</v>
      </c>
      <c r="S1894" s="253">
        <f>10^(((LOG(P1894*10))*3.05)+-2.15)</f>
        <v>13.957581209430867</v>
      </c>
      <c r="T1894" s="104" t="s">
        <v>1271</v>
      </c>
      <c r="U1894" s="108">
        <v>0.9</v>
      </c>
      <c r="V1894" s="107">
        <v>28</v>
      </c>
      <c r="W1894" s="114" t="s">
        <v>1272</v>
      </c>
    </row>
    <row r="1895" spans="1:23" ht="19">
      <c r="A1895" s="104" t="s">
        <v>273</v>
      </c>
      <c r="B1895" s="104" t="s">
        <v>76</v>
      </c>
      <c r="C1895" s="454" t="s">
        <v>344</v>
      </c>
      <c r="D1895" s="105" t="s">
        <v>345</v>
      </c>
      <c r="E1895" s="104" t="s">
        <v>185</v>
      </c>
      <c r="F1895" s="104">
        <v>369</v>
      </c>
      <c r="G1895" s="106" t="s">
        <v>288</v>
      </c>
      <c r="H1895" s="104"/>
      <c r="I1895" s="104" t="s">
        <v>289</v>
      </c>
      <c r="J1895" s="104" t="s">
        <v>105</v>
      </c>
      <c r="K1895" s="104" t="s">
        <v>290</v>
      </c>
      <c r="L1895" s="104" t="s">
        <v>973</v>
      </c>
      <c r="M1895" s="104" t="s">
        <v>292</v>
      </c>
      <c r="N1895" s="108" t="s">
        <v>17</v>
      </c>
      <c r="O1895" s="104" t="s">
        <v>17</v>
      </c>
      <c r="P1895" s="108">
        <v>12.717000000000001</v>
      </c>
      <c r="Q1895" s="108" t="s">
        <v>17</v>
      </c>
      <c r="R1895" s="104" t="s">
        <v>17</v>
      </c>
      <c r="S1895" s="253">
        <f>((10^(((LOG(P1895*10))*3.142)+-2.44)))/1000</f>
        <v>14.858557087282337</v>
      </c>
      <c r="T1895" s="104" t="s">
        <v>1268</v>
      </c>
      <c r="U1895" s="108">
        <v>0.86</v>
      </c>
      <c r="V1895" s="107" t="s">
        <v>287</v>
      </c>
      <c r="W1895" s="114" t="s">
        <v>105</v>
      </c>
    </row>
    <row r="1896" spans="1:23" ht="19">
      <c r="A1896" s="104" t="s">
        <v>273</v>
      </c>
      <c r="B1896" s="104" t="s">
        <v>76</v>
      </c>
      <c r="C1896" s="454" t="s">
        <v>344</v>
      </c>
      <c r="D1896" s="105" t="s">
        <v>345</v>
      </c>
      <c r="E1896" s="104" t="s">
        <v>185</v>
      </c>
      <c r="F1896" s="104">
        <v>820</v>
      </c>
      <c r="G1896" s="106" t="s">
        <v>288</v>
      </c>
      <c r="H1896" s="104"/>
      <c r="I1896" s="104" t="s">
        <v>289</v>
      </c>
      <c r="J1896" s="104" t="s">
        <v>105</v>
      </c>
      <c r="K1896" s="104" t="s">
        <v>112</v>
      </c>
      <c r="L1896" s="104" t="s">
        <v>663</v>
      </c>
      <c r="M1896" s="104" t="s">
        <v>108</v>
      </c>
      <c r="N1896" s="108" t="s">
        <v>17</v>
      </c>
      <c r="O1896" s="104" t="s">
        <v>17</v>
      </c>
      <c r="P1896" s="108">
        <v>1.2289999999999999</v>
      </c>
      <c r="Q1896" s="108" t="s">
        <v>17</v>
      </c>
      <c r="R1896" s="104" t="s">
        <v>17</v>
      </c>
      <c r="S1896" s="253">
        <f>10^(((LOG(P1896*10))*3.05)+-2.15)</f>
        <v>14.898180881015135</v>
      </c>
      <c r="T1896" s="104" t="s">
        <v>1271</v>
      </c>
      <c r="U1896" s="108">
        <v>0.9</v>
      </c>
      <c r="V1896" s="107">
        <v>28</v>
      </c>
      <c r="W1896" s="114" t="s">
        <v>1272</v>
      </c>
    </row>
    <row r="1897" spans="1:23" ht="19">
      <c r="A1897" s="104" t="s">
        <v>273</v>
      </c>
      <c r="B1897" s="104" t="s">
        <v>76</v>
      </c>
      <c r="C1897" s="454" t="s">
        <v>344</v>
      </c>
      <c r="D1897" s="105" t="s">
        <v>345</v>
      </c>
      <c r="E1897" s="104" t="s">
        <v>185</v>
      </c>
      <c r="F1897" s="104">
        <v>820</v>
      </c>
      <c r="G1897" s="106" t="s">
        <v>288</v>
      </c>
      <c r="H1897" s="104"/>
      <c r="I1897" s="104" t="s">
        <v>289</v>
      </c>
      <c r="J1897" s="104" t="s">
        <v>105</v>
      </c>
      <c r="K1897" s="104" t="s">
        <v>290</v>
      </c>
      <c r="L1897" s="104" t="s">
        <v>973</v>
      </c>
      <c r="M1897" s="104" t="s">
        <v>292</v>
      </c>
      <c r="N1897" s="108" t="s">
        <v>17</v>
      </c>
      <c r="O1897" s="104" t="s">
        <v>17</v>
      </c>
      <c r="P1897" s="108">
        <v>12.830000000000002</v>
      </c>
      <c r="Q1897" s="108" t="s">
        <v>17</v>
      </c>
      <c r="R1897" s="104" t="s">
        <v>17</v>
      </c>
      <c r="S1897" s="253">
        <f>((10^(((LOG(P1897*10))*3.142)+-2.44)))/1000</f>
        <v>15.277354433014477</v>
      </c>
      <c r="T1897" s="104" t="s">
        <v>1268</v>
      </c>
      <c r="U1897" s="108">
        <v>0.86</v>
      </c>
      <c r="V1897" s="107" t="s">
        <v>287</v>
      </c>
      <c r="W1897" s="114" t="s">
        <v>105</v>
      </c>
    </row>
    <row r="1898" spans="1:23" ht="19">
      <c r="A1898" s="104" t="s">
        <v>273</v>
      </c>
      <c r="B1898" s="104" t="s">
        <v>534</v>
      </c>
      <c r="C1898" s="454" t="s">
        <v>539</v>
      </c>
      <c r="D1898" s="105" t="s">
        <v>540</v>
      </c>
      <c r="E1898" s="104" t="s">
        <v>185</v>
      </c>
      <c r="F1898" s="104">
        <v>367</v>
      </c>
      <c r="G1898" s="106" t="s">
        <v>288</v>
      </c>
      <c r="H1898" s="104"/>
      <c r="I1898" s="104" t="s">
        <v>289</v>
      </c>
      <c r="J1898" s="104" t="s">
        <v>105</v>
      </c>
      <c r="K1898" s="104" t="s">
        <v>155</v>
      </c>
      <c r="L1898" s="104" t="s">
        <v>658</v>
      </c>
      <c r="M1898" s="104" t="s">
        <v>114</v>
      </c>
      <c r="N1898" s="108" t="s">
        <v>17</v>
      </c>
      <c r="O1898" s="104" t="s">
        <v>17</v>
      </c>
      <c r="P1898" s="113">
        <v>0.71900000000000008</v>
      </c>
      <c r="Q1898" s="113" t="s">
        <v>17</v>
      </c>
      <c r="R1898" s="104" t="s">
        <v>17</v>
      </c>
      <c r="S1898" s="253">
        <f>(10^((3.9287*LOG(P1898*10))+-0.5516))/1000</f>
        <v>0.65197477275970128</v>
      </c>
      <c r="T1898" s="104" t="s">
        <v>1292</v>
      </c>
      <c r="U1898" s="108">
        <v>0.81</v>
      </c>
      <c r="V1898" s="107"/>
      <c r="W1898" s="114" t="s">
        <v>1293</v>
      </c>
    </row>
    <row r="1899" spans="1:23" ht="19">
      <c r="A1899" s="104" t="s">
        <v>273</v>
      </c>
      <c r="B1899" s="104" t="s">
        <v>534</v>
      </c>
      <c r="C1899" s="454" t="s">
        <v>539</v>
      </c>
      <c r="D1899" s="105" t="s">
        <v>540</v>
      </c>
      <c r="E1899" s="104" t="s">
        <v>185</v>
      </c>
      <c r="F1899" s="104">
        <v>367</v>
      </c>
      <c r="G1899" s="106" t="s">
        <v>288</v>
      </c>
      <c r="H1899" s="104"/>
      <c r="I1899" s="104" t="s">
        <v>289</v>
      </c>
      <c r="J1899" s="104" t="s">
        <v>105</v>
      </c>
      <c r="K1899" s="104" t="s">
        <v>290</v>
      </c>
      <c r="L1899" s="104" t="s">
        <v>973</v>
      </c>
      <c r="M1899" s="104" t="s">
        <v>292</v>
      </c>
      <c r="N1899" s="108" t="s">
        <v>17</v>
      </c>
      <c r="O1899" s="104" t="s">
        <v>17</v>
      </c>
      <c r="P1899" s="108">
        <v>6.4590000000000005</v>
      </c>
      <c r="Q1899" s="108" t="s">
        <v>17</v>
      </c>
      <c r="R1899" s="104" t="s">
        <v>17</v>
      </c>
      <c r="S1899" s="253">
        <f>(10^((3.39*LOG(P1899*10))+-6.03))</f>
        <v>1.27779244082622</v>
      </c>
      <c r="T1899" s="103" t="s">
        <v>1295</v>
      </c>
      <c r="U1899" s="108">
        <v>0.9</v>
      </c>
      <c r="V1899" s="107">
        <v>40</v>
      </c>
      <c r="W1899" s="114" t="s">
        <v>1296</v>
      </c>
    </row>
    <row r="1900" spans="1:23" ht="19">
      <c r="A1900" s="104" t="s">
        <v>273</v>
      </c>
      <c r="B1900" s="104" t="s">
        <v>534</v>
      </c>
      <c r="C1900" s="454" t="s">
        <v>539</v>
      </c>
      <c r="D1900" s="105" t="s">
        <v>540</v>
      </c>
      <c r="E1900" s="104" t="s">
        <v>185</v>
      </c>
      <c r="F1900" s="104">
        <v>343</v>
      </c>
      <c r="G1900" s="106" t="s">
        <v>288</v>
      </c>
      <c r="H1900" s="104"/>
      <c r="I1900" s="104" t="s">
        <v>289</v>
      </c>
      <c r="J1900" s="104" t="s">
        <v>105</v>
      </c>
      <c r="K1900" s="104" t="s">
        <v>112</v>
      </c>
      <c r="L1900" s="104" t="s">
        <v>663</v>
      </c>
      <c r="M1900" s="104" t="s">
        <v>108</v>
      </c>
      <c r="N1900" s="108" t="s">
        <v>17</v>
      </c>
      <c r="O1900" s="104" t="s">
        <v>17</v>
      </c>
      <c r="P1900" s="108">
        <v>0.91300000000000003</v>
      </c>
      <c r="Q1900" s="108" t="s">
        <v>17</v>
      </c>
      <c r="R1900" s="104" t="s">
        <v>17</v>
      </c>
      <c r="S1900" s="253">
        <f t="shared" ref="S1900:S1905" si="26">(10^((3.9287*LOG(P1900*10))+-0.5516))/1000</f>
        <v>1.6664855171092563</v>
      </c>
      <c r="T1900" s="104" t="s">
        <v>1292</v>
      </c>
      <c r="U1900" s="108">
        <v>0.81</v>
      </c>
      <c r="V1900" s="107"/>
      <c r="W1900" s="114" t="s">
        <v>1293</v>
      </c>
    </row>
    <row r="1901" spans="1:23" ht="19">
      <c r="A1901" s="104" t="s">
        <v>273</v>
      </c>
      <c r="B1901" s="104" t="s">
        <v>534</v>
      </c>
      <c r="C1901" s="454" t="s">
        <v>539</v>
      </c>
      <c r="D1901" s="105" t="s">
        <v>540</v>
      </c>
      <c r="E1901" s="104" t="s">
        <v>185</v>
      </c>
      <c r="F1901" s="104">
        <v>1891</v>
      </c>
      <c r="G1901" s="106" t="s">
        <v>288</v>
      </c>
      <c r="H1901" s="104"/>
      <c r="I1901" s="104" t="s">
        <v>289</v>
      </c>
      <c r="J1901" s="104" t="s">
        <v>105</v>
      </c>
      <c r="K1901" s="104" t="s">
        <v>112</v>
      </c>
      <c r="L1901" s="104" t="s">
        <v>663</v>
      </c>
      <c r="M1901" s="104" t="s">
        <v>114</v>
      </c>
      <c r="N1901" s="108" t="s">
        <v>17</v>
      </c>
      <c r="O1901" s="104" t="s">
        <v>17</v>
      </c>
      <c r="P1901" s="113">
        <v>0.94499999999999995</v>
      </c>
      <c r="Q1901" s="113" t="s">
        <v>17</v>
      </c>
      <c r="R1901" s="104" t="s">
        <v>17</v>
      </c>
      <c r="S1901" s="253">
        <f t="shared" si="26"/>
        <v>1.9080025293409344</v>
      </c>
      <c r="T1901" s="104" t="s">
        <v>1292</v>
      </c>
      <c r="U1901" s="108">
        <v>0.81</v>
      </c>
      <c r="V1901" s="107"/>
      <c r="W1901" s="114" t="s">
        <v>1293</v>
      </c>
    </row>
    <row r="1902" spans="1:23" ht="19">
      <c r="A1902" s="104" t="s">
        <v>273</v>
      </c>
      <c r="B1902" s="104" t="s">
        <v>534</v>
      </c>
      <c r="C1902" s="454" t="s">
        <v>539</v>
      </c>
      <c r="D1902" s="105" t="s">
        <v>540</v>
      </c>
      <c r="E1902" s="104" t="s">
        <v>185</v>
      </c>
      <c r="F1902" s="104">
        <v>6297</v>
      </c>
      <c r="G1902" s="106" t="s">
        <v>288</v>
      </c>
      <c r="H1902" s="104"/>
      <c r="I1902" s="104" t="s">
        <v>289</v>
      </c>
      <c r="J1902" s="104" t="s">
        <v>105</v>
      </c>
      <c r="K1902" s="104" t="s">
        <v>112</v>
      </c>
      <c r="L1902" s="104" t="s">
        <v>663</v>
      </c>
      <c r="M1902" s="104" t="s">
        <v>108</v>
      </c>
      <c r="N1902" s="108" t="s">
        <v>17</v>
      </c>
      <c r="O1902" s="104" t="s">
        <v>17</v>
      </c>
      <c r="P1902" s="113">
        <v>0.94800000000000006</v>
      </c>
      <c r="Q1902" s="113" t="s">
        <v>17</v>
      </c>
      <c r="R1902" s="104" t="s">
        <v>17</v>
      </c>
      <c r="S1902" s="253">
        <f t="shared" si="26"/>
        <v>1.9319101085461134</v>
      </c>
      <c r="T1902" s="104" t="s">
        <v>1292</v>
      </c>
      <c r="U1902" s="108">
        <v>0.81</v>
      </c>
      <c r="V1902" s="107"/>
      <c r="W1902" s="114" t="s">
        <v>1293</v>
      </c>
    </row>
    <row r="1903" spans="1:23" ht="19">
      <c r="A1903" s="104" t="s">
        <v>273</v>
      </c>
      <c r="B1903" s="104" t="s">
        <v>551</v>
      </c>
      <c r="C1903" s="454" t="s">
        <v>552</v>
      </c>
      <c r="D1903" s="105" t="s">
        <v>553</v>
      </c>
      <c r="E1903" s="104" t="s">
        <v>185</v>
      </c>
      <c r="F1903" s="104">
        <v>1082</v>
      </c>
      <c r="G1903" s="106" t="s">
        <v>288</v>
      </c>
      <c r="H1903" s="104"/>
      <c r="I1903" s="104" t="s">
        <v>289</v>
      </c>
      <c r="J1903" s="104" t="s">
        <v>105</v>
      </c>
      <c r="K1903" s="104" t="s">
        <v>112</v>
      </c>
      <c r="L1903" s="104" t="s">
        <v>663</v>
      </c>
      <c r="M1903" s="104" t="s">
        <v>114</v>
      </c>
      <c r="N1903" s="108" t="s">
        <v>17</v>
      </c>
      <c r="O1903" s="104" t="s">
        <v>17</v>
      </c>
      <c r="P1903" s="113">
        <v>0.72</v>
      </c>
      <c r="Q1903" s="113" t="s">
        <v>17</v>
      </c>
      <c r="R1903" s="104" t="s">
        <v>17</v>
      </c>
      <c r="S1903" s="253">
        <f t="shared" si="26"/>
        <v>0.65554450106758544</v>
      </c>
      <c r="T1903" s="104" t="s">
        <v>1292</v>
      </c>
      <c r="U1903" s="108">
        <v>0.81</v>
      </c>
      <c r="V1903" s="107"/>
      <c r="W1903" s="114" t="s">
        <v>105</v>
      </c>
    </row>
    <row r="1904" spans="1:23" ht="19">
      <c r="A1904" s="104" t="s">
        <v>273</v>
      </c>
      <c r="B1904" s="104" t="s">
        <v>551</v>
      </c>
      <c r="C1904" s="454" t="s">
        <v>552</v>
      </c>
      <c r="D1904" s="105" t="s">
        <v>553</v>
      </c>
      <c r="E1904" s="104" t="s">
        <v>185</v>
      </c>
      <c r="F1904" s="104">
        <v>365</v>
      </c>
      <c r="G1904" s="106" t="s">
        <v>288</v>
      </c>
      <c r="H1904" s="104"/>
      <c r="I1904" s="104" t="s">
        <v>289</v>
      </c>
      <c r="J1904" s="104" t="s">
        <v>105</v>
      </c>
      <c r="K1904" s="104" t="s">
        <v>112</v>
      </c>
      <c r="L1904" s="104" t="s">
        <v>663</v>
      </c>
      <c r="M1904" s="104" t="s">
        <v>108</v>
      </c>
      <c r="N1904" s="108" t="s">
        <v>17</v>
      </c>
      <c r="O1904" s="104" t="s">
        <v>17</v>
      </c>
      <c r="P1904" s="108">
        <v>0.76</v>
      </c>
      <c r="Q1904" s="108" t="s">
        <v>17</v>
      </c>
      <c r="R1904" s="104" t="s">
        <v>17</v>
      </c>
      <c r="S1904" s="253">
        <f t="shared" si="26"/>
        <v>0.81068541551498308</v>
      </c>
      <c r="T1904" s="104" t="s">
        <v>1292</v>
      </c>
      <c r="U1904" s="108">
        <v>0.81</v>
      </c>
      <c r="V1904" s="107"/>
      <c r="W1904" s="114" t="s">
        <v>105</v>
      </c>
    </row>
    <row r="1905" spans="1:23" ht="19">
      <c r="A1905" s="104" t="s">
        <v>273</v>
      </c>
      <c r="B1905" s="104" t="s">
        <v>551</v>
      </c>
      <c r="C1905" s="454" t="s">
        <v>552</v>
      </c>
      <c r="D1905" s="105" t="s">
        <v>553</v>
      </c>
      <c r="E1905" s="104" t="s">
        <v>185</v>
      </c>
      <c r="F1905" s="104">
        <v>2117</v>
      </c>
      <c r="G1905" s="106" t="s">
        <v>288</v>
      </c>
      <c r="H1905" s="104"/>
      <c r="I1905" s="104" t="s">
        <v>289</v>
      </c>
      <c r="J1905" s="104" t="s">
        <v>105</v>
      </c>
      <c r="K1905" s="104" t="s">
        <v>112</v>
      </c>
      <c r="L1905" s="104" t="s">
        <v>663</v>
      </c>
      <c r="M1905" s="104" t="s">
        <v>108</v>
      </c>
      <c r="N1905" s="108" t="s">
        <v>17</v>
      </c>
      <c r="O1905" s="104" t="s">
        <v>17</v>
      </c>
      <c r="P1905" s="113">
        <v>0.77800000000000002</v>
      </c>
      <c r="Q1905" s="113" t="s">
        <v>17</v>
      </c>
      <c r="R1905" s="104" t="s">
        <v>17</v>
      </c>
      <c r="S1905" s="253">
        <f t="shared" si="26"/>
        <v>0.88877441201836005</v>
      </c>
      <c r="T1905" s="104" t="s">
        <v>1292</v>
      </c>
      <c r="U1905" s="108">
        <v>0.81</v>
      </c>
      <c r="V1905" s="107"/>
      <c r="W1905" s="114" t="s">
        <v>105</v>
      </c>
    </row>
    <row r="1906" spans="1:23" ht="19">
      <c r="A1906" s="104" t="s">
        <v>273</v>
      </c>
      <c r="B1906" s="104" t="s">
        <v>551</v>
      </c>
      <c r="C1906" s="454" t="s">
        <v>552</v>
      </c>
      <c r="D1906" s="105" t="s">
        <v>553</v>
      </c>
      <c r="E1906" s="104" t="s">
        <v>185</v>
      </c>
      <c r="F1906" s="104">
        <v>1082</v>
      </c>
      <c r="G1906" s="106" t="s">
        <v>288</v>
      </c>
      <c r="H1906" s="104"/>
      <c r="I1906" s="104" t="s">
        <v>289</v>
      </c>
      <c r="J1906" s="104" t="s">
        <v>105</v>
      </c>
      <c r="K1906" s="104" t="s">
        <v>290</v>
      </c>
      <c r="L1906" s="104" t="s">
        <v>973</v>
      </c>
      <c r="M1906" s="104" t="s">
        <v>292</v>
      </c>
      <c r="N1906" s="108" t="s">
        <v>17</v>
      </c>
      <c r="O1906" s="104" t="s">
        <v>17</v>
      </c>
      <c r="P1906" s="113">
        <v>7.4060000000000006</v>
      </c>
      <c r="Q1906" s="113" t="s">
        <v>17</v>
      </c>
      <c r="R1906" s="104" t="s">
        <v>17</v>
      </c>
      <c r="S1906" s="253">
        <f>(10^((3.39*LOG(P1906*10))+-6.03))</f>
        <v>2.0318365533582932</v>
      </c>
      <c r="T1906" s="103" t="s">
        <v>1295</v>
      </c>
      <c r="U1906" s="108">
        <v>0.9</v>
      </c>
      <c r="V1906" s="107">
        <v>40</v>
      </c>
      <c r="W1906" s="114" t="s">
        <v>1296</v>
      </c>
    </row>
    <row r="1907" spans="1:23" ht="19">
      <c r="A1907" s="104" t="s">
        <v>273</v>
      </c>
      <c r="B1907" s="104" t="s">
        <v>551</v>
      </c>
      <c r="C1907" s="454" t="s">
        <v>552</v>
      </c>
      <c r="D1907" s="105" t="s">
        <v>553</v>
      </c>
      <c r="E1907" s="104" t="s">
        <v>185</v>
      </c>
      <c r="F1907" s="104">
        <v>365</v>
      </c>
      <c r="G1907" s="106" t="s">
        <v>288</v>
      </c>
      <c r="H1907" s="104"/>
      <c r="I1907" s="104" t="s">
        <v>289</v>
      </c>
      <c r="J1907" s="104" t="s">
        <v>105</v>
      </c>
      <c r="K1907" s="104" t="s">
        <v>290</v>
      </c>
      <c r="L1907" s="104" t="s">
        <v>973</v>
      </c>
      <c r="M1907" s="104" t="s">
        <v>292</v>
      </c>
      <c r="N1907" s="108" t="s">
        <v>17</v>
      </c>
      <c r="O1907" s="104" t="s">
        <v>17</v>
      </c>
      <c r="P1907" s="108">
        <v>7.5790000000000006</v>
      </c>
      <c r="Q1907" s="108" t="s">
        <v>17</v>
      </c>
      <c r="R1907" s="104" t="s">
        <v>17</v>
      </c>
      <c r="S1907" s="253">
        <f>(10^((3.39*LOG(P1907*10))+-6.03))</f>
        <v>2.1972747495380771</v>
      </c>
      <c r="T1907" s="103" t="s">
        <v>1295</v>
      </c>
      <c r="U1907" s="108">
        <v>0.9</v>
      </c>
      <c r="V1907" s="107">
        <v>40</v>
      </c>
      <c r="W1907" s="114" t="s">
        <v>1296</v>
      </c>
    </row>
    <row r="1908" spans="1:23" ht="19">
      <c r="A1908" s="104" t="s">
        <v>579</v>
      </c>
      <c r="B1908" s="104" t="s">
        <v>580</v>
      </c>
      <c r="C1908" s="454" t="s">
        <v>581</v>
      </c>
      <c r="D1908" s="105" t="s">
        <v>151</v>
      </c>
      <c r="E1908" s="104" t="s">
        <v>185</v>
      </c>
      <c r="F1908" s="104">
        <v>267</v>
      </c>
      <c r="G1908" s="106" t="s">
        <v>288</v>
      </c>
      <c r="H1908" s="104"/>
      <c r="I1908" s="104" t="s">
        <v>289</v>
      </c>
      <c r="J1908" s="104" t="s">
        <v>105</v>
      </c>
      <c r="K1908" s="104" t="s">
        <v>112</v>
      </c>
      <c r="L1908" s="104" t="s">
        <v>663</v>
      </c>
      <c r="M1908" s="104" t="s">
        <v>114</v>
      </c>
      <c r="N1908" s="108"/>
      <c r="O1908" s="108"/>
      <c r="P1908" s="108">
        <v>0.28199999999999997</v>
      </c>
      <c r="Q1908" s="108" t="s">
        <v>17</v>
      </c>
      <c r="R1908" s="108"/>
      <c r="S1908" s="253">
        <f>(10^(3.353*LOG(P1908*10)+1.807))/1000</f>
        <v>2.0734103408774209</v>
      </c>
      <c r="T1908" s="108" t="s">
        <v>1346</v>
      </c>
      <c r="U1908" s="108">
        <v>0.87005746936624828</v>
      </c>
      <c r="V1908" s="107">
        <v>21.492000000000001</v>
      </c>
      <c r="W1908" s="106" t="s">
        <v>1347</v>
      </c>
    </row>
    <row r="1909" spans="1:23" ht="19">
      <c r="A1909" s="104" t="s">
        <v>579</v>
      </c>
      <c r="B1909" s="104" t="s">
        <v>580</v>
      </c>
      <c r="C1909" s="454" t="s">
        <v>581</v>
      </c>
      <c r="D1909" s="105" t="s">
        <v>151</v>
      </c>
      <c r="E1909" s="104" t="s">
        <v>185</v>
      </c>
      <c r="F1909" s="104">
        <v>658</v>
      </c>
      <c r="G1909" s="106" t="s">
        <v>288</v>
      </c>
      <c r="H1909" s="104"/>
      <c r="I1909" s="104" t="s">
        <v>289</v>
      </c>
      <c r="J1909" s="104" t="s">
        <v>105</v>
      </c>
      <c r="K1909" s="104" t="s">
        <v>112</v>
      </c>
      <c r="L1909" s="104" t="s">
        <v>663</v>
      </c>
      <c r="M1909" s="104" t="s">
        <v>108</v>
      </c>
      <c r="N1909" s="108"/>
      <c r="O1909" s="108"/>
      <c r="P1909" s="108">
        <v>0.30099999999999999</v>
      </c>
      <c r="Q1909" s="108" t="s">
        <v>17</v>
      </c>
      <c r="R1909" s="108"/>
      <c r="S1909" s="253">
        <f>(10^(3.353*LOG(P1909*10)+1.807))/1000</f>
        <v>2.580081707854283</v>
      </c>
      <c r="T1909" s="108" t="s">
        <v>1346</v>
      </c>
      <c r="U1909" s="108">
        <v>0.87005746936624828</v>
      </c>
      <c r="V1909" s="107">
        <v>21.492000000000001</v>
      </c>
      <c r="W1909" s="106" t="s">
        <v>1347</v>
      </c>
    </row>
    <row r="1910" spans="1:23" ht="19">
      <c r="A1910" s="104" t="s">
        <v>579</v>
      </c>
      <c r="B1910" s="104" t="s">
        <v>580</v>
      </c>
      <c r="C1910" s="454" t="s">
        <v>581</v>
      </c>
      <c r="D1910" s="105" t="s">
        <v>151</v>
      </c>
      <c r="E1910" s="104" t="s">
        <v>185</v>
      </c>
      <c r="F1910" s="104">
        <v>3518</v>
      </c>
      <c r="G1910" s="106" t="s">
        <v>288</v>
      </c>
      <c r="H1910" s="104"/>
      <c r="I1910" s="104" t="s">
        <v>289</v>
      </c>
      <c r="J1910" s="104" t="s">
        <v>105</v>
      </c>
      <c r="K1910" s="104" t="s">
        <v>290</v>
      </c>
      <c r="L1910" s="104" t="s">
        <v>973</v>
      </c>
      <c r="M1910" s="104"/>
      <c r="N1910" s="108"/>
      <c r="O1910" s="108"/>
      <c r="P1910" s="108">
        <v>9.73</v>
      </c>
      <c r="Q1910" s="108" t="s">
        <v>17</v>
      </c>
      <c r="R1910" s="108"/>
      <c r="S1910" s="253"/>
      <c r="T1910" s="108"/>
      <c r="U1910" s="108"/>
      <c r="V1910" s="107"/>
      <c r="W1910" s="106"/>
    </row>
    <row r="1911" spans="1:23" ht="19">
      <c r="A1911" s="104" t="s">
        <v>579</v>
      </c>
      <c r="B1911" s="104" t="s">
        <v>580</v>
      </c>
      <c r="C1911" s="454" t="s">
        <v>585</v>
      </c>
      <c r="D1911" s="105" t="s">
        <v>151</v>
      </c>
      <c r="E1911" s="104" t="s">
        <v>185</v>
      </c>
      <c r="F1911" s="104">
        <v>4615</v>
      </c>
      <c r="G1911" s="106" t="s">
        <v>288</v>
      </c>
      <c r="H1911" s="104"/>
      <c r="I1911" s="104" t="s">
        <v>289</v>
      </c>
      <c r="J1911" s="104" t="s">
        <v>105</v>
      </c>
      <c r="K1911" s="104" t="s">
        <v>112</v>
      </c>
      <c r="L1911" s="104" t="s">
        <v>663</v>
      </c>
      <c r="M1911" s="104" t="s">
        <v>108</v>
      </c>
      <c r="N1911" s="108"/>
      <c r="O1911" s="108"/>
      <c r="P1911" s="108">
        <v>0.23599999999999999</v>
      </c>
      <c r="Q1911" s="108" t="s">
        <v>17</v>
      </c>
      <c r="R1911" s="108"/>
      <c r="S1911" s="253">
        <f>(10^(3.353*LOG(P1911*10)+1.807))/1000</f>
        <v>1.1412320137722425</v>
      </c>
      <c r="T1911" s="108" t="s">
        <v>1346</v>
      </c>
      <c r="U1911" s="108">
        <v>0.87005746936624828</v>
      </c>
      <c r="V1911" s="107">
        <v>21.492000000000001</v>
      </c>
      <c r="W1911" s="106" t="s">
        <v>1347</v>
      </c>
    </row>
    <row r="1912" spans="1:23" ht="19">
      <c r="A1912" s="104" t="s">
        <v>579</v>
      </c>
      <c r="B1912" s="104" t="s">
        <v>580</v>
      </c>
      <c r="C1912" s="454" t="s">
        <v>585</v>
      </c>
      <c r="D1912" s="105" t="s">
        <v>151</v>
      </c>
      <c r="E1912" s="104" t="s">
        <v>185</v>
      </c>
      <c r="F1912" s="104">
        <v>951</v>
      </c>
      <c r="G1912" s="106" t="s">
        <v>288</v>
      </c>
      <c r="H1912" s="104"/>
      <c r="I1912" s="104" t="s">
        <v>289</v>
      </c>
      <c r="J1912" s="104" t="s">
        <v>105</v>
      </c>
      <c r="K1912" s="104" t="s">
        <v>112</v>
      </c>
      <c r="L1912" s="104" t="s">
        <v>663</v>
      </c>
      <c r="M1912" s="104" t="s">
        <v>108</v>
      </c>
      <c r="N1912" s="108"/>
      <c r="O1912" s="108"/>
      <c r="P1912" s="108">
        <v>0.29300000000000004</v>
      </c>
      <c r="Q1912" s="108" t="s">
        <v>17</v>
      </c>
      <c r="R1912" s="108"/>
      <c r="S1912" s="253">
        <f>(10^(3.353*LOG(P1912*10)+1.807))/1000</f>
        <v>2.3572580691412997</v>
      </c>
      <c r="T1912" s="108" t="s">
        <v>1346</v>
      </c>
      <c r="U1912" s="108">
        <v>0.87005746936624828</v>
      </c>
      <c r="V1912" s="107">
        <v>21.492000000000001</v>
      </c>
      <c r="W1912" s="106" t="s">
        <v>1347</v>
      </c>
    </row>
    <row r="1913" spans="1:23" ht="19">
      <c r="A1913" s="103" t="s">
        <v>601</v>
      </c>
      <c r="B1913" s="103" t="s">
        <v>602</v>
      </c>
      <c r="C1913" s="421" t="s">
        <v>609</v>
      </c>
      <c r="D1913" s="396" t="s">
        <v>610</v>
      </c>
      <c r="E1913" s="103">
        <v>14</v>
      </c>
      <c r="F1913" s="103">
        <v>2178</v>
      </c>
      <c r="G1913" s="103" t="s">
        <v>1477</v>
      </c>
      <c r="H1913" s="103" t="s">
        <v>1076</v>
      </c>
      <c r="I1913" s="104" t="s">
        <v>104</v>
      </c>
      <c r="J1913" s="103" t="s">
        <v>105</v>
      </c>
      <c r="K1913" s="103" t="s">
        <v>1474</v>
      </c>
      <c r="L1913" s="103" t="s">
        <v>1475</v>
      </c>
      <c r="M1913" s="103"/>
      <c r="N1913" s="103"/>
      <c r="O1913" s="103"/>
      <c r="P1913" s="103">
        <v>16.48</v>
      </c>
      <c r="Q1913" s="103">
        <v>9.4600000000000009</v>
      </c>
      <c r="R1913" s="103"/>
      <c r="S1913" s="476"/>
      <c r="T1913" s="103"/>
      <c r="U1913" s="103"/>
      <c r="V1913" s="103"/>
      <c r="W1913" s="414"/>
    </row>
    <row r="1914" spans="1:23" ht="19">
      <c r="A1914" s="103" t="s">
        <v>601</v>
      </c>
      <c r="B1914" s="103" t="s">
        <v>602</v>
      </c>
      <c r="C1914" s="421" t="s">
        <v>609</v>
      </c>
      <c r="D1914" s="396" t="s">
        <v>610</v>
      </c>
      <c r="E1914" s="103">
        <v>14</v>
      </c>
      <c r="F1914" s="103" t="s">
        <v>1481</v>
      </c>
      <c r="G1914" s="103" t="s">
        <v>1477</v>
      </c>
      <c r="H1914" s="103" t="s">
        <v>1076</v>
      </c>
      <c r="I1914" s="104" t="s">
        <v>104</v>
      </c>
      <c r="J1914" s="103" t="s">
        <v>105</v>
      </c>
      <c r="K1914" s="103" t="s">
        <v>1474</v>
      </c>
      <c r="L1914" s="103" t="s">
        <v>1475</v>
      </c>
      <c r="M1914" s="103"/>
      <c r="N1914" s="103"/>
      <c r="O1914" s="103"/>
      <c r="P1914" s="103">
        <v>18.36</v>
      </c>
      <c r="Q1914" s="103">
        <v>10.16</v>
      </c>
      <c r="R1914" s="103"/>
      <c r="S1914" s="476"/>
      <c r="T1914" s="103"/>
      <c r="U1914" s="103"/>
      <c r="V1914" s="103"/>
      <c r="W1914" s="414"/>
    </row>
    <row r="1915" spans="1:23" ht="19">
      <c r="A1915" s="103" t="s">
        <v>601</v>
      </c>
      <c r="B1915" s="103" t="s">
        <v>602</v>
      </c>
      <c r="C1915" s="421" t="s">
        <v>609</v>
      </c>
      <c r="D1915" s="396" t="s">
        <v>610</v>
      </c>
      <c r="E1915" s="103">
        <v>14</v>
      </c>
      <c r="F1915" s="103">
        <v>2179</v>
      </c>
      <c r="G1915" s="103" t="s">
        <v>1477</v>
      </c>
      <c r="H1915" s="103" t="s">
        <v>1076</v>
      </c>
      <c r="I1915" s="104" t="s">
        <v>104</v>
      </c>
      <c r="J1915" s="103" t="s">
        <v>105</v>
      </c>
      <c r="K1915" s="103" t="s">
        <v>1486</v>
      </c>
      <c r="L1915" s="103" t="s">
        <v>1487</v>
      </c>
      <c r="M1915" s="103"/>
      <c r="N1915" s="103"/>
      <c r="O1915" s="103"/>
      <c r="P1915" s="103">
        <v>8.9</v>
      </c>
      <c r="Q1915" s="103">
        <v>7.45</v>
      </c>
      <c r="R1915" s="103"/>
      <c r="S1915" s="476"/>
      <c r="T1915" s="103"/>
      <c r="U1915" s="103"/>
      <c r="V1915" s="103"/>
      <c r="W1915" s="414"/>
    </row>
    <row r="1916" spans="1:23" ht="19">
      <c r="A1916" s="103" t="s">
        <v>218</v>
      </c>
      <c r="B1916" s="103" t="s">
        <v>389</v>
      </c>
      <c r="C1916" s="421" t="s">
        <v>390</v>
      </c>
      <c r="D1916" s="396" t="s">
        <v>470</v>
      </c>
      <c r="E1916" s="103">
        <v>45614</v>
      </c>
      <c r="F1916" s="103">
        <v>1</v>
      </c>
      <c r="G1916" s="414" t="s">
        <v>773</v>
      </c>
      <c r="H1916" s="103" t="s">
        <v>197</v>
      </c>
      <c r="I1916" s="104" t="s">
        <v>225</v>
      </c>
      <c r="J1916" s="103" t="s">
        <v>105</v>
      </c>
      <c r="K1916" s="103" t="s">
        <v>112</v>
      </c>
      <c r="L1916" s="103" t="s">
        <v>663</v>
      </c>
      <c r="M1916" s="103" t="s">
        <v>108</v>
      </c>
      <c r="N1916" s="254"/>
      <c r="O1916" s="103"/>
      <c r="P1916" s="254">
        <v>2.7280000000000002</v>
      </c>
      <c r="Q1916" s="254">
        <v>1.8329999999999997</v>
      </c>
      <c r="R1916" s="103" t="s">
        <v>17</v>
      </c>
      <c r="S1916" s="113">
        <f>10^((3.52*LOG((P1916))+1.372))</f>
        <v>805.69778234486978</v>
      </c>
      <c r="T1916" s="103" t="s">
        <v>718</v>
      </c>
      <c r="U1916" s="254">
        <v>0.93</v>
      </c>
      <c r="V1916" s="386">
        <v>34</v>
      </c>
      <c r="W1916" s="414" t="s">
        <v>700</v>
      </c>
    </row>
    <row r="1917" spans="1:23" ht="19">
      <c r="A1917" s="104" t="s">
        <v>273</v>
      </c>
      <c r="B1917" s="104" t="s">
        <v>74</v>
      </c>
      <c r="C1917" s="454" t="s">
        <v>266</v>
      </c>
      <c r="D1917" s="105" t="s">
        <v>499</v>
      </c>
      <c r="E1917" s="104">
        <v>43481</v>
      </c>
      <c r="F1917" s="104">
        <v>6</v>
      </c>
      <c r="G1917" s="106" t="s">
        <v>1182</v>
      </c>
      <c r="H1917" s="104"/>
      <c r="I1917" s="104" t="s">
        <v>225</v>
      </c>
      <c r="J1917" s="104" t="s">
        <v>284</v>
      </c>
      <c r="K1917" s="104" t="s">
        <v>691</v>
      </c>
      <c r="L1917" s="104" t="s">
        <v>692</v>
      </c>
      <c r="M1917" s="104" t="s">
        <v>108</v>
      </c>
      <c r="N1917" s="108"/>
      <c r="O1917" s="104"/>
      <c r="P1917" s="108"/>
      <c r="Q1917" s="108"/>
      <c r="R1917" s="104"/>
      <c r="S1917" s="253">
        <v>6.77433</v>
      </c>
      <c r="T1917" s="104"/>
      <c r="U1917" s="108"/>
      <c r="V1917" s="107"/>
      <c r="W1917" s="106"/>
    </row>
    <row r="1918" spans="1:23" ht="19">
      <c r="A1918" s="104" t="s">
        <v>273</v>
      </c>
      <c r="B1918" s="104" t="s">
        <v>74</v>
      </c>
      <c r="C1918" s="454" t="s">
        <v>266</v>
      </c>
      <c r="D1918" s="105" t="s">
        <v>267</v>
      </c>
      <c r="E1918" s="104">
        <v>43481</v>
      </c>
      <c r="F1918" s="104">
        <v>4</v>
      </c>
      <c r="G1918" s="106" t="s">
        <v>1182</v>
      </c>
      <c r="H1918" s="104"/>
      <c r="I1918" s="104" t="s">
        <v>225</v>
      </c>
      <c r="J1918" s="104" t="s">
        <v>284</v>
      </c>
      <c r="K1918" s="104" t="s">
        <v>112</v>
      </c>
      <c r="L1918" s="104" t="s">
        <v>663</v>
      </c>
      <c r="M1918" s="104" t="s">
        <v>108</v>
      </c>
      <c r="N1918" s="108"/>
      <c r="O1918" s="104"/>
      <c r="P1918" s="108"/>
      <c r="Q1918" s="108"/>
      <c r="R1918" s="104"/>
      <c r="S1918" s="253">
        <v>13.70927</v>
      </c>
      <c r="T1918" s="104"/>
      <c r="U1918" s="108"/>
      <c r="V1918" s="107"/>
      <c r="W1918" s="106"/>
    </row>
    <row r="1919" spans="1:23" ht="19">
      <c r="A1919" s="103" t="s">
        <v>601</v>
      </c>
      <c r="B1919" s="103" t="s">
        <v>602</v>
      </c>
      <c r="C1919" s="421" t="s">
        <v>609</v>
      </c>
      <c r="D1919" s="396" t="s">
        <v>610</v>
      </c>
      <c r="E1919" s="103">
        <v>30901</v>
      </c>
      <c r="F1919" s="103">
        <v>26</v>
      </c>
      <c r="G1919" s="103" t="s">
        <v>1484</v>
      </c>
      <c r="H1919" s="103" t="s">
        <v>1485</v>
      </c>
      <c r="I1919" s="104" t="s">
        <v>104</v>
      </c>
      <c r="J1919" s="103" t="s">
        <v>105</v>
      </c>
      <c r="K1919" s="103" t="s">
        <v>174</v>
      </c>
      <c r="L1919" s="103" t="s">
        <v>175</v>
      </c>
      <c r="M1919" s="103" t="s">
        <v>114</v>
      </c>
      <c r="N1919" s="103"/>
      <c r="O1919" s="103"/>
      <c r="P1919" s="103">
        <v>21.4</v>
      </c>
      <c r="Q1919" s="103">
        <v>9.6999999999999993</v>
      </c>
      <c r="R1919" s="103"/>
      <c r="S1919" s="476"/>
      <c r="T1919" s="103"/>
      <c r="U1919" s="103"/>
      <c r="V1919" s="103"/>
      <c r="W1919" s="414"/>
    </row>
    <row r="1920" spans="1:23" ht="19">
      <c r="A1920" s="103" t="s">
        <v>601</v>
      </c>
      <c r="B1920" s="103" t="s">
        <v>602</v>
      </c>
      <c r="C1920" s="421" t="s">
        <v>609</v>
      </c>
      <c r="D1920" s="396" t="s">
        <v>610</v>
      </c>
      <c r="E1920" s="103">
        <v>30901</v>
      </c>
      <c r="F1920" s="103">
        <v>26</v>
      </c>
      <c r="G1920" s="103" t="s">
        <v>1484</v>
      </c>
      <c r="H1920" s="103" t="s">
        <v>1485</v>
      </c>
      <c r="I1920" s="104" t="s">
        <v>104</v>
      </c>
      <c r="J1920" s="103" t="s">
        <v>105</v>
      </c>
      <c r="K1920" s="103" t="s">
        <v>174</v>
      </c>
      <c r="L1920" s="103" t="s">
        <v>175</v>
      </c>
      <c r="M1920" s="103" t="s">
        <v>108</v>
      </c>
      <c r="N1920" s="103"/>
      <c r="O1920" s="103"/>
      <c r="P1920" s="103">
        <v>19.600000000000001</v>
      </c>
      <c r="Q1920" s="103">
        <v>9.5</v>
      </c>
      <c r="R1920" s="103"/>
      <c r="S1920" s="476"/>
      <c r="T1920" s="103"/>
      <c r="U1920" s="103"/>
      <c r="V1920" s="103"/>
      <c r="W1920" s="414"/>
    </row>
    <row r="1921" spans="1:23" ht="19">
      <c r="A1921" s="103" t="s">
        <v>601</v>
      </c>
      <c r="B1921" s="103" t="s">
        <v>602</v>
      </c>
      <c r="C1921" s="421" t="s">
        <v>603</v>
      </c>
      <c r="D1921" s="105" t="s">
        <v>151</v>
      </c>
      <c r="E1921" s="103">
        <v>30901</v>
      </c>
      <c r="F1921" s="103">
        <v>5</v>
      </c>
      <c r="G1921" s="103" t="s">
        <v>1484</v>
      </c>
      <c r="H1921" s="103" t="s">
        <v>1485</v>
      </c>
      <c r="I1921" s="104" t="s">
        <v>104</v>
      </c>
      <c r="J1921" s="103" t="s">
        <v>105</v>
      </c>
      <c r="K1921" s="103" t="s">
        <v>986</v>
      </c>
      <c r="L1921" s="104" t="s">
        <v>987</v>
      </c>
      <c r="M1921" s="103"/>
      <c r="N1921" s="103"/>
      <c r="O1921" s="103">
        <v>37.5</v>
      </c>
      <c r="P1921" s="103"/>
      <c r="Q1921" s="103"/>
      <c r="R1921" s="103"/>
      <c r="S1921" s="476">
        <v>5040.8999999999996</v>
      </c>
      <c r="T1921" s="103" t="s">
        <v>1470</v>
      </c>
      <c r="U1921" s="103">
        <v>0.99</v>
      </c>
      <c r="V1921" s="103" t="s">
        <v>287</v>
      </c>
      <c r="W1921" s="414" t="s">
        <v>1471</v>
      </c>
    </row>
    <row r="1922" spans="1:23" ht="19">
      <c r="A1922" s="103" t="s">
        <v>601</v>
      </c>
      <c r="B1922" s="103" t="s">
        <v>602</v>
      </c>
      <c r="C1922" s="421" t="s">
        <v>603</v>
      </c>
      <c r="D1922" s="105" t="s">
        <v>151</v>
      </c>
      <c r="E1922" s="103">
        <v>30901</v>
      </c>
      <c r="F1922" s="103">
        <v>24</v>
      </c>
      <c r="G1922" s="103" t="s">
        <v>1484</v>
      </c>
      <c r="H1922" s="103" t="s">
        <v>1485</v>
      </c>
      <c r="I1922" s="104" t="s">
        <v>104</v>
      </c>
      <c r="J1922" s="103" t="s">
        <v>105</v>
      </c>
      <c r="K1922" s="103" t="s">
        <v>986</v>
      </c>
      <c r="L1922" s="104" t="s">
        <v>987</v>
      </c>
      <c r="M1922" s="103" t="s">
        <v>114</v>
      </c>
      <c r="N1922" s="103"/>
      <c r="O1922" s="103">
        <v>45.6</v>
      </c>
      <c r="P1922" s="103"/>
      <c r="Q1922" s="103"/>
      <c r="R1922" s="103"/>
      <c r="S1922" s="476">
        <v>7541.7</v>
      </c>
      <c r="T1922" s="103" t="s">
        <v>1470</v>
      </c>
      <c r="U1922" s="103">
        <v>0.99</v>
      </c>
      <c r="V1922" s="103" t="s">
        <v>287</v>
      </c>
      <c r="W1922" s="414" t="s">
        <v>1471</v>
      </c>
    </row>
    <row r="1923" spans="1:23" ht="19">
      <c r="A1923" s="104" t="s">
        <v>273</v>
      </c>
      <c r="B1923" s="104" t="s">
        <v>76</v>
      </c>
      <c r="C1923" s="454" t="s">
        <v>95</v>
      </c>
      <c r="D1923" s="105" t="s">
        <v>96</v>
      </c>
      <c r="E1923" s="104">
        <v>43059</v>
      </c>
      <c r="F1923" s="104">
        <v>304</v>
      </c>
      <c r="G1923" s="106" t="s">
        <v>1284</v>
      </c>
      <c r="H1923" s="104"/>
      <c r="I1923" s="104" t="s">
        <v>104</v>
      </c>
      <c r="J1923" s="104" t="s">
        <v>105</v>
      </c>
      <c r="K1923" s="104" t="s">
        <v>1159</v>
      </c>
      <c r="L1923" s="104" t="s">
        <v>1160</v>
      </c>
      <c r="M1923" s="104" t="s">
        <v>114</v>
      </c>
      <c r="N1923" s="108">
        <v>3.28</v>
      </c>
      <c r="O1923" s="104" t="s">
        <v>17</v>
      </c>
      <c r="P1923" s="108" t="s">
        <v>17</v>
      </c>
      <c r="Q1923" s="108" t="s">
        <v>17</v>
      </c>
      <c r="R1923" s="104" t="s">
        <v>17</v>
      </c>
      <c r="S1923" s="253">
        <f>(10^(((LOG(N1923*10))*2.5908)+1.2234))/1000</f>
        <v>141.4900676678331</v>
      </c>
      <c r="T1923" s="104" t="s">
        <v>1273</v>
      </c>
      <c r="U1923" s="108">
        <v>0.94</v>
      </c>
      <c r="V1923" s="107" t="s">
        <v>287</v>
      </c>
      <c r="W1923" s="114" t="s">
        <v>269</v>
      </c>
    </row>
    <row r="1924" spans="1:23" ht="19">
      <c r="A1924" s="416" t="s">
        <v>273</v>
      </c>
      <c r="B1924" s="416" t="s">
        <v>80</v>
      </c>
      <c r="C1924" s="455" t="s">
        <v>557</v>
      </c>
      <c r="D1924" s="461" t="s">
        <v>558</v>
      </c>
      <c r="E1924" s="416">
        <v>43059</v>
      </c>
      <c r="F1924" s="416">
        <v>305</v>
      </c>
      <c r="G1924" s="456" t="s">
        <v>1284</v>
      </c>
      <c r="H1924" s="416"/>
      <c r="I1924" s="104" t="s">
        <v>104</v>
      </c>
      <c r="J1924" s="416" t="s">
        <v>105</v>
      </c>
      <c r="K1924" s="416" t="s">
        <v>121</v>
      </c>
      <c r="L1924" s="416" t="s">
        <v>1041</v>
      </c>
      <c r="M1924" s="416" t="s">
        <v>108</v>
      </c>
      <c r="N1924" s="458" t="s">
        <v>17</v>
      </c>
      <c r="O1924" s="416" t="s">
        <v>17</v>
      </c>
      <c r="P1924" s="458">
        <v>11.1</v>
      </c>
      <c r="Q1924" s="458">
        <v>7.7900000000000009</v>
      </c>
      <c r="R1924" s="416" t="s">
        <v>17</v>
      </c>
      <c r="S1924" s="459">
        <f>(10^((LOG(P1924*10)*1.4737)+2.2917))/1000</f>
        <v>202.2518365127064</v>
      </c>
      <c r="T1924" s="416" t="s">
        <v>1317</v>
      </c>
      <c r="U1924" s="458">
        <v>0.78</v>
      </c>
      <c r="V1924" s="460" t="s">
        <v>287</v>
      </c>
      <c r="W1924" s="466" t="s">
        <v>105</v>
      </c>
    </row>
    <row r="1925" spans="1:23" ht="19">
      <c r="A1925" s="416" t="s">
        <v>562</v>
      </c>
      <c r="B1925" s="416" t="s">
        <v>571</v>
      </c>
      <c r="C1925" s="455" t="s">
        <v>572</v>
      </c>
      <c r="D1925" s="461" t="s">
        <v>573</v>
      </c>
      <c r="E1925" s="416">
        <v>43059</v>
      </c>
      <c r="F1925" s="416">
        <v>316</v>
      </c>
      <c r="G1925" s="456" t="s">
        <v>1284</v>
      </c>
      <c r="H1925" s="416"/>
      <c r="I1925" s="104" t="s">
        <v>104</v>
      </c>
      <c r="J1925" s="416" t="s">
        <v>105</v>
      </c>
      <c r="K1925" s="416" t="s">
        <v>1159</v>
      </c>
      <c r="L1925" s="416" t="s">
        <v>1160</v>
      </c>
      <c r="M1925" s="416" t="s">
        <v>114</v>
      </c>
      <c r="N1925" s="458">
        <v>2.2149999999999999</v>
      </c>
      <c r="O1925" s="416" t="s">
        <v>17</v>
      </c>
      <c r="P1925" s="458" t="s">
        <v>17</v>
      </c>
      <c r="Q1925" s="458" t="s">
        <v>17</v>
      </c>
      <c r="R1925" s="416" t="s">
        <v>17</v>
      </c>
      <c r="S1925" s="459">
        <f>(10^(2.66975*LOG(N1925*10*3.1412)-0.13193))/1000</f>
        <v>61.235386778910708</v>
      </c>
      <c r="T1925" s="458" t="s">
        <v>1340</v>
      </c>
      <c r="U1925" s="458">
        <v>0.98</v>
      </c>
      <c r="V1925" s="460"/>
      <c r="W1925" s="466" t="s">
        <v>989</v>
      </c>
    </row>
    <row r="1926" spans="1:23" ht="19">
      <c r="A1926" s="104" t="s">
        <v>1445</v>
      </c>
      <c r="B1926" s="104" t="s">
        <v>593</v>
      </c>
      <c r="C1926" s="454" t="s">
        <v>594</v>
      </c>
      <c r="D1926" s="105" t="s">
        <v>1444</v>
      </c>
      <c r="E1926" s="104">
        <v>43059</v>
      </c>
      <c r="F1926" s="104">
        <v>308</v>
      </c>
      <c r="G1926" s="106" t="s">
        <v>1284</v>
      </c>
      <c r="H1926" s="104"/>
      <c r="I1926" s="104" t="s">
        <v>104</v>
      </c>
      <c r="J1926" s="104" t="s">
        <v>105</v>
      </c>
      <c r="K1926" s="104" t="s">
        <v>1159</v>
      </c>
      <c r="L1926" s="104" t="s">
        <v>1160</v>
      </c>
      <c r="M1926" s="104" t="s">
        <v>108</v>
      </c>
      <c r="N1926" s="108">
        <v>6.76</v>
      </c>
      <c r="O1926" s="104" t="s">
        <v>17</v>
      </c>
      <c r="P1926" s="108" t="s">
        <v>17</v>
      </c>
      <c r="Q1926" s="108" t="s">
        <v>17</v>
      </c>
      <c r="R1926" s="104" t="s">
        <v>17</v>
      </c>
      <c r="S1926" s="253">
        <f>(10^(2.66975*LOG(N1926*10*3.1412)-0.13193))/1000</f>
        <v>1204.179250867644</v>
      </c>
      <c r="T1926" s="108" t="s">
        <v>1340</v>
      </c>
      <c r="U1926" s="108">
        <v>0.98</v>
      </c>
      <c r="V1926" s="107"/>
      <c r="W1926" s="114" t="s">
        <v>989</v>
      </c>
    </row>
    <row r="1927" spans="1:23" ht="19">
      <c r="A1927" s="104" t="s">
        <v>1445</v>
      </c>
      <c r="B1927" s="104" t="s">
        <v>593</v>
      </c>
      <c r="C1927" s="454" t="s">
        <v>594</v>
      </c>
      <c r="D1927" s="105" t="s">
        <v>1444</v>
      </c>
      <c r="E1927" s="104">
        <v>43059</v>
      </c>
      <c r="F1927" s="104">
        <v>303</v>
      </c>
      <c r="G1927" s="106" t="s">
        <v>1284</v>
      </c>
      <c r="H1927" s="104"/>
      <c r="I1927" s="104" t="s">
        <v>104</v>
      </c>
      <c r="J1927" s="104" t="s">
        <v>105</v>
      </c>
      <c r="K1927" s="104" t="s">
        <v>1164</v>
      </c>
      <c r="L1927" s="104" t="s">
        <v>1165</v>
      </c>
      <c r="M1927" s="104" t="s">
        <v>114</v>
      </c>
      <c r="N1927" s="108" t="s">
        <v>17</v>
      </c>
      <c r="O1927" s="104" t="s">
        <v>17</v>
      </c>
      <c r="P1927" s="108">
        <v>14.1</v>
      </c>
      <c r="Q1927" s="108">
        <v>7.4599999999999991</v>
      </c>
      <c r="R1927" s="104" t="s">
        <v>17</v>
      </c>
      <c r="S1927" s="253"/>
      <c r="T1927" s="104"/>
      <c r="U1927" s="108"/>
      <c r="V1927" s="107"/>
      <c r="W1927" s="114"/>
    </row>
    <row r="1928" spans="1:23" ht="19">
      <c r="A1928" s="104" t="s">
        <v>1445</v>
      </c>
      <c r="B1928" s="104" t="s">
        <v>593</v>
      </c>
      <c r="C1928" s="454" t="s">
        <v>594</v>
      </c>
      <c r="D1928" s="105" t="s">
        <v>1444</v>
      </c>
      <c r="E1928" s="104">
        <v>43059</v>
      </c>
      <c r="F1928" s="104">
        <v>307</v>
      </c>
      <c r="G1928" s="106" t="s">
        <v>1284</v>
      </c>
      <c r="H1928" s="104"/>
      <c r="I1928" s="104" t="s">
        <v>104</v>
      </c>
      <c r="J1928" s="104" t="s">
        <v>105</v>
      </c>
      <c r="K1928" s="104" t="s">
        <v>1189</v>
      </c>
      <c r="L1928" s="104" t="s">
        <v>1190</v>
      </c>
      <c r="M1928" s="104" t="s">
        <v>108</v>
      </c>
      <c r="N1928" s="108" t="s">
        <v>17</v>
      </c>
      <c r="O1928" s="104" t="s">
        <v>17</v>
      </c>
      <c r="P1928" s="108">
        <v>13.382</v>
      </c>
      <c r="Q1928" s="108">
        <v>9.620000000000001</v>
      </c>
      <c r="R1928" s="104" t="s">
        <v>17</v>
      </c>
      <c r="S1928" s="253"/>
      <c r="T1928" s="104"/>
      <c r="U1928" s="108"/>
      <c r="V1928" s="107"/>
      <c r="W1928" s="114"/>
    </row>
    <row r="1929" spans="1:23" ht="19">
      <c r="A1929" s="104" t="s">
        <v>1445</v>
      </c>
      <c r="B1929" s="104" t="s">
        <v>593</v>
      </c>
      <c r="C1929" s="454" t="s">
        <v>594</v>
      </c>
      <c r="D1929" s="105" t="s">
        <v>1444</v>
      </c>
      <c r="E1929" s="104">
        <v>43059</v>
      </c>
      <c r="F1929" s="104">
        <v>311</v>
      </c>
      <c r="G1929" s="106" t="s">
        <v>1284</v>
      </c>
      <c r="H1929" s="104"/>
      <c r="I1929" s="104" t="s">
        <v>104</v>
      </c>
      <c r="J1929" s="104" t="s">
        <v>105</v>
      </c>
      <c r="K1929" s="104" t="s">
        <v>1189</v>
      </c>
      <c r="L1929" s="104" t="s">
        <v>1190</v>
      </c>
      <c r="M1929" s="104" t="s">
        <v>114</v>
      </c>
      <c r="N1929" s="108" t="s">
        <v>17</v>
      </c>
      <c r="O1929" s="104" t="s">
        <v>17</v>
      </c>
      <c r="P1929" s="108">
        <v>10.365</v>
      </c>
      <c r="Q1929" s="108">
        <v>7.57</v>
      </c>
      <c r="R1929" s="104" t="s">
        <v>17</v>
      </c>
      <c r="S1929" s="253"/>
      <c r="T1929" s="104"/>
      <c r="U1929" s="108"/>
      <c r="V1929" s="107"/>
      <c r="W1929" s="114"/>
    </row>
    <row r="1930" spans="1:23" ht="19">
      <c r="A1930" s="104" t="s">
        <v>592</v>
      </c>
      <c r="B1930" s="104" t="s">
        <v>597</v>
      </c>
      <c r="C1930" s="454" t="s">
        <v>598</v>
      </c>
      <c r="D1930" s="105" t="s">
        <v>599</v>
      </c>
      <c r="E1930" s="104">
        <v>43059</v>
      </c>
      <c r="F1930" s="104">
        <v>325</v>
      </c>
      <c r="G1930" s="106" t="s">
        <v>1284</v>
      </c>
      <c r="H1930" s="104"/>
      <c r="I1930" s="104" t="s">
        <v>104</v>
      </c>
      <c r="J1930" s="104" t="s">
        <v>105</v>
      </c>
      <c r="K1930" s="104" t="s">
        <v>1159</v>
      </c>
      <c r="L1930" s="104" t="s">
        <v>1160</v>
      </c>
      <c r="M1930" s="104" t="s">
        <v>114</v>
      </c>
      <c r="N1930" s="108">
        <v>9.1</v>
      </c>
      <c r="O1930" s="104" t="s">
        <v>17</v>
      </c>
      <c r="P1930" s="108" t="s">
        <v>17</v>
      </c>
      <c r="Q1930" s="108" t="s">
        <v>17</v>
      </c>
      <c r="R1930" s="104" t="s">
        <v>17</v>
      </c>
      <c r="S1930" s="253">
        <f>(10^(2.66975*LOG(N1930*10*3.1412)-0.13193))/1000</f>
        <v>2662.8193567556286</v>
      </c>
      <c r="T1930" s="108" t="s">
        <v>1340</v>
      </c>
      <c r="U1930" s="108">
        <v>0.98</v>
      </c>
      <c r="V1930" s="107"/>
      <c r="W1930" s="114" t="s">
        <v>989</v>
      </c>
    </row>
    <row r="1931" spans="1:23" ht="19">
      <c r="A1931" s="104" t="s">
        <v>592</v>
      </c>
      <c r="B1931" s="104" t="s">
        <v>210</v>
      </c>
      <c r="C1931" s="454" t="s">
        <v>1460</v>
      </c>
      <c r="D1931" s="105" t="s">
        <v>151</v>
      </c>
      <c r="E1931" s="104">
        <v>43059</v>
      </c>
      <c r="F1931" s="104">
        <v>302</v>
      </c>
      <c r="G1931" s="106" t="s">
        <v>1284</v>
      </c>
      <c r="H1931" s="104"/>
      <c r="I1931" s="104" t="s">
        <v>104</v>
      </c>
      <c r="J1931" s="104" t="s">
        <v>105</v>
      </c>
      <c r="K1931" s="104" t="s">
        <v>136</v>
      </c>
      <c r="L1931" s="104" t="s">
        <v>1032</v>
      </c>
      <c r="M1931" s="104" t="s">
        <v>114</v>
      </c>
      <c r="N1931" s="108" t="s">
        <v>17</v>
      </c>
      <c r="O1931" s="104" t="s">
        <v>17</v>
      </c>
      <c r="P1931" s="108">
        <v>20.5</v>
      </c>
      <c r="Q1931" s="108">
        <v>9.2200000000000006</v>
      </c>
      <c r="R1931" s="104" t="s">
        <v>17</v>
      </c>
      <c r="S1931" s="253">
        <f>(10^((2.782*LOG((Q1931))-0.0107)))</f>
        <v>471.17411377618475</v>
      </c>
      <c r="T1931" s="104" t="s">
        <v>1461</v>
      </c>
      <c r="U1931" s="108">
        <v>0.94</v>
      </c>
      <c r="V1931" s="107">
        <v>22</v>
      </c>
      <c r="W1931" s="106" t="s">
        <v>1462</v>
      </c>
    </row>
    <row r="1932" spans="1:23" ht="19">
      <c r="A1932" s="104" t="s">
        <v>592</v>
      </c>
      <c r="B1932" s="104" t="s">
        <v>210</v>
      </c>
      <c r="C1932" s="454" t="s">
        <v>1460</v>
      </c>
      <c r="D1932" s="105" t="s">
        <v>151</v>
      </c>
      <c r="E1932" s="104">
        <v>43059</v>
      </c>
      <c r="F1932" s="104">
        <v>314</v>
      </c>
      <c r="G1932" s="106" t="s">
        <v>1284</v>
      </c>
      <c r="H1932" s="104"/>
      <c r="I1932" s="104" t="s">
        <v>104</v>
      </c>
      <c r="J1932" s="104" t="s">
        <v>105</v>
      </c>
      <c r="K1932" s="104" t="s">
        <v>1189</v>
      </c>
      <c r="L1932" s="104" t="s">
        <v>1190</v>
      </c>
      <c r="M1932" s="104" t="s">
        <v>114</v>
      </c>
      <c r="N1932" s="108" t="s">
        <v>17</v>
      </c>
      <c r="O1932" s="104" t="s">
        <v>17</v>
      </c>
      <c r="P1932" s="108">
        <v>10.36</v>
      </c>
      <c r="Q1932" s="108">
        <v>8.17</v>
      </c>
      <c r="R1932" s="104" t="s">
        <v>17</v>
      </c>
      <c r="S1932" s="253"/>
      <c r="T1932" s="104"/>
      <c r="U1932" s="108"/>
      <c r="V1932" s="107"/>
      <c r="W1932" s="114"/>
    </row>
    <row r="1933" spans="1:23" ht="38">
      <c r="A1933" s="104" t="s">
        <v>273</v>
      </c>
      <c r="B1933" s="104" t="s">
        <v>76</v>
      </c>
      <c r="C1933" s="454" t="s">
        <v>524</v>
      </c>
      <c r="D1933" s="105" t="s">
        <v>525</v>
      </c>
      <c r="E1933" s="104">
        <v>43059</v>
      </c>
      <c r="F1933" s="104">
        <v>997</v>
      </c>
      <c r="G1933" s="106" t="s">
        <v>1281</v>
      </c>
      <c r="H1933" s="104"/>
      <c r="I1933" s="104" t="s">
        <v>104</v>
      </c>
      <c r="J1933" s="104" t="s">
        <v>105</v>
      </c>
      <c r="K1933" s="104" t="s">
        <v>112</v>
      </c>
      <c r="L1933" s="104" t="s">
        <v>663</v>
      </c>
      <c r="M1933" s="104" t="s">
        <v>114</v>
      </c>
      <c r="N1933" s="108" t="s">
        <v>17</v>
      </c>
      <c r="O1933" s="104" t="s">
        <v>17</v>
      </c>
      <c r="P1933" s="108">
        <v>2.782</v>
      </c>
      <c r="Q1933" s="108">
        <v>1.341</v>
      </c>
      <c r="R1933" s="462"/>
      <c r="S1933" s="253">
        <f>10^(((LOG(P1933*10))*3.05)+-2.15)</f>
        <v>180.00693337051339</v>
      </c>
      <c r="T1933" s="104" t="s">
        <v>1271</v>
      </c>
      <c r="U1933" s="108">
        <v>0.9</v>
      </c>
      <c r="V1933" s="107">
        <v>28</v>
      </c>
      <c r="W1933" s="114" t="s">
        <v>1272</v>
      </c>
    </row>
    <row r="1934" spans="1:23" ht="38">
      <c r="A1934" s="104" t="s">
        <v>273</v>
      </c>
      <c r="B1934" s="104" t="s">
        <v>76</v>
      </c>
      <c r="C1934" s="454" t="s">
        <v>524</v>
      </c>
      <c r="D1934" s="105" t="s">
        <v>525</v>
      </c>
      <c r="E1934" s="104">
        <v>43059</v>
      </c>
      <c r="F1934" s="104">
        <v>998</v>
      </c>
      <c r="G1934" s="106" t="s">
        <v>1281</v>
      </c>
      <c r="H1934" s="104"/>
      <c r="I1934" s="104" t="s">
        <v>104</v>
      </c>
      <c r="J1934" s="104" t="s">
        <v>105</v>
      </c>
      <c r="K1934" s="104" t="s">
        <v>112</v>
      </c>
      <c r="L1934" s="104" t="s">
        <v>663</v>
      </c>
      <c r="M1934" s="104" t="s">
        <v>108</v>
      </c>
      <c r="N1934" s="108" t="s">
        <v>17</v>
      </c>
      <c r="O1934" s="104" t="s">
        <v>17</v>
      </c>
      <c r="P1934" s="108">
        <v>3.089</v>
      </c>
      <c r="Q1934" s="108">
        <v>1.516</v>
      </c>
      <c r="R1934" s="104" t="s">
        <v>17</v>
      </c>
      <c r="S1934" s="253">
        <f>10^(((LOG(P1934*10))*3.05)+-2.15)</f>
        <v>247.71061657655832</v>
      </c>
      <c r="T1934" s="104" t="s">
        <v>1271</v>
      </c>
      <c r="U1934" s="108">
        <v>0.9</v>
      </c>
      <c r="V1934" s="107">
        <v>28</v>
      </c>
      <c r="W1934" s="114" t="s">
        <v>1272</v>
      </c>
    </row>
    <row r="1935" spans="1:23" ht="38">
      <c r="A1935" s="104" t="s">
        <v>592</v>
      </c>
      <c r="B1935" s="104" t="s">
        <v>593</v>
      </c>
      <c r="C1935" s="454" t="s">
        <v>594</v>
      </c>
      <c r="D1935" s="105" t="s">
        <v>1444</v>
      </c>
      <c r="E1935" s="104">
        <v>43059</v>
      </c>
      <c r="F1935" s="104">
        <v>510</v>
      </c>
      <c r="G1935" s="106" t="s">
        <v>1281</v>
      </c>
      <c r="H1935" s="104"/>
      <c r="I1935" s="104" t="s">
        <v>104</v>
      </c>
      <c r="J1935" s="104" t="s">
        <v>105</v>
      </c>
      <c r="K1935" s="104" t="s">
        <v>1241</v>
      </c>
      <c r="L1935" s="104" t="s">
        <v>1242</v>
      </c>
      <c r="M1935" s="104" t="s">
        <v>114</v>
      </c>
      <c r="N1935" s="108" t="s">
        <v>17</v>
      </c>
      <c r="O1935" s="104" t="s">
        <v>17</v>
      </c>
      <c r="P1935" s="108">
        <v>13.146000000000001</v>
      </c>
      <c r="Q1935" s="108">
        <v>9.6900000000000013</v>
      </c>
      <c r="R1935" s="104" t="s">
        <v>17</v>
      </c>
      <c r="S1935" s="253"/>
      <c r="T1935" s="104"/>
      <c r="U1935" s="108"/>
      <c r="V1935" s="107"/>
      <c r="W1935" s="114"/>
    </row>
    <row r="1936" spans="1:23" ht="38">
      <c r="A1936" s="104" t="s">
        <v>592</v>
      </c>
      <c r="B1936" s="104" t="s">
        <v>210</v>
      </c>
      <c r="C1936" s="454" t="s">
        <v>1460</v>
      </c>
      <c r="D1936" s="105" t="s">
        <v>151</v>
      </c>
      <c r="E1936" s="104">
        <v>43059</v>
      </c>
      <c r="F1936" s="104">
        <v>511</v>
      </c>
      <c r="G1936" s="106" t="s">
        <v>1281</v>
      </c>
      <c r="H1936" s="104"/>
      <c r="I1936" s="104" t="s">
        <v>104</v>
      </c>
      <c r="J1936" s="104" t="s">
        <v>105</v>
      </c>
      <c r="K1936" s="104" t="s">
        <v>647</v>
      </c>
      <c r="L1936" s="104" t="s">
        <v>648</v>
      </c>
      <c r="M1936" s="104" t="s">
        <v>114</v>
      </c>
      <c r="N1936" s="108" t="s">
        <v>17</v>
      </c>
      <c r="O1936" s="104" t="s">
        <v>17</v>
      </c>
      <c r="P1936" s="108">
        <v>11.086</v>
      </c>
      <c r="Q1936" s="108">
        <v>5.33</v>
      </c>
      <c r="R1936" s="104" t="s">
        <v>17</v>
      </c>
      <c r="S1936" s="253"/>
      <c r="T1936" s="104"/>
      <c r="U1936" s="108"/>
      <c r="V1936" s="107"/>
      <c r="W1936" s="114"/>
    </row>
    <row r="1937" spans="1:23" ht="38">
      <c r="A1937" s="104" t="s">
        <v>592</v>
      </c>
      <c r="B1937" s="104" t="s">
        <v>210</v>
      </c>
      <c r="C1937" s="454" t="s">
        <v>1460</v>
      </c>
      <c r="D1937" s="105" t="s">
        <v>151</v>
      </c>
      <c r="E1937" s="104">
        <v>43059</v>
      </c>
      <c r="F1937" s="104">
        <v>513</v>
      </c>
      <c r="G1937" s="106" t="s">
        <v>1281</v>
      </c>
      <c r="H1937" s="104"/>
      <c r="I1937" s="104" t="s">
        <v>104</v>
      </c>
      <c r="J1937" s="104" t="s">
        <v>105</v>
      </c>
      <c r="K1937" s="104" t="s">
        <v>647</v>
      </c>
      <c r="L1937" s="104" t="s">
        <v>648</v>
      </c>
      <c r="M1937" s="104" t="s">
        <v>108</v>
      </c>
      <c r="N1937" s="108" t="s">
        <v>17</v>
      </c>
      <c r="O1937" s="104" t="s">
        <v>17</v>
      </c>
      <c r="P1937" s="108">
        <v>11.15</v>
      </c>
      <c r="Q1937" s="108">
        <v>4.8600000000000003</v>
      </c>
      <c r="R1937" s="104" t="s">
        <v>17</v>
      </c>
      <c r="S1937" s="253"/>
      <c r="T1937" s="104"/>
      <c r="U1937" s="108"/>
      <c r="V1937" s="107"/>
      <c r="W1937" s="114"/>
    </row>
    <row r="1938" spans="1:23" ht="19">
      <c r="A1938" s="104" t="s">
        <v>218</v>
      </c>
      <c r="B1938" s="104" t="s">
        <v>221</v>
      </c>
      <c r="C1938" s="454" t="s">
        <v>222</v>
      </c>
      <c r="D1938" s="105" t="s">
        <v>151</v>
      </c>
      <c r="E1938" s="104">
        <v>40451</v>
      </c>
      <c r="F1938" s="104">
        <v>991</v>
      </c>
      <c r="G1938" s="106" t="s">
        <v>223</v>
      </c>
      <c r="H1938" s="104" t="s">
        <v>224</v>
      </c>
      <c r="I1938" s="104" t="s">
        <v>225</v>
      </c>
      <c r="J1938" s="104" t="s">
        <v>105</v>
      </c>
      <c r="K1938" s="104" t="s">
        <v>185</v>
      </c>
      <c r="L1938" s="104" t="s">
        <v>997</v>
      </c>
      <c r="M1938" s="104"/>
      <c r="N1938" s="108" t="s">
        <v>17</v>
      </c>
      <c r="O1938" s="104" t="s">
        <v>17</v>
      </c>
      <c r="P1938" s="108">
        <v>1.29</v>
      </c>
      <c r="Q1938" s="108">
        <v>1.502</v>
      </c>
      <c r="R1938" s="104" t="s">
        <v>17</v>
      </c>
      <c r="S1938" s="253">
        <f t="shared" ref="S1938:S1943" si="27">(((((10^((3.334*LOG((P1938))+1.27)))+(10^(3.106*LOG((P1938))+1.119))+(10^(3.143*LOG((P1938))+0.799))+(10^(3.218*LOG((P1938))+1.073)))))/4)</f>
        <v>28.347137374750659</v>
      </c>
      <c r="T1938" s="104" t="s">
        <v>1035</v>
      </c>
      <c r="U1938" s="108">
        <v>0.88</v>
      </c>
      <c r="V1938" s="107">
        <v>42.47</v>
      </c>
      <c r="W1938" s="106" t="s">
        <v>1028</v>
      </c>
    </row>
    <row r="1939" spans="1:23" ht="19">
      <c r="A1939" s="104" t="s">
        <v>218</v>
      </c>
      <c r="B1939" s="104" t="s">
        <v>221</v>
      </c>
      <c r="C1939" s="454" t="s">
        <v>222</v>
      </c>
      <c r="D1939" s="105" t="s">
        <v>151</v>
      </c>
      <c r="E1939" s="104">
        <v>40451</v>
      </c>
      <c r="F1939" s="104">
        <v>13</v>
      </c>
      <c r="G1939" s="106" t="s">
        <v>223</v>
      </c>
      <c r="H1939" s="104" t="s">
        <v>224</v>
      </c>
      <c r="I1939" s="104" t="s">
        <v>225</v>
      </c>
      <c r="J1939" s="104" t="s">
        <v>105</v>
      </c>
      <c r="K1939" s="104" t="s">
        <v>185</v>
      </c>
      <c r="L1939" s="104" t="s">
        <v>997</v>
      </c>
      <c r="M1939" s="104"/>
      <c r="N1939" s="108" t="s">
        <v>17</v>
      </c>
      <c r="O1939" s="104" t="s">
        <v>17</v>
      </c>
      <c r="P1939" s="108">
        <v>1.4140000000000001</v>
      </c>
      <c r="Q1939" s="108">
        <v>0.92300000000000004</v>
      </c>
      <c r="R1939" s="104" t="s">
        <v>17</v>
      </c>
      <c r="S1939" s="253">
        <f t="shared" si="27"/>
        <v>38.111621593918912</v>
      </c>
      <c r="T1939" s="104" t="s">
        <v>1035</v>
      </c>
      <c r="U1939" s="108">
        <v>0.88</v>
      </c>
      <c r="V1939" s="107">
        <v>42.47</v>
      </c>
      <c r="W1939" s="106" t="s">
        <v>1028</v>
      </c>
    </row>
    <row r="1940" spans="1:23" ht="19">
      <c r="A1940" s="104" t="s">
        <v>218</v>
      </c>
      <c r="B1940" s="104" t="s">
        <v>221</v>
      </c>
      <c r="C1940" s="454" t="s">
        <v>222</v>
      </c>
      <c r="D1940" s="105" t="s">
        <v>151</v>
      </c>
      <c r="E1940" s="104">
        <v>40451</v>
      </c>
      <c r="F1940" s="104">
        <v>152</v>
      </c>
      <c r="G1940" s="106" t="s">
        <v>223</v>
      </c>
      <c r="H1940" s="104" t="s">
        <v>224</v>
      </c>
      <c r="I1940" s="104" t="s">
        <v>225</v>
      </c>
      <c r="J1940" s="104" t="s">
        <v>105</v>
      </c>
      <c r="K1940" s="104" t="s">
        <v>185</v>
      </c>
      <c r="L1940" s="104" t="s">
        <v>997</v>
      </c>
      <c r="M1940" s="104"/>
      <c r="N1940" s="108" t="s">
        <v>17</v>
      </c>
      <c r="O1940" s="104" t="s">
        <v>17</v>
      </c>
      <c r="P1940" s="108">
        <v>1.47</v>
      </c>
      <c r="Q1940" s="108">
        <v>1.573</v>
      </c>
      <c r="R1940" s="104" t="s">
        <v>17</v>
      </c>
      <c r="S1940" s="253">
        <f t="shared" si="27"/>
        <v>43.198306507743474</v>
      </c>
      <c r="T1940" s="104" t="s">
        <v>1035</v>
      </c>
      <c r="U1940" s="108">
        <v>0.88</v>
      </c>
      <c r="V1940" s="107">
        <v>42.47</v>
      </c>
      <c r="W1940" s="106" t="s">
        <v>1028</v>
      </c>
    </row>
    <row r="1941" spans="1:23" ht="19">
      <c r="A1941" s="104" t="s">
        <v>218</v>
      </c>
      <c r="B1941" s="104" t="s">
        <v>221</v>
      </c>
      <c r="C1941" s="454" t="s">
        <v>222</v>
      </c>
      <c r="D1941" s="105" t="s">
        <v>151</v>
      </c>
      <c r="E1941" s="104">
        <v>40451</v>
      </c>
      <c r="F1941" s="104" t="s">
        <v>1052</v>
      </c>
      <c r="G1941" s="106" t="s">
        <v>223</v>
      </c>
      <c r="H1941" s="104" t="s">
        <v>224</v>
      </c>
      <c r="I1941" s="104" t="s">
        <v>225</v>
      </c>
      <c r="J1941" s="104" t="s">
        <v>105</v>
      </c>
      <c r="K1941" s="104" t="s">
        <v>185</v>
      </c>
      <c r="L1941" s="104" t="s">
        <v>997</v>
      </c>
      <c r="M1941" s="104"/>
      <c r="N1941" s="108" t="s">
        <v>17</v>
      </c>
      <c r="O1941" s="104" t="s">
        <v>17</v>
      </c>
      <c r="P1941" s="108">
        <v>1.5169999999999999</v>
      </c>
      <c r="Q1941" s="108">
        <v>1.5539999999999998</v>
      </c>
      <c r="R1941" s="104" t="s">
        <v>17</v>
      </c>
      <c r="S1941" s="253">
        <f t="shared" si="27"/>
        <v>47.814480912354405</v>
      </c>
      <c r="T1941" s="104" t="s">
        <v>1035</v>
      </c>
      <c r="U1941" s="108">
        <v>0.88</v>
      </c>
      <c r="V1941" s="107">
        <v>42.47</v>
      </c>
      <c r="W1941" s="106" t="s">
        <v>1028</v>
      </c>
    </row>
    <row r="1942" spans="1:23" ht="19">
      <c r="A1942" s="104" t="s">
        <v>218</v>
      </c>
      <c r="B1942" s="104" t="s">
        <v>221</v>
      </c>
      <c r="C1942" s="454" t="s">
        <v>222</v>
      </c>
      <c r="D1942" s="105" t="s">
        <v>151</v>
      </c>
      <c r="E1942" s="104">
        <v>40451</v>
      </c>
      <c r="F1942" s="104">
        <v>110</v>
      </c>
      <c r="G1942" s="106" t="s">
        <v>223</v>
      </c>
      <c r="H1942" s="104" t="s">
        <v>224</v>
      </c>
      <c r="I1942" s="104" t="s">
        <v>225</v>
      </c>
      <c r="J1942" s="104" t="s">
        <v>105</v>
      </c>
      <c r="K1942" s="104" t="s">
        <v>185</v>
      </c>
      <c r="L1942" s="104" t="s">
        <v>997</v>
      </c>
      <c r="M1942" s="104"/>
      <c r="N1942" s="108" t="s">
        <v>17</v>
      </c>
      <c r="O1942" s="104" t="s">
        <v>17</v>
      </c>
      <c r="P1942" s="108">
        <v>1.528</v>
      </c>
      <c r="Q1942" s="108">
        <v>1.4550000000000001</v>
      </c>
      <c r="R1942" s="104" t="s">
        <v>17</v>
      </c>
      <c r="S1942" s="253">
        <f t="shared" si="27"/>
        <v>48.942056280559783</v>
      </c>
      <c r="T1942" s="104" t="s">
        <v>1035</v>
      </c>
      <c r="U1942" s="108">
        <v>0.88</v>
      </c>
      <c r="V1942" s="107">
        <v>42.47</v>
      </c>
      <c r="W1942" s="106" t="s">
        <v>1028</v>
      </c>
    </row>
    <row r="1943" spans="1:23" ht="19">
      <c r="A1943" s="104" t="s">
        <v>218</v>
      </c>
      <c r="B1943" s="104" t="s">
        <v>221</v>
      </c>
      <c r="C1943" s="454" t="s">
        <v>222</v>
      </c>
      <c r="D1943" s="105" t="s">
        <v>151</v>
      </c>
      <c r="E1943" s="104">
        <v>40451</v>
      </c>
      <c r="F1943" s="104">
        <v>101</v>
      </c>
      <c r="G1943" s="106" t="s">
        <v>223</v>
      </c>
      <c r="H1943" s="104" t="s">
        <v>224</v>
      </c>
      <c r="I1943" s="104" t="s">
        <v>225</v>
      </c>
      <c r="J1943" s="104" t="s">
        <v>105</v>
      </c>
      <c r="K1943" s="104" t="s">
        <v>185</v>
      </c>
      <c r="L1943" s="104" t="s">
        <v>997</v>
      </c>
      <c r="M1943" s="104"/>
      <c r="N1943" s="108" t="s">
        <v>17</v>
      </c>
      <c r="O1943" s="104" t="s">
        <v>17</v>
      </c>
      <c r="P1943" s="108">
        <v>1.5310000000000001</v>
      </c>
      <c r="Q1943" s="108">
        <v>0.96099999999999997</v>
      </c>
      <c r="R1943" s="104" t="s">
        <v>17</v>
      </c>
      <c r="S1943" s="253">
        <f t="shared" si="27"/>
        <v>49.25273545962969</v>
      </c>
      <c r="T1943" s="104" t="s">
        <v>1035</v>
      </c>
      <c r="U1943" s="108">
        <v>0.88</v>
      </c>
      <c r="V1943" s="107">
        <v>42.47</v>
      </c>
      <c r="W1943" s="106" t="s">
        <v>1028</v>
      </c>
    </row>
    <row r="1944" spans="1:23" ht="19">
      <c r="A1944" s="104" t="s">
        <v>218</v>
      </c>
      <c r="B1944" s="104" t="s">
        <v>221</v>
      </c>
      <c r="C1944" s="454" t="s">
        <v>222</v>
      </c>
      <c r="D1944" s="105" t="s">
        <v>151</v>
      </c>
      <c r="E1944" s="104">
        <v>40451</v>
      </c>
      <c r="F1944" s="104">
        <v>125</v>
      </c>
      <c r="G1944" s="106" t="s">
        <v>223</v>
      </c>
      <c r="H1944" s="104" t="s">
        <v>224</v>
      </c>
      <c r="I1944" s="104" t="s">
        <v>225</v>
      </c>
      <c r="J1944" s="104" t="s">
        <v>105</v>
      </c>
      <c r="K1944" s="104" t="s">
        <v>143</v>
      </c>
      <c r="L1944" s="104" t="s">
        <v>408</v>
      </c>
      <c r="M1944" s="104" t="s">
        <v>114</v>
      </c>
      <c r="N1944" s="108" t="s">
        <v>17</v>
      </c>
      <c r="O1944" s="104" t="s">
        <v>17</v>
      </c>
      <c r="P1944" s="108">
        <v>1.581</v>
      </c>
      <c r="Q1944" s="108">
        <v>1.4570000000000001</v>
      </c>
      <c r="R1944" s="104" t="s">
        <v>17</v>
      </c>
      <c r="S1944" s="253">
        <f>(((10^((3.34*LOG((P1944*10))+0.73)))))/1000</f>
        <v>54.254085263569394</v>
      </c>
      <c r="T1944" s="104" t="s">
        <v>643</v>
      </c>
      <c r="U1944" s="108">
        <v>94</v>
      </c>
      <c r="V1944" s="107">
        <v>39.9</v>
      </c>
      <c r="W1944" s="106" t="s">
        <v>644</v>
      </c>
    </row>
    <row r="1945" spans="1:23" ht="19">
      <c r="A1945" s="104" t="s">
        <v>218</v>
      </c>
      <c r="B1945" s="104" t="s">
        <v>221</v>
      </c>
      <c r="C1945" s="454" t="s">
        <v>222</v>
      </c>
      <c r="D1945" s="105" t="s">
        <v>151</v>
      </c>
      <c r="E1945" s="104">
        <v>40451</v>
      </c>
      <c r="F1945" s="104">
        <v>102</v>
      </c>
      <c r="G1945" s="106" t="s">
        <v>223</v>
      </c>
      <c r="H1945" s="104" t="s">
        <v>224</v>
      </c>
      <c r="I1945" s="104" t="s">
        <v>225</v>
      </c>
      <c r="J1945" s="104" t="s">
        <v>105</v>
      </c>
      <c r="K1945" s="104" t="s">
        <v>112</v>
      </c>
      <c r="L1945" s="104" t="s">
        <v>663</v>
      </c>
      <c r="M1945" s="104" t="s">
        <v>114</v>
      </c>
      <c r="N1945" s="108" t="s">
        <v>17</v>
      </c>
      <c r="O1945" s="104" t="s">
        <v>17</v>
      </c>
      <c r="P1945" s="108">
        <v>1.383</v>
      </c>
      <c r="Q1945" s="108">
        <v>1.004</v>
      </c>
      <c r="R1945" s="104" t="s">
        <v>17</v>
      </c>
      <c r="S1945" s="253">
        <f>(10^((3.334*LOG((P1945))+1.27)))</f>
        <v>54.891000718839301</v>
      </c>
      <c r="T1945" s="104" t="s">
        <v>1027</v>
      </c>
      <c r="U1945" s="108">
        <v>0.93</v>
      </c>
      <c r="V1945" s="107">
        <v>23.9</v>
      </c>
      <c r="W1945" s="106" t="s">
        <v>1028</v>
      </c>
    </row>
    <row r="1946" spans="1:23" ht="19">
      <c r="A1946" s="104" t="s">
        <v>218</v>
      </c>
      <c r="B1946" s="104" t="s">
        <v>221</v>
      </c>
      <c r="C1946" s="454" t="s">
        <v>222</v>
      </c>
      <c r="D1946" s="105" t="s">
        <v>151</v>
      </c>
      <c r="E1946" s="104">
        <v>40451</v>
      </c>
      <c r="F1946" s="104">
        <v>144</v>
      </c>
      <c r="G1946" s="106" t="s">
        <v>223</v>
      </c>
      <c r="H1946" s="104" t="s">
        <v>224</v>
      </c>
      <c r="I1946" s="104" t="s">
        <v>225</v>
      </c>
      <c r="J1946" s="104" t="s">
        <v>105</v>
      </c>
      <c r="K1946" s="104" t="s">
        <v>185</v>
      </c>
      <c r="L1946" s="104" t="s">
        <v>997</v>
      </c>
      <c r="M1946" s="104"/>
      <c r="N1946" s="108" t="s">
        <v>17</v>
      </c>
      <c r="O1946" s="104" t="s">
        <v>17</v>
      </c>
      <c r="P1946" s="108">
        <v>1.593</v>
      </c>
      <c r="Q1946" s="108">
        <v>1.345</v>
      </c>
      <c r="R1946" s="104" t="s">
        <v>17</v>
      </c>
      <c r="S1946" s="253">
        <f>(((((10^((3.334*LOG((P1946))+1.27)))+(10^(3.106*LOG((P1946))+1.119))+(10^(3.143*LOG((P1946))+0.799))+(10^(3.218*LOG((P1946))+1.073)))))/4)</f>
        <v>55.982738669759726</v>
      </c>
      <c r="T1946" s="104" t="s">
        <v>1035</v>
      </c>
      <c r="U1946" s="108">
        <v>0.88</v>
      </c>
      <c r="V1946" s="107">
        <v>42.47</v>
      </c>
      <c r="W1946" s="106" t="s">
        <v>1028</v>
      </c>
    </row>
    <row r="1947" spans="1:23" ht="19">
      <c r="A1947" s="104" t="s">
        <v>218</v>
      </c>
      <c r="B1947" s="104" t="s">
        <v>221</v>
      </c>
      <c r="C1947" s="454" t="s">
        <v>222</v>
      </c>
      <c r="D1947" s="105" t="s">
        <v>151</v>
      </c>
      <c r="E1947" s="104">
        <v>40451</v>
      </c>
      <c r="F1947" s="104" t="s">
        <v>1066</v>
      </c>
      <c r="G1947" s="106" t="s">
        <v>223</v>
      </c>
      <c r="H1947" s="104" t="s">
        <v>224</v>
      </c>
      <c r="I1947" s="104" t="s">
        <v>225</v>
      </c>
      <c r="J1947" s="104" t="s">
        <v>105</v>
      </c>
      <c r="K1947" s="104" t="s">
        <v>185</v>
      </c>
      <c r="L1947" s="104" t="s">
        <v>997</v>
      </c>
      <c r="M1947" s="104"/>
      <c r="N1947" s="108" t="s">
        <v>17</v>
      </c>
      <c r="O1947" s="104" t="s">
        <v>17</v>
      </c>
      <c r="P1947" s="108">
        <v>1.599</v>
      </c>
      <c r="Q1947" s="108">
        <v>1.5169999999999999</v>
      </c>
      <c r="R1947" s="104" t="s">
        <v>17</v>
      </c>
      <c r="S1947" s="253">
        <f>(((((10^((3.334*LOG((P1947))+1.27)))+(10^(3.106*LOG((P1947))+1.119))+(10^(3.143*LOG((P1947))+0.799))+(10^(3.218*LOG((P1947))+1.073)))))/4)</f>
        <v>56.665933479145444</v>
      </c>
      <c r="T1947" s="104" t="s">
        <v>1035</v>
      </c>
      <c r="U1947" s="108">
        <v>0.88</v>
      </c>
      <c r="V1947" s="107">
        <v>42.47</v>
      </c>
      <c r="W1947" s="106" t="s">
        <v>1028</v>
      </c>
    </row>
    <row r="1948" spans="1:23" ht="19">
      <c r="A1948" s="104" t="s">
        <v>218</v>
      </c>
      <c r="B1948" s="104" t="s">
        <v>221</v>
      </c>
      <c r="C1948" s="454" t="s">
        <v>222</v>
      </c>
      <c r="D1948" s="105" t="s">
        <v>151</v>
      </c>
      <c r="E1948" s="104">
        <v>40451</v>
      </c>
      <c r="F1948" s="104">
        <v>139</v>
      </c>
      <c r="G1948" s="106" t="s">
        <v>223</v>
      </c>
      <c r="H1948" s="104" t="s">
        <v>224</v>
      </c>
      <c r="I1948" s="104" t="s">
        <v>225</v>
      </c>
      <c r="J1948" s="104" t="s">
        <v>105</v>
      </c>
      <c r="K1948" s="104" t="s">
        <v>185</v>
      </c>
      <c r="L1948" s="104" t="s">
        <v>997</v>
      </c>
      <c r="M1948" s="104"/>
      <c r="N1948" s="108" t="s">
        <v>17</v>
      </c>
      <c r="O1948" s="104" t="s">
        <v>17</v>
      </c>
      <c r="P1948" s="108">
        <v>1.6059999999999999</v>
      </c>
      <c r="Q1948" s="108">
        <v>1.4140000000000001</v>
      </c>
      <c r="R1948" s="104" t="s">
        <v>17</v>
      </c>
      <c r="S1948" s="253">
        <f>(((((10^((3.334*LOG((P1948))+1.27)))+(10^(3.106*LOG((P1948))+1.119))+(10^(3.143*LOG((P1948))+0.799))+(10^(3.218*LOG((P1948))+1.073)))))/4)</f>
        <v>57.470249492005173</v>
      </c>
      <c r="T1948" s="104" t="s">
        <v>1035</v>
      </c>
      <c r="U1948" s="108">
        <v>0.88</v>
      </c>
      <c r="V1948" s="107">
        <v>42.47</v>
      </c>
      <c r="W1948" s="106" t="s">
        <v>1028</v>
      </c>
    </row>
    <row r="1949" spans="1:23" ht="19">
      <c r="A1949" s="104" t="s">
        <v>218</v>
      </c>
      <c r="B1949" s="104" t="s">
        <v>221</v>
      </c>
      <c r="C1949" s="454" t="s">
        <v>222</v>
      </c>
      <c r="D1949" s="105" t="s">
        <v>151</v>
      </c>
      <c r="E1949" s="104">
        <v>40451</v>
      </c>
      <c r="F1949" s="104">
        <v>143</v>
      </c>
      <c r="G1949" s="106" t="s">
        <v>223</v>
      </c>
      <c r="H1949" s="104" t="s">
        <v>224</v>
      </c>
      <c r="I1949" s="104" t="s">
        <v>225</v>
      </c>
      <c r="J1949" s="104" t="s">
        <v>105</v>
      </c>
      <c r="K1949" s="104" t="s">
        <v>112</v>
      </c>
      <c r="L1949" s="104" t="s">
        <v>663</v>
      </c>
      <c r="M1949" s="104" t="s">
        <v>114</v>
      </c>
      <c r="N1949" s="108" t="s">
        <v>17</v>
      </c>
      <c r="O1949" s="104" t="s">
        <v>17</v>
      </c>
      <c r="P1949" s="108">
        <v>1.4350000000000001</v>
      </c>
      <c r="Q1949" s="108">
        <v>1.3089999999999999</v>
      </c>
      <c r="R1949" s="104" t="s">
        <v>17</v>
      </c>
      <c r="S1949" s="253">
        <f>(10^((3.334*LOG((P1949))+1.27)))</f>
        <v>62.078932202074917</v>
      </c>
      <c r="T1949" s="104" t="s">
        <v>1027</v>
      </c>
      <c r="U1949" s="108">
        <v>0.93</v>
      </c>
      <c r="V1949" s="107">
        <v>23.9</v>
      </c>
      <c r="W1949" s="106" t="s">
        <v>1028</v>
      </c>
    </row>
    <row r="1950" spans="1:23" ht="19">
      <c r="A1950" s="104" t="s">
        <v>218</v>
      </c>
      <c r="B1950" s="104" t="s">
        <v>221</v>
      </c>
      <c r="C1950" s="454" t="s">
        <v>222</v>
      </c>
      <c r="D1950" s="105" t="s">
        <v>151</v>
      </c>
      <c r="E1950" s="104">
        <v>40451</v>
      </c>
      <c r="F1950" s="104" t="s">
        <v>1079</v>
      </c>
      <c r="G1950" s="106" t="s">
        <v>223</v>
      </c>
      <c r="H1950" s="104" t="s">
        <v>224</v>
      </c>
      <c r="I1950" s="104" t="s">
        <v>225</v>
      </c>
      <c r="J1950" s="104" t="s">
        <v>105</v>
      </c>
      <c r="K1950" s="104" t="s">
        <v>185</v>
      </c>
      <c r="L1950" s="104" t="s">
        <v>997</v>
      </c>
      <c r="M1950" s="104"/>
      <c r="N1950" s="108" t="s">
        <v>17</v>
      </c>
      <c r="O1950" s="104" t="s">
        <v>17</v>
      </c>
      <c r="P1950" s="108">
        <v>1.671</v>
      </c>
      <c r="Q1950" s="108">
        <v>1.5269999999999999</v>
      </c>
      <c r="R1950" s="104" t="s">
        <v>17</v>
      </c>
      <c r="S1950" s="253">
        <f>(((((10^((3.334*LOG((P1950))+1.27)))+(10^(3.106*LOG((P1950))+1.119))+(10^(3.143*LOG((P1950))+0.799))+(10^(3.218*LOG((P1950))+1.073)))))/4)</f>
        <v>65.319534830449044</v>
      </c>
      <c r="T1950" s="104" t="s">
        <v>1035</v>
      </c>
      <c r="U1950" s="108">
        <v>0.88</v>
      </c>
      <c r="V1950" s="107">
        <v>42.47</v>
      </c>
      <c r="W1950" s="106" t="s">
        <v>1028</v>
      </c>
    </row>
    <row r="1951" spans="1:23" ht="19">
      <c r="A1951" s="104" t="s">
        <v>218</v>
      </c>
      <c r="B1951" s="104" t="s">
        <v>221</v>
      </c>
      <c r="C1951" s="454" t="s">
        <v>222</v>
      </c>
      <c r="D1951" s="105" t="s">
        <v>151</v>
      </c>
      <c r="E1951" s="104">
        <v>40451</v>
      </c>
      <c r="F1951" s="104">
        <v>134</v>
      </c>
      <c r="G1951" s="106" t="s">
        <v>223</v>
      </c>
      <c r="H1951" s="104" t="s">
        <v>224</v>
      </c>
      <c r="I1951" s="104" t="s">
        <v>225</v>
      </c>
      <c r="J1951" s="104" t="s">
        <v>105</v>
      </c>
      <c r="K1951" s="104" t="s">
        <v>126</v>
      </c>
      <c r="L1951" s="104" t="s">
        <v>636</v>
      </c>
      <c r="M1951" s="104"/>
      <c r="N1951" s="108" t="s">
        <v>17</v>
      </c>
      <c r="O1951" s="104" t="s">
        <v>17</v>
      </c>
      <c r="P1951" s="108">
        <v>2.1100000000000003</v>
      </c>
      <c r="Q1951" s="108">
        <v>1.1039999999999999</v>
      </c>
      <c r="R1951" s="104" t="s">
        <v>17</v>
      </c>
      <c r="S1951" s="253">
        <f>(10^((3.143*LOG((P1951))+0.799)))</f>
        <v>65.799070247678344</v>
      </c>
      <c r="T1951" s="104" t="s">
        <v>1049</v>
      </c>
      <c r="U1951" s="108">
        <v>0.96</v>
      </c>
      <c r="V1951" s="107">
        <v>19.100000000000001</v>
      </c>
      <c r="W1951" s="106" t="s">
        <v>1050</v>
      </c>
    </row>
    <row r="1952" spans="1:23" ht="19">
      <c r="A1952" s="104" t="s">
        <v>218</v>
      </c>
      <c r="B1952" s="104" t="s">
        <v>221</v>
      </c>
      <c r="C1952" s="454" t="s">
        <v>222</v>
      </c>
      <c r="D1952" s="105" t="s">
        <v>151</v>
      </c>
      <c r="E1952" s="104">
        <v>40451</v>
      </c>
      <c r="F1952" s="104">
        <v>60</v>
      </c>
      <c r="G1952" s="106" t="s">
        <v>223</v>
      </c>
      <c r="H1952" s="104" t="s">
        <v>224</v>
      </c>
      <c r="I1952" s="104" t="s">
        <v>225</v>
      </c>
      <c r="J1952" s="104" t="s">
        <v>105</v>
      </c>
      <c r="K1952" s="104" t="s">
        <v>126</v>
      </c>
      <c r="L1952" s="104" t="s">
        <v>636</v>
      </c>
      <c r="M1952" s="104"/>
      <c r="N1952" s="108" t="s">
        <v>17</v>
      </c>
      <c r="O1952" s="104" t="s">
        <v>17</v>
      </c>
      <c r="P1952" s="108">
        <v>2.15</v>
      </c>
      <c r="Q1952" s="108">
        <v>0.99499999999999988</v>
      </c>
      <c r="R1952" s="104" t="s">
        <v>17</v>
      </c>
      <c r="S1952" s="253">
        <f>(10^((3.143*LOG((P1952))+0.799)))</f>
        <v>69.799784135359317</v>
      </c>
      <c r="T1952" s="104" t="s">
        <v>1049</v>
      </c>
      <c r="U1952" s="108">
        <v>0.96</v>
      </c>
      <c r="V1952" s="107">
        <v>19.100000000000001</v>
      </c>
      <c r="W1952" s="106" t="s">
        <v>1050</v>
      </c>
    </row>
    <row r="1953" spans="1:23" ht="19">
      <c r="A1953" s="104" t="s">
        <v>218</v>
      </c>
      <c r="B1953" s="104" t="s">
        <v>221</v>
      </c>
      <c r="C1953" s="454" t="s">
        <v>222</v>
      </c>
      <c r="D1953" s="105" t="s">
        <v>151</v>
      </c>
      <c r="E1953" s="104">
        <v>40451</v>
      </c>
      <c r="F1953" s="104">
        <v>125</v>
      </c>
      <c r="G1953" s="106" t="s">
        <v>223</v>
      </c>
      <c r="H1953" s="104" t="s">
        <v>224</v>
      </c>
      <c r="I1953" s="104" t="s">
        <v>225</v>
      </c>
      <c r="J1953" s="104" t="s">
        <v>105</v>
      </c>
      <c r="K1953" s="104" t="s">
        <v>158</v>
      </c>
      <c r="L1953" s="104" t="s">
        <v>686</v>
      </c>
      <c r="M1953" s="104" t="s">
        <v>114</v>
      </c>
      <c r="N1953" s="108" t="s">
        <v>17</v>
      </c>
      <c r="O1953" s="104" t="s">
        <v>17</v>
      </c>
      <c r="P1953" s="108">
        <v>1.704</v>
      </c>
      <c r="Q1953" s="108">
        <v>1.4079999999999999</v>
      </c>
      <c r="R1953" s="104" t="s">
        <v>17</v>
      </c>
      <c r="S1953" s="253">
        <f>(10^((3.29*LOG((P1953*10))+0.8)))/1000</f>
        <v>71.045234572001846</v>
      </c>
      <c r="T1953" s="104" t="s">
        <v>687</v>
      </c>
      <c r="U1953" s="108">
        <v>0.93</v>
      </c>
      <c r="V1953" s="107">
        <v>44.7</v>
      </c>
      <c r="W1953" s="106" t="s">
        <v>644</v>
      </c>
    </row>
    <row r="1954" spans="1:23" ht="19">
      <c r="A1954" s="104" t="s">
        <v>218</v>
      </c>
      <c r="B1954" s="104" t="s">
        <v>221</v>
      </c>
      <c r="C1954" s="454" t="s">
        <v>222</v>
      </c>
      <c r="D1954" s="105" t="s">
        <v>151</v>
      </c>
      <c r="E1954" s="104">
        <v>40451</v>
      </c>
      <c r="F1954" s="104">
        <v>76</v>
      </c>
      <c r="G1954" s="106" t="s">
        <v>223</v>
      </c>
      <c r="H1954" s="104" t="s">
        <v>224</v>
      </c>
      <c r="I1954" s="104" t="s">
        <v>225</v>
      </c>
      <c r="J1954" s="104" t="s">
        <v>105</v>
      </c>
      <c r="K1954" s="104" t="s">
        <v>176</v>
      </c>
      <c r="L1954" s="104" t="s">
        <v>1094</v>
      </c>
      <c r="M1954" s="104"/>
      <c r="N1954" s="108" t="s">
        <v>17</v>
      </c>
      <c r="O1954" s="104" t="s">
        <v>17</v>
      </c>
      <c r="P1954" s="108">
        <v>1.214</v>
      </c>
      <c r="Q1954" s="108">
        <v>0.70099999999999996</v>
      </c>
      <c r="R1954" s="104" t="s">
        <v>17</v>
      </c>
      <c r="S1954" s="253">
        <f>(((10^((3.26*LOG((P1954*10))+1.31)))+(10^(2.75*LOG((P1954*10))+2.06)))/2)/1000</f>
        <v>89.982532979983404</v>
      </c>
      <c r="T1954" s="104" t="s">
        <v>1095</v>
      </c>
      <c r="U1954" s="108">
        <v>0.81</v>
      </c>
      <c r="V1954" s="107">
        <v>75</v>
      </c>
      <c r="W1954" s="106" t="s">
        <v>644</v>
      </c>
    </row>
    <row r="1955" spans="1:23" ht="19">
      <c r="A1955" s="104" t="s">
        <v>218</v>
      </c>
      <c r="B1955" s="104" t="s">
        <v>221</v>
      </c>
      <c r="C1955" s="454" t="s">
        <v>222</v>
      </c>
      <c r="D1955" s="105" t="s">
        <v>151</v>
      </c>
      <c r="E1955" s="104">
        <v>40451</v>
      </c>
      <c r="F1955" s="104">
        <v>44</v>
      </c>
      <c r="G1955" s="106" t="s">
        <v>223</v>
      </c>
      <c r="H1955" s="104" t="s">
        <v>224</v>
      </c>
      <c r="I1955" s="104" t="s">
        <v>225</v>
      </c>
      <c r="J1955" s="104" t="s">
        <v>105</v>
      </c>
      <c r="K1955" s="104" t="s">
        <v>153</v>
      </c>
      <c r="L1955" s="104" t="s">
        <v>1100</v>
      </c>
      <c r="M1955" s="104"/>
      <c r="N1955" s="108" t="s">
        <v>17</v>
      </c>
      <c r="O1955" s="104" t="s">
        <v>17</v>
      </c>
      <c r="P1955" s="108">
        <v>1.0760000000000001</v>
      </c>
      <c r="Q1955" s="108">
        <v>1.1140000000000001</v>
      </c>
      <c r="R1955" s="104" t="s">
        <v>17</v>
      </c>
      <c r="S1955" s="253">
        <f>(10^((2.89*LOG((P1955*10))+2.01)))/1000</f>
        <v>98.160658725843049</v>
      </c>
      <c r="T1955" s="104" t="s">
        <v>1101</v>
      </c>
      <c r="U1955" s="108">
        <v>0.89</v>
      </c>
      <c r="V1955" s="107">
        <v>80.349999999999994</v>
      </c>
      <c r="W1955" s="106" t="s">
        <v>1102</v>
      </c>
    </row>
    <row r="1956" spans="1:23" ht="19">
      <c r="A1956" s="104" t="s">
        <v>218</v>
      </c>
      <c r="B1956" s="104" t="s">
        <v>221</v>
      </c>
      <c r="C1956" s="454" t="s">
        <v>222</v>
      </c>
      <c r="D1956" s="105" t="s">
        <v>151</v>
      </c>
      <c r="E1956" s="104">
        <v>40451</v>
      </c>
      <c r="F1956" s="104">
        <v>157</v>
      </c>
      <c r="G1956" s="106" t="s">
        <v>223</v>
      </c>
      <c r="H1956" s="104" t="s">
        <v>224</v>
      </c>
      <c r="I1956" s="104" t="s">
        <v>225</v>
      </c>
      <c r="J1956" s="104" t="s">
        <v>105</v>
      </c>
      <c r="K1956" s="104" t="s">
        <v>176</v>
      </c>
      <c r="L1956" s="104" t="s">
        <v>1094</v>
      </c>
      <c r="M1956" s="104"/>
      <c r="N1956" s="108" t="s">
        <v>17</v>
      </c>
      <c r="O1956" s="104" t="s">
        <v>17</v>
      </c>
      <c r="P1956" s="108">
        <v>1.264</v>
      </c>
      <c r="Q1956" s="108">
        <v>0.73799999999999999</v>
      </c>
      <c r="R1956" s="104" t="s">
        <v>17</v>
      </c>
      <c r="S1956" s="253">
        <f>(((10^((3.26*LOG((P1956*10))+1.31)))+(10^(2.75*LOG((P1956*10))+2.06)))/2)/1000</f>
        <v>101.35751296972133</v>
      </c>
      <c r="T1956" s="104" t="s">
        <v>1095</v>
      </c>
      <c r="U1956" s="108">
        <v>0.81</v>
      </c>
      <c r="V1956" s="107">
        <v>75</v>
      </c>
      <c r="W1956" s="106" t="s">
        <v>644</v>
      </c>
    </row>
    <row r="1957" spans="1:23" ht="19">
      <c r="A1957" s="104" t="s">
        <v>218</v>
      </c>
      <c r="B1957" s="104" t="s">
        <v>221</v>
      </c>
      <c r="C1957" s="454" t="s">
        <v>222</v>
      </c>
      <c r="D1957" s="105" t="s">
        <v>151</v>
      </c>
      <c r="E1957" s="104">
        <v>40451</v>
      </c>
      <c r="F1957" s="104">
        <v>97</v>
      </c>
      <c r="G1957" s="106" t="s">
        <v>223</v>
      </c>
      <c r="H1957" s="104" t="s">
        <v>224</v>
      </c>
      <c r="I1957" s="104" t="s">
        <v>225</v>
      </c>
      <c r="J1957" s="104" t="s">
        <v>105</v>
      </c>
      <c r="K1957" s="104" t="s">
        <v>176</v>
      </c>
      <c r="L1957" s="104" t="s">
        <v>1094</v>
      </c>
      <c r="M1957" s="104"/>
      <c r="N1957" s="108" t="s">
        <v>17</v>
      </c>
      <c r="O1957" s="104" t="s">
        <v>17</v>
      </c>
      <c r="P1957" s="108">
        <v>1.3340000000000001</v>
      </c>
      <c r="Q1957" s="108">
        <v>0.74299999999999999</v>
      </c>
      <c r="R1957" s="104" t="s">
        <v>17</v>
      </c>
      <c r="S1957" s="253">
        <f>(((10^((3.26*LOG((P1957*10))+1.31)))+(10^(2.75*LOG((P1957*10))+2.06)))/2)/1000</f>
        <v>118.84080361542503</v>
      </c>
      <c r="T1957" s="104" t="s">
        <v>1095</v>
      </c>
      <c r="U1957" s="108">
        <v>0.81</v>
      </c>
      <c r="V1957" s="107">
        <v>75</v>
      </c>
      <c r="W1957" s="106" t="s">
        <v>644</v>
      </c>
    </row>
    <row r="1958" spans="1:23" ht="19">
      <c r="A1958" s="104" t="s">
        <v>218</v>
      </c>
      <c r="B1958" s="104" t="s">
        <v>221</v>
      </c>
      <c r="C1958" s="454" t="s">
        <v>222</v>
      </c>
      <c r="D1958" s="105" t="s">
        <v>151</v>
      </c>
      <c r="E1958" s="104">
        <v>40451</v>
      </c>
      <c r="F1958" s="104">
        <v>93</v>
      </c>
      <c r="G1958" s="106" t="s">
        <v>223</v>
      </c>
      <c r="H1958" s="104" t="s">
        <v>224</v>
      </c>
      <c r="I1958" s="104" t="s">
        <v>225</v>
      </c>
      <c r="J1958" s="104" t="s">
        <v>105</v>
      </c>
      <c r="K1958" s="104" t="s">
        <v>153</v>
      </c>
      <c r="L1958" s="104" t="s">
        <v>1100</v>
      </c>
      <c r="M1958" s="104"/>
      <c r="N1958" s="108" t="s">
        <v>17</v>
      </c>
      <c r="O1958" s="104" t="s">
        <v>17</v>
      </c>
      <c r="P1958" s="108">
        <v>1.1759999999999999</v>
      </c>
      <c r="Q1958" s="108">
        <v>1.2330000000000001</v>
      </c>
      <c r="R1958" s="104" t="s">
        <v>17</v>
      </c>
      <c r="S1958" s="253">
        <f>(10^((2.89*LOG((P1958*10))+2.01)))/1000</f>
        <v>126.90454017683695</v>
      </c>
      <c r="T1958" s="104" t="s">
        <v>1101</v>
      </c>
      <c r="U1958" s="108">
        <v>0.89</v>
      </c>
      <c r="V1958" s="107">
        <v>80.349999999999994</v>
      </c>
      <c r="W1958" s="106" t="s">
        <v>1102</v>
      </c>
    </row>
    <row r="1959" spans="1:23" ht="19">
      <c r="A1959" s="104" t="s">
        <v>218</v>
      </c>
      <c r="B1959" s="104" t="s">
        <v>221</v>
      </c>
      <c r="C1959" s="454" t="s">
        <v>222</v>
      </c>
      <c r="D1959" s="105" t="s">
        <v>151</v>
      </c>
      <c r="E1959" s="104">
        <v>40451</v>
      </c>
      <c r="F1959" s="104">
        <v>146</v>
      </c>
      <c r="G1959" s="106" t="s">
        <v>223</v>
      </c>
      <c r="H1959" s="104" t="s">
        <v>224</v>
      </c>
      <c r="I1959" s="104" t="s">
        <v>225</v>
      </c>
      <c r="J1959" s="104" t="s">
        <v>105</v>
      </c>
      <c r="K1959" s="104" t="s">
        <v>153</v>
      </c>
      <c r="L1959" s="104" t="s">
        <v>1100</v>
      </c>
      <c r="M1959" s="104"/>
      <c r="N1959" s="108" t="s">
        <v>17</v>
      </c>
      <c r="O1959" s="104" t="s">
        <v>17</v>
      </c>
      <c r="P1959" s="108">
        <v>1.2890000000000001</v>
      </c>
      <c r="Q1959" s="108">
        <v>1.08</v>
      </c>
      <c r="R1959" s="104" t="s">
        <v>17</v>
      </c>
      <c r="S1959" s="253">
        <f>(10^((2.89*LOG((P1959*10))+2.01)))/1000</f>
        <v>165.43634672882499</v>
      </c>
      <c r="T1959" s="104" t="s">
        <v>1101</v>
      </c>
      <c r="U1959" s="108">
        <v>0.89</v>
      </c>
      <c r="V1959" s="107">
        <v>80.349999999999994</v>
      </c>
      <c r="W1959" s="106" t="s">
        <v>1102</v>
      </c>
    </row>
    <row r="1960" spans="1:23" ht="19">
      <c r="A1960" s="104" t="s">
        <v>218</v>
      </c>
      <c r="B1960" s="104" t="s">
        <v>202</v>
      </c>
      <c r="C1960" s="454" t="s">
        <v>203</v>
      </c>
      <c r="D1960" s="105" t="s">
        <v>204</v>
      </c>
      <c r="E1960" s="104">
        <v>40685</v>
      </c>
      <c r="F1960" s="104">
        <v>814</v>
      </c>
      <c r="G1960" s="106" t="s">
        <v>134</v>
      </c>
      <c r="H1960" s="104" t="s">
        <v>135</v>
      </c>
      <c r="I1960" s="104" t="s">
        <v>104</v>
      </c>
      <c r="J1960" s="104" t="s">
        <v>105</v>
      </c>
      <c r="K1960" s="104" t="s">
        <v>683</v>
      </c>
      <c r="L1960" s="104" t="s">
        <v>997</v>
      </c>
      <c r="M1960" s="104" t="s">
        <v>108</v>
      </c>
      <c r="N1960" s="108" t="s">
        <v>17</v>
      </c>
      <c r="O1960" s="104" t="s">
        <v>17</v>
      </c>
      <c r="P1960" s="113">
        <v>3.5759999999999996</v>
      </c>
      <c r="Q1960" s="113">
        <v>2.2600000000000002</v>
      </c>
      <c r="R1960" s="104" t="s">
        <v>17</v>
      </c>
      <c r="S1960" s="253">
        <f>(((10^((3.13*LOG((P1960*10))+1.17)))+(10^(3.15*LOG((P1960*10))+0.94))/2)/1000)</f>
        <v>1417.3410764708219</v>
      </c>
      <c r="T1960" s="104" t="s">
        <v>998</v>
      </c>
      <c r="U1960" s="108">
        <v>0.88</v>
      </c>
      <c r="V1960" s="107">
        <v>42.47</v>
      </c>
      <c r="W1960" s="106" t="s">
        <v>980</v>
      </c>
    </row>
    <row r="1961" spans="1:23" ht="19">
      <c r="A1961" s="104" t="s">
        <v>218</v>
      </c>
      <c r="B1961" s="104" t="s">
        <v>187</v>
      </c>
      <c r="C1961" s="454" t="s">
        <v>494</v>
      </c>
      <c r="D1961" s="105" t="s">
        <v>495</v>
      </c>
      <c r="E1961" s="104">
        <v>40685</v>
      </c>
      <c r="F1961" s="104">
        <v>1</v>
      </c>
      <c r="G1961" s="106" t="s">
        <v>134</v>
      </c>
      <c r="H1961" s="104" t="s">
        <v>135</v>
      </c>
      <c r="I1961" s="104" t="s">
        <v>104</v>
      </c>
      <c r="J1961" s="104" t="s">
        <v>105</v>
      </c>
      <c r="K1961" s="104" t="s">
        <v>155</v>
      </c>
      <c r="L1961" s="104" t="s">
        <v>658</v>
      </c>
      <c r="M1961" s="104"/>
      <c r="N1961" s="108" t="s">
        <v>17</v>
      </c>
      <c r="O1961" s="104" t="s">
        <v>17</v>
      </c>
      <c r="P1961" s="113">
        <v>1.2189999999999999</v>
      </c>
      <c r="Q1961" s="113">
        <v>1.105</v>
      </c>
      <c r="R1961" s="104" t="s">
        <v>17</v>
      </c>
      <c r="S1961" s="253">
        <f>(10^((3.11*LOG((P1961*10))+1.11)))/1000</f>
        <v>30.723559125088322</v>
      </c>
      <c r="T1961" s="104" t="s">
        <v>1124</v>
      </c>
      <c r="U1961" s="108">
        <v>0.97</v>
      </c>
      <c r="V1961" s="107">
        <v>34.6</v>
      </c>
      <c r="W1961" s="106" t="s">
        <v>1125</v>
      </c>
    </row>
    <row r="1962" spans="1:23" ht="19">
      <c r="A1962" s="104" t="s">
        <v>273</v>
      </c>
      <c r="B1962" s="104" t="s">
        <v>74</v>
      </c>
      <c r="C1962" s="454" t="s">
        <v>266</v>
      </c>
      <c r="D1962" s="105" t="s">
        <v>282</v>
      </c>
      <c r="E1962" s="104">
        <v>40685</v>
      </c>
      <c r="F1962" s="104">
        <v>384</v>
      </c>
      <c r="G1962" s="106" t="s">
        <v>134</v>
      </c>
      <c r="H1962" s="104" t="s">
        <v>135</v>
      </c>
      <c r="I1962" s="104" t="s">
        <v>104</v>
      </c>
      <c r="J1962" s="104" t="s">
        <v>1161</v>
      </c>
      <c r="K1962" s="104" t="s">
        <v>243</v>
      </c>
      <c r="L1962" s="104" t="s">
        <v>421</v>
      </c>
      <c r="M1962" s="104" t="s">
        <v>114</v>
      </c>
      <c r="N1962" s="108"/>
      <c r="O1962" s="104"/>
      <c r="P1962" s="108">
        <v>1.641</v>
      </c>
      <c r="Q1962" s="108"/>
      <c r="R1962" s="104"/>
      <c r="S1962" s="253">
        <f>(10^(((LOG(P1962*10))*3.3177)+0.5544))/1000</f>
        <v>38.527048475882879</v>
      </c>
      <c r="T1962" s="104" t="s">
        <v>1162</v>
      </c>
      <c r="U1962" s="108">
        <v>0.84909999999999997</v>
      </c>
      <c r="V1962" s="107"/>
      <c r="W1962" s="114" t="s">
        <v>1163</v>
      </c>
    </row>
    <row r="1963" spans="1:23" ht="19">
      <c r="A1963" s="104" t="s">
        <v>273</v>
      </c>
      <c r="B1963" s="104" t="s">
        <v>74</v>
      </c>
      <c r="C1963" s="454" t="s">
        <v>266</v>
      </c>
      <c r="D1963" s="105" t="s">
        <v>267</v>
      </c>
      <c r="E1963" s="104">
        <v>40685</v>
      </c>
      <c r="F1963" s="104">
        <v>848</v>
      </c>
      <c r="G1963" s="106" t="s">
        <v>134</v>
      </c>
      <c r="H1963" s="104" t="s">
        <v>135</v>
      </c>
      <c r="I1963" s="104" t="s">
        <v>104</v>
      </c>
      <c r="J1963" s="104" t="s">
        <v>284</v>
      </c>
      <c r="K1963" s="104" t="s">
        <v>1164</v>
      </c>
      <c r="L1963" s="104" t="s">
        <v>1165</v>
      </c>
      <c r="M1963" s="104" t="s">
        <v>114</v>
      </c>
      <c r="N1963" s="108"/>
      <c r="O1963" s="104"/>
      <c r="P1963" s="108"/>
      <c r="Q1963" s="108"/>
      <c r="R1963" s="104"/>
      <c r="S1963" s="253">
        <v>11.0969</v>
      </c>
      <c r="T1963" s="104"/>
      <c r="U1963" s="108"/>
      <c r="V1963" s="107"/>
      <c r="W1963" s="106"/>
    </row>
    <row r="1964" spans="1:23" ht="19">
      <c r="A1964" s="104" t="s">
        <v>273</v>
      </c>
      <c r="B1964" s="104" t="s">
        <v>74</v>
      </c>
      <c r="C1964" s="454" t="s">
        <v>266</v>
      </c>
      <c r="D1964" s="105" t="s">
        <v>267</v>
      </c>
      <c r="E1964" s="104">
        <v>40685</v>
      </c>
      <c r="F1964" s="104">
        <v>382</v>
      </c>
      <c r="G1964" s="106" t="s">
        <v>134</v>
      </c>
      <c r="H1964" s="104" t="s">
        <v>135</v>
      </c>
      <c r="I1964" s="104" t="s">
        <v>104</v>
      </c>
      <c r="J1964" s="104" t="s">
        <v>284</v>
      </c>
      <c r="K1964" s="104" t="s">
        <v>252</v>
      </c>
      <c r="L1964" s="104" t="s">
        <v>415</v>
      </c>
      <c r="M1964" s="104"/>
      <c r="N1964" s="108"/>
      <c r="O1964" s="104"/>
      <c r="P1964" s="108"/>
      <c r="Q1964" s="108"/>
      <c r="R1964" s="104"/>
      <c r="S1964" s="253">
        <v>11.41662</v>
      </c>
      <c r="T1964" s="104"/>
      <c r="U1964" s="108"/>
      <c r="V1964" s="107"/>
      <c r="W1964" s="106"/>
    </row>
    <row r="1965" spans="1:23" ht="19">
      <c r="A1965" s="104" t="s">
        <v>273</v>
      </c>
      <c r="B1965" s="104" t="s">
        <v>74</v>
      </c>
      <c r="C1965" s="454" t="s">
        <v>266</v>
      </c>
      <c r="D1965" s="105" t="s">
        <v>267</v>
      </c>
      <c r="E1965" s="104">
        <v>40685</v>
      </c>
      <c r="F1965" s="104">
        <v>775</v>
      </c>
      <c r="G1965" s="106" t="s">
        <v>134</v>
      </c>
      <c r="H1965" s="104" t="s">
        <v>135</v>
      </c>
      <c r="I1965" s="104" t="s">
        <v>104</v>
      </c>
      <c r="J1965" s="104" t="s">
        <v>284</v>
      </c>
      <c r="K1965" s="104" t="s">
        <v>1159</v>
      </c>
      <c r="L1965" s="104" t="s">
        <v>1160</v>
      </c>
      <c r="M1965" s="104" t="s">
        <v>108</v>
      </c>
      <c r="N1965" s="108"/>
      <c r="O1965" s="104"/>
      <c r="P1965" s="108"/>
      <c r="Q1965" s="108"/>
      <c r="R1965" s="104"/>
      <c r="S1965" s="253">
        <v>11.71152</v>
      </c>
      <c r="T1965" s="104"/>
      <c r="U1965" s="108"/>
      <c r="V1965" s="107"/>
      <c r="W1965" s="106"/>
    </row>
    <row r="1966" spans="1:23" ht="19">
      <c r="A1966" s="104" t="s">
        <v>273</v>
      </c>
      <c r="B1966" s="104" t="s">
        <v>74</v>
      </c>
      <c r="C1966" s="454" t="s">
        <v>266</v>
      </c>
      <c r="D1966" s="105" t="s">
        <v>267</v>
      </c>
      <c r="E1966" s="104">
        <v>40685</v>
      </c>
      <c r="F1966" s="104">
        <v>379</v>
      </c>
      <c r="G1966" s="106" t="s">
        <v>134</v>
      </c>
      <c r="H1966" s="104" t="s">
        <v>135</v>
      </c>
      <c r="I1966" s="104" t="s">
        <v>104</v>
      </c>
      <c r="J1966" s="104" t="s">
        <v>284</v>
      </c>
      <c r="K1966" s="104" t="s">
        <v>112</v>
      </c>
      <c r="L1966" s="104" t="s">
        <v>663</v>
      </c>
      <c r="M1966" s="104"/>
      <c r="N1966" s="108"/>
      <c r="O1966" s="104"/>
      <c r="P1966" s="108"/>
      <c r="Q1966" s="108"/>
      <c r="R1966" s="104"/>
      <c r="S1966" s="253">
        <v>12.887709999999998</v>
      </c>
      <c r="T1966" s="104"/>
      <c r="U1966" s="108"/>
      <c r="V1966" s="107"/>
      <c r="W1966" s="106"/>
    </row>
    <row r="1967" spans="1:23" ht="19">
      <c r="A1967" s="104" t="s">
        <v>273</v>
      </c>
      <c r="B1967" s="104" t="s">
        <v>74</v>
      </c>
      <c r="C1967" s="454" t="s">
        <v>266</v>
      </c>
      <c r="D1967" s="105" t="s">
        <v>267</v>
      </c>
      <c r="E1967" s="104">
        <v>40685</v>
      </c>
      <c r="F1967" s="104">
        <v>383</v>
      </c>
      <c r="G1967" s="106" t="s">
        <v>134</v>
      </c>
      <c r="H1967" s="104" t="s">
        <v>135</v>
      </c>
      <c r="I1967" s="104" t="s">
        <v>104</v>
      </c>
      <c r="J1967" s="104" t="s">
        <v>284</v>
      </c>
      <c r="K1967" s="104" t="s">
        <v>252</v>
      </c>
      <c r="L1967" s="104" t="s">
        <v>415</v>
      </c>
      <c r="M1967" s="104"/>
      <c r="N1967" s="108"/>
      <c r="O1967" s="104"/>
      <c r="P1967" s="108"/>
      <c r="Q1967" s="108"/>
      <c r="R1967" s="104"/>
      <c r="S1967" s="253">
        <v>14.96608</v>
      </c>
      <c r="T1967" s="104"/>
      <c r="U1967" s="108"/>
      <c r="V1967" s="107"/>
      <c r="W1967" s="106"/>
    </row>
    <row r="1968" spans="1:23" ht="19">
      <c r="A1968" s="104" t="s">
        <v>273</v>
      </c>
      <c r="B1968" s="104" t="s">
        <v>74</v>
      </c>
      <c r="C1968" s="454" t="s">
        <v>266</v>
      </c>
      <c r="D1968" s="105" t="s">
        <v>267</v>
      </c>
      <c r="E1968" s="104">
        <v>40685</v>
      </c>
      <c r="F1968" s="104">
        <v>381</v>
      </c>
      <c r="G1968" s="106" t="s">
        <v>134</v>
      </c>
      <c r="H1968" s="104" t="s">
        <v>135</v>
      </c>
      <c r="I1968" s="104" t="s">
        <v>104</v>
      </c>
      <c r="J1968" s="104" t="s">
        <v>284</v>
      </c>
      <c r="K1968" s="104" t="s">
        <v>252</v>
      </c>
      <c r="L1968" s="104" t="s">
        <v>415</v>
      </c>
      <c r="M1968" s="104" t="s">
        <v>114</v>
      </c>
      <c r="N1968" s="108"/>
      <c r="O1968" s="104"/>
      <c r="P1968" s="108"/>
      <c r="Q1968" s="108"/>
      <c r="R1968" s="104"/>
      <c r="S1968" s="253">
        <v>16.873290000000001</v>
      </c>
      <c r="T1968" s="104"/>
      <c r="U1968" s="108"/>
      <c r="V1968" s="107"/>
      <c r="W1968" s="106"/>
    </row>
    <row r="1969" spans="1:23" ht="19">
      <c r="A1969" s="104" t="s">
        <v>273</v>
      </c>
      <c r="B1969" s="104" t="s">
        <v>74</v>
      </c>
      <c r="C1969" s="454" t="s">
        <v>266</v>
      </c>
      <c r="D1969" s="105" t="s">
        <v>505</v>
      </c>
      <c r="E1969" s="104">
        <v>40685</v>
      </c>
      <c r="F1969" s="104">
        <v>385</v>
      </c>
      <c r="G1969" s="106" t="s">
        <v>134</v>
      </c>
      <c r="H1969" s="104" t="s">
        <v>135</v>
      </c>
      <c r="I1969" s="104" t="s">
        <v>104</v>
      </c>
      <c r="J1969" s="104" t="s">
        <v>284</v>
      </c>
      <c r="K1969" s="104" t="s">
        <v>112</v>
      </c>
      <c r="L1969" s="104" t="s">
        <v>663</v>
      </c>
      <c r="M1969" s="104" t="s">
        <v>114</v>
      </c>
      <c r="N1969" s="108"/>
      <c r="O1969" s="104"/>
      <c r="P1969" s="108"/>
      <c r="Q1969" s="108"/>
      <c r="R1969" s="104"/>
      <c r="S1969" s="253">
        <v>21.886279999999999</v>
      </c>
      <c r="T1969" s="104"/>
      <c r="U1969" s="108"/>
      <c r="V1969" s="107"/>
      <c r="W1969" s="106"/>
    </row>
    <row r="1970" spans="1:23" ht="19">
      <c r="A1970" s="104" t="s">
        <v>273</v>
      </c>
      <c r="B1970" s="104" t="s">
        <v>74</v>
      </c>
      <c r="C1970" s="454" t="s">
        <v>266</v>
      </c>
      <c r="D1970" s="105" t="s">
        <v>505</v>
      </c>
      <c r="E1970" s="104">
        <v>40685</v>
      </c>
      <c r="F1970" s="104">
        <v>386</v>
      </c>
      <c r="G1970" s="106" t="s">
        <v>134</v>
      </c>
      <c r="H1970" s="104" t="s">
        <v>135</v>
      </c>
      <c r="I1970" s="104" t="s">
        <v>104</v>
      </c>
      <c r="J1970" s="104" t="s">
        <v>284</v>
      </c>
      <c r="K1970" s="104" t="s">
        <v>1159</v>
      </c>
      <c r="L1970" s="104" t="s">
        <v>1160</v>
      </c>
      <c r="M1970" s="104" t="s">
        <v>114</v>
      </c>
      <c r="N1970" s="108"/>
      <c r="O1970" s="104"/>
      <c r="P1970" s="108"/>
      <c r="Q1970" s="108"/>
      <c r="R1970" s="104"/>
      <c r="S1970" s="253">
        <v>43.447389999999999</v>
      </c>
      <c r="T1970" s="104"/>
      <c r="U1970" s="108"/>
      <c r="V1970" s="107"/>
      <c r="W1970" s="106"/>
    </row>
    <row r="1971" spans="1:23" ht="19">
      <c r="A1971" s="104" t="s">
        <v>273</v>
      </c>
      <c r="B1971" s="104" t="s">
        <v>74</v>
      </c>
      <c r="C1971" s="454" t="s">
        <v>274</v>
      </c>
      <c r="D1971" s="105" t="s">
        <v>1249</v>
      </c>
      <c r="E1971" s="104">
        <v>40685</v>
      </c>
      <c r="F1971" s="104">
        <v>827</v>
      </c>
      <c r="G1971" s="106" t="s">
        <v>134</v>
      </c>
      <c r="H1971" s="104" t="s">
        <v>135</v>
      </c>
      <c r="I1971" s="104" t="s">
        <v>104</v>
      </c>
      <c r="J1971" s="104" t="s">
        <v>284</v>
      </c>
      <c r="K1971" s="104" t="s">
        <v>252</v>
      </c>
      <c r="L1971" s="104" t="s">
        <v>415</v>
      </c>
      <c r="M1971" s="104"/>
      <c r="N1971" s="108"/>
      <c r="O1971" s="104"/>
      <c r="P1971" s="108"/>
      <c r="Q1971" s="108"/>
      <c r="R1971" s="104"/>
      <c r="S1971" s="253">
        <v>2.0461300000000002</v>
      </c>
      <c r="T1971" s="104"/>
      <c r="U1971" s="108"/>
      <c r="V1971" s="107"/>
      <c r="W1971" s="106"/>
    </row>
    <row r="1972" spans="1:23" ht="19">
      <c r="A1972" s="104" t="s">
        <v>273</v>
      </c>
      <c r="B1972" s="104" t="s">
        <v>74</v>
      </c>
      <c r="C1972" s="454" t="s">
        <v>274</v>
      </c>
      <c r="D1972" s="105" t="s">
        <v>1249</v>
      </c>
      <c r="E1972" s="104">
        <v>40685</v>
      </c>
      <c r="F1972" s="104">
        <v>1095</v>
      </c>
      <c r="G1972" s="106" t="s">
        <v>134</v>
      </c>
      <c r="H1972" s="104" t="s">
        <v>135</v>
      </c>
      <c r="I1972" s="104" t="s">
        <v>104</v>
      </c>
      <c r="J1972" s="104" t="s">
        <v>284</v>
      </c>
      <c r="K1972" s="104" t="s">
        <v>1157</v>
      </c>
      <c r="L1972" s="104" t="s">
        <v>1193</v>
      </c>
      <c r="M1972" s="104"/>
      <c r="N1972" s="108"/>
      <c r="O1972" s="104"/>
      <c r="P1972" s="108"/>
      <c r="Q1972" s="108"/>
      <c r="R1972" s="104"/>
      <c r="S1972" s="253">
        <v>2.9867699999999999</v>
      </c>
      <c r="T1972" s="104"/>
      <c r="U1972" s="108"/>
      <c r="V1972" s="107"/>
      <c r="W1972" s="106"/>
    </row>
    <row r="1973" spans="1:23" ht="19">
      <c r="A1973" s="104" t="s">
        <v>273</v>
      </c>
      <c r="B1973" s="104" t="s">
        <v>74</v>
      </c>
      <c r="C1973" s="454" t="s">
        <v>274</v>
      </c>
      <c r="D1973" s="105" t="s">
        <v>1249</v>
      </c>
      <c r="E1973" s="104">
        <v>40685</v>
      </c>
      <c r="F1973" s="104">
        <v>1048</v>
      </c>
      <c r="G1973" s="106" t="s">
        <v>134</v>
      </c>
      <c r="H1973" s="104" t="s">
        <v>135</v>
      </c>
      <c r="I1973" s="104" t="s">
        <v>104</v>
      </c>
      <c r="J1973" s="104" t="s">
        <v>284</v>
      </c>
      <c r="K1973" s="104" t="s">
        <v>1205</v>
      </c>
      <c r="L1973" s="104" t="s">
        <v>1206</v>
      </c>
      <c r="M1973" s="104"/>
      <c r="N1973" s="108"/>
      <c r="O1973" s="104"/>
      <c r="P1973" s="108"/>
      <c r="Q1973" s="108"/>
      <c r="R1973" s="104"/>
      <c r="S1973" s="253">
        <v>5.2080600000000006</v>
      </c>
      <c r="T1973" s="104"/>
      <c r="U1973" s="108"/>
      <c r="V1973" s="107"/>
      <c r="W1973" s="106"/>
    </row>
    <row r="1974" spans="1:23" ht="19">
      <c r="A1974" s="104" t="s">
        <v>273</v>
      </c>
      <c r="B1974" s="104" t="s">
        <v>74</v>
      </c>
      <c r="C1974" s="454" t="s">
        <v>513</v>
      </c>
      <c r="D1974" s="105" t="s">
        <v>151</v>
      </c>
      <c r="E1974" s="104">
        <v>40685</v>
      </c>
      <c r="F1974" s="104">
        <v>1112</v>
      </c>
      <c r="G1974" s="106" t="s">
        <v>134</v>
      </c>
      <c r="H1974" s="104" t="s">
        <v>135</v>
      </c>
      <c r="I1974" s="104" t="s">
        <v>104</v>
      </c>
      <c r="J1974" s="104" t="s">
        <v>284</v>
      </c>
      <c r="K1974" s="104" t="s">
        <v>252</v>
      </c>
      <c r="L1974" s="104" t="s">
        <v>415</v>
      </c>
      <c r="M1974" s="104"/>
      <c r="N1974" s="108"/>
      <c r="O1974" s="104"/>
      <c r="P1974" s="108"/>
      <c r="Q1974" s="108"/>
      <c r="R1974" s="104"/>
      <c r="S1974" s="253">
        <v>2.0772600000000003</v>
      </c>
      <c r="T1974" s="104"/>
      <c r="U1974" s="108"/>
      <c r="V1974" s="107"/>
      <c r="W1974" s="106"/>
    </row>
    <row r="1975" spans="1:23" ht="19">
      <c r="A1975" s="104" t="s">
        <v>273</v>
      </c>
      <c r="B1975" s="104" t="s">
        <v>74</v>
      </c>
      <c r="C1975" s="454" t="s">
        <v>513</v>
      </c>
      <c r="D1975" s="105" t="s">
        <v>151</v>
      </c>
      <c r="E1975" s="104">
        <v>40685</v>
      </c>
      <c r="F1975" s="104">
        <v>1083</v>
      </c>
      <c r="G1975" s="106" t="s">
        <v>134</v>
      </c>
      <c r="H1975" s="104" t="s">
        <v>135</v>
      </c>
      <c r="I1975" s="104" t="s">
        <v>104</v>
      </c>
      <c r="J1975" s="104" t="s">
        <v>284</v>
      </c>
      <c r="K1975" s="104" t="s">
        <v>252</v>
      </c>
      <c r="L1975" s="104" t="s">
        <v>415</v>
      </c>
      <c r="M1975" s="104"/>
      <c r="N1975" s="108"/>
      <c r="O1975" s="104"/>
      <c r="P1975" s="108"/>
      <c r="Q1975" s="108"/>
      <c r="R1975" s="104"/>
      <c r="S1975" s="253">
        <v>2.4060199999999998</v>
      </c>
      <c r="T1975" s="104"/>
      <c r="U1975" s="108"/>
      <c r="V1975" s="107"/>
      <c r="W1975" s="106"/>
    </row>
    <row r="1976" spans="1:23" ht="19">
      <c r="A1976" s="104" t="s">
        <v>273</v>
      </c>
      <c r="B1976" s="104" t="s">
        <v>74</v>
      </c>
      <c r="C1976" s="454" t="s">
        <v>513</v>
      </c>
      <c r="D1976" s="105" t="s">
        <v>151</v>
      </c>
      <c r="E1976" s="104">
        <v>40685</v>
      </c>
      <c r="F1976" s="104">
        <v>1036</v>
      </c>
      <c r="G1976" s="106" t="s">
        <v>134</v>
      </c>
      <c r="H1976" s="104" t="s">
        <v>135</v>
      </c>
      <c r="I1976" s="104" t="s">
        <v>104</v>
      </c>
      <c r="J1976" s="104" t="s">
        <v>284</v>
      </c>
      <c r="K1976" s="104" t="s">
        <v>136</v>
      </c>
      <c r="L1976" s="104" t="s">
        <v>1032</v>
      </c>
      <c r="M1976" s="104"/>
      <c r="N1976" s="108"/>
      <c r="O1976" s="104"/>
      <c r="P1976" s="108"/>
      <c r="Q1976" s="108"/>
      <c r="R1976" s="104"/>
      <c r="S1976" s="253">
        <v>3.7572100000000002</v>
      </c>
      <c r="T1976" s="104"/>
      <c r="U1976" s="108"/>
      <c r="V1976" s="107"/>
      <c r="W1976" s="106"/>
    </row>
    <row r="1977" spans="1:23" ht="19">
      <c r="A1977" s="104" t="s">
        <v>273</v>
      </c>
      <c r="B1977" s="104" t="s">
        <v>74</v>
      </c>
      <c r="C1977" s="454" t="s">
        <v>513</v>
      </c>
      <c r="D1977" s="105" t="s">
        <v>151</v>
      </c>
      <c r="E1977" s="104">
        <v>40685</v>
      </c>
      <c r="F1977" s="104">
        <v>1035</v>
      </c>
      <c r="G1977" s="106" t="s">
        <v>134</v>
      </c>
      <c r="H1977" s="104" t="s">
        <v>135</v>
      </c>
      <c r="I1977" s="104" t="s">
        <v>104</v>
      </c>
      <c r="J1977" s="104" t="s">
        <v>284</v>
      </c>
      <c r="K1977" s="104" t="s">
        <v>136</v>
      </c>
      <c r="L1977" s="104" t="s">
        <v>1032</v>
      </c>
      <c r="M1977" s="104"/>
      <c r="N1977" s="108"/>
      <c r="O1977" s="104"/>
      <c r="P1977" s="108"/>
      <c r="Q1977" s="108"/>
      <c r="R1977" s="104"/>
      <c r="S1977" s="253">
        <v>3.8732600000000001</v>
      </c>
      <c r="T1977" s="104"/>
      <c r="U1977" s="108"/>
      <c r="V1977" s="107"/>
      <c r="W1977" s="106"/>
    </row>
    <row r="1978" spans="1:23" ht="19">
      <c r="A1978" s="104" t="s">
        <v>273</v>
      </c>
      <c r="B1978" s="104" t="s">
        <v>74</v>
      </c>
      <c r="C1978" s="454" t="s">
        <v>299</v>
      </c>
      <c r="D1978" s="105" t="s">
        <v>1260</v>
      </c>
      <c r="E1978" s="104">
        <v>40685</v>
      </c>
      <c r="F1978" s="104">
        <v>257</v>
      </c>
      <c r="G1978" s="106" t="s">
        <v>134</v>
      </c>
      <c r="H1978" s="104" t="s">
        <v>135</v>
      </c>
      <c r="I1978" s="104" t="s">
        <v>104</v>
      </c>
      <c r="J1978" s="104" t="s">
        <v>284</v>
      </c>
      <c r="K1978" s="104" t="s">
        <v>1157</v>
      </c>
      <c r="L1978" s="104" t="s">
        <v>1158</v>
      </c>
      <c r="M1978" s="104" t="s">
        <v>108</v>
      </c>
      <c r="N1978" s="108"/>
      <c r="O1978" s="104"/>
      <c r="P1978" s="108"/>
      <c r="Q1978" s="108"/>
      <c r="R1978" s="104"/>
      <c r="S1978" s="253">
        <v>2.29264</v>
      </c>
      <c r="T1978" s="104"/>
      <c r="U1978" s="108"/>
      <c r="V1978" s="107"/>
      <c r="W1978" s="106"/>
    </row>
    <row r="1979" spans="1:23" ht="19">
      <c r="A1979" s="104" t="s">
        <v>273</v>
      </c>
      <c r="B1979" s="104" t="s">
        <v>74</v>
      </c>
      <c r="C1979" s="454" t="s">
        <v>299</v>
      </c>
      <c r="D1979" s="105" t="s">
        <v>1260</v>
      </c>
      <c r="E1979" s="104">
        <v>40685</v>
      </c>
      <c r="F1979" s="104">
        <v>247</v>
      </c>
      <c r="G1979" s="106" t="s">
        <v>134</v>
      </c>
      <c r="H1979" s="104" t="s">
        <v>135</v>
      </c>
      <c r="I1979" s="104" t="s">
        <v>104</v>
      </c>
      <c r="J1979" s="104" t="s">
        <v>284</v>
      </c>
      <c r="K1979" s="104" t="s">
        <v>136</v>
      </c>
      <c r="L1979" s="104" t="s">
        <v>1032</v>
      </c>
      <c r="M1979" s="104" t="s">
        <v>108</v>
      </c>
      <c r="N1979" s="108"/>
      <c r="O1979" s="104"/>
      <c r="P1979" s="108"/>
      <c r="Q1979" s="108"/>
      <c r="R1979" s="104"/>
      <c r="S1979" s="253">
        <v>2.56223</v>
      </c>
      <c r="T1979" s="104"/>
      <c r="U1979" s="108"/>
      <c r="V1979" s="107"/>
      <c r="W1979" s="106"/>
    </row>
    <row r="1980" spans="1:23" ht="19">
      <c r="A1980" s="104" t="s">
        <v>273</v>
      </c>
      <c r="B1980" s="104" t="s">
        <v>74</v>
      </c>
      <c r="C1980" s="454" t="s">
        <v>299</v>
      </c>
      <c r="D1980" s="105" t="s">
        <v>1260</v>
      </c>
      <c r="E1980" s="104">
        <v>40685</v>
      </c>
      <c r="F1980" s="104">
        <v>828</v>
      </c>
      <c r="G1980" s="106" t="s">
        <v>134</v>
      </c>
      <c r="H1980" s="104" t="s">
        <v>135</v>
      </c>
      <c r="I1980" s="104" t="s">
        <v>104</v>
      </c>
      <c r="J1980" s="104" t="s">
        <v>284</v>
      </c>
      <c r="K1980" s="104" t="s">
        <v>112</v>
      </c>
      <c r="L1980" s="104" t="s">
        <v>663</v>
      </c>
      <c r="M1980" s="104" t="s">
        <v>108</v>
      </c>
      <c r="N1980" s="108"/>
      <c r="O1980" s="104"/>
      <c r="P1980" s="108"/>
      <c r="Q1980" s="108"/>
      <c r="R1980" s="104"/>
      <c r="S1980" s="253">
        <v>3.18424</v>
      </c>
      <c r="T1980" s="104"/>
      <c r="U1980" s="108"/>
      <c r="V1980" s="107"/>
      <c r="W1980" s="106"/>
    </row>
    <row r="1981" spans="1:23" ht="19">
      <c r="A1981" s="104" t="s">
        <v>273</v>
      </c>
      <c r="B1981" s="104" t="s">
        <v>74</v>
      </c>
      <c r="C1981" s="454" t="s">
        <v>299</v>
      </c>
      <c r="D1981" s="105" t="s">
        <v>1260</v>
      </c>
      <c r="E1981" s="104">
        <v>40685</v>
      </c>
      <c r="F1981" s="104">
        <v>249</v>
      </c>
      <c r="G1981" s="106" t="s">
        <v>134</v>
      </c>
      <c r="H1981" s="104" t="s">
        <v>135</v>
      </c>
      <c r="I1981" s="104" t="s">
        <v>104</v>
      </c>
      <c r="J1981" s="104" t="s">
        <v>284</v>
      </c>
      <c r="K1981" s="104" t="s">
        <v>1205</v>
      </c>
      <c r="L1981" s="104" t="s">
        <v>1206</v>
      </c>
      <c r="M1981" s="104"/>
      <c r="N1981" s="108"/>
      <c r="O1981" s="104"/>
      <c r="P1981" s="108"/>
      <c r="Q1981" s="108"/>
      <c r="R1981" s="104"/>
      <c r="S1981" s="253">
        <v>3.4769200000000002</v>
      </c>
      <c r="T1981" s="104"/>
      <c r="U1981" s="108"/>
      <c r="V1981" s="107"/>
      <c r="W1981" s="106"/>
    </row>
    <row r="1982" spans="1:23" s="333" customFormat="1" ht="19">
      <c r="A1982" s="104" t="s">
        <v>273</v>
      </c>
      <c r="B1982" s="104" t="s">
        <v>74</v>
      </c>
      <c r="C1982" s="454" t="s">
        <v>299</v>
      </c>
      <c r="D1982" s="105" t="s">
        <v>1261</v>
      </c>
      <c r="E1982" s="104">
        <v>40685</v>
      </c>
      <c r="F1982" s="104">
        <v>830</v>
      </c>
      <c r="G1982" s="106" t="s">
        <v>134</v>
      </c>
      <c r="H1982" s="104" t="s">
        <v>135</v>
      </c>
      <c r="I1982" s="104" t="s">
        <v>104</v>
      </c>
      <c r="J1982" s="104" t="s">
        <v>284</v>
      </c>
      <c r="K1982" s="104" t="s">
        <v>112</v>
      </c>
      <c r="L1982" s="104" t="s">
        <v>663</v>
      </c>
      <c r="M1982" s="104" t="s">
        <v>108</v>
      </c>
      <c r="N1982" s="108"/>
      <c r="O1982" s="104"/>
      <c r="P1982" s="108"/>
      <c r="Q1982" s="108"/>
      <c r="R1982" s="104"/>
      <c r="S1982" s="253">
        <v>2.79305</v>
      </c>
      <c r="T1982" s="104"/>
      <c r="U1982" s="108"/>
      <c r="V1982" s="107"/>
      <c r="W1982" s="106"/>
    </row>
    <row r="1983" spans="1:23" ht="19">
      <c r="A1983" s="104" t="s">
        <v>273</v>
      </c>
      <c r="B1983" s="104" t="s">
        <v>74</v>
      </c>
      <c r="C1983" s="454" t="s">
        <v>299</v>
      </c>
      <c r="D1983" s="105" t="s">
        <v>1261</v>
      </c>
      <c r="E1983" s="104">
        <v>40685</v>
      </c>
      <c r="F1983" s="104">
        <v>1038</v>
      </c>
      <c r="G1983" s="106" t="s">
        <v>134</v>
      </c>
      <c r="H1983" s="104" t="s">
        <v>135</v>
      </c>
      <c r="I1983" s="104" t="s">
        <v>104</v>
      </c>
      <c r="J1983" s="104" t="s">
        <v>284</v>
      </c>
      <c r="K1983" s="104" t="s">
        <v>121</v>
      </c>
      <c r="L1983" s="104" t="s">
        <v>1041</v>
      </c>
      <c r="M1983" s="104"/>
      <c r="N1983" s="108"/>
      <c r="O1983" s="104"/>
      <c r="P1983" s="108"/>
      <c r="Q1983" s="108"/>
      <c r="R1983" s="104"/>
      <c r="S1983" s="253">
        <v>3.9071599999999997</v>
      </c>
      <c r="T1983" s="104"/>
      <c r="U1983" s="108"/>
      <c r="V1983" s="107"/>
      <c r="W1983" s="106"/>
    </row>
    <row r="1984" spans="1:23" ht="19">
      <c r="A1984" s="104" t="s">
        <v>273</v>
      </c>
      <c r="B1984" s="104" t="s">
        <v>74</v>
      </c>
      <c r="C1984" s="454" t="s">
        <v>299</v>
      </c>
      <c r="D1984" s="105" t="s">
        <v>1261</v>
      </c>
      <c r="E1984" s="104">
        <v>40685</v>
      </c>
      <c r="F1984" s="104">
        <v>184</v>
      </c>
      <c r="G1984" s="106" t="s">
        <v>134</v>
      </c>
      <c r="H1984" s="104" t="s">
        <v>135</v>
      </c>
      <c r="I1984" s="104" t="s">
        <v>104</v>
      </c>
      <c r="J1984" s="104" t="s">
        <v>284</v>
      </c>
      <c r="K1984" s="104" t="s">
        <v>691</v>
      </c>
      <c r="L1984" s="104" t="s">
        <v>692</v>
      </c>
      <c r="M1984" s="104" t="s">
        <v>108</v>
      </c>
      <c r="N1984" s="108"/>
      <c r="O1984" s="104"/>
      <c r="P1984" s="108"/>
      <c r="Q1984" s="108"/>
      <c r="R1984" s="104"/>
      <c r="S1984" s="253">
        <v>4.0003200000000003</v>
      </c>
      <c r="T1984" s="104"/>
      <c r="U1984" s="108"/>
      <c r="V1984" s="107"/>
      <c r="W1984" s="106"/>
    </row>
    <row r="1985" spans="1:23" ht="19">
      <c r="A1985" s="416" t="s">
        <v>273</v>
      </c>
      <c r="B1985" s="416" t="s">
        <v>80</v>
      </c>
      <c r="C1985" s="455" t="s">
        <v>132</v>
      </c>
      <c r="D1985" s="461" t="s">
        <v>133</v>
      </c>
      <c r="E1985" s="416">
        <v>40685</v>
      </c>
      <c r="F1985" s="416">
        <v>106</v>
      </c>
      <c r="G1985" s="456" t="s">
        <v>134</v>
      </c>
      <c r="H1985" s="416" t="s">
        <v>135</v>
      </c>
      <c r="I1985" s="104" t="s">
        <v>104</v>
      </c>
      <c r="J1985" s="416" t="s">
        <v>105</v>
      </c>
      <c r="K1985" s="416" t="s">
        <v>136</v>
      </c>
      <c r="L1985" s="416" t="s">
        <v>1032</v>
      </c>
      <c r="M1985" s="416" t="s">
        <v>108</v>
      </c>
      <c r="N1985" s="458" t="s">
        <v>17</v>
      </c>
      <c r="O1985" s="416" t="s">
        <v>17</v>
      </c>
      <c r="P1985" s="458">
        <v>6.3</v>
      </c>
      <c r="Q1985" s="458">
        <v>5.3159999999999998</v>
      </c>
      <c r="R1985" s="416" t="s">
        <v>17</v>
      </c>
      <c r="S1985" s="459">
        <f>(10^((LOG(P1985*10)*1.6064)+2.1902))/1000</f>
        <v>120.40947384131668</v>
      </c>
      <c r="T1985" s="416" t="s">
        <v>1322</v>
      </c>
      <c r="U1985" s="458">
        <v>0.6</v>
      </c>
      <c r="V1985" s="460" t="s">
        <v>287</v>
      </c>
      <c r="W1985" s="466" t="s">
        <v>105</v>
      </c>
    </row>
    <row r="1986" spans="1:23" ht="19">
      <c r="A1986" s="416" t="s">
        <v>273</v>
      </c>
      <c r="B1986" s="416" t="s">
        <v>80</v>
      </c>
      <c r="C1986" s="455" t="s">
        <v>132</v>
      </c>
      <c r="D1986" s="461" t="s">
        <v>133</v>
      </c>
      <c r="E1986" s="416">
        <v>40685</v>
      </c>
      <c r="F1986" s="416">
        <v>107</v>
      </c>
      <c r="G1986" s="456" t="s">
        <v>134</v>
      </c>
      <c r="H1986" s="416" t="s">
        <v>135</v>
      </c>
      <c r="I1986" s="104" t="s">
        <v>104</v>
      </c>
      <c r="J1986" s="416" t="s">
        <v>105</v>
      </c>
      <c r="K1986" s="416" t="s">
        <v>136</v>
      </c>
      <c r="L1986" s="416" t="s">
        <v>1032</v>
      </c>
      <c r="M1986" s="416" t="s">
        <v>114</v>
      </c>
      <c r="N1986" s="458" t="s">
        <v>17</v>
      </c>
      <c r="O1986" s="416" t="s">
        <v>17</v>
      </c>
      <c r="P1986" s="458">
        <v>6.3170000000000002</v>
      </c>
      <c r="Q1986" s="458">
        <v>5.4249999999999998</v>
      </c>
      <c r="R1986" s="416" t="s">
        <v>17</v>
      </c>
      <c r="S1986" s="459">
        <f>(10^((LOG(P1986*10)*1.6064)+2.1902))/1000</f>
        <v>120.93184329980889</v>
      </c>
      <c r="T1986" s="416" t="s">
        <v>1322</v>
      </c>
      <c r="U1986" s="458">
        <v>0.6</v>
      </c>
      <c r="V1986" s="460" t="s">
        <v>287</v>
      </c>
      <c r="W1986" s="466" t="s">
        <v>105</v>
      </c>
    </row>
    <row r="1987" spans="1:23" ht="19">
      <c r="A1987" s="416" t="s">
        <v>273</v>
      </c>
      <c r="B1987" s="416" t="s">
        <v>80</v>
      </c>
      <c r="C1987" s="455" t="s">
        <v>132</v>
      </c>
      <c r="D1987" s="461" t="s">
        <v>133</v>
      </c>
      <c r="E1987" s="416">
        <v>40685</v>
      </c>
      <c r="F1987" s="416">
        <v>94</v>
      </c>
      <c r="G1987" s="456" t="s">
        <v>134</v>
      </c>
      <c r="H1987" s="416" t="s">
        <v>135</v>
      </c>
      <c r="I1987" s="104" t="s">
        <v>104</v>
      </c>
      <c r="J1987" s="416" t="s">
        <v>105</v>
      </c>
      <c r="K1987" s="416" t="s">
        <v>647</v>
      </c>
      <c r="L1987" s="416" t="s">
        <v>648</v>
      </c>
      <c r="M1987" s="416" t="s">
        <v>108</v>
      </c>
      <c r="N1987" s="458" t="s">
        <v>17</v>
      </c>
      <c r="O1987" s="416" t="s">
        <v>17</v>
      </c>
      <c r="P1987" s="458">
        <v>5.96</v>
      </c>
      <c r="Q1987" s="458">
        <v>3.02</v>
      </c>
      <c r="R1987" s="416" t="s">
        <v>17</v>
      </c>
      <c r="S1987" s="459">
        <f>(10^((2.02*LOG(P1987*10))+-1.461))</f>
        <v>133.35135859428439</v>
      </c>
      <c r="T1987" s="416" t="s">
        <v>1324</v>
      </c>
      <c r="U1987" s="458">
        <v>0.9</v>
      </c>
      <c r="V1987" s="460">
        <v>100</v>
      </c>
      <c r="W1987" s="466" t="s">
        <v>1325</v>
      </c>
    </row>
    <row r="1988" spans="1:23" ht="19">
      <c r="A1988" s="416" t="s">
        <v>273</v>
      </c>
      <c r="B1988" s="416" t="s">
        <v>80</v>
      </c>
      <c r="C1988" s="455" t="s">
        <v>132</v>
      </c>
      <c r="D1988" s="461" t="s">
        <v>133</v>
      </c>
      <c r="E1988" s="416">
        <v>40685</v>
      </c>
      <c r="F1988" s="416">
        <v>3</v>
      </c>
      <c r="G1988" s="456" t="s">
        <v>134</v>
      </c>
      <c r="H1988" s="416" t="s">
        <v>135</v>
      </c>
      <c r="I1988" s="104" t="s">
        <v>104</v>
      </c>
      <c r="J1988" s="416" t="s">
        <v>105</v>
      </c>
      <c r="K1988" s="416" t="s">
        <v>209</v>
      </c>
      <c r="L1988" s="416" t="s">
        <v>684</v>
      </c>
      <c r="M1988" s="416" t="s">
        <v>114</v>
      </c>
      <c r="N1988" s="458" t="s">
        <v>17</v>
      </c>
      <c r="O1988" s="416" t="s">
        <v>17</v>
      </c>
      <c r="P1988" s="458">
        <v>1.996</v>
      </c>
      <c r="Q1988" s="458">
        <v>1.2550000000000001</v>
      </c>
      <c r="R1988" s="416" t="s">
        <v>17</v>
      </c>
      <c r="S1988" s="459">
        <f>(10^((LOG(P1988*10)*1.5878)+3.1043))/1000</f>
        <v>147.46701878324464</v>
      </c>
      <c r="T1988" s="416" t="s">
        <v>1318</v>
      </c>
      <c r="U1988" s="458">
        <v>0.33</v>
      </c>
      <c r="V1988" s="460" t="s">
        <v>287</v>
      </c>
      <c r="W1988" s="466" t="s">
        <v>1319</v>
      </c>
    </row>
    <row r="1989" spans="1:23" ht="19">
      <c r="A1989" s="416" t="s">
        <v>273</v>
      </c>
      <c r="B1989" s="416" t="s">
        <v>80</v>
      </c>
      <c r="C1989" s="455" t="s">
        <v>132</v>
      </c>
      <c r="D1989" s="461" t="s">
        <v>133</v>
      </c>
      <c r="E1989" s="416">
        <v>40685</v>
      </c>
      <c r="F1989" s="416">
        <v>104</v>
      </c>
      <c r="G1989" s="456" t="s">
        <v>134</v>
      </c>
      <c r="H1989" s="416" t="s">
        <v>135</v>
      </c>
      <c r="I1989" s="104" t="s">
        <v>104</v>
      </c>
      <c r="J1989" s="416" t="s">
        <v>105</v>
      </c>
      <c r="K1989" s="416" t="s">
        <v>136</v>
      </c>
      <c r="L1989" s="416" t="s">
        <v>1032</v>
      </c>
      <c r="M1989" s="416" t="s">
        <v>114</v>
      </c>
      <c r="N1989" s="458" t="s">
        <v>17</v>
      </c>
      <c r="O1989" s="416" t="s">
        <v>17</v>
      </c>
      <c r="P1989" s="458">
        <v>7.4980000000000002</v>
      </c>
      <c r="Q1989" s="458">
        <v>6.6</v>
      </c>
      <c r="R1989" s="416" t="s">
        <v>17</v>
      </c>
      <c r="S1989" s="459">
        <f>(10^((LOG(P1989*10)*1.6064)+2.1902))/1000</f>
        <v>159.26206720645146</v>
      </c>
      <c r="T1989" s="416" t="s">
        <v>1322</v>
      </c>
      <c r="U1989" s="458">
        <v>0.6</v>
      </c>
      <c r="V1989" s="460" t="s">
        <v>287</v>
      </c>
      <c r="W1989" s="466" t="s">
        <v>105</v>
      </c>
    </row>
    <row r="1990" spans="1:23" ht="19">
      <c r="A1990" s="416" t="s">
        <v>273</v>
      </c>
      <c r="B1990" s="416" t="s">
        <v>80</v>
      </c>
      <c r="C1990" s="455" t="s">
        <v>132</v>
      </c>
      <c r="D1990" s="461" t="s">
        <v>133</v>
      </c>
      <c r="E1990" s="416">
        <v>40685</v>
      </c>
      <c r="F1990" s="416">
        <v>102</v>
      </c>
      <c r="G1990" s="456" t="s">
        <v>134</v>
      </c>
      <c r="H1990" s="416" t="s">
        <v>135</v>
      </c>
      <c r="I1990" s="104" t="s">
        <v>104</v>
      </c>
      <c r="J1990" s="416" t="s">
        <v>105</v>
      </c>
      <c r="K1990" s="416" t="s">
        <v>136</v>
      </c>
      <c r="L1990" s="416" t="s">
        <v>1032</v>
      </c>
      <c r="M1990" s="416" t="s">
        <v>114</v>
      </c>
      <c r="N1990" s="458" t="s">
        <v>17</v>
      </c>
      <c r="O1990" s="416" t="s">
        <v>17</v>
      </c>
      <c r="P1990" s="458">
        <v>7.5359999999999996</v>
      </c>
      <c r="Q1990" s="458">
        <v>6.9939999999999998</v>
      </c>
      <c r="R1990" s="416" t="s">
        <v>17</v>
      </c>
      <c r="S1990" s="459">
        <f>(10^((LOG(P1990*10)*1.6064)+2.1902))/1000</f>
        <v>160.56065284920962</v>
      </c>
      <c r="T1990" s="416" t="s">
        <v>1322</v>
      </c>
      <c r="U1990" s="458">
        <v>0.6</v>
      </c>
      <c r="V1990" s="460" t="s">
        <v>287</v>
      </c>
      <c r="W1990" s="466" t="s">
        <v>105</v>
      </c>
    </row>
    <row r="1991" spans="1:23" ht="19">
      <c r="A1991" s="416" t="s">
        <v>273</v>
      </c>
      <c r="B1991" s="416" t="s">
        <v>80</v>
      </c>
      <c r="C1991" s="455" t="s">
        <v>132</v>
      </c>
      <c r="D1991" s="461" t="s">
        <v>133</v>
      </c>
      <c r="E1991" s="416">
        <v>40685</v>
      </c>
      <c r="F1991" s="416">
        <v>39</v>
      </c>
      <c r="G1991" s="456" t="s">
        <v>134</v>
      </c>
      <c r="H1991" s="416" t="s">
        <v>135</v>
      </c>
      <c r="I1991" s="104" t="s">
        <v>104</v>
      </c>
      <c r="J1991" s="416" t="s">
        <v>105</v>
      </c>
      <c r="K1991" s="416" t="s">
        <v>209</v>
      </c>
      <c r="L1991" s="416" t="s">
        <v>684</v>
      </c>
      <c r="M1991" s="416" t="s">
        <v>114</v>
      </c>
      <c r="N1991" s="458" t="s">
        <v>17</v>
      </c>
      <c r="O1991" s="416" t="s">
        <v>17</v>
      </c>
      <c r="P1991" s="458">
        <v>2.1079999999999997</v>
      </c>
      <c r="Q1991" s="458">
        <v>1.0509999999999999</v>
      </c>
      <c r="R1991" s="416" t="s">
        <v>17</v>
      </c>
      <c r="S1991" s="459">
        <f>(10^((LOG(P1991*10)*1.5878)+3.1043))/1000</f>
        <v>160.82062628697153</v>
      </c>
      <c r="T1991" s="416" t="s">
        <v>1318</v>
      </c>
      <c r="U1991" s="458">
        <v>0.33</v>
      </c>
      <c r="V1991" s="460" t="s">
        <v>287</v>
      </c>
      <c r="W1991" s="466" t="s">
        <v>1319</v>
      </c>
    </row>
    <row r="1992" spans="1:23" ht="19">
      <c r="A1992" s="416" t="s">
        <v>273</v>
      </c>
      <c r="B1992" s="416" t="s">
        <v>80</v>
      </c>
      <c r="C1992" s="455" t="s">
        <v>132</v>
      </c>
      <c r="D1992" s="461" t="s">
        <v>133</v>
      </c>
      <c r="E1992" s="416">
        <v>40685</v>
      </c>
      <c r="F1992" s="416">
        <v>105</v>
      </c>
      <c r="G1992" s="456" t="s">
        <v>134</v>
      </c>
      <c r="H1992" s="416" t="s">
        <v>135</v>
      </c>
      <c r="I1992" s="104" t="s">
        <v>104</v>
      </c>
      <c r="J1992" s="416" t="s">
        <v>105</v>
      </c>
      <c r="K1992" s="416" t="s">
        <v>136</v>
      </c>
      <c r="L1992" s="416" t="s">
        <v>1032</v>
      </c>
      <c r="M1992" s="416" t="s">
        <v>108</v>
      </c>
      <c r="N1992" s="458" t="s">
        <v>17</v>
      </c>
      <c r="O1992" s="416" t="s">
        <v>17</v>
      </c>
      <c r="P1992" s="458">
        <v>7.5590000000000002</v>
      </c>
      <c r="Q1992" s="458">
        <v>6.7249999999999996</v>
      </c>
      <c r="R1992" s="416" t="s">
        <v>17</v>
      </c>
      <c r="S1992" s="459">
        <f>(10^((LOG(P1992*10)*1.6064)+2.1902))/1000</f>
        <v>161.34857136139513</v>
      </c>
      <c r="T1992" s="416" t="s">
        <v>1322</v>
      </c>
      <c r="U1992" s="458">
        <v>0.6</v>
      </c>
      <c r="V1992" s="460" t="s">
        <v>287</v>
      </c>
      <c r="W1992" s="466" t="s">
        <v>105</v>
      </c>
    </row>
    <row r="1993" spans="1:23" ht="19">
      <c r="A1993" s="416" t="s">
        <v>273</v>
      </c>
      <c r="B1993" s="416" t="s">
        <v>80</v>
      </c>
      <c r="C1993" s="455" t="s">
        <v>132</v>
      </c>
      <c r="D1993" s="461" t="s">
        <v>133</v>
      </c>
      <c r="E1993" s="416">
        <v>40685</v>
      </c>
      <c r="F1993" s="416">
        <v>103</v>
      </c>
      <c r="G1993" s="456" t="s">
        <v>134</v>
      </c>
      <c r="H1993" s="416" t="s">
        <v>135</v>
      </c>
      <c r="I1993" s="104" t="s">
        <v>104</v>
      </c>
      <c r="J1993" s="416" t="s">
        <v>105</v>
      </c>
      <c r="K1993" s="416" t="s">
        <v>136</v>
      </c>
      <c r="L1993" s="416" t="s">
        <v>1032</v>
      </c>
      <c r="M1993" s="416" t="s">
        <v>108</v>
      </c>
      <c r="N1993" s="458" t="s">
        <v>17</v>
      </c>
      <c r="O1993" s="416" t="s">
        <v>17</v>
      </c>
      <c r="P1993" s="458">
        <v>7.6059999999999999</v>
      </c>
      <c r="Q1993" s="458">
        <v>6.9650000000000007</v>
      </c>
      <c r="R1993" s="416" t="s">
        <v>17</v>
      </c>
      <c r="S1993" s="459">
        <f>(10^((LOG(P1993*10)*1.6064)+2.1902))/1000</f>
        <v>162.96318879842894</v>
      </c>
      <c r="T1993" s="416" t="s">
        <v>1322</v>
      </c>
      <c r="U1993" s="458">
        <v>0.6</v>
      </c>
      <c r="V1993" s="460" t="s">
        <v>287</v>
      </c>
      <c r="W1993" s="466" t="s">
        <v>105</v>
      </c>
    </row>
    <row r="1994" spans="1:23" ht="19">
      <c r="A1994" s="416" t="s">
        <v>273</v>
      </c>
      <c r="B1994" s="416" t="s">
        <v>80</v>
      </c>
      <c r="C1994" s="455" t="s">
        <v>132</v>
      </c>
      <c r="D1994" s="461" t="s">
        <v>133</v>
      </c>
      <c r="E1994" s="416">
        <v>40685</v>
      </c>
      <c r="F1994" s="416">
        <v>2</v>
      </c>
      <c r="G1994" s="456" t="s">
        <v>134</v>
      </c>
      <c r="H1994" s="416" t="s">
        <v>135</v>
      </c>
      <c r="I1994" s="104" t="s">
        <v>104</v>
      </c>
      <c r="J1994" s="416" t="s">
        <v>105</v>
      </c>
      <c r="K1994" s="416" t="s">
        <v>209</v>
      </c>
      <c r="L1994" s="416" t="s">
        <v>684</v>
      </c>
      <c r="M1994" s="416" t="s">
        <v>108</v>
      </c>
      <c r="N1994" s="458" t="s">
        <v>17</v>
      </c>
      <c r="O1994" s="416" t="s">
        <v>17</v>
      </c>
      <c r="P1994" s="458">
        <v>2.1480000000000001</v>
      </c>
      <c r="Q1994" s="458">
        <v>1.454</v>
      </c>
      <c r="R1994" s="416" t="s">
        <v>17</v>
      </c>
      <c r="S1994" s="459">
        <f>(10^((LOG(P1994*10)*1.5878)+3.1043))/1000</f>
        <v>165.69294804128106</v>
      </c>
      <c r="T1994" s="416" t="s">
        <v>1318</v>
      </c>
      <c r="U1994" s="458">
        <v>0.33</v>
      </c>
      <c r="V1994" s="460" t="s">
        <v>287</v>
      </c>
      <c r="W1994" s="466" t="s">
        <v>1319</v>
      </c>
    </row>
    <row r="1995" spans="1:23" ht="19">
      <c r="A1995" s="416" t="s">
        <v>273</v>
      </c>
      <c r="B1995" s="416" t="s">
        <v>80</v>
      </c>
      <c r="C1995" s="455" t="s">
        <v>132</v>
      </c>
      <c r="D1995" s="461" t="s">
        <v>133</v>
      </c>
      <c r="E1995" s="416">
        <v>40685</v>
      </c>
      <c r="F1995" s="416">
        <v>142</v>
      </c>
      <c r="G1995" s="456" t="s">
        <v>134</v>
      </c>
      <c r="H1995" s="416" t="s">
        <v>135</v>
      </c>
      <c r="I1995" s="104" t="s">
        <v>104</v>
      </c>
      <c r="J1995" s="416" t="s">
        <v>105</v>
      </c>
      <c r="K1995" s="416" t="s">
        <v>1329</v>
      </c>
      <c r="L1995" s="416" t="s">
        <v>648</v>
      </c>
      <c r="M1995" s="416" t="s">
        <v>114</v>
      </c>
      <c r="N1995" s="458" t="s">
        <v>17</v>
      </c>
      <c r="O1995" s="416" t="s">
        <v>17</v>
      </c>
      <c r="P1995" s="458">
        <v>8.093</v>
      </c>
      <c r="Q1995" s="458">
        <v>7.298</v>
      </c>
      <c r="R1995" s="416" t="s">
        <v>17</v>
      </c>
      <c r="S1995" s="459">
        <f>(10^((2.02*LOG(P1995*10))+-1.461))</f>
        <v>247.38950498584063</v>
      </c>
      <c r="T1995" s="416" t="s">
        <v>1324</v>
      </c>
      <c r="U1995" s="458">
        <v>0.9</v>
      </c>
      <c r="V1995" s="460">
        <v>100</v>
      </c>
      <c r="W1995" s="466" t="s">
        <v>1325</v>
      </c>
    </row>
    <row r="1996" spans="1:23" ht="19">
      <c r="A1996" s="416" t="s">
        <v>273</v>
      </c>
      <c r="B1996" s="416" t="s">
        <v>80</v>
      </c>
      <c r="C1996" s="455" t="s">
        <v>132</v>
      </c>
      <c r="D1996" s="461" t="s">
        <v>133</v>
      </c>
      <c r="E1996" s="416">
        <v>40685</v>
      </c>
      <c r="F1996" s="416">
        <v>140</v>
      </c>
      <c r="G1996" s="456" t="s">
        <v>134</v>
      </c>
      <c r="H1996" s="416" t="s">
        <v>135</v>
      </c>
      <c r="I1996" s="104" t="s">
        <v>104</v>
      </c>
      <c r="J1996" s="416" t="s">
        <v>105</v>
      </c>
      <c r="K1996" s="416" t="s">
        <v>1329</v>
      </c>
      <c r="L1996" s="416" t="s">
        <v>648</v>
      </c>
      <c r="M1996" s="416" t="s">
        <v>108</v>
      </c>
      <c r="N1996" s="458" t="s">
        <v>17</v>
      </c>
      <c r="O1996" s="416" t="s">
        <v>17</v>
      </c>
      <c r="P1996" s="458">
        <v>8.1260000000000012</v>
      </c>
      <c r="Q1996" s="458">
        <v>6.7060000000000004</v>
      </c>
      <c r="R1996" s="416" t="s">
        <v>17</v>
      </c>
      <c r="S1996" s="459">
        <f>(10^((2.02*LOG(P1996*10))+-1.461))</f>
        <v>249.43142758210911</v>
      </c>
      <c r="T1996" s="416" t="s">
        <v>1324</v>
      </c>
      <c r="U1996" s="458">
        <v>0.9</v>
      </c>
      <c r="V1996" s="460">
        <v>100</v>
      </c>
      <c r="W1996" s="466" t="s">
        <v>1325</v>
      </c>
    </row>
    <row r="1997" spans="1:23" ht="19">
      <c r="A1997" s="104" t="s">
        <v>169</v>
      </c>
      <c r="B1997" s="104" t="s">
        <v>149</v>
      </c>
      <c r="C1997" s="454" t="s">
        <v>150</v>
      </c>
      <c r="D1997" s="105" t="s">
        <v>151</v>
      </c>
      <c r="E1997" s="104">
        <v>40685</v>
      </c>
      <c r="F1997" s="104">
        <v>2258</v>
      </c>
      <c r="G1997" s="106" t="s">
        <v>134</v>
      </c>
      <c r="H1997" s="104" t="s">
        <v>135</v>
      </c>
      <c r="I1997" s="104" t="s">
        <v>104</v>
      </c>
      <c r="J1997" s="104" t="s">
        <v>105</v>
      </c>
      <c r="K1997" s="104" t="s">
        <v>158</v>
      </c>
      <c r="L1997" s="104" t="s">
        <v>686</v>
      </c>
      <c r="M1997" s="104" t="s">
        <v>108</v>
      </c>
      <c r="N1997" s="108" t="s">
        <v>17</v>
      </c>
      <c r="O1997" s="104" t="s">
        <v>17</v>
      </c>
      <c r="P1997" s="113">
        <v>3.3109999999999999</v>
      </c>
      <c r="Q1997" s="113">
        <v>2.774</v>
      </c>
      <c r="R1997" s="104" t="s">
        <v>17</v>
      </c>
      <c r="S1997" s="253">
        <f>(10^((2.9*LOG((P1997))+1.209)))</f>
        <v>521.05266821539817</v>
      </c>
      <c r="T1997" s="103" t="s">
        <v>1386</v>
      </c>
      <c r="U1997" s="108">
        <v>0.96399999999999997</v>
      </c>
      <c r="V1997" s="107">
        <v>30.5</v>
      </c>
      <c r="W1997" s="414" t="s">
        <v>1385</v>
      </c>
    </row>
    <row r="1998" spans="1:23" ht="19">
      <c r="A1998" s="104" t="s">
        <v>169</v>
      </c>
      <c r="B1998" s="104" t="s">
        <v>149</v>
      </c>
      <c r="C1998" s="454" t="s">
        <v>150</v>
      </c>
      <c r="D1998" s="105" t="s">
        <v>151</v>
      </c>
      <c r="E1998" s="104">
        <v>40685</v>
      </c>
      <c r="F1998" s="104">
        <v>2259</v>
      </c>
      <c r="G1998" s="106" t="s">
        <v>134</v>
      </c>
      <c r="H1998" s="104" t="s">
        <v>135</v>
      </c>
      <c r="I1998" s="104" t="s">
        <v>104</v>
      </c>
      <c r="J1998" s="104" t="s">
        <v>105</v>
      </c>
      <c r="K1998" s="104" t="s">
        <v>229</v>
      </c>
      <c r="L1998" s="104" t="s">
        <v>720</v>
      </c>
      <c r="M1998" s="104" t="s">
        <v>108</v>
      </c>
      <c r="N1998" s="108" t="s">
        <v>17</v>
      </c>
      <c r="O1998" s="104" t="s">
        <v>17</v>
      </c>
      <c r="P1998" s="113">
        <v>3.6090000000000004</v>
      </c>
      <c r="Q1998" s="113">
        <v>1.5880000000000001</v>
      </c>
      <c r="R1998" s="104" t="s">
        <v>17</v>
      </c>
      <c r="S1998" s="253">
        <f>(10^(((LOG(P1998)*2.637)+1.527)))</f>
        <v>992.72556927675657</v>
      </c>
      <c r="T1998" s="104" t="s">
        <v>1432</v>
      </c>
      <c r="U1998" s="108">
        <v>0.84</v>
      </c>
      <c r="V1998" s="107">
        <v>88.6</v>
      </c>
      <c r="W1998" s="414" t="s">
        <v>1385</v>
      </c>
    </row>
    <row r="1999" spans="1:23" ht="19">
      <c r="A1999" s="104" t="s">
        <v>273</v>
      </c>
      <c r="B1999" s="104" t="s">
        <v>74</v>
      </c>
      <c r="C1999" s="454" t="s">
        <v>266</v>
      </c>
      <c r="D1999" s="105" t="s">
        <v>267</v>
      </c>
      <c r="E1999" s="104" t="s">
        <v>1207</v>
      </c>
      <c r="F1999" s="104">
        <v>41430</v>
      </c>
      <c r="G1999" s="106"/>
      <c r="H1999" s="104"/>
      <c r="I1999" s="104" t="s">
        <v>289</v>
      </c>
      <c r="J1999" s="104" t="s">
        <v>284</v>
      </c>
      <c r="K1999" s="104" t="s">
        <v>112</v>
      </c>
      <c r="L1999" s="104" t="s">
        <v>663</v>
      </c>
      <c r="M1999" s="104"/>
      <c r="N1999" s="108"/>
      <c r="O1999" s="104"/>
      <c r="P1999" s="108"/>
      <c r="Q1999" s="108"/>
      <c r="R1999" s="104"/>
      <c r="S1999" s="253">
        <v>7.1713900000000006</v>
      </c>
      <c r="T1999" s="104"/>
      <c r="U1999" s="108"/>
      <c r="V1999" s="107"/>
      <c r="W1999" s="106"/>
    </row>
    <row r="2000" spans="1:23" ht="19">
      <c r="A2000" s="104" t="s">
        <v>273</v>
      </c>
      <c r="B2000" s="104" t="s">
        <v>74</v>
      </c>
      <c r="C2000" s="454" t="s">
        <v>266</v>
      </c>
      <c r="D2000" s="105" t="s">
        <v>267</v>
      </c>
      <c r="E2000" s="104" t="s">
        <v>1207</v>
      </c>
      <c r="F2000" s="104">
        <v>230592</v>
      </c>
      <c r="G2000" s="106"/>
      <c r="H2000" s="104"/>
      <c r="I2000" s="104" t="s">
        <v>289</v>
      </c>
      <c r="J2000" s="104" t="s">
        <v>284</v>
      </c>
      <c r="K2000" s="104" t="s">
        <v>112</v>
      </c>
      <c r="L2000" s="104" t="s">
        <v>663</v>
      </c>
      <c r="M2000" s="104"/>
      <c r="N2000" s="108"/>
      <c r="O2000" s="104"/>
      <c r="P2000" s="108"/>
      <c r="Q2000" s="108"/>
      <c r="R2000" s="104"/>
      <c r="S2000" s="253">
        <v>8.0859500000000004</v>
      </c>
      <c r="T2000" s="104"/>
      <c r="U2000" s="108"/>
      <c r="V2000" s="107"/>
      <c r="W2000" s="106"/>
    </row>
    <row r="2001" spans="1:23" ht="19">
      <c r="A2001" s="104" t="s">
        <v>273</v>
      </c>
      <c r="B2001" s="104" t="s">
        <v>74</v>
      </c>
      <c r="C2001" s="454" t="s">
        <v>266</v>
      </c>
      <c r="D2001" s="105" t="s">
        <v>267</v>
      </c>
      <c r="E2001" s="104" t="s">
        <v>1207</v>
      </c>
      <c r="F2001" s="104">
        <v>1222</v>
      </c>
      <c r="G2001" s="106"/>
      <c r="H2001" s="104"/>
      <c r="I2001" s="104" t="s">
        <v>289</v>
      </c>
      <c r="J2001" s="104" t="s">
        <v>284</v>
      </c>
      <c r="K2001" s="104" t="s">
        <v>112</v>
      </c>
      <c r="L2001" s="104" t="s">
        <v>663</v>
      </c>
      <c r="M2001" s="104"/>
      <c r="N2001" s="108"/>
      <c r="O2001" s="104"/>
      <c r="P2001" s="108"/>
      <c r="Q2001" s="108"/>
      <c r="R2001" s="104"/>
      <c r="S2001" s="253">
        <v>8.2914200000000005</v>
      </c>
      <c r="T2001" s="104"/>
      <c r="U2001" s="108"/>
      <c r="V2001" s="107"/>
      <c r="W2001" s="106"/>
    </row>
    <row r="2002" spans="1:23" ht="19">
      <c r="A2002" s="104" t="s">
        <v>273</v>
      </c>
      <c r="B2002" s="104" t="s">
        <v>74</v>
      </c>
      <c r="C2002" s="454" t="s">
        <v>266</v>
      </c>
      <c r="D2002" s="105" t="s">
        <v>267</v>
      </c>
      <c r="E2002" s="104" t="s">
        <v>1207</v>
      </c>
      <c r="F2002" s="104">
        <v>41039</v>
      </c>
      <c r="G2002" s="106"/>
      <c r="H2002" s="104"/>
      <c r="I2002" s="104" t="s">
        <v>289</v>
      </c>
      <c r="J2002" s="104" t="s">
        <v>284</v>
      </c>
      <c r="K2002" s="104" t="s">
        <v>112</v>
      </c>
      <c r="L2002" s="104" t="s">
        <v>663</v>
      </c>
      <c r="M2002" s="104"/>
      <c r="N2002" s="108"/>
      <c r="O2002" s="104"/>
      <c r="P2002" s="108"/>
      <c r="Q2002" s="108"/>
      <c r="R2002" s="104"/>
      <c r="S2002" s="253">
        <v>8.3884699999999999</v>
      </c>
      <c r="T2002" s="104"/>
      <c r="U2002" s="108"/>
      <c r="V2002" s="107"/>
      <c r="W2002" s="106"/>
    </row>
    <row r="2003" spans="1:23" ht="19">
      <c r="A2003" s="104" t="s">
        <v>273</v>
      </c>
      <c r="B2003" s="104" t="s">
        <v>74</v>
      </c>
      <c r="C2003" s="454" t="s">
        <v>266</v>
      </c>
      <c r="D2003" s="105" t="s">
        <v>267</v>
      </c>
      <c r="E2003" s="104" t="s">
        <v>1207</v>
      </c>
      <c r="F2003" s="104">
        <v>160107</v>
      </c>
      <c r="G2003" s="106"/>
      <c r="H2003" s="104"/>
      <c r="I2003" s="104" t="s">
        <v>289</v>
      </c>
      <c r="J2003" s="104" t="s">
        <v>284</v>
      </c>
      <c r="K2003" s="104" t="s">
        <v>290</v>
      </c>
      <c r="L2003" s="104" t="s">
        <v>973</v>
      </c>
      <c r="M2003" s="104"/>
      <c r="N2003" s="108"/>
      <c r="O2003" s="104"/>
      <c r="P2003" s="108"/>
      <c r="Q2003" s="108"/>
      <c r="R2003" s="104"/>
      <c r="S2003" s="253">
        <v>9.0621600000000004</v>
      </c>
      <c r="T2003" s="104"/>
      <c r="U2003" s="108"/>
      <c r="V2003" s="107"/>
      <c r="W2003" s="106"/>
    </row>
    <row r="2004" spans="1:23" ht="19">
      <c r="A2004" s="104" t="s">
        <v>273</v>
      </c>
      <c r="B2004" s="104" t="s">
        <v>74</v>
      </c>
      <c r="C2004" s="454" t="s">
        <v>266</v>
      </c>
      <c r="D2004" s="105" t="s">
        <v>267</v>
      </c>
      <c r="E2004" s="104" t="s">
        <v>1207</v>
      </c>
      <c r="F2004" s="104">
        <v>198302</v>
      </c>
      <c r="G2004" s="106"/>
      <c r="H2004" s="104"/>
      <c r="I2004" s="104" t="s">
        <v>289</v>
      </c>
      <c r="J2004" s="104" t="s">
        <v>284</v>
      </c>
      <c r="K2004" s="104" t="s">
        <v>112</v>
      </c>
      <c r="L2004" s="104" t="s">
        <v>663</v>
      </c>
      <c r="M2004" s="104"/>
      <c r="N2004" s="108"/>
      <c r="O2004" s="104"/>
      <c r="P2004" s="108"/>
      <c r="Q2004" s="108"/>
      <c r="R2004" s="104"/>
      <c r="S2004" s="253">
        <v>9.1771600000000007</v>
      </c>
      <c r="T2004" s="104"/>
      <c r="U2004" s="108"/>
      <c r="V2004" s="107"/>
      <c r="W2004" s="106"/>
    </row>
    <row r="2005" spans="1:23" ht="19">
      <c r="A2005" s="104" t="s">
        <v>273</v>
      </c>
      <c r="B2005" s="104" t="s">
        <v>74</v>
      </c>
      <c r="C2005" s="454" t="s">
        <v>266</v>
      </c>
      <c r="D2005" s="105" t="s">
        <v>267</v>
      </c>
      <c r="E2005" s="104" t="s">
        <v>1207</v>
      </c>
      <c r="F2005" s="104">
        <v>10027</v>
      </c>
      <c r="G2005" s="106"/>
      <c r="H2005" s="104"/>
      <c r="I2005" s="104" t="s">
        <v>289</v>
      </c>
      <c r="J2005" s="104" t="s">
        <v>284</v>
      </c>
      <c r="K2005" s="104" t="s">
        <v>290</v>
      </c>
      <c r="L2005" s="104" t="s">
        <v>973</v>
      </c>
      <c r="M2005" s="104"/>
      <c r="N2005" s="108"/>
      <c r="O2005" s="104"/>
      <c r="P2005" s="108"/>
      <c r="Q2005" s="108"/>
      <c r="R2005" s="104"/>
      <c r="S2005" s="253">
        <v>9.3987900000000018</v>
      </c>
      <c r="T2005" s="104"/>
      <c r="U2005" s="108"/>
      <c r="V2005" s="107"/>
      <c r="W2005" s="106"/>
    </row>
    <row r="2006" spans="1:23" ht="19">
      <c r="A2006" s="104" t="s">
        <v>273</v>
      </c>
      <c r="B2006" s="104" t="s">
        <v>74</v>
      </c>
      <c r="C2006" s="454" t="s">
        <v>266</v>
      </c>
      <c r="D2006" s="105" t="s">
        <v>267</v>
      </c>
      <c r="E2006" s="104" t="s">
        <v>1207</v>
      </c>
      <c r="F2006" s="104">
        <v>57638</v>
      </c>
      <c r="G2006" s="106"/>
      <c r="H2006" s="104"/>
      <c r="I2006" s="104" t="s">
        <v>289</v>
      </c>
      <c r="J2006" s="104" t="s">
        <v>284</v>
      </c>
      <c r="K2006" s="104" t="s">
        <v>112</v>
      </c>
      <c r="L2006" s="104" t="s">
        <v>663</v>
      </c>
      <c r="M2006" s="104"/>
      <c r="N2006" s="108"/>
      <c r="O2006" s="104"/>
      <c r="P2006" s="108"/>
      <c r="Q2006" s="108"/>
      <c r="R2006" s="104"/>
      <c r="S2006" s="253">
        <v>9.5305900000000001</v>
      </c>
      <c r="T2006" s="104"/>
      <c r="U2006" s="108"/>
      <c r="V2006" s="107"/>
      <c r="W2006" s="106"/>
    </row>
    <row r="2007" spans="1:23" ht="19">
      <c r="A2007" s="104" t="s">
        <v>273</v>
      </c>
      <c r="B2007" s="104" t="s">
        <v>74</v>
      </c>
      <c r="C2007" s="454" t="s">
        <v>266</v>
      </c>
      <c r="D2007" s="105" t="s">
        <v>267</v>
      </c>
      <c r="E2007" s="104" t="s">
        <v>1207</v>
      </c>
      <c r="F2007" s="104">
        <v>46375</v>
      </c>
      <c r="G2007" s="106"/>
      <c r="H2007" s="104"/>
      <c r="I2007" s="104" t="s">
        <v>289</v>
      </c>
      <c r="J2007" s="104" t="s">
        <v>284</v>
      </c>
      <c r="K2007" s="104" t="s">
        <v>290</v>
      </c>
      <c r="L2007" s="104" t="s">
        <v>973</v>
      </c>
      <c r="M2007" s="104"/>
      <c r="N2007" s="108"/>
      <c r="O2007" s="104"/>
      <c r="P2007" s="108"/>
      <c r="Q2007" s="108"/>
      <c r="R2007" s="104"/>
      <c r="S2007" s="253">
        <v>9.6383099999999988</v>
      </c>
      <c r="T2007" s="104"/>
      <c r="U2007" s="108"/>
      <c r="V2007" s="107"/>
      <c r="W2007" s="106"/>
    </row>
    <row r="2008" spans="1:23" ht="19">
      <c r="A2008" s="104" t="s">
        <v>273</v>
      </c>
      <c r="B2008" s="104" t="s">
        <v>74</v>
      </c>
      <c r="C2008" s="454" t="s">
        <v>266</v>
      </c>
      <c r="D2008" s="105" t="s">
        <v>267</v>
      </c>
      <c r="E2008" s="104" t="s">
        <v>1207</v>
      </c>
      <c r="F2008" s="104">
        <v>1225</v>
      </c>
      <c r="G2008" s="106"/>
      <c r="H2008" s="104"/>
      <c r="I2008" s="104" t="s">
        <v>289</v>
      </c>
      <c r="J2008" s="104" t="s">
        <v>284</v>
      </c>
      <c r="K2008" s="104" t="s">
        <v>112</v>
      </c>
      <c r="L2008" s="104" t="s">
        <v>663</v>
      </c>
      <c r="M2008" s="104"/>
      <c r="N2008" s="108"/>
      <c r="O2008" s="104"/>
      <c r="P2008" s="108"/>
      <c r="Q2008" s="108"/>
      <c r="R2008" s="104"/>
      <c r="S2008" s="253">
        <v>9.657729999999999</v>
      </c>
      <c r="T2008" s="104"/>
      <c r="U2008" s="108"/>
      <c r="V2008" s="107"/>
      <c r="W2008" s="106"/>
    </row>
    <row r="2009" spans="1:23" ht="19">
      <c r="A2009" s="104" t="s">
        <v>273</v>
      </c>
      <c r="B2009" s="104" t="s">
        <v>74</v>
      </c>
      <c r="C2009" s="454" t="s">
        <v>266</v>
      </c>
      <c r="D2009" s="105" t="s">
        <v>267</v>
      </c>
      <c r="E2009" s="104" t="s">
        <v>1207</v>
      </c>
      <c r="F2009" s="104">
        <v>1219</v>
      </c>
      <c r="G2009" s="106"/>
      <c r="H2009" s="104"/>
      <c r="I2009" s="104" t="s">
        <v>289</v>
      </c>
      <c r="J2009" s="104" t="s">
        <v>284</v>
      </c>
      <c r="K2009" s="104" t="s">
        <v>112</v>
      </c>
      <c r="L2009" s="104" t="s">
        <v>663</v>
      </c>
      <c r="M2009" s="104"/>
      <c r="N2009" s="108"/>
      <c r="O2009" s="104"/>
      <c r="P2009" s="108"/>
      <c r="Q2009" s="108"/>
      <c r="R2009" s="104"/>
      <c r="S2009" s="253">
        <v>9.73428</v>
      </c>
      <c r="T2009" s="104"/>
      <c r="U2009" s="108"/>
      <c r="V2009" s="107"/>
      <c r="W2009" s="106"/>
    </row>
    <row r="2010" spans="1:23" ht="19">
      <c r="A2010" s="104" t="s">
        <v>273</v>
      </c>
      <c r="B2010" s="104" t="s">
        <v>74</v>
      </c>
      <c r="C2010" s="454" t="s">
        <v>266</v>
      </c>
      <c r="D2010" s="105" t="s">
        <v>267</v>
      </c>
      <c r="E2010" s="104" t="s">
        <v>1207</v>
      </c>
      <c r="F2010" s="104">
        <v>16521</v>
      </c>
      <c r="G2010" s="106"/>
      <c r="H2010" s="104"/>
      <c r="I2010" s="104" t="s">
        <v>289</v>
      </c>
      <c r="J2010" s="104" t="s">
        <v>284</v>
      </c>
      <c r="K2010" s="104" t="s">
        <v>112</v>
      </c>
      <c r="L2010" s="104" t="s">
        <v>663</v>
      </c>
      <c r="M2010" s="104"/>
      <c r="N2010" s="108"/>
      <c r="O2010" s="104"/>
      <c r="P2010" s="108"/>
      <c r="Q2010" s="108"/>
      <c r="R2010" s="104"/>
      <c r="S2010" s="253">
        <v>9.7804099999999998</v>
      </c>
      <c r="T2010" s="104"/>
      <c r="U2010" s="108"/>
      <c r="V2010" s="107"/>
      <c r="W2010" s="106"/>
    </row>
    <row r="2011" spans="1:23" ht="19">
      <c r="A2011" s="104" t="s">
        <v>273</v>
      </c>
      <c r="B2011" s="104" t="s">
        <v>74</v>
      </c>
      <c r="C2011" s="454" t="s">
        <v>266</v>
      </c>
      <c r="D2011" s="105" t="s">
        <v>267</v>
      </c>
      <c r="E2011" s="104" t="s">
        <v>1207</v>
      </c>
      <c r="F2011" s="104">
        <v>160121</v>
      </c>
      <c r="G2011" s="106"/>
      <c r="H2011" s="104"/>
      <c r="I2011" s="104" t="s">
        <v>289</v>
      </c>
      <c r="J2011" s="104" t="s">
        <v>284</v>
      </c>
      <c r="K2011" s="104" t="s">
        <v>112</v>
      </c>
      <c r="L2011" s="104" t="s">
        <v>663</v>
      </c>
      <c r="M2011" s="104"/>
      <c r="N2011" s="108"/>
      <c r="O2011" s="104"/>
      <c r="P2011" s="108"/>
      <c r="Q2011" s="108"/>
      <c r="R2011" s="104"/>
      <c r="S2011" s="253">
        <v>9.9041100000000011</v>
      </c>
      <c r="T2011" s="104"/>
      <c r="U2011" s="108"/>
      <c r="V2011" s="107"/>
      <c r="W2011" s="106"/>
    </row>
    <row r="2012" spans="1:23" ht="19">
      <c r="A2012" s="104" t="s">
        <v>273</v>
      </c>
      <c r="B2012" s="104" t="s">
        <v>74</v>
      </c>
      <c r="C2012" s="454" t="s">
        <v>266</v>
      </c>
      <c r="D2012" s="105" t="s">
        <v>267</v>
      </c>
      <c r="E2012" s="104" t="s">
        <v>1207</v>
      </c>
      <c r="F2012" s="104">
        <v>214896</v>
      </c>
      <c r="G2012" s="106"/>
      <c r="H2012" s="104"/>
      <c r="I2012" s="104" t="s">
        <v>289</v>
      </c>
      <c r="J2012" s="104" t="s">
        <v>284</v>
      </c>
      <c r="K2012" s="104" t="s">
        <v>112</v>
      </c>
      <c r="L2012" s="104" t="s">
        <v>663</v>
      </c>
      <c r="M2012" s="104"/>
      <c r="N2012" s="108"/>
      <c r="O2012" s="104"/>
      <c r="P2012" s="108"/>
      <c r="Q2012" s="108"/>
      <c r="R2012" s="104"/>
      <c r="S2012" s="253">
        <v>10.21785</v>
      </c>
      <c r="T2012" s="104"/>
      <c r="U2012" s="108"/>
      <c r="V2012" s="107"/>
      <c r="W2012" s="106"/>
    </row>
    <row r="2013" spans="1:23" ht="19">
      <c r="A2013" s="104" t="s">
        <v>273</v>
      </c>
      <c r="B2013" s="104" t="s">
        <v>74</v>
      </c>
      <c r="C2013" s="454" t="s">
        <v>266</v>
      </c>
      <c r="D2013" s="105" t="s">
        <v>267</v>
      </c>
      <c r="E2013" s="104" t="s">
        <v>1207</v>
      </c>
      <c r="F2013" s="104">
        <v>6579</v>
      </c>
      <c r="G2013" s="106"/>
      <c r="H2013" s="104"/>
      <c r="I2013" s="104" t="s">
        <v>289</v>
      </c>
      <c r="J2013" s="104" t="s">
        <v>284</v>
      </c>
      <c r="K2013" s="104" t="s">
        <v>112</v>
      </c>
      <c r="L2013" s="104" t="s">
        <v>663</v>
      </c>
      <c r="M2013" s="104"/>
      <c r="N2013" s="108"/>
      <c r="O2013" s="104"/>
      <c r="P2013" s="108"/>
      <c r="Q2013" s="108"/>
      <c r="R2013" s="104"/>
      <c r="S2013" s="253">
        <v>10.39317</v>
      </c>
      <c r="T2013" s="104"/>
      <c r="U2013" s="108"/>
      <c r="V2013" s="107"/>
      <c r="W2013" s="106"/>
    </row>
    <row r="2014" spans="1:23" ht="19">
      <c r="A2014" s="104" t="s">
        <v>273</v>
      </c>
      <c r="B2014" s="104" t="s">
        <v>74</v>
      </c>
      <c r="C2014" s="454" t="s">
        <v>266</v>
      </c>
      <c r="D2014" s="105" t="s">
        <v>267</v>
      </c>
      <c r="E2014" s="104" t="s">
        <v>1207</v>
      </c>
      <c r="F2014" s="104">
        <v>140709</v>
      </c>
      <c r="G2014" s="106"/>
      <c r="H2014" s="104"/>
      <c r="I2014" s="104" t="s">
        <v>289</v>
      </c>
      <c r="J2014" s="104" t="s">
        <v>284</v>
      </c>
      <c r="K2014" s="104" t="s">
        <v>112</v>
      </c>
      <c r="L2014" s="104" t="s">
        <v>663</v>
      </c>
      <c r="M2014" s="104"/>
      <c r="N2014" s="108"/>
      <c r="O2014" s="104"/>
      <c r="P2014" s="108"/>
      <c r="Q2014" s="108"/>
      <c r="R2014" s="104"/>
      <c r="S2014" s="253">
        <v>10.40921</v>
      </c>
      <c r="T2014" s="104"/>
      <c r="U2014" s="108"/>
      <c r="V2014" s="107"/>
      <c r="W2014" s="106"/>
    </row>
    <row r="2015" spans="1:23" ht="19">
      <c r="A2015" s="104" t="s">
        <v>273</v>
      </c>
      <c r="B2015" s="104" t="s">
        <v>74</v>
      </c>
      <c r="C2015" s="454" t="s">
        <v>266</v>
      </c>
      <c r="D2015" s="105" t="s">
        <v>267</v>
      </c>
      <c r="E2015" s="104" t="s">
        <v>1207</v>
      </c>
      <c r="F2015" s="104">
        <v>10843</v>
      </c>
      <c r="G2015" s="106"/>
      <c r="H2015" s="104"/>
      <c r="I2015" s="104" t="s">
        <v>289</v>
      </c>
      <c r="J2015" s="104" t="s">
        <v>284</v>
      </c>
      <c r="K2015" s="104" t="s">
        <v>112</v>
      </c>
      <c r="L2015" s="104" t="s">
        <v>663</v>
      </c>
      <c r="M2015" s="104"/>
      <c r="N2015" s="108"/>
      <c r="O2015" s="104"/>
      <c r="P2015" s="108"/>
      <c r="Q2015" s="108"/>
      <c r="R2015" s="104"/>
      <c r="S2015" s="253">
        <v>10.50576</v>
      </c>
      <c r="T2015" s="104"/>
      <c r="U2015" s="108"/>
      <c r="V2015" s="107"/>
      <c r="W2015" s="106"/>
    </row>
    <row r="2016" spans="1:23" ht="19">
      <c r="A2016" s="104" t="s">
        <v>273</v>
      </c>
      <c r="B2016" s="104" t="s">
        <v>74</v>
      </c>
      <c r="C2016" s="454" t="s">
        <v>266</v>
      </c>
      <c r="D2016" s="105" t="s">
        <v>267</v>
      </c>
      <c r="E2016" s="104" t="s">
        <v>1207</v>
      </c>
      <c r="F2016" s="104">
        <v>16411</v>
      </c>
      <c r="G2016" s="106"/>
      <c r="H2016" s="104"/>
      <c r="I2016" s="104" t="s">
        <v>289</v>
      </c>
      <c r="J2016" s="104" t="s">
        <v>284</v>
      </c>
      <c r="K2016" s="104" t="s">
        <v>112</v>
      </c>
      <c r="L2016" s="104" t="s">
        <v>663</v>
      </c>
      <c r="M2016" s="104"/>
      <c r="N2016" s="108"/>
      <c r="O2016" s="104"/>
      <c r="P2016" s="108"/>
      <c r="Q2016" s="108"/>
      <c r="R2016" s="104"/>
      <c r="S2016" s="253">
        <v>10.50576</v>
      </c>
      <c r="T2016" s="104"/>
      <c r="U2016" s="108"/>
      <c r="V2016" s="107"/>
      <c r="W2016" s="106"/>
    </row>
    <row r="2017" spans="1:23" ht="19">
      <c r="A2017" s="104" t="s">
        <v>273</v>
      </c>
      <c r="B2017" s="104" t="s">
        <v>74</v>
      </c>
      <c r="C2017" s="454" t="s">
        <v>266</v>
      </c>
      <c r="D2017" s="105" t="s">
        <v>267</v>
      </c>
      <c r="E2017" s="104" t="s">
        <v>1207</v>
      </c>
      <c r="F2017" s="104">
        <v>142839</v>
      </c>
      <c r="G2017" s="106"/>
      <c r="H2017" s="104"/>
      <c r="I2017" s="104" t="s">
        <v>289</v>
      </c>
      <c r="J2017" s="104" t="s">
        <v>284</v>
      </c>
      <c r="K2017" s="104" t="s">
        <v>112</v>
      </c>
      <c r="L2017" s="104" t="s">
        <v>663</v>
      </c>
      <c r="M2017" s="104"/>
      <c r="N2017" s="108"/>
      <c r="O2017" s="104"/>
      <c r="P2017" s="108"/>
      <c r="Q2017" s="108"/>
      <c r="R2017" s="104"/>
      <c r="S2017" s="253">
        <v>10.570459999999999</v>
      </c>
      <c r="T2017" s="104"/>
      <c r="U2017" s="108"/>
      <c r="V2017" s="107"/>
      <c r="W2017" s="106"/>
    </row>
    <row r="2018" spans="1:23" ht="19">
      <c r="A2018" s="104" t="s">
        <v>273</v>
      </c>
      <c r="B2018" s="104" t="s">
        <v>74</v>
      </c>
      <c r="C2018" s="454" t="s">
        <v>266</v>
      </c>
      <c r="D2018" s="105" t="s">
        <v>267</v>
      </c>
      <c r="E2018" s="104" t="s">
        <v>1207</v>
      </c>
      <c r="F2018" s="104">
        <v>41460</v>
      </c>
      <c r="G2018" s="106"/>
      <c r="H2018" s="104"/>
      <c r="I2018" s="104" t="s">
        <v>289</v>
      </c>
      <c r="J2018" s="104" t="s">
        <v>284</v>
      </c>
      <c r="K2018" s="104" t="s">
        <v>112</v>
      </c>
      <c r="L2018" s="104" t="s">
        <v>663</v>
      </c>
      <c r="M2018" s="104"/>
      <c r="N2018" s="108"/>
      <c r="O2018" s="104"/>
      <c r="P2018" s="108"/>
      <c r="Q2018" s="108"/>
      <c r="R2018" s="104"/>
      <c r="S2018" s="253">
        <v>10.66799</v>
      </c>
      <c r="T2018" s="104"/>
      <c r="U2018" s="108"/>
      <c r="V2018" s="107"/>
      <c r="W2018" s="106"/>
    </row>
    <row r="2019" spans="1:23" ht="19">
      <c r="A2019" s="104" t="s">
        <v>273</v>
      </c>
      <c r="B2019" s="104" t="s">
        <v>74</v>
      </c>
      <c r="C2019" s="454" t="s">
        <v>266</v>
      </c>
      <c r="D2019" s="105" t="s">
        <v>267</v>
      </c>
      <c r="E2019" s="104" t="s">
        <v>1207</v>
      </c>
      <c r="F2019" s="104">
        <v>27523</v>
      </c>
      <c r="G2019" s="106"/>
      <c r="H2019" s="104"/>
      <c r="I2019" s="104" t="s">
        <v>289</v>
      </c>
      <c r="J2019" s="104" t="s">
        <v>284</v>
      </c>
      <c r="K2019" s="104" t="s">
        <v>112</v>
      </c>
      <c r="L2019" s="104" t="s">
        <v>663</v>
      </c>
      <c r="M2019" s="104"/>
      <c r="N2019" s="108"/>
      <c r="O2019" s="104"/>
      <c r="P2019" s="108"/>
      <c r="Q2019" s="108"/>
      <c r="R2019" s="104"/>
      <c r="S2019" s="253">
        <v>10.98077</v>
      </c>
      <c r="T2019" s="104"/>
      <c r="U2019" s="108"/>
      <c r="V2019" s="107"/>
      <c r="W2019" s="106"/>
    </row>
    <row r="2020" spans="1:23" ht="19">
      <c r="A2020" s="104" t="s">
        <v>273</v>
      </c>
      <c r="B2020" s="104" t="s">
        <v>74</v>
      </c>
      <c r="C2020" s="454" t="s">
        <v>266</v>
      </c>
      <c r="D2020" s="105" t="s">
        <v>267</v>
      </c>
      <c r="E2020" s="104" t="s">
        <v>1207</v>
      </c>
      <c r="F2020" s="104">
        <v>1228</v>
      </c>
      <c r="G2020" s="106"/>
      <c r="H2020" s="104"/>
      <c r="I2020" s="104" t="s">
        <v>289</v>
      </c>
      <c r="J2020" s="104" t="s">
        <v>284</v>
      </c>
      <c r="K2020" s="104" t="s">
        <v>112</v>
      </c>
      <c r="L2020" s="104" t="s">
        <v>663</v>
      </c>
      <c r="M2020" s="104"/>
      <c r="N2020" s="108"/>
      <c r="O2020" s="104"/>
      <c r="P2020" s="108"/>
      <c r="Q2020" s="108"/>
      <c r="R2020" s="104"/>
      <c r="S2020" s="253">
        <v>11.064069999999999</v>
      </c>
      <c r="T2020" s="104"/>
      <c r="U2020" s="108"/>
      <c r="V2020" s="107"/>
      <c r="W2020" s="106"/>
    </row>
    <row r="2021" spans="1:23" ht="19">
      <c r="A2021" s="104" t="s">
        <v>273</v>
      </c>
      <c r="B2021" s="104" t="s">
        <v>74</v>
      </c>
      <c r="C2021" s="454" t="s">
        <v>266</v>
      </c>
      <c r="D2021" s="105" t="s">
        <v>267</v>
      </c>
      <c r="E2021" s="104" t="s">
        <v>1207</v>
      </c>
      <c r="F2021" s="104">
        <v>143827</v>
      </c>
      <c r="G2021" s="106"/>
      <c r="H2021" s="104"/>
      <c r="I2021" s="104" t="s">
        <v>289</v>
      </c>
      <c r="J2021" s="104" t="s">
        <v>284</v>
      </c>
      <c r="K2021" s="104" t="s">
        <v>112</v>
      </c>
      <c r="L2021" s="104" t="s">
        <v>663</v>
      </c>
      <c r="M2021" s="104"/>
      <c r="N2021" s="108"/>
      <c r="O2021" s="104"/>
      <c r="P2021" s="108"/>
      <c r="Q2021" s="108"/>
      <c r="R2021" s="104"/>
      <c r="S2021" s="253">
        <v>11.080780000000001</v>
      </c>
      <c r="T2021" s="104"/>
      <c r="U2021" s="108"/>
      <c r="V2021" s="107"/>
      <c r="W2021" s="106"/>
    </row>
    <row r="2022" spans="1:23" ht="19">
      <c r="A2022" s="104" t="s">
        <v>273</v>
      </c>
      <c r="B2022" s="104" t="s">
        <v>74</v>
      </c>
      <c r="C2022" s="454" t="s">
        <v>266</v>
      </c>
      <c r="D2022" s="105" t="s">
        <v>267</v>
      </c>
      <c r="E2022" s="104" t="s">
        <v>1207</v>
      </c>
      <c r="F2022" s="104">
        <v>46374</v>
      </c>
      <c r="G2022" s="106"/>
      <c r="H2022" s="104"/>
      <c r="I2022" s="104" t="s">
        <v>289</v>
      </c>
      <c r="J2022" s="104" t="s">
        <v>284</v>
      </c>
      <c r="K2022" s="104" t="s">
        <v>112</v>
      </c>
      <c r="L2022" s="104" t="s">
        <v>663</v>
      </c>
      <c r="M2022" s="104"/>
      <c r="N2022" s="108"/>
      <c r="O2022" s="104"/>
      <c r="P2022" s="108"/>
      <c r="Q2022" s="108"/>
      <c r="R2022" s="104"/>
      <c r="S2022" s="253">
        <v>11.13101</v>
      </c>
      <c r="T2022" s="104"/>
      <c r="U2022" s="108"/>
      <c r="V2022" s="107"/>
      <c r="W2022" s="106"/>
    </row>
    <row r="2023" spans="1:23" ht="19">
      <c r="A2023" s="104" t="s">
        <v>273</v>
      </c>
      <c r="B2023" s="104" t="s">
        <v>74</v>
      </c>
      <c r="C2023" s="454" t="s">
        <v>266</v>
      </c>
      <c r="D2023" s="105" t="s">
        <v>267</v>
      </c>
      <c r="E2023" s="104" t="s">
        <v>1207</v>
      </c>
      <c r="F2023" s="104">
        <v>16412</v>
      </c>
      <c r="G2023" s="106"/>
      <c r="H2023" s="104"/>
      <c r="I2023" s="104" t="s">
        <v>289</v>
      </c>
      <c r="J2023" s="104" t="s">
        <v>284</v>
      </c>
      <c r="K2023" s="104" t="s">
        <v>112</v>
      </c>
      <c r="L2023" s="104" t="s">
        <v>663</v>
      </c>
      <c r="M2023" s="104"/>
      <c r="N2023" s="108"/>
      <c r="O2023" s="104"/>
      <c r="P2023" s="108"/>
      <c r="Q2023" s="108"/>
      <c r="R2023" s="104"/>
      <c r="S2023" s="253">
        <v>11.164579999999999</v>
      </c>
      <c r="T2023" s="104"/>
      <c r="U2023" s="108"/>
      <c r="V2023" s="107"/>
      <c r="W2023" s="106"/>
    </row>
    <row r="2024" spans="1:23" ht="19">
      <c r="A2024" s="104" t="s">
        <v>273</v>
      </c>
      <c r="B2024" s="104" t="s">
        <v>74</v>
      </c>
      <c r="C2024" s="454" t="s">
        <v>266</v>
      </c>
      <c r="D2024" s="105" t="s">
        <v>267</v>
      </c>
      <c r="E2024" s="104" t="s">
        <v>1207</v>
      </c>
      <c r="F2024" s="104">
        <v>16452</v>
      </c>
      <c r="G2024" s="106"/>
      <c r="H2024" s="104"/>
      <c r="I2024" s="104" t="s">
        <v>289</v>
      </c>
      <c r="J2024" s="104" t="s">
        <v>284</v>
      </c>
      <c r="K2024" s="104" t="s">
        <v>112</v>
      </c>
      <c r="L2024" s="104" t="s">
        <v>663</v>
      </c>
      <c r="M2024" s="104"/>
      <c r="N2024" s="108"/>
      <c r="O2024" s="104"/>
      <c r="P2024" s="108"/>
      <c r="Q2024" s="108"/>
      <c r="R2024" s="104"/>
      <c r="S2024" s="253">
        <v>11.26568</v>
      </c>
      <c r="T2024" s="104"/>
      <c r="U2024" s="108"/>
      <c r="V2024" s="107"/>
      <c r="W2024" s="106"/>
    </row>
    <row r="2025" spans="1:23" ht="19">
      <c r="A2025" s="104" t="s">
        <v>273</v>
      </c>
      <c r="B2025" s="104" t="s">
        <v>74</v>
      </c>
      <c r="C2025" s="454" t="s">
        <v>266</v>
      </c>
      <c r="D2025" s="105" t="s">
        <v>267</v>
      </c>
      <c r="E2025" s="104" t="s">
        <v>1207</v>
      </c>
      <c r="F2025" s="104">
        <v>143823</v>
      </c>
      <c r="G2025" s="106"/>
      <c r="H2025" s="104"/>
      <c r="I2025" s="104" t="s">
        <v>289</v>
      </c>
      <c r="J2025" s="104" t="s">
        <v>284</v>
      </c>
      <c r="K2025" s="104" t="s">
        <v>112</v>
      </c>
      <c r="L2025" s="104" t="s">
        <v>663</v>
      </c>
      <c r="M2025" s="104"/>
      <c r="N2025" s="108"/>
      <c r="O2025" s="104"/>
      <c r="P2025" s="108"/>
      <c r="Q2025" s="108"/>
      <c r="R2025" s="104"/>
      <c r="S2025" s="253">
        <v>11.316459999999999</v>
      </c>
      <c r="T2025" s="104"/>
      <c r="U2025" s="108"/>
      <c r="V2025" s="107"/>
      <c r="W2025" s="106"/>
    </row>
    <row r="2026" spans="1:23" ht="19">
      <c r="A2026" s="104" t="s">
        <v>273</v>
      </c>
      <c r="B2026" s="104" t="s">
        <v>74</v>
      </c>
      <c r="C2026" s="454" t="s">
        <v>266</v>
      </c>
      <c r="D2026" s="105" t="s">
        <v>267</v>
      </c>
      <c r="E2026" s="104" t="s">
        <v>1207</v>
      </c>
      <c r="F2026" s="104">
        <v>160109</v>
      </c>
      <c r="G2026" s="106"/>
      <c r="H2026" s="104"/>
      <c r="I2026" s="104" t="s">
        <v>289</v>
      </c>
      <c r="J2026" s="104" t="s">
        <v>284</v>
      </c>
      <c r="K2026" s="104" t="s">
        <v>290</v>
      </c>
      <c r="L2026" s="104" t="s">
        <v>973</v>
      </c>
      <c r="M2026" s="104"/>
      <c r="N2026" s="108"/>
      <c r="O2026" s="104"/>
      <c r="P2026" s="108"/>
      <c r="Q2026" s="108"/>
      <c r="R2026" s="104"/>
      <c r="S2026" s="253">
        <v>11.68774</v>
      </c>
      <c r="T2026" s="104"/>
      <c r="U2026" s="108"/>
      <c r="V2026" s="107"/>
      <c r="W2026" s="106"/>
    </row>
    <row r="2027" spans="1:23" ht="19">
      <c r="A2027" s="104" t="s">
        <v>273</v>
      </c>
      <c r="B2027" s="104" t="s">
        <v>74</v>
      </c>
      <c r="C2027" s="454" t="s">
        <v>266</v>
      </c>
      <c r="D2027" s="105" t="s">
        <v>267</v>
      </c>
      <c r="E2027" s="104" t="s">
        <v>1207</v>
      </c>
      <c r="F2027" s="104">
        <v>42349</v>
      </c>
      <c r="G2027" s="106"/>
      <c r="H2027" s="104"/>
      <c r="I2027" s="104" t="s">
        <v>289</v>
      </c>
      <c r="J2027" s="104" t="s">
        <v>284</v>
      </c>
      <c r="K2027" s="104" t="s">
        <v>112</v>
      </c>
      <c r="L2027" s="104" t="s">
        <v>663</v>
      </c>
      <c r="M2027" s="104"/>
      <c r="N2027" s="108"/>
      <c r="O2027" s="104"/>
      <c r="P2027" s="108"/>
      <c r="Q2027" s="108"/>
      <c r="R2027" s="104"/>
      <c r="S2027" s="253">
        <v>11.710790000000001</v>
      </c>
      <c r="T2027" s="104"/>
      <c r="U2027" s="108"/>
      <c r="V2027" s="107"/>
      <c r="W2027" s="106"/>
    </row>
    <row r="2028" spans="1:23" ht="19">
      <c r="A2028" s="104" t="s">
        <v>273</v>
      </c>
      <c r="B2028" s="104" t="s">
        <v>74</v>
      </c>
      <c r="C2028" s="454" t="s">
        <v>266</v>
      </c>
      <c r="D2028" s="105" t="s">
        <v>267</v>
      </c>
      <c r="E2028" s="104" t="s">
        <v>1207</v>
      </c>
      <c r="F2028" s="104">
        <v>6577</v>
      </c>
      <c r="G2028" s="106"/>
      <c r="H2028" s="104"/>
      <c r="I2028" s="104" t="s">
        <v>289</v>
      </c>
      <c r="J2028" s="104" t="s">
        <v>284</v>
      </c>
      <c r="K2028" s="104" t="s">
        <v>112</v>
      </c>
      <c r="L2028" s="104" t="s">
        <v>663</v>
      </c>
      <c r="M2028" s="104"/>
      <c r="N2028" s="108"/>
      <c r="O2028" s="104"/>
      <c r="P2028" s="108"/>
      <c r="Q2028" s="108"/>
      <c r="R2028" s="104"/>
      <c r="S2028" s="253">
        <v>11.780280000000001</v>
      </c>
      <c r="T2028" s="104"/>
      <c r="U2028" s="108"/>
      <c r="V2028" s="107"/>
      <c r="W2028" s="106"/>
    </row>
    <row r="2029" spans="1:23" ht="19">
      <c r="A2029" s="104" t="s">
        <v>273</v>
      </c>
      <c r="B2029" s="104" t="s">
        <v>74</v>
      </c>
      <c r="C2029" s="454" t="s">
        <v>266</v>
      </c>
      <c r="D2029" s="105" t="s">
        <v>267</v>
      </c>
      <c r="E2029" s="104" t="s">
        <v>1207</v>
      </c>
      <c r="F2029" s="104">
        <v>145825</v>
      </c>
      <c r="G2029" s="106"/>
      <c r="H2029" s="104"/>
      <c r="I2029" s="104" t="s">
        <v>289</v>
      </c>
      <c r="J2029" s="104" t="s">
        <v>284</v>
      </c>
      <c r="K2029" s="104" t="s">
        <v>112</v>
      </c>
      <c r="L2029" s="104" t="s">
        <v>663</v>
      </c>
      <c r="M2029" s="104"/>
      <c r="N2029" s="108"/>
      <c r="O2029" s="104"/>
      <c r="P2029" s="108"/>
      <c r="Q2029" s="108"/>
      <c r="R2029" s="104"/>
      <c r="S2029" s="253">
        <v>11.885020000000001</v>
      </c>
      <c r="T2029" s="104"/>
      <c r="U2029" s="108"/>
      <c r="V2029" s="107"/>
      <c r="W2029" s="106"/>
    </row>
    <row r="2030" spans="1:23" ht="19">
      <c r="A2030" s="104" t="s">
        <v>273</v>
      </c>
      <c r="B2030" s="104" t="s">
        <v>74</v>
      </c>
      <c r="C2030" s="454" t="s">
        <v>266</v>
      </c>
      <c r="D2030" s="105" t="s">
        <v>267</v>
      </c>
      <c r="E2030" s="104" t="s">
        <v>1207</v>
      </c>
      <c r="F2030" s="104">
        <v>46325</v>
      </c>
      <c r="G2030" s="106"/>
      <c r="H2030" s="104"/>
      <c r="I2030" s="104" t="s">
        <v>289</v>
      </c>
      <c r="J2030" s="104" t="s">
        <v>284</v>
      </c>
      <c r="K2030" s="104" t="s">
        <v>112</v>
      </c>
      <c r="L2030" s="104" t="s">
        <v>663</v>
      </c>
      <c r="M2030" s="104"/>
      <c r="N2030" s="108"/>
      <c r="O2030" s="104"/>
      <c r="P2030" s="108"/>
      <c r="Q2030" s="108"/>
      <c r="R2030" s="104"/>
      <c r="S2030" s="253">
        <v>11.99037</v>
      </c>
      <c r="T2030" s="104"/>
      <c r="U2030" s="108"/>
      <c r="V2030" s="107"/>
      <c r="W2030" s="106"/>
    </row>
    <row r="2031" spans="1:23" ht="19">
      <c r="A2031" s="104" t="s">
        <v>273</v>
      </c>
      <c r="B2031" s="104" t="s">
        <v>74</v>
      </c>
      <c r="C2031" s="454" t="s">
        <v>266</v>
      </c>
      <c r="D2031" s="105" t="s">
        <v>267</v>
      </c>
      <c r="E2031" s="104" t="s">
        <v>1207</v>
      </c>
      <c r="F2031" s="104">
        <v>231470</v>
      </c>
      <c r="G2031" s="106"/>
      <c r="H2031" s="104"/>
      <c r="I2031" s="104" t="s">
        <v>289</v>
      </c>
      <c r="J2031" s="104" t="s">
        <v>284</v>
      </c>
      <c r="K2031" s="104" t="s">
        <v>112</v>
      </c>
      <c r="L2031" s="104" t="s">
        <v>663</v>
      </c>
      <c r="M2031" s="104"/>
      <c r="N2031" s="108"/>
      <c r="O2031" s="104"/>
      <c r="P2031" s="108"/>
      <c r="Q2031" s="108"/>
      <c r="R2031" s="104"/>
      <c r="S2031" s="253">
        <v>12.043280000000001</v>
      </c>
      <c r="T2031" s="104"/>
      <c r="U2031" s="108"/>
      <c r="V2031" s="107"/>
      <c r="W2031" s="106"/>
    </row>
    <row r="2032" spans="1:23" ht="19">
      <c r="A2032" s="104" t="s">
        <v>273</v>
      </c>
      <c r="B2032" s="104" t="s">
        <v>74</v>
      </c>
      <c r="C2032" s="454" t="s">
        <v>266</v>
      </c>
      <c r="D2032" s="105" t="s">
        <v>267</v>
      </c>
      <c r="E2032" s="104" t="s">
        <v>1207</v>
      </c>
      <c r="F2032" s="104">
        <v>160103</v>
      </c>
      <c r="G2032" s="106"/>
      <c r="H2032" s="104"/>
      <c r="I2032" s="104" t="s">
        <v>289</v>
      </c>
      <c r="J2032" s="104" t="s">
        <v>284</v>
      </c>
      <c r="K2032" s="104" t="s">
        <v>112</v>
      </c>
      <c r="L2032" s="104" t="s">
        <v>663</v>
      </c>
      <c r="M2032" s="104"/>
      <c r="N2032" s="108"/>
      <c r="O2032" s="104"/>
      <c r="P2032" s="108"/>
      <c r="Q2032" s="108"/>
      <c r="R2032" s="104"/>
      <c r="S2032" s="253">
        <v>12.1318</v>
      </c>
      <c r="T2032" s="104"/>
      <c r="U2032" s="108"/>
      <c r="V2032" s="107"/>
      <c r="W2032" s="106"/>
    </row>
    <row r="2033" spans="1:23" ht="19">
      <c r="A2033" s="104" t="s">
        <v>273</v>
      </c>
      <c r="B2033" s="104" t="s">
        <v>74</v>
      </c>
      <c r="C2033" s="454" t="s">
        <v>266</v>
      </c>
      <c r="D2033" s="105" t="s">
        <v>267</v>
      </c>
      <c r="E2033" s="104" t="s">
        <v>1207</v>
      </c>
      <c r="F2033" s="104">
        <v>230715</v>
      </c>
      <c r="G2033" s="106"/>
      <c r="H2033" s="104"/>
      <c r="I2033" s="104" t="s">
        <v>289</v>
      </c>
      <c r="J2033" s="104" t="s">
        <v>284</v>
      </c>
      <c r="K2033" s="104" t="s">
        <v>112</v>
      </c>
      <c r="L2033" s="104" t="s">
        <v>663</v>
      </c>
      <c r="M2033" s="104"/>
      <c r="N2033" s="108"/>
      <c r="O2033" s="104"/>
      <c r="P2033" s="108"/>
      <c r="Q2033" s="108"/>
      <c r="R2033" s="104"/>
      <c r="S2033" s="253">
        <v>12.274319999999999</v>
      </c>
      <c r="T2033" s="104"/>
      <c r="U2033" s="108"/>
      <c r="V2033" s="107"/>
      <c r="W2033" s="106"/>
    </row>
    <row r="2034" spans="1:23" ht="19">
      <c r="A2034" s="104" t="s">
        <v>273</v>
      </c>
      <c r="B2034" s="104" t="s">
        <v>74</v>
      </c>
      <c r="C2034" s="454" t="s">
        <v>266</v>
      </c>
      <c r="D2034" s="105" t="s">
        <v>267</v>
      </c>
      <c r="E2034" s="104" t="s">
        <v>1207</v>
      </c>
      <c r="F2034" s="104">
        <v>143826</v>
      </c>
      <c r="G2034" s="106"/>
      <c r="H2034" s="104"/>
      <c r="I2034" s="104" t="s">
        <v>289</v>
      </c>
      <c r="J2034" s="104" t="s">
        <v>284</v>
      </c>
      <c r="K2034" s="104" t="s">
        <v>112</v>
      </c>
      <c r="L2034" s="104" t="s">
        <v>663</v>
      </c>
      <c r="M2034" s="104"/>
      <c r="N2034" s="108"/>
      <c r="O2034" s="104"/>
      <c r="P2034" s="108"/>
      <c r="Q2034" s="108"/>
      <c r="R2034" s="104"/>
      <c r="S2034" s="253">
        <v>12.328049999999999</v>
      </c>
      <c r="T2034" s="104"/>
      <c r="U2034" s="108"/>
      <c r="V2034" s="107"/>
      <c r="W2034" s="106"/>
    </row>
    <row r="2035" spans="1:23" ht="19">
      <c r="A2035" s="104" t="s">
        <v>273</v>
      </c>
      <c r="B2035" s="104" t="s">
        <v>74</v>
      </c>
      <c r="C2035" s="454" t="s">
        <v>266</v>
      </c>
      <c r="D2035" s="105" t="s">
        <v>267</v>
      </c>
      <c r="E2035" s="104" t="s">
        <v>1207</v>
      </c>
      <c r="F2035" s="104">
        <v>16826</v>
      </c>
      <c r="G2035" s="106"/>
      <c r="H2035" s="104"/>
      <c r="I2035" s="104" t="s">
        <v>289</v>
      </c>
      <c r="J2035" s="104" t="s">
        <v>284</v>
      </c>
      <c r="K2035" s="104" t="s">
        <v>112</v>
      </c>
      <c r="L2035" s="104" t="s">
        <v>663</v>
      </c>
      <c r="M2035" s="104"/>
      <c r="N2035" s="108"/>
      <c r="O2035" s="104"/>
      <c r="P2035" s="108"/>
      <c r="Q2035" s="108"/>
      <c r="R2035" s="104"/>
      <c r="S2035" s="253">
        <v>12.47208</v>
      </c>
      <c r="T2035" s="104"/>
      <c r="U2035" s="108"/>
      <c r="V2035" s="107"/>
      <c r="W2035" s="106"/>
    </row>
    <row r="2036" spans="1:23" ht="19">
      <c r="A2036" s="104" t="s">
        <v>273</v>
      </c>
      <c r="B2036" s="104" t="s">
        <v>74</v>
      </c>
      <c r="C2036" s="454" t="s">
        <v>266</v>
      </c>
      <c r="D2036" s="105" t="s">
        <v>267</v>
      </c>
      <c r="E2036" s="104" t="s">
        <v>1207</v>
      </c>
      <c r="F2036" s="104">
        <v>25897</v>
      </c>
      <c r="G2036" s="106"/>
      <c r="H2036" s="104"/>
      <c r="I2036" s="104" t="s">
        <v>289</v>
      </c>
      <c r="J2036" s="104" t="s">
        <v>284</v>
      </c>
      <c r="K2036" s="104" t="s">
        <v>112</v>
      </c>
      <c r="L2036" s="104" t="s">
        <v>663</v>
      </c>
      <c r="M2036" s="104"/>
      <c r="N2036" s="108"/>
      <c r="O2036" s="104"/>
      <c r="P2036" s="108"/>
      <c r="Q2036" s="108"/>
      <c r="R2036" s="104"/>
      <c r="S2036" s="253">
        <v>12.59901</v>
      </c>
      <c r="T2036" s="104"/>
      <c r="U2036" s="108"/>
      <c r="V2036" s="107"/>
      <c r="W2036" s="106"/>
    </row>
    <row r="2037" spans="1:23" ht="19">
      <c r="A2037" s="104" t="s">
        <v>273</v>
      </c>
      <c r="B2037" s="104" t="s">
        <v>74</v>
      </c>
      <c r="C2037" s="454" t="s">
        <v>266</v>
      </c>
      <c r="D2037" s="105" t="s">
        <v>267</v>
      </c>
      <c r="E2037" s="104" t="s">
        <v>1207</v>
      </c>
      <c r="F2037" s="104">
        <v>260</v>
      </c>
      <c r="G2037" s="106"/>
      <c r="H2037" s="104"/>
      <c r="I2037" s="104" t="s">
        <v>289</v>
      </c>
      <c r="J2037" s="104" t="s">
        <v>284</v>
      </c>
      <c r="K2037" s="104" t="s">
        <v>112</v>
      </c>
      <c r="L2037" s="104" t="s">
        <v>663</v>
      </c>
      <c r="M2037" s="104"/>
      <c r="N2037" s="108"/>
      <c r="O2037" s="104"/>
      <c r="P2037" s="108"/>
      <c r="Q2037" s="108"/>
      <c r="R2037" s="104"/>
      <c r="S2037" s="253">
        <v>12.635429999999999</v>
      </c>
      <c r="T2037" s="104"/>
      <c r="U2037" s="108"/>
      <c r="V2037" s="107"/>
      <c r="W2037" s="106"/>
    </row>
    <row r="2038" spans="1:23" ht="19">
      <c r="A2038" s="104" t="s">
        <v>273</v>
      </c>
      <c r="B2038" s="104" t="s">
        <v>74</v>
      </c>
      <c r="C2038" s="454" t="s">
        <v>266</v>
      </c>
      <c r="D2038" s="105" t="s">
        <v>267</v>
      </c>
      <c r="E2038" s="104" t="s">
        <v>1207</v>
      </c>
      <c r="F2038" s="104">
        <v>38001</v>
      </c>
      <c r="G2038" s="106"/>
      <c r="H2038" s="104"/>
      <c r="I2038" s="104" t="s">
        <v>289</v>
      </c>
      <c r="J2038" s="104" t="s">
        <v>284</v>
      </c>
      <c r="K2038" s="104" t="s">
        <v>112</v>
      </c>
      <c r="L2038" s="104" t="s">
        <v>663</v>
      </c>
      <c r="M2038" s="104"/>
      <c r="N2038" s="108"/>
      <c r="O2038" s="104"/>
      <c r="P2038" s="108"/>
      <c r="Q2038" s="108"/>
      <c r="R2038" s="104"/>
      <c r="S2038" s="253">
        <v>12.65367</v>
      </c>
      <c r="T2038" s="104"/>
      <c r="U2038" s="108"/>
      <c r="V2038" s="107"/>
      <c r="W2038" s="106"/>
    </row>
    <row r="2039" spans="1:23" ht="19">
      <c r="A2039" s="104" t="s">
        <v>273</v>
      </c>
      <c r="B2039" s="104" t="s">
        <v>74</v>
      </c>
      <c r="C2039" s="454" t="s">
        <v>266</v>
      </c>
      <c r="D2039" s="105" t="s">
        <v>267</v>
      </c>
      <c r="E2039" s="104" t="s">
        <v>1207</v>
      </c>
      <c r="F2039" s="104">
        <v>230633</v>
      </c>
      <c r="G2039" s="106"/>
      <c r="H2039" s="104"/>
      <c r="I2039" s="104" t="s">
        <v>289</v>
      </c>
      <c r="J2039" s="104" t="s">
        <v>284</v>
      </c>
      <c r="K2039" s="104" t="s">
        <v>112</v>
      </c>
      <c r="L2039" s="104" t="s">
        <v>663</v>
      </c>
      <c r="M2039" s="104"/>
      <c r="N2039" s="108"/>
      <c r="O2039" s="104"/>
      <c r="P2039" s="108"/>
      <c r="Q2039" s="108"/>
      <c r="R2039" s="104"/>
      <c r="S2039" s="253">
        <v>12.74511</v>
      </c>
      <c r="T2039" s="104"/>
      <c r="U2039" s="108"/>
      <c r="V2039" s="107"/>
      <c r="W2039" s="106"/>
    </row>
    <row r="2040" spans="1:23" ht="19">
      <c r="A2040" s="104" t="s">
        <v>273</v>
      </c>
      <c r="B2040" s="104" t="s">
        <v>74</v>
      </c>
      <c r="C2040" s="454" t="s">
        <v>266</v>
      </c>
      <c r="D2040" s="105" t="s">
        <v>267</v>
      </c>
      <c r="E2040" s="104" t="s">
        <v>1207</v>
      </c>
      <c r="F2040" s="104">
        <v>320</v>
      </c>
      <c r="G2040" s="106"/>
      <c r="H2040" s="104"/>
      <c r="I2040" s="104" t="s">
        <v>289</v>
      </c>
      <c r="J2040" s="104" t="s">
        <v>284</v>
      </c>
      <c r="K2040" s="104" t="s">
        <v>112</v>
      </c>
      <c r="L2040" s="104" t="s">
        <v>663</v>
      </c>
      <c r="M2040" s="104"/>
      <c r="N2040" s="108"/>
      <c r="O2040" s="104"/>
      <c r="P2040" s="108"/>
      <c r="Q2040" s="108"/>
      <c r="R2040" s="104"/>
      <c r="S2040" s="253">
        <v>12.855420000000001</v>
      </c>
      <c r="T2040" s="104"/>
      <c r="U2040" s="108"/>
      <c r="V2040" s="107"/>
      <c r="W2040" s="106"/>
    </row>
    <row r="2041" spans="1:23" ht="19">
      <c r="A2041" s="104" t="s">
        <v>273</v>
      </c>
      <c r="B2041" s="104" t="s">
        <v>74</v>
      </c>
      <c r="C2041" s="454" t="s">
        <v>266</v>
      </c>
      <c r="D2041" s="105" t="s">
        <v>267</v>
      </c>
      <c r="E2041" s="104" t="s">
        <v>1207</v>
      </c>
      <c r="F2041" s="104">
        <v>198472</v>
      </c>
      <c r="G2041" s="106"/>
      <c r="H2041" s="104"/>
      <c r="I2041" s="104" t="s">
        <v>289</v>
      </c>
      <c r="J2041" s="104" t="s">
        <v>284</v>
      </c>
      <c r="K2041" s="104" t="s">
        <v>112</v>
      </c>
      <c r="L2041" s="104" t="s">
        <v>663</v>
      </c>
      <c r="M2041" s="104"/>
      <c r="N2041" s="108"/>
      <c r="O2041" s="104"/>
      <c r="P2041" s="108"/>
      <c r="Q2041" s="108"/>
      <c r="R2041" s="104"/>
      <c r="S2041" s="253">
        <v>12.929309999999999</v>
      </c>
      <c r="T2041" s="104"/>
      <c r="U2041" s="108"/>
      <c r="V2041" s="107"/>
      <c r="W2041" s="106"/>
    </row>
    <row r="2042" spans="1:23" ht="19">
      <c r="A2042" s="104" t="s">
        <v>273</v>
      </c>
      <c r="B2042" s="104" t="s">
        <v>74</v>
      </c>
      <c r="C2042" s="454" t="s">
        <v>266</v>
      </c>
      <c r="D2042" s="105" t="s">
        <v>267</v>
      </c>
      <c r="E2042" s="104" t="s">
        <v>1207</v>
      </c>
      <c r="F2042" s="104">
        <v>231176</v>
      </c>
      <c r="G2042" s="106"/>
      <c r="H2042" s="104"/>
      <c r="I2042" s="104" t="s">
        <v>289</v>
      </c>
      <c r="J2042" s="104" t="s">
        <v>284</v>
      </c>
      <c r="K2042" s="104" t="s">
        <v>112</v>
      </c>
      <c r="L2042" s="104" t="s">
        <v>663</v>
      </c>
      <c r="M2042" s="104"/>
      <c r="N2042" s="108"/>
      <c r="O2042" s="104"/>
      <c r="P2042" s="108"/>
      <c r="Q2042" s="108"/>
      <c r="R2042" s="104"/>
      <c r="S2042" s="253">
        <v>12.94782</v>
      </c>
      <c r="T2042" s="104"/>
      <c r="U2042" s="108"/>
      <c r="V2042" s="107"/>
      <c r="W2042" s="106"/>
    </row>
    <row r="2043" spans="1:23" ht="19">
      <c r="A2043" s="104" t="s">
        <v>273</v>
      </c>
      <c r="B2043" s="104" t="s">
        <v>74</v>
      </c>
      <c r="C2043" s="454" t="s">
        <v>266</v>
      </c>
      <c r="D2043" s="105" t="s">
        <v>267</v>
      </c>
      <c r="E2043" s="104" t="s">
        <v>1207</v>
      </c>
      <c r="F2043" s="104">
        <v>92554</v>
      </c>
      <c r="G2043" s="106"/>
      <c r="H2043" s="104"/>
      <c r="I2043" s="104" t="s">
        <v>289</v>
      </c>
      <c r="J2043" s="104" t="s">
        <v>284</v>
      </c>
      <c r="K2043" s="104" t="s">
        <v>112</v>
      </c>
      <c r="L2043" s="104" t="s">
        <v>663</v>
      </c>
      <c r="M2043" s="104"/>
      <c r="N2043" s="108"/>
      <c r="O2043" s="104"/>
      <c r="P2043" s="108"/>
      <c r="Q2043" s="108"/>
      <c r="R2043" s="104"/>
      <c r="S2043" s="253">
        <v>13.00347</v>
      </c>
      <c r="T2043" s="104"/>
      <c r="U2043" s="108"/>
      <c r="V2043" s="107"/>
      <c r="W2043" s="106"/>
    </row>
    <row r="2044" spans="1:23" ht="19">
      <c r="A2044" s="104" t="s">
        <v>273</v>
      </c>
      <c r="B2044" s="104" t="s">
        <v>74</v>
      </c>
      <c r="C2044" s="454" t="s">
        <v>266</v>
      </c>
      <c r="D2044" s="105" t="s">
        <v>267</v>
      </c>
      <c r="E2044" s="104" t="s">
        <v>1207</v>
      </c>
      <c r="F2044" s="104">
        <v>140998</v>
      </c>
      <c r="G2044" s="106"/>
      <c r="H2044" s="104"/>
      <c r="I2044" s="104" t="s">
        <v>289</v>
      </c>
      <c r="J2044" s="104" t="s">
        <v>284</v>
      </c>
      <c r="K2044" s="104" t="s">
        <v>112</v>
      </c>
      <c r="L2044" s="104" t="s">
        <v>663</v>
      </c>
      <c r="M2044" s="104"/>
      <c r="N2044" s="108"/>
      <c r="O2044" s="104"/>
      <c r="P2044" s="108"/>
      <c r="Q2044" s="108"/>
      <c r="R2044" s="104"/>
      <c r="S2044" s="253">
        <v>13.246450000000001</v>
      </c>
      <c r="T2044" s="104"/>
      <c r="U2044" s="108"/>
      <c r="V2044" s="107"/>
      <c r="W2044" s="106"/>
    </row>
    <row r="2045" spans="1:23" ht="19">
      <c r="A2045" s="104" t="s">
        <v>273</v>
      </c>
      <c r="B2045" s="104" t="s">
        <v>74</v>
      </c>
      <c r="C2045" s="454" t="s">
        <v>266</v>
      </c>
      <c r="D2045" s="105" t="s">
        <v>267</v>
      </c>
      <c r="E2045" s="104" t="s">
        <v>1207</v>
      </c>
      <c r="F2045" s="104">
        <v>11391</v>
      </c>
      <c r="G2045" s="106"/>
      <c r="H2045" s="104"/>
      <c r="I2045" s="104" t="s">
        <v>289</v>
      </c>
      <c r="J2045" s="104" t="s">
        <v>284</v>
      </c>
      <c r="K2045" s="104" t="s">
        <v>1219</v>
      </c>
      <c r="L2045" s="104" t="s">
        <v>1220</v>
      </c>
      <c r="M2045" s="104"/>
      <c r="N2045" s="108"/>
      <c r="O2045" s="104"/>
      <c r="P2045" s="108"/>
      <c r="Q2045" s="108"/>
      <c r="R2045" s="104"/>
      <c r="S2045" s="253">
        <v>13.39085</v>
      </c>
      <c r="T2045" s="104"/>
      <c r="U2045" s="108"/>
      <c r="V2045" s="107"/>
      <c r="W2045" s="106"/>
    </row>
    <row r="2046" spans="1:23" ht="19">
      <c r="A2046" s="104" t="s">
        <v>273</v>
      </c>
      <c r="B2046" s="104" t="s">
        <v>74</v>
      </c>
      <c r="C2046" s="454" t="s">
        <v>266</v>
      </c>
      <c r="D2046" s="105" t="s">
        <v>267</v>
      </c>
      <c r="E2046" s="104" t="s">
        <v>1207</v>
      </c>
      <c r="F2046" s="104">
        <v>74054</v>
      </c>
      <c r="G2046" s="106"/>
      <c r="H2046" s="104"/>
      <c r="I2046" s="104" t="s">
        <v>289</v>
      </c>
      <c r="J2046" s="104" t="s">
        <v>284</v>
      </c>
      <c r="K2046" s="104" t="s">
        <v>112</v>
      </c>
      <c r="L2046" s="104" t="s">
        <v>663</v>
      </c>
      <c r="M2046" s="104"/>
      <c r="N2046" s="108"/>
      <c r="O2046" s="104"/>
      <c r="P2046" s="108"/>
      <c r="Q2046" s="108"/>
      <c r="R2046" s="104"/>
      <c r="S2046" s="253">
        <v>13.435370000000001</v>
      </c>
      <c r="T2046" s="104"/>
      <c r="U2046" s="108"/>
      <c r="V2046" s="107"/>
      <c r="W2046" s="106"/>
    </row>
    <row r="2047" spans="1:23" ht="19">
      <c r="A2047" s="104" t="s">
        <v>273</v>
      </c>
      <c r="B2047" s="104" t="s">
        <v>74</v>
      </c>
      <c r="C2047" s="454" t="s">
        <v>266</v>
      </c>
      <c r="D2047" s="105" t="s">
        <v>267</v>
      </c>
      <c r="E2047" s="104" t="s">
        <v>1207</v>
      </c>
      <c r="F2047" s="104">
        <v>123745</v>
      </c>
      <c r="G2047" s="106"/>
      <c r="H2047" s="104"/>
      <c r="I2047" s="104" t="s">
        <v>289</v>
      </c>
      <c r="J2047" s="104" t="s">
        <v>284</v>
      </c>
      <c r="K2047" s="104" t="s">
        <v>112</v>
      </c>
      <c r="L2047" s="104" t="s">
        <v>663</v>
      </c>
      <c r="M2047" s="104"/>
      <c r="N2047" s="108"/>
      <c r="O2047" s="104"/>
      <c r="P2047" s="108"/>
      <c r="Q2047" s="108"/>
      <c r="R2047" s="104"/>
      <c r="S2047" s="253">
        <v>13.66441</v>
      </c>
      <c r="T2047" s="104"/>
      <c r="U2047" s="108"/>
      <c r="V2047" s="107"/>
      <c r="W2047" s="106"/>
    </row>
    <row r="2048" spans="1:23" ht="19">
      <c r="A2048" s="104" t="s">
        <v>273</v>
      </c>
      <c r="B2048" s="104" t="s">
        <v>74</v>
      </c>
      <c r="C2048" s="454" t="s">
        <v>266</v>
      </c>
      <c r="D2048" s="105" t="s">
        <v>267</v>
      </c>
      <c r="E2048" s="104" t="s">
        <v>1207</v>
      </c>
      <c r="F2048" s="104">
        <v>92553</v>
      </c>
      <c r="G2048" s="106"/>
      <c r="H2048" s="104"/>
      <c r="I2048" s="104" t="s">
        <v>289</v>
      </c>
      <c r="J2048" s="104" t="s">
        <v>284</v>
      </c>
      <c r="K2048" s="104" t="s">
        <v>112</v>
      </c>
      <c r="L2048" s="104" t="s">
        <v>663</v>
      </c>
      <c r="M2048" s="104"/>
      <c r="N2048" s="108"/>
      <c r="O2048" s="104"/>
      <c r="P2048" s="108"/>
      <c r="Q2048" s="108"/>
      <c r="R2048" s="104"/>
      <c r="S2048" s="253">
        <v>13.837870000000001</v>
      </c>
      <c r="T2048" s="104"/>
      <c r="U2048" s="108"/>
      <c r="V2048" s="107"/>
      <c r="W2048" s="106"/>
    </row>
    <row r="2049" spans="1:23" ht="19">
      <c r="A2049" s="104" t="s">
        <v>273</v>
      </c>
      <c r="B2049" s="104" t="s">
        <v>74</v>
      </c>
      <c r="C2049" s="454" t="s">
        <v>266</v>
      </c>
      <c r="D2049" s="105" t="s">
        <v>267</v>
      </c>
      <c r="E2049" s="104" t="s">
        <v>1207</v>
      </c>
      <c r="F2049" s="104">
        <v>27529</v>
      </c>
      <c r="G2049" s="106"/>
      <c r="H2049" s="104"/>
      <c r="I2049" s="104" t="s">
        <v>289</v>
      </c>
      <c r="J2049" s="104" t="s">
        <v>284</v>
      </c>
      <c r="K2049" s="104" t="s">
        <v>112</v>
      </c>
      <c r="L2049" s="104" t="s">
        <v>663</v>
      </c>
      <c r="M2049" s="104"/>
      <c r="N2049" s="108"/>
      <c r="O2049" s="104"/>
      <c r="P2049" s="108"/>
      <c r="Q2049" s="108"/>
      <c r="R2049" s="104"/>
      <c r="S2049" s="253">
        <v>13.95431</v>
      </c>
      <c r="T2049" s="104"/>
      <c r="U2049" s="108"/>
      <c r="V2049" s="107"/>
      <c r="W2049" s="106"/>
    </row>
    <row r="2050" spans="1:23" ht="19">
      <c r="A2050" s="104" t="s">
        <v>273</v>
      </c>
      <c r="B2050" s="104" t="s">
        <v>74</v>
      </c>
      <c r="C2050" s="454" t="s">
        <v>266</v>
      </c>
      <c r="D2050" s="105" t="s">
        <v>267</v>
      </c>
      <c r="E2050" s="104" t="s">
        <v>1207</v>
      </c>
      <c r="F2050" s="104">
        <v>143830</v>
      </c>
      <c r="G2050" s="106"/>
      <c r="H2050" s="104"/>
      <c r="I2050" s="104" t="s">
        <v>289</v>
      </c>
      <c r="J2050" s="104" t="s">
        <v>284</v>
      </c>
      <c r="K2050" s="104" t="s">
        <v>112</v>
      </c>
      <c r="L2050" s="104" t="s">
        <v>663</v>
      </c>
      <c r="M2050" s="104"/>
      <c r="N2050" s="108"/>
      <c r="O2050" s="104"/>
      <c r="P2050" s="108"/>
      <c r="Q2050" s="108"/>
      <c r="R2050" s="104"/>
      <c r="S2050" s="253">
        <v>14.20881</v>
      </c>
      <c r="T2050" s="104"/>
      <c r="U2050" s="108"/>
      <c r="V2050" s="107"/>
      <c r="W2050" s="106"/>
    </row>
    <row r="2051" spans="1:23" ht="19">
      <c r="A2051" s="104" t="s">
        <v>273</v>
      </c>
      <c r="B2051" s="104" t="s">
        <v>74</v>
      </c>
      <c r="C2051" s="454" t="s">
        <v>266</v>
      </c>
      <c r="D2051" s="105" t="s">
        <v>267</v>
      </c>
      <c r="E2051" s="104" t="s">
        <v>1207</v>
      </c>
      <c r="F2051" s="104">
        <v>160105</v>
      </c>
      <c r="G2051" s="106"/>
      <c r="H2051" s="104"/>
      <c r="I2051" s="104" t="s">
        <v>289</v>
      </c>
      <c r="J2051" s="104" t="s">
        <v>284</v>
      </c>
      <c r="K2051" s="104" t="s">
        <v>290</v>
      </c>
      <c r="L2051" s="104" t="s">
        <v>973</v>
      </c>
      <c r="M2051" s="104"/>
      <c r="N2051" s="108"/>
      <c r="O2051" s="104"/>
      <c r="P2051" s="108"/>
      <c r="Q2051" s="108"/>
      <c r="R2051" s="104"/>
      <c r="S2051" s="253">
        <v>14.377799999999999</v>
      </c>
      <c r="T2051" s="104"/>
      <c r="U2051" s="108"/>
      <c r="V2051" s="107"/>
      <c r="W2051" s="106"/>
    </row>
    <row r="2052" spans="1:23" ht="19">
      <c r="A2052" s="104" t="s">
        <v>273</v>
      </c>
      <c r="B2052" s="104" t="s">
        <v>74</v>
      </c>
      <c r="C2052" s="454" t="s">
        <v>266</v>
      </c>
      <c r="D2052" s="105" t="s">
        <v>267</v>
      </c>
      <c r="E2052" s="104" t="s">
        <v>1207</v>
      </c>
      <c r="F2052" s="104">
        <v>85639</v>
      </c>
      <c r="G2052" s="106"/>
      <c r="H2052" s="104"/>
      <c r="I2052" s="104" t="s">
        <v>289</v>
      </c>
      <c r="J2052" s="104" t="s">
        <v>284</v>
      </c>
      <c r="K2052" s="104" t="s">
        <v>290</v>
      </c>
      <c r="L2052" s="104" t="s">
        <v>973</v>
      </c>
      <c r="M2052" s="104"/>
      <c r="N2052" s="108"/>
      <c r="O2052" s="104"/>
      <c r="P2052" s="108"/>
      <c r="Q2052" s="108"/>
      <c r="R2052" s="104"/>
      <c r="S2052" s="253">
        <v>14.498209999999998</v>
      </c>
      <c r="T2052" s="104"/>
      <c r="U2052" s="108"/>
      <c r="V2052" s="107"/>
      <c r="W2052" s="106"/>
    </row>
    <row r="2053" spans="1:23" ht="19">
      <c r="A2053" s="104" t="s">
        <v>273</v>
      </c>
      <c r="B2053" s="104" t="s">
        <v>74</v>
      </c>
      <c r="C2053" s="454" t="s">
        <v>266</v>
      </c>
      <c r="D2053" s="105" t="s">
        <v>267</v>
      </c>
      <c r="E2053" s="104" t="s">
        <v>1207</v>
      </c>
      <c r="F2053" s="104">
        <v>143828</v>
      </c>
      <c r="G2053" s="106"/>
      <c r="H2053" s="104"/>
      <c r="I2053" s="104" t="s">
        <v>289</v>
      </c>
      <c r="J2053" s="104" t="s">
        <v>284</v>
      </c>
      <c r="K2053" s="104" t="s">
        <v>112</v>
      </c>
      <c r="L2053" s="104" t="s">
        <v>663</v>
      </c>
      <c r="M2053" s="104"/>
      <c r="N2053" s="108"/>
      <c r="O2053" s="104"/>
      <c r="P2053" s="108"/>
      <c r="Q2053" s="108"/>
      <c r="R2053" s="104"/>
      <c r="S2053" s="253">
        <v>15.506350000000001</v>
      </c>
      <c r="T2053" s="104"/>
      <c r="U2053" s="108"/>
      <c r="V2053" s="107"/>
      <c r="W2053" s="106"/>
    </row>
    <row r="2054" spans="1:23" ht="19">
      <c r="A2054" s="104" t="s">
        <v>273</v>
      </c>
      <c r="B2054" s="104" t="s">
        <v>74</v>
      </c>
      <c r="C2054" s="454" t="s">
        <v>266</v>
      </c>
      <c r="D2054" s="105" t="s">
        <v>267</v>
      </c>
      <c r="E2054" s="104" t="s">
        <v>1207</v>
      </c>
      <c r="F2054" s="104">
        <v>23005</v>
      </c>
      <c r="G2054" s="106"/>
      <c r="H2054" s="104"/>
      <c r="I2054" s="104" t="s">
        <v>289</v>
      </c>
      <c r="J2054" s="104" t="s">
        <v>284</v>
      </c>
      <c r="K2054" s="104" t="s">
        <v>290</v>
      </c>
      <c r="L2054" s="104" t="s">
        <v>973</v>
      </c>
      <c r="M2054" s="104"/>
      <c r="N2054" s="108"/>
      <c r="O2054" s="104"/>
      <c r="P2054" s="108"/>
      <c r="Q2054" s="108"/>
      <c r="R2054" s="104"/>
      <c r="S2054" s="253">
        <v>16.15596</v>
      </c>
      <c r="T2054" s="104"/>
      <c r="U2054" s="108"/>
      <c r="V2054" s="107"/>
      <c r="W2054" s="106"/>
    </row>
    <row r="2055" spans="1:23" ht="19">
      <c r="A2055" s="104" t="s">
        <v>273</v>
      </c>
      <c r="B2055" s="104" t="s">
        <v>74</v>
      </c>
      <c r="C2055" s="454" t="s">
        <v>266</v>
      </c>
      <c r="D2055" s="105" t="s">
        <v>267</v>
      </c>
      <c r="E2055" s="104" t="s">
        <v>1207</v>
      </c>
      <c r="F2055" s="104">
        <v>101888</v>
      </c>
      <c r="G2055" s="106"/>
      <c r="H2055" s="104"/>
      <c r="I2055" s="104" t="s">
        <v>289</v>
      </c>
      <c r="J2055" s="104" t="s">
        <v>284</v>
      </c>
      <c r="K2055" s="104" t="s">
        <v>290</v>
      </c>
      <c r="L2055" s="104" t="s">
        <v>973</v>
      </c>
      <c r="M2055" s="104"/>
      <c r="N2055" s="108"/>
      <c r="O2055" s="104"/>
      <c r="P2055" s="108"/>
      <c r="Q2055" s="108"/>
      <c r="R2055" s="104"/>
      <c r="S2055" s="253">
        <v>16.738700000000001</v>
      </c>
      <c r="T2055" s="104"/>
      <c r="U2055" s="108"/>
      <c r="V2055" s="107"/>
      <c r="W2055" s="106"/>
    </row>
    <row r="2056" spans="1:23" ht="19">
      <c r="A2056" s="104" t="s">
        <v>273</v>
      </c>
      <c r="B2056" s="104" t="s">
        <v>74</v>
      </c>
      <c r="C2056" s="454" t="s">
        <v>266</v>
      </c>
      <c r="D2056" s="105" t="s">
        <v>267</v>
      </c>
      <c r="E2056" s="104" t="s">
        <v>1207</v>
      </c>
      <c r="F2056" s="104">
        <v>195888</v>
      </c>
      <c r="G2056" s="106"/>
      <c r="H2056" s="104"/>
      <c r="I2056" s="104" t="s">
        <v>289</v>
      </c>
      <c r="J2056" s="104" t="s">
        <v>284</v>
      </c>
      <c r="K2056" s="104" t="s">
        <v>1213</v>
      </c>
      <c r="L2056" s="104" t="s">
        <v>1214</v>
      </c>
      <c r="M2056" s="104"/>
      <c r="N2056" s="108"/>
      <c r="O2056" s="104"/>
      <c r="P2056" s="108"/>
      <c r="Q2056" s="108"/>
      <c r="R2056" s="104"/>
      <c r="S2056" s="253">
        <v>22.273959999999999</v>
      </c>
      <c r="T2056" s="104"/>
      <c r="U2056" s="108"/>
      <c r="V2056" s="107"/>
      <c r="W2056" s="106"/>
    </row>
    <row r="2057" spans="1:23" ht="19">
      <c r="A2057" s="104" t="s">
        <v>273</v>
      </c>
      <c r="B2057" s="104" t="s">
        <v>74</v>
      </c>
      <c r="C2057" s="454" t="s">
        <v>266</v>
      </c>
      <c r="D2057" s="105" t="s">
        <v>505</v>
      </c>
      <c r="E2057" s="104" t="s">
        <v>1207</v>
      </c>
      <c r="F2057" s="104">
        <v>160145</v>
      </c>
      <c r="G2057" s="106"/>
      <c r="H2057" s="104"/>
      <c r="I2057" s="104" t="s">
        <v>289</v>
      </c>
      <c r="J2057" s="104" t="s">
        <v>284</v>
      </c>
      <c r="K2057" s="104" t="s">
        <v>112</v>
      </c>
      <c r="L2057" s="104" t="s">
        <v>663</v>
      </c>
      <c r="M2057" s="104"/>
      <c r="N2057" s="108"/>
      <c r="O2057" s="104"/>
      <c r="P2057" s="108"/>
      <c r="Q2057" s="108"/>
      <c r="R2057" s="104"/>
      <c r="S2057" s="253">
        <v>17.034490000000002</v>
      </c>
      <c r="T2057" s="104"/>
      <c r="U2057" s="108"/>
      <c r="V2057" s="107"/>
      <c r="W2057" s="106"/>
    </row>
    <row r="2058" spans="1:23" ht="19">
      <c r="A2058" s="104" t="s">
        <v>273</v>
      </c>
      <c r="B2058" s="104" t="s">
        <v>74</v>
      </c>
      <c r="C2058" s="454" t="s">
        <v>266</v>
      </c>
      <c r="D2058" s="105" t="s">
        <v>505</v>
      </c>
      <c r="E2058" s="104" t="s">
        <v>1207</v>
      </c>
      <c r="F2058" s="104">
        <v>160148</v>
      </c>
      <c r="G2058" s="106"/>
      <c r="H2058" s="104"/>
      <c r="I2058" s="104" t="s">
        <v>289</v>
      </c>
      <c r="J2058" s="104" t="s">
        <v>284</v>
      </c>
      <c r="K2058" s="104" t="s">
        <v>112</v>
      </c>
      <c r="L2058" s="104" t="s">
        <v>663</v>
      </c>
      <c r="M2058" s="104"/>
      <c r="N2058" s="108"/>
      <c r="O2058" s="104"/>
      <c r="P2058" s="108"/>
      <c r="Q2058" s="108"/>
      <c r="R2058" s="104"/>
      <c r="S2058" s="253">
        <v>17.48216</v>
      </c>
      <c r="T2058" s="104"/>
      <c r="U2058" s="108"/>
      <c r="V2058" s="107"/>
      <c r="W2058" s="106"/>
    </row>
    <row r="2059" spans="1:23" ht="19">
      <c r="A2059" s="104" t="s">
        <v>273</v>
      </c>
      <c r="B2059" s="104" t="s">
        <v>74</v>
      </c>
      <c r="C2059" s="454" t="s">
        <v>266</v>
      </c>
      <c r="D2059" s="105" t="s">
        <v>505</v>
      </c>
      <c r="E2059" s="104" t="s">
        <v>1207</v>
      </c>
      <c r="F2059" s="104">
        <v>160142</v>
      </c>
      <c r="G2059" s="106"/>
      <c r="H2059" s="104"/>
      <c r="I2059" s="104" t="s">
        <v>289</v>
      </c>
      <c r="J2059" s="104" t="s">
        <v>284</v>
      </c>
      <c r="K2059" s="104" t="s">
        <v>112</v>
      </c>
      <c r="L2059" s="104" t="s">
        <v>663</v>
      </c>
      <c r="M2059" s="104"/>
      <c r="N2059" s="108"/>
      <c r="O2059" s="462"/>
      <c r="P2059" s="108"/>
      <c r="Q2059" s="108"/>
      <c r="R2059" s="104"/>
      <c r="S2059" s="253">
        <v>17.595269999999999</v>
      </c>
      <c r="T2059" s="104"/>
      <c r="U2059" s="108"/>
      <c r="V2059" s="107"/>
      <c r="W2059" s="106"/>
    </row>
    <row r="2060" spans="1:23" ht="19">
      <c r="A2060" s="104" t="s">
        <v>273</v>
      </c>
      <c r="B2060" s="104" t="s">
        <v>74</v>
      </c>
      <c r="C2060" s="454" t="s">
        <v>266</v>
      </c>
      <c r="D2060" s="105" t="s">
        <v>505</v>
      </c>
      <c r="E2060" s="104" t="s">
        <v>1207</v>
      </c>
      <c r="F2060" s="104">
        <v>142766</v>
      </c>
      <c r="G2060" s="106"/>
      <c r="H2060" s="104"/>
      <c r="I2060" s="104" t="s">
        <v>289</v>
      </c>
      <c r="J2060" s="104" t="s">
        <v>284</v>
      </c>
      <c r="K2060" s="104" t="s">
        <v>112</v>
      </c>
      <c r="L2060" s="104" t="s">
        <v>663</v>
      </c>
      <c r="M2060" s="104"/>
      <c r="N2060" s="108"/>
      <c r="O2060" s="104"/>
      <c r="P2060" s="108"/>
      <c r="Q2060" s="108"/>
      <c r="R2060" s="104"/>
      <c r="S2060" s="253">
        <v>19.133849999999999</v>
      </c>
      <c r="T2060" s="104"/>
      <c r="U2060" s="108"/>
      <c r="V2060" s="107"/>
      <c r="W2060" s="106"/>
    </row>
    <row r="2061" spans="1:23" ht="19">
      <c r="A2061" s="104" t="s">
        <v>273</v>
      </c>
      <c r="B2061" s="104" t="s">
        <v>74</v>
      </c>
      <c r="C2061" s="454" t="s">
        <v>266</v>
      </c>
      <c r="D2061" s="105" t="s">
        <v>505</v>
      </c>
      <c r="E2061" s="104" t="s">
        <v>1207</v>
      </c>
      <c r="F2061" s="104">
        <v>142639</v>
      </c>
      <c r="G2061" s="106"/>
      <c r="H2061" s="104"/>
      <c r="I2061" s="104" t="s">
        <v>289</v>
      </c>
      <c r="J2061" s="104" t="s">
        <v>284</v>
      </c>
      <c r="K2061" s="104" t="s">
        <v>112</v>
      </c>
      <c r="L2061" s="104" t="s">
        <v>663</v>
      </c>
      <c r="M2061" s="104"/>
      <c r="N2061" s="108"/>
      <c r="O2061" s="104"/>
      <c r="P2061" s="108"/>
      <c r="Q2061" s="108"/>
      <c r="R2061" s="104"/>
      <c r="S2061" s="253">
        <v>19.181810000000002</v>
      </c>
      <c r="T2061" s="104"/>
      <c r="U2061" s="108"/>
      <c r="V2061" s="107"/>
      <c r="W2061" s="106"/>
    </row>
    <row r="2062" spans="1:23" ht="19">
      <c r="A2062" s="104" t="s">
        <v>273</v>
      </c>
      <c r="B2062" s="104" t="s">
        <v>74</v>
      </c>
      <c r="C2062" s="454" t="s">
        <v>266</v>
      </c>
      <c r="D2062" s="105" t="s">
        <v>505</v>
      </c>
      <c r="E2062" s="104" t="s">
        <v>1207</v>
      </c>
      <c r="F2062" s="104">
        <v>160150</v>
      </c>
      <c r="G2062" s="464"/>
      <c r="H2062" s="104"/>
      <c r="I2062" s="104" t="s">
        <v>289</v>
      </c>
      <c r="J2062" s="104" t="s">
        <v>284</v>
      </c>
      <c r="K2062" s="104" t="s">
        <v>112</v>
      </c>
      <c r="L2062" s="104" t="s">
        <v>663</v>
      </c>
      <c r="M2062" s="104"/>
      <c r="N2062" s="108"/>
      <c r="O2062" s="104"/>
      <c r="P2062" s="108"/>
      <c r="Q2062" s="108"/>
      <c r="R2062" s="104"/>
      <c r="S2062" s="253">
        <v>19.302049999999998</v>
      </c>
      <c r="T2062" s="104"/>
      <c r="U2062" s="108"/>
      <c r="V2062" s="107"/>
      <c r="W2062" s="106"/>
    </row>
    <row r="2063" spans="1:23" ht="19">
      <c r="A2063" s="104" t="s">
        <v>273</v>
      </c>
      <c r="B2063" s="104" t="s">
        <v>74</v>
      </c>
      <c r="C2063" s="454" t="s">
        <v>266</v>
      </c>
      <c r="D2063" s="105" t="s">
        <v>505</v>
      </c>
      <c r="E2063" s="104" t="s">
        <v>1207</v>
      </c>
      <c r="F2063" s="104">
        <v>160140</v>
      </c>
      <c r="G2063" s="106"/>
      <c r="H2063" s="104"/>
      <c r="I2063" s="104" t="s">
        <v>289</v>
      </c>
      <c r="J2063" s="104" t="s">
        <v>284</v>
      </c>
      <c r="K2063" s="104" t="s">
        <v>112</v>
      </c>
      <c r="L2063" s="104" t="s">
        <v>663</v>
      </c>
      <c r="M2063" s="104"/>
      <c r="N2063" s="108"/>
      <c r="O2063" s="104"/>
      <c r="P2063" s="108"/>
      <c r="Q2063" s="108"/>
      <c r="R2063" s="104"/>
      <c r="S2063" s="253">
        <v>20.381589999999999</v>
      </c>
      <c r="T2063" s="104"/>
      <c r="U2063" s="108"/>
      <c r="V2063" s="107"/>
      <c r="W2063" s="106"/>
    </row>
    <row r="2064" spans="1:23" ht="19">
      <c r="A2064" s="104" t="s">
        <v>273</v>
      </c>
      <c r="B2064" s="104" t="s">
        <v>74</v>
      </c>
      <c r="C2064" s="454" t="s">
        <v>266</v>
      </c>
      <c r="D2064" s="105" t="s">
        <v>505</v>
      </c>
      <c r="E2064" s="104" t="s">
        <v>1207</v>
      </c>
      <c r="F2064" s="104">
        <v>160141</v>
      </c>
      <c r="G2064" s="106"/>
      <c r="H2064" s="104"/>
      <c r="I2064" s="104" t="s">
        <v>289</v>
      </c>
      <c r="J2064" s="104" t="s">
        <v>284</v>
      </c>
      <c r="K2064" s="104" t="s">
        <v>112</v>
      </c>
      <c r="L2064" s="104" t="s">
        <v>663</v>
      </c>
      <c r="M2064" s="104"/>
      <c r="N2064" s="108"/>
      <c r="O2064" s="104"/>
      <c r="P2064" s="108"/>
      <c r="Q2064" s="108"/>
      <c r="R2064" s="104"/>
      <c r="S2064" s="253">
        <v>20.556919999999998</v>
      </c>
      <c r="T2064" s="104"/>
      <c r="U2064" s="108"/>
      <c r="V2064" s="107"/>
      <c r="W2064" s="106"/>
    </row>
    <row r="2065" spans="1:23" ht="19">
      <c r="A2065" s="104" t="s">
        <v>273</v>
      </c>
      <c r="B2065" s="104" t="s">
        <v>74</v>
      </c>
      <c r="C2065" s="454" t="s">
        <v>266</v>
      </c>
      <c r="D2065" s="105" t="s">
        <v>505</v>
      </c>
      <c r="E2065" s="104" t="s">
        <v>1207</v>
      </c>
      <c r="F2065" s="104">
        <v>160146</v>
      </c>
      <c r="G2065" s="106"/>
      <c r="H2065" s="104"/>
      <c r="I2065" s="104" t="s">
        <v>289</v>
      </c>
      <c r="J2065" s="104" t="s">
        <v>284</v>
      </c>
      <c r="K2065" s="104" t="s">
        <v>112</v>
      </c>
      <c r="L2065" s="104" t="s">
        <v>663</v>
      </c>
      <c r="M2065" s="104"/>
      <c r="N2065" s="108"/>
      <c r="O2065" s="104"/>
      <c r="P2065" s="108"/>
      <c r="Q2065" s="108"/>
      <c r="R2065" s="104"/>
      <c r="S2065" s="253">
        <v>20.582049999999999</v>
      </c>
      <c r="T2065" s="104"/>
      <c r="U2065" s="108"/>
      <c r="V2065" s="107"/>
      <c r="W2065" s="106"/>
    </row>
    <row r="2066" spans="1:23" ht="19">
      <c r="A2066" s="104" t="s">
        <v>273</v>
      </c>
      <c r="B2066" s="104" t="s">
        <v>74</v>
      </c>
      <c r="C2066" s="454" t="s">
        <v>266</v>
      </c>
      <c r="D2066" s="105" t="s">
        <v>505</v>
      </c>
      <c r="E2066" s="104" t="s">
        <v>1207</v>
      </c>
      <c r="F2066" s="104">
        <v>101288</v>
      </c>
      <c r="G2066" s="106"/>
      <c r="H2066" s="104"/>
      <c r="I2066" s="104" t="s">
        <v>289</v>
      </c>
      <c r="J2066" s="104" t="s">
        <v>284</v>
      </c>
      <c r="K2066" s="104" t="s">
        <v>112</v>
      </c>
      <c r="L2066" s="104" t="s">
        <v>663</v>
      </c>
      <c r="M2066" s="104"/>
      <c r="N2066" s="108"/>
      <c r="O2066" s="462"/>
      <c r="P2066" s="108"/>
      <c r="Q2066" s="108"/>
      <c r="R2066" s="104"/>
      <c r="S2066" s="253">
        <v>20.657550000000001</v>
      </c>
      <c r="T2066" s="104"/>
      <c r="U2066" s="108"/>
      <c r="V2066" s="107"/>
      <c r="W2066" s="106"/>
    </row>
    <row r="2067" spans="1:23" ht="19">
      <c r="A2067" s="104" t="s">
        <v>273</v>
      </c>
      <c r="B2067" s="104" t="s">
        <v>74</v>
      </c>
      <c r="C2067" s="454" t="s">
        <v>266</v>
      </c>
      <c r="D2067" s="105" t="s">
        <v>505</v>
      </c>
      <c r="E2067" s="104" t="s">
        <v>1207</v>
      </c>
      <c r="F2067" s="104">
        <v>160147</v>
      </c>
      <c r="G2067" s="106"/>
      <c r="H2067" s="104"/>
      <c r="I2067" s="104" t="s">
        <v>289</v>
      </c>
      <c r="J2067" s="104" t="s">
        <v>284</v>
      </c>
      <c r="K2067" s="104" t="s">
        <v>112</v>
      </c>
      <c r="L2067" s="104" t="s">
        <v>663</v>
      </c>
      <c r="M2067" s="104"/>
      <c r="N2067" s="108"/>
      <c r="O2067" s="104"/>
      <c r="P2067" s="108"/>
      <c r="Q2067" s="108"/>
      <c r="R2067" s="104"/>
      <c r="S2067" s="253">
        <v>20.657550000000001</v>
      </c>
      <c r="T2067" s="104"/>
      <c r="U2067" s="108"/>
      <c r="V2067" s="107"/>
      <c r="W2067" s="106"/>
    </row>
    <row r="2068" spans="1:23" ht="19">
      <c r="A2068" s="104" t="s">
        <v>273</v>
      </c>
      <c r="B2068" s="104" t="s">
        <v>74</v>
      </c>
      <c r="C2068" s="454" t="s">
        <v>266</v>
      </c>
      <c r="D2068" s="105" t="s">
        <v>505</v>
      </c>
      <c r="E2068" s="104" t="s">
        <v>1207</v>
      </c>
      <c r="F2068" s="104">
        <v>66571</v>
      </c>
      <c r="G2068" s="106"/>
      <c r="H2068" s="104"/>
      <c r="I2068" s="104" t="s">
        <v>289</v>
      </c>
      <c r="J2068" s="104" t="s">
        <v>284</v>
      </c>
      <c r="K2068" s="104" t="s">
        <v>112</v>
      </c>
      <c r="L2068" s="104" t="s">
        <v>663</v>
      </c>
      <c r="M2068" s="104"/>
      <c r="N2068" s="108"/>
      <c r="O2068" s="104"/>
      <c r="P2068" s="108"/>
      <c r="Q2068" s="108"/>
      <c r="R2068" s="104"/>
      <c r="S2068" s="253">
        <v>20.80911</v>
      </c>
      <c r="T2068" s="104"/>
      <c r="U2068" s="108"/>
      <c r="V2068" s="107"/>
      <c r="W2068" s="106"/>
    </row>
    <row r="2069" spans="1:23" ht="19">
      <c r="A2069" s="104" t="s">
        <v>273</v>
      </c>
      <c r="B2069" s="104" t="s">
        <v>74</v>
      </c>
      <c r="C2069" s="454" t="s">
        <v>266</v>
      </c>
      <c r="D2069" s="105" t="s">
        <v>505</v>
      </c>
      <c r="E2069" s="104" t="s">
        <v>1207</v>
      </c>
      <c r="F2069" s="104">
        <v>195099</v>
      </c>
      <c r="G2069" s="106"/>
      <c r="H2069" s="104"/>
      <c r="I2069" s="104" t="s">
        <v>289</v>
      </c>
      <c r="J2069" s="104" t="s">
        <v>284</v>
      </c>
      <c r="K2069" s="104" t="s">
        <v>112</v>
      </c>
      <c r="L2069" s="104" t="s">
        <v>663</v>
      </c>
      <c r="M2069" s="104"/>
      <c r="N2069" s="108"/>
      <c r="O2069" s="104"/>
      <c r="P2069" s="108"/>
      <c r="Q2069" s="108"/>
      <c r="R2069" s="104"/>
      <c r="S2069" s="253">
        <v>21.474310000000003</v>
      </c>
      <c r="T2069" s="104"/>
      <c r="U2069" s="108"/>
      <c r="V2069" s="107"/>
      <c r="W2069" s="106"/>
    </row>
    <row r="2070" spans="1:23" s="333" customFormat="1" ht="19">
      <c r="A2070" s="104" t="s">
        <v>273</v>
      </c>
      <c r="B2070" s="104" t="s">
        <v>74</v>
      </c>
      <c r="C2070" s="454" t="s">
        <v>266</v>
      </c>
      <c r="D2070" s="105" t="s">
        <v>505</v>
      </c>
      <c r="E2070" s="104" t="s">
        <v>1207</v>
      </c>
      <c r="F2070" s="104">
        <v>195161</v>
      </c>
      <c r="G2070" s="106"/>
      <c r="H2070" s="104"/>
      <c r="I2070" s="104" t="s">
        <v>289</v>
      </c>
      <c r="J2070" s="104" t="s">
        <v>284</v>
      </c>
      <c r="K2070" s="104" t="s">
        <v>1213</v>
      </c>
      <c r="L2070" s="104" t="s">
        <v>1214</v>
      </c>
      <c r="M2070" s="104"/>
      <c r="N2070" s="108"/>
      <c r="O2070" s="104"/>
      <c r="P2070" s="108"/>
      <c r="Q2070" s="108"/>
      <c r="R2070" s="104"/>
      <c r="S2070" s="253">
        <v>21.57619</v>
      </c>
      <c r="T2070" s="104"/>
      <c r="U2070" s="108"/>
      <c r="V2070" s="107"/>
      <c r="W2070" s="106"/>
    </row>
    <row r="2071" spans="1:23" ht="19">
      <c r="A2071" s="104" t="s">
        <v>273</v>
      </c>
      <c r="B2071" s="104" t="s">
        <v>74</v>
      </c>
      <c r="C2071" s="454" t="s">
        <v>266</v>
      </c>
      <c r="D2071" s="105" t="s">
        <v>505</v>
      </c>
      <c r="E2071" s="104" t="s">
        <v>1207</v>
      </c>
      <c r="F2071" s="104">
        <v>160133</v>
      </c>
      <c r="G2071" s="106"/>
      <c r="H2071" s="104"/>
      <c r="I2071" s="104" t="s">
        <v>289</v>
      </c>
      <c r="J2071" s="104" t="s">
        <v>284</v>
      </c>
      <c r="K2071" s="104" t="s">
        <v>112</v>
      </c>
      <c r="L2071" s="104" t="s">
        <v>663</v>
      </c>
      <c r="M2071" s="104"/>
      <c r="N2071" s="108"/>
      <c r="O2071" s="104"/>
      <c r="P2071" s="108"/>
      <c r="Q2071" s="108"/>
      <c r="R2071" s="104"/>
      <c r="S2071" s="253">
        <v>21.812099999999997</v>
      </c>
      <c r="T2071" s="104"/>
      <c r="U2071" s="108"/>
      <c r="V2071" s="107"/>
      <c r="W2071" s="106"/>
    </row>
    <row r="2072" spans="1:23" ht="19">
      <c r="A2072" s="104" t="s">
        <v>273</v>
      </c>
      <c r="B2072" s="104" t="s">
        <v>74</v>
      </c>
      <c r="C2072" s="454" t="s">
        <v>266</v>
      </c>
      <c r="D2072" s="105" t="s">
        <v>505</v>
      </c>
      <c r="E2072" s="104" t="s">
        <v>1207</v>
      </c>
      <c r="F2072" s="104">
        <v>196208</v>
      </c>
      <c r="G2072" s="106"/>
      <c r="H2072" s="104"/>
      <c r="I2072" s="104" t="s">
        <v>289</v>
      </c>
      <c r="J2072" s="104" t="s">
        <v>284</v>
      </c>
      <c r="K2072" s="104" t="s">
        <v>112</v>
      </c>
      <c r="L2072" s="104" t="s">
        <v>663</v>
      </c>
      <c r="M2072" s="104"/>
      <c r="N2072" s="108"/>
      <c r="O2072" s="104"/>
      <c r="P2072" s="108"/>
      <c r="Q2072" s="108"/>
      <c r="R2072" s="104"/>
      <c r="S2072" s="253">
        <v>22.172639999999998</v>
      </c>
      <c r="T2072" s="104"/>
      <c r="U2072" s="108"/>
      <c r="V2072" s="107"/>
      <c r="W2072" s="106"/>
    </row>
    <row r="2073" spans="1:23" ht="19">
      <c r="A2073" s="104" t="s">
        <v>273</v>
      </c>
      <c r="B2073" s="104" t="s">
        <v>74</v>
      </c>
      <c r="C2073" s="454" t="s">
        <v>266</v>
      </c>
      <c r="D2073" s="105" t="s">
        <v>505</v>
      </c>
      <c r="E2073" s="104" t="s">
        <v>1207</v>
      </c>
      <c r="F2073" s="104">
        <v>160135</v>
      </c>
      <c r="G2073" s="106"/>
      <c r="H2073" s="104"/>
      <c r="I2073" s="104" t="s">
        <v>289</v>
      </c>
      <c r="J2073" s="104" t="s">
        <v>284</v>
      </c>
      <c r="K2073" s="104" t="s">
        <v>112</v>
      </c>
      <c r="L2073" s="104" t="s">
        <v>663</v>
      </c>
      <c r="M2073" s="104"/>
      <c r="N2073" s="108"/>
      <c r="O2073" s="104"/>
      <c r="P2073" s="108"/>
      <c r="Q2073" s="108"/>
      <c r="R2073" s="104"/>
      <c r="S2073" s="253">
        <v>22.312060000000002</v>
      </c>
      <c r="T2073" s="104"/>
      <c r="U2073" s="108"/>
      <c r="V2073" s="107"/>
      <c r="W2073" s="106"/>
    </row>
    <row r="2074" spans="1:23" ht="19">
      <c r="A2074" s="104" t="s">
        <v>273</v>
      </c>
      <c r="B2074" s="104" t="s">
        <v>74</v>
      </c>
      <c r="C2074" s="454" t="s">
        <v>266</v>
      </c>
      <c r="D2074" s="105" t="s">
        <v>505</v>
      </c>
      <c r="E2074" s="104" t="s">
        <v>1207</v>
      </c>
      <c r="F2074" s="104">
        <v>160132</v>
      </c>
      <c r="G2074" s="106"/>
      <c r="H2074" s="104"/>
      <c r="I2074" s="104" t="s">
        <v>289</v>
      </c>
      <c r="J2074" s="104" t="s">
        <v>284</v>
      </c>
      <c r="K2074" s="104" t="s">
        <v>112</v>
      </c>
      <c r="L2074" s="104" t="s">
        <v>663</v>
      </c>
      <c r="M2074" s="104"/>
      <c r="N2074" s="108"/>
      <c r="O2074" s="104"/>
      <c r="P2074" s="108"/>
      <c r="Q2074" s="108"/>
      <c r="R2074" s="104"/>
      <c r="S2074" s="253">
        <v>22.471499999999999</v>
      </c>
      <c r="T2074" s="104"/>
      <c r="U2074" s="108"/>
      <c r="V2074" s="107"/>
      <c r="W2074" s="106"/>
    </row>
    <row r="2075" spans="1:23" ht="19">
      <c r="A2075" s="104" t="s">
        <v>273</v>
      </c>
      <c r="B2075" s="104" t="s">
        <v>74</v>
      </c>
      <c r="C2075" s="454" t="s">
        <v>266</v>
      </c>
      <c r="D2075" s="105" t="s">
        <v>505</v>
      </c>
      <c r="E2075" s="104" t="s">
        <v>1207</v>
      </c>
      <c r="F2075" s="104">
        <v>160136</v>
      </c>
      <c r="G2075" s="106"/>
      <c r="H2075" s="104"/>
      <c r="I2075" s="104" t="s">
        <v>289</v>
      </c>
      <c r="J2075" s="104" t="s">
        <v>284</v>
      </c>
      <c r="K2075" s="104" t="s">
        <v>112</v>
      </c>
      <c r="L2075" s="104" t="s">
        <v>663</v>
      </c>
      <c r="M2075" s="104"/>
      <c r="N2075" s="108"/>
      <c r="O2075" s="104"/>
      <c r="P2075" s="108"/>
      <c r="Q2075" s="108"/>
      <c r="R2075" s="104"/>
      <c r="S2075" s="253">
        <v>22.551500000000001</v>
      </c>
      <c r="T2075" s="104"/>
      <c r="U2075" s="108"/>
      <c r="V2075" s="107"/>
      <c r="W2075" s="106"/>
    </row>
    <row r="2076" spans="1:23" ht="19">
      <c r="A2076" s="104" t="s">
        <v>273</v>
      </c>
      <c r="B2076" s="104" t="s">
        <v>74</v>
      </c>
      <c r="C2076" s="454" t="s">
        <v>266</v>
      </c>
      <c r="D2076" s="105" t="s">
        <v>505</v>
      </c>
      <c r="E2076" s="104" t="s">
        <v>1207</v>
      </c>
      <c r="F2076" s="104">
        <v>92743</v>
      </c>
      <c r="G2076" s="106"/>
      <c r="H2076" s="104"/>
      <c r="I2076" s="104" t="s">
        <v>289</v>
      </c>
      <c r="J2076" s="104" t="s">
        <v>284</v>
      </c>
      <c r="K2076" s="104" t="s">
        <v>112</v>
      </c>
      <c r="L2076" s="104" t="s">
        <v>663</v>
      </c>
      <c r="M2076" s="104"/>
      <c r="N2076" s="108"/>
      <c r="O2076" s="104"/>
      <c r="P2076" s="108"/>
      <c r="Q2076" s="108"/>
      <c r="R2076" s="104"/>
      <c r="S2076" s="253">
        <v>22.658450000000002</v>
      </c>
      <c r="T2076" s="104"/>
      <c r="U2076" s="108"/>
      <c r="V2076" s="107"/>
      <c r="W2076" s="106"/>
    </row>
    <row r="2077" spans="1:23" ht="19">
      <c r="A2077" s="104" t="s">
        <v>273</v>
      </c>
      <c r="B2077" s="104" t="s">
        <v>74</v>
      </c>
      <c r="C2077" s="454" t="s">
        <v>266</v>
      </c>
      <c r="D2077" s="105" t="s">
        <v>505</v>
      </c>
      <c r="E2077" s="104" t="s">
        <v>1207</v>
      </c>
      <c r="F2077" s="104">
        <v>160138</v>
      </c>
      <c r="G2077" s="106"/>
      <c r="H2077" s="104"/>
      <c r="I2077" s="104" t="s">
        <v>289</v>
      </c>
      <c r="J2077" s="104" t="s">
        <v>284</v>
      </c>
      <c r="K2077" s="104" t="s">
        <v>112</v>
      </c>
      <c r="L2077" s="104" t="s">
        <v>663</v>
      </c>
      <c r="M2077" s="104"/>
      <c r="N2077" s="108"/>
      <c r="O2077" s="104"/>
      <c r="P2077" s="108"/>
      <c r="Q2077" s="108"/>
      <c r="R2077" s="104"/>
      <c r="S2077" s="253">
        <v>22.765740000000001</v>
      </c>
      <c r="T2077" s="104"/>
      <c r="U2077" s="108"/>
      <c r="V2077" s="107"/>
      <c r="W2077" s="106"/>
    </row>
    <row r="2078" spans="1:23" ht="19">
      <c r="A2078" s="104" t="s">
        <v>273</v>
      </c>
      <c r="B2078" s="104" t="s">
        <v>74</v>
      </c>
      <c r="C2078" s="454" t="s">
        <v>266</v>
      </c>
      <c r="D2078" s="105" t="s">
        <v>505</v>
      </c>
      <c r="E2078" s="104" t="s">
        <v>1207</v>
      </c>
      <c r="F2078" s="104">
        <v>160134</v>
      </c>
      <c r="G2078" s="106"/>
      <c r="H2078" s="104"/>
      <c r="I2078" s="104" t="s">
        <v>289</v>
      </c>
      <c r="J2078" s="104" t="s">
        <v>284</v>
      </c>
      <c r="K2078" s="104" t="s">
        <v>112</v>
      </c>
      <c r="L2078" s="104" t="s">
        <v>663</v>
      </c>
      <c r="M2078" s="104"/>
      <c r="N2078" s="108"/>
      <c r="O2078" s="104"/>
      <c r="P2078" s="108"/>
      <c r="Q2078" s="108"/>
      <c r="R2078" s="104"/>
      <c r="S2078" s="253">
        <v>23.27994</v>
      </c>
      <c r="T2078" s="104"/>
      <c r="U2078" s="108"/>
      <c r="V2078" s="107"/>
      <c r="W2078" s="106"/>
    </row>
    <row r="2079" spans="1:23" ht="19">
      <c r="A2079" s="104" t="s">
        <v>273</v>
      </c>
      <c r="B2079" s="104" t="s">
        <v>74</v>
      </c>
      <c r="C2079" s="454" t="s">
        <v>266</v>
      </c>
      <c r="D2079" s="105" t="s">
        <v>505</v>
      </c>
      <c r="E2079" s="104" t="s">
        <v>1207</v>
      </c>
      <c r="F2079" s="104">
        <v>142765</v>
      </c>
      <c r="G2079" s="106"/>
      <c r="H2079" s="104"/>
      <c r="I2079" s="104" t="s">
        <v>289</v>
      </c>
      <c r="J2079" s="104" t="s">
        <v>284</v>
      </c>
      <c r="K2079" s="104" t="s">
        <v>112</v>
      </c>
      <c r="L2079" s="104" t="s">
        <v>663</v>
      </c>
      <c r="M2079" s="104"/>
      <c r="N2079" s="108"/>
      <c r="O2079" s="104"/>
      <c r="P2079" s="108"/>
      <c r="Q2079" s="108"/>
      <c r="R2079" s="104"/>
      <c r="S2079" s="253">
        <v>23.369810000000001</v>
      </c>
      <c r="T2079" s="104"/>
      <c r="U2079" s="108"/>
      <c r="V2079" s="107"/>
      <c r="W2079" s="106"/>
    </row>
    <row r="2080" spans="1:23" ht="19">
      <c r="A2080" s="104" t="s">
        <v>273</v>
      </c>
      <c r="B2080" s="104" t="s">
        <v>74</v>
      </c>
      <c r="C2080" s="454" t="s">
        <v>266</v>
      </c>
      <c r="D2080" s="105" t="s">
        <v>505</v>
      </c>
      <c r="E2080" s="104" t="s">
        <v>1207</v>
      </c>
      <c r="F2080" s="104">
        <v>160137</v>
      </c>
      <c r="G2080" s="106"/>
      <c r="H2080" s="104"/>
      <c r="I2080" s="104" t="s">
        <v>289</v>
      </c>
      <c r="J2080" s="104" t="s">
        <v>284</v>
      </c>
      <c r="K2080" s="104" t="s">
        <v>112</v>
      </c>
      <c r="L2080" s="104" t="s">
        <v>663</v>
      </c>
      <c r="M2080" s="104"/>
      <c r="N2080" s="108"/>
      <c r="O2080" s="104"/>
      <c r="P2080" s="108"/>
      <c r="Q2080" s="108"/>
      <c r="R2080" s="104"/>
      <c r="S2080" s="253">
        <v>25.761330000000001</v>
      </c>
      <c r="T2080" s="104"/>
      <c r="U2080" s="108"/>
      <c r="V2080" s="107"/>
      <c r="W2080" s="106"/>
    </row>
    <row r="2081" spans="1:23" ht="19">
      <c r="A2081" s="104" t="s">
        <v>273</v>
      </c>
      <c r="B2081" s="104" t="s">
        <v>74</v>
      </c>
      <c r="C2081" s="454" t="s">
        <v>266</v>
      </c>
      <c r="D2081" s="105" t="s">
        <v>505</v>
      </c>
      <c r="E2081" s="104" t="s">
        <v>1207</v>
      </c>
      <c r="F2081" s="104">
        <v>195271</v>
      </c>
      <c r="G2081" s="106"/>
      <c r="H2081" s="104"/>
      <c r="I2081" s="104" t="s">
        <v>289</v>
      </c>
      <c r="J2081" s="104" t="s">
        <v>284</v>
      </c>
      <c r="K2081" s="104" t="s">
        <v>1213</v>
      </c>
      <c r="L2081" s="104" t="s">
        <v>1214</v>
      </c>
      <c r="M2081" s="104"/>
      <c r="N2081" s="108"/>
      <c r="O2081" s="104"/>
      <c r="P2081" s="108"/>
      <c r="Q2081" s="108"/>
      <c r="R2081" s="104"/>
      <c r="S2081" s="253">
        <v>27.22691</v>
      </c>
      <c r="T2081" s="104"/>
      <c r="U2081" s="108"/>
      <c r="V2081" s="107"/>
      <c r="W2081" s="106"/>
    </row>
    <row r="2082" spans="1:23" ht="19">
      <c r="A2082" s="104" t="s">
        <v>273</v>
      </c>
      <c r="B2082" s="104" t="s">
        <v>74</v>
      </c>
      <c r="C2082" s="454" t="s">
        <v>266</v>
      </c>
      <c r="D2082" s="105" t="s">
        <v>505</v>
      </c>
      <c r="E2082" s="104" t="s">
        <v>1207</v>
      </c>
      <c r="F2082" s="104">
        <v>23007</v>
      </c>
      <c r="G2082" s="106"/>
      <c r="H2082" s="104"/>
      <c r="I2082" s="104" t="s">
        <v>289</v>
      </c>
      <c r="J2082" s="104" t="s">
        <v>284</v>
      </c>
      <c r="K2082" s="104" t="s">
        <v>112</v>
      </c>
      <c r="L2082" s="104" t="s">
        <v>663</v>
      </c>
      <c r="M2082" s="104"/>
      <c r="N2082" s="108"/>
      <c r="O2082" s="104"/>
      <c r="P2082" s="108"/>
      <c r="Q2082" s="108"/>
      <c r="R2082" s="104"/>
      <c r="S2082" s="253">
        <v>28.473110000000002</v>
      </c>
      <c r="T2082" s="104"/>
      <c r="U2082" s="108"/>
      <c r="V2082" s="107"/>
      <c r="W2082" s="106"/>
    </row>
    <row r="2083" spans="1:23" ht="19">
      <c r="A2083" s="104" t="s">
        <v>273</v>
      </c>
      <c r="B2083" s="104" t="s">
        <v>74</v>
      </c>
      <c r="C2083" s="454" t="s">
        <v>266</v>
      </c>
      <c r="D2083" s="105" t="s">
        <v>505</v>
      </c>
      <c r="E2083" s="104" t="s">
        <v>1207</v>
      </c>
      <c r="F2083" s="104">
        <v>61156</v>
      </c>
      <c r="G2083" s="106"/>
      <c r="H2083" s="104"/>
      <c r="I2083" s="104" t="s">
        <v>289</v>
      </c>
      <c r="J2083" s="104" t="s">
        <v>284</v>
      </c>
      <c r="K2083" s="104" t="s">
        <v>1213</v>
      </c>
      <c r="L2083" s="104" t="s">
        <v>1214</v>
      </c>
      <c r="M2083" s="104"/>
      <c r="N2083" s="108"/>
      <c r="O2083" s="104"/>
      <c r="P2083" s="108"/>
      <c r="Q2083" s="108"/>
      <c r="R2083" s="104"/>
      <c r="S2083" s="253">
        <v>30.413599999999999</v>
      </c>
      <c r="T2083" s="104"/>
      <c r="U2083" s="108"/>
      <c r="V2083" s="107"/>
      <c r="W2083" s="106"/>
    </row>
    <row r="2084" spans="1:23" ht="19">
      <c r="A2084" s="104" t="s">
        <v>273</v>
      </c>
      <c r="B2084" s="104" t="s">
        <v>74</v>
      </c>
      <c r="C2084" s="454" t="s">
        <v>266</v>
      </c>
      <c r="D2084" s="105" t="s">
        <v>1245</v>
      </c>
      <c r="E2084" s="104" t="s">
        <v>1207</v>
      </c>
      <c r="F2084" s="104">
        <v>23006</v>
      </c>
      <c r="G2084" s="106"/>
      <c r="H2084" s="104"/>
      <c r="I2084" s="104" t="s">
        <v>289</v>
      </c>
      <c r="J2084" s="104" t="s">
        <v>284</v>
      </c>
      <c r="K2084" s="104" t="s">
        <v>112</v>
      </c>
      <c r="L2084" s="104" t="s">
        <v>663</v>
      </c>
      <c r="M2084" s="104"/>
      <c r="N2084" s="108"/>
      <c r="O2084" s="104"/>
      <c r="P2084" s="108"/>
      <c r="Q2084" s="108"/>
      <c r="R2084" s="104"/>
      <c r="S2084" s="253">
        <v>15.506350000000001</v>
      </c>
      <c r="T2084" s="104"/>
      <c r="U2084" s="108"/>
      <c r="V2084" s="107"/>
      <c r="W2084" s="106"/>
    </row>
    <row r="2085" spans="1:23" ht="19">
      <c r="A2085" s="104" t="s">
        <v>273</v>
      </c>
      <c r="B2085" s="104" t="s">
        <v>74</v>
      </c>
      <c r="C2085" s="454" t="s">
        <v>274</v>
      </c>
      <c r="D2085" s="105" t="s">
        <v>1249</v>
      </c>
      <c r="E2085" s="104" t="s">
        <v>1207</v>
      </c>
      <c r="F2085" s="104">
        <v>160202</v>
      </c>
      <c r="G2085" s="106"/>
      <c r="H2085" s="104"/>
      <c r="I2085" s="104" t="s">
        <v>289</v>
      </c>
      <c r="J2085" s="104" t="s">
        <v>284</v>
      </c>
      <c r="K2085" s="104" t="s">
        <v>112</v>
      </c>
      <c r="L2085" s="104" t="s">
        <v>663</v>
      </c>
      <c r="M2085" s="104"/>
      <c r="N2085" s="108"/>
      <c r="O2085" s="104"/>
      <c r="P2085" s="108"/>
      <c r="Q2085" s="108"/>
      <c r="R2085" s="104"/>
      <c r="S2085" s="253">
        <v>1.8424100000000001</v>
      </c>
      <c r="T2085" s="104"/>
      <c r="U2085" s="108"/>
      <c r="V2085" s="107"/>
      <c r="W2085" s="106"/>
    </row>
    <row r="2086" spans="1:23" ht="19">
      <c r="A2086" s="104" t="s">
        <v>273</v>
      </c>
      <c r="B2086" s="104" t="s">
        <v>74</v>
      </c>
      <c r="C2086" s="454" t="s">
        <v>274</v>
      </c>
      <c r="D2086" s="105" t="s">
        <v>1249</v>
      </c>
      <c r="E2086" s="104" t="s">
        <v>1207</v>
      </c>
      <c r="F2086" s="104">
        <v>24546</v>
      </c>
      <c r="G2086" s="106"/>
      <c r="H2086" s="104"/>
      <c r="I2086" s="104" t="s">
        <v>289</v>
      </c>
      <c r="J2086" s="104" t="s">
        <v>284</v>
      </c>
      <c r="K2086" s="104" t="s">
        <v>112</v>
      </c>
      <c r="L2086" s="104" t="s">
        <v>663</v>
      </c>
      <c r="M2086" s="104"/>
      <c r="N2086" s="108"/>
      <c r="O2086" s="104"/>
      <c r="P2086" s="108"/>
      <c r="Q2086" s="108"/>
      <c r="R2086" s="104"/>
      <c r="S2086" s="253">
        <v>2.0401400000000001</v>
      </c>
      <c r="T2086" s="104"/>
      <c r="U2086" s="108"/>
      <c r="V2086" s="107"/>
      <c r="W2086" s="106"/>
    </row>
    <row r="2087" spans="1:23" ht="19">
      <c r="A2087" s="104" t="s">
        <v>273</v>
      </c>
      <c r="B2087" s="104" t="s">
        <v>74</v>
      </c>
      <c r="C2087" s="454" t="s">
        <v>274</v>
      </c>
      <c r="D2087" s="105" t="s">
        <v>1249</v>
      </c>
      <c r="E2087" s="104" t="s">
        <v>1207</v>
      </c>
      <c r="F2087" s="104">
        <v>160203</v>
      </c>
      <c r="G2087" s="106"/>
      <c r="H2087" s="104"/>
      <c r="I2087" s="104" t="s">
        <v>289</v>
      </c>
      <c r="J2087" s="104" t="s">
        <v>284</v>
      </c>
      <c r="K2087" s="104" t="s">
        <v>290</v>
      </c>
      <c r="L2087" s="104" t="s">
        <v>973</v>
      </c>
      <c r="M2087" s="104"/>
      <c r="N2087" s="108"/>
      <c r="O2087" s="104"/>
      <c r="P2087" s="108"/>
      <c r="Q2087" s="108"/>
      <c r="R2087" s="104"/>
      <c r="S2087" s="253">
        <v>2.4256599999999997</v>
      </c>
      <c r="T2087" s="104"/>
      <c r="U2087" s="108"/>
      <c r="V2087" s="107"/>
      <c r="W2087" s="106"/>
    </row>
    <row r="2088" spans="1:23" ht="19">
      <c r="A2088" s="104" t="s">
        <v>273</v>
      </c>
      <c r="B2088" s="104" t="s">
        <v>74</v>
      </c>
      <c r="C2088" s="454" t="s">
        <v>274</v>
      </c>
      <c r="D2088" s="105" t="s">
        <v>1249</v>
      </c>
      <c r="E2088" s="104" t="s">
        <v>1207</v>
      </c>
      <c r="F2088" s="104">
        <v>160195</v>
      </c>
      <c r="G2088" s="106"/>
      <c r="H2088" s="104"/>
      <c r="I2088" s="104" t="s">
        <v>289</v>
      </c>
      <c r="J2088" s="104" t="s">
        <v>284</v>
      </c>
      <c r="K2088" s="104" t="s">
        <v>290</v>
      </c>
      <c r="L2088" s="104" t="s">
        <v>973</v>
      </c>
      <c r="M2088" s="104"/>
      <c r="N2088" s="108"/>
      <c r="O2088" s="104"/>
      <c r="P2088" s="108"/>
      <c r="Q2088" s="108"/>
      <c r="R2088" s="104"/>
      <c r="S2088" s="253">
        <v>2.4355500000000001</v>
      </c>
      <c r="T2088" s="104"/>
      <c r="U2088" s="108"/>
      <c r="V2088" s="107"/>
      <c r="W2088" s="106"/>
    </row>
    <row r="2089" spans="1:23" ht="19">
      <c r="A2089" s="104" t="s">
        <v>273</v>
      </c>
      <c r="B2089" s="104" t="s">
        <v>74</v>
      </c>
      <c r="C2089" s="454" t="s">
        <v>274</v>
      </c>
      <c r="D2089" s="105" t="s">
        <v>1249</v>
      </c>
      <c r="E2089" s="104" t="s">
        <v>1207</v>
      </c>
      <c r="F2089" s="104">
        <v>160204</v>
      </c>
      <c r="G2089" s="106"/>
      <c r="H2089" s="104"/>
      <c r="I2089" s="104" t="s">
        <v>289</v>
      </c>
      <c r="J2089" s="104" t="s">
        <v>284</v>
      </c>
      <c r="K2089" s="104" t="s">
        <v>290</v>
      </c>
      <c r="L2089" s="104" t="s">
        <v>973</v>
      </c>
      <c r="M2089" s="104"/>
      <c r="N2089" s="108"/>
      <c r="O2089" s="104"/>
      <c r="P2089" s="108"/>
      <c r="Q2089" s="108"/>
      <c r="R2089" s="104"/>
      <c r="S2089" s="253">
        <v>2.4738600000000002</v>
      </c>
      <c r="T2089" s="104"/>
      <c r="U2089" s="108"/>
      <c r="V2089" s="107"/>
      <c r="W2089" s="106"/>
    </row>
    <row r="2090" spans="1:23" ht="19">
      <c r="A2090" s="104" t="s">
        <v>273</v>
      </c>
      <c r="B2090" s="104" t="s">
        <v>74</v>
      </c>
      <c r="C2090" s="454" t="s">
        <v>274</v>
      </c>
      <c r="D2090" s="105" t="s">
        <v>1249</v>
      </c>
      <c r="E2090" s="104" t="s">
        <v>1207</v>
      </c>
      <c r="F2090" s="104">
        <v>85760</v>
      </c>
      <c r="G2090" s="106"/>
      <c r="H2090" s="104"/>
      <c r="I2090" s="104" t="s">
        <v>289</v>
      </c>
      <c r="J2090" s="104" t="s">
        <v>284</v>
      </c>
      <c r="K2090" s="104" t="s">
        <v>290</v>
      </c>
      <c r="L2090" s="104" t="s">
        <v>973</v>
      </c>
      <c r="M2090" s="104"/>
      <c r="N2090" s="108"/>
      <c r="O2090" s="104"/>
      <c r="P2090" s="108"/>
      <c r="Q2090" s="108"/>
      <c r="R2090" s="104"/>
      <c r="S2090" s="253">
        <v>2.47925</v>
      </c>
      <c r="T2090" s="104"/>
      <c r="U2090" s="108"/>
      <c r="V2090" s="107"/>
      <c r="W2090" s="106"/>
    </row>
    <row r="2091" spans="1:23" ht="19">
      <c r="A2091" s="104" t="s">
        <v>273</v>
      </c>
      <c r="B2091" s="104" t="s">
        <v>74</v>
      </c>
      <c r="C2091" s="454" t="s">
        <v>274</v>
      </c>
      <c r="D2091" s="105" t="s">
        <v>1249</v>
      </c>
      <c r="E2091" s="104" t="s">
        <v>1207</v>
      </c>
      <c r="F2091" s="104">
        <v>160205</v>
      </c>
      <c r="G2091" s="106"/>
      <c r="H2091" s="104"/>
      <c r="I2091" s="104" t="s">
        <v>289</v>
      </c>
      <c r="J2091" s="104" t="s">
        <v>284</v>
      </c>
      <c r="K2091" s="104" t="s">
        <v>290</v>
      </c>
      <c r="L2091" s="104" t="s">
        <v>973</v>
      </c>
      <c r="M2091" s="104"/>
      <c r="N2091" s="108"/>
      <c r="O2091" s="104"/>
      <c r="P2091" s="108"/>
      <c r="Q2091" s="108"/>
      <c r="R2091" s="104"/>
      <c r="S2091" s="253">
        <v>2.5274299999999998</v>
      </c>
      <c r="T2091" s="104"/>
      <c r="U2091" s="108"/>
      <c r="V2091" s="107"/>
      <c r="W2091" s="106"/>
    </row>
    <row r="2092" spans="1:23" ht="19">
      <c r="A2092" s="104" t="s">
        <v>273</v>
      </c>
      <c r="B2092" s="104" t="s">
        <v>74</v>
      </c>
      <c r="C2092" s="454" t="s">
        <v>274</v>
      </c>
      <c r="D2092" s="105" t="s">
        <v>1249</v>
      </c>
      <c r="E2092" s="104" t="s">
        <v>1207</v>
      </c>
      <c r="F2092" s="104">
        <v>160194</v>
      </c>
      <c r="G2092" s="106"/>
      <c r="H2092" s="104"/>
      <c r="I2092" s="104" t="s">
        <v>289</v>
      </c>
      <c r="J2092" s="104" t="s">
        <v>284</v>
      </c>
      <c r="K2092" s="104" t="s">
        <v>290</v>
      </c>
      <c r="L2092" s="104" t="s">
        <v>973</v>
      </c>
      <c r="M2092" s="104"/>
      <c r="N2092" s="108"/>
      <c r="O2092" s="104"/>
      <c r="P2092" s="108"/>
      <c r="Q2092" s="108"/>
      <c r="R2092" s="104"/>
      <c r="S2092" s="253">
        <v>2.5423200000000001</v>
      </c>
      <c r="T2092" s="104"/>
      <c r="U2092" s="108"/>
      <c r="V2092" s="107"/>
      <c r="W2092" s="106"/>
    </row>
    <row r="2093" spans="1:23" ht="19">
      <c r="A2093" s="104" t="s">
        <v>273</v>
      </c>
      <c r="B2093" s="104" t="s">
        <v>74</v>
      </c>
      <c r="C2093" s="454" t="s">
        <v>274</v>
      </c>
      <c r="D2093" s="105" t="s">
        <v>1249</v>
      </c>
      <c r="E2093" s="104" t="s">
        <v>1207</v>
      </c>
      <c r="F2093" s="104">
        <v>160199</v>
      </c>
      <c r="G2093" s="106"/>
      <c r="H2093" s="104"/>
      <c r="I2093" s="104" t="s">
        <v>289</v>
      </c>
      <c r="J2093" s="104" t="s">
        <v>284</v>
      </c>
      <c r="K2093" s="104" t="s">
        <v>290</v>
      </c>
      <c r="L2093" s="104" t="s">
        <v>973</v>
      </c>
      <c r="M2093" s="104"/>
      <c r="N2093" s="108"/>
      <c r="O2093" s="104"/>
      <c r="P2093" s="108"/>
      <c r="Q2093" s="108"/>
      <c r="R2093" s="104"/>
      <c r="S2093" s="253">
        <v>2.6258000000000004</v>
      </c>
      <c r="T2093" s="104"/>
      <c r="U2093" s="108"/>
      <c r="V2093" s="107"/>
      <c r="W2093" s="106"/>
    </row>
    <row r="2094" spans="1:23" ht="19">
      <c r="A2094" s="104" t="s">
        <v>273</v>
      </c>
      <c r="B2094" s="104" t="s">
        <v>74</v>
      </c>
      <c r="C2094" s="454" t="s">
        <v>274</v>
      </c>
      <c r="D2094" s="105" t="s">
        <v>1249</v>
      </c>
      <c r="E2094" s="104" t="s">
        <v>1207</v>
      </c>
      <c r="F2094" s="104">
        <v>160201</v>
      </c>
      <c r="G2094" s="106"/>
      <c r="H2094" s="104"/>
      <c r="I2094" s="104" t="s">
        <v>289</v>
      </c>
      <c r="J2094" s="104" t="s">
        <v>284</v>
      </c>
      <c r="K2094" s="104" t="s">
        <v>290</v>
      </c>
      <c r="L2094" s="104" t="s">
        <v>973</v>
      </c>
      <c r="M2094" s="104"/>
      <c r="N2094" s="108"/>
      <c r="O2094" s="104"/>
      <c r="P2094" s="108"/>
      <c r="Q2094" s="108"/>
      <c r="R2094" s="104"/>
      <c r="S2094" s="253">
        <v>2.6330399999999998</v>
      </c>
      <c r="T2094" s="104"/>
      <c r="U2094" s="108"/>
      <c r="V2094" s="107"/>
      <c r="W2094" s="106"/>
    </row>
    <row r="2095" spans="1:23" ht="19">
      <c r="A2095" s="104" t="s">
        <v>273</v>
      </c>
      <c r="B2095" s="104" t="s">
        <v>74</v>
      </c>
      <c r="C2095" s="454" t="s">
        <v>274</v>
      </c>
      <c r="D2095" s="105" t="s">
        <v>1249</v>
      </c>
      <c r="E2095" s="104" t="s">
        <v>1207</v>
      </c>
      <c r="F2095" s="104">
        <v>160206</v>
      </c>
      <c r="G2095" s="106"/>
      <c r="H2095" s="104"/>
      <c r="I2095" s="104" t="s">
        <v>289</v>
      </c>
      <c r="J2095" s="104" t="s">
        <v>284</v>
      </c>
      <c r="K2095" s="104" t="s">
        <v>290</v>
      </c>
      <c r="L2095" s="104" t="s">
        <v>973</v>
      </c>
      <c r="M2095" s="104"/>
      <c r="N2095" s="108"/>
      <c r="O2095" s="104"/>
      <c r="P2095" s="108"/>
      <c r="Q2095" s="108"/>
      <c r="R2095" s="104"/>
      <c r="S2095" s="253">
        <v>2.6662300000000001</v>
      </c>
      <c r="T2095" s="104"/>
      <c r="U2095" s="108"/>
      <c r="V2095" s="107"/>
      <c r="W2095" s="106"/>
    </row>
    <row r="2096" spans="1:23" ht="19">
      <c r="A2096" s="104" t="s">
        <v>273</v>
      </c>
      <c r="B2096" s="104" t="s">
        <v>74</v>
      </c>
      <c r="C2096" s="454" t="s">
        <v>274</v>
      </c>
      <c r="D2096" s="105" t="s">
        <v>1249</v>
      </c>
      <c r="E2096" s="104" t="s">
        <v>1207</v>
      </c>
      <c r="F2096" s="104">
        <v>160193</v>
      </c>
      <c r="G2096" s="106"/>
      <c r="H2096" s="104"/>
      <c r="I2096" s="104" t="s">
        <v>289</v>
      </c>
      <c r="J2096" s="104" t="s">
        <v>284</v>
      </c>
      <c r="K2096" s="104" t="s">
        <v>290</v>
      </c>
      <c r="L2096" s="104" t="s">
        <v>973</v>
      </c>
      <c r="M2096" s="104"/>
      <c r="N2096" s="108"/>
      <c r="O2096" s="104"/>
      <c r="P2096" s="108"/>
      <c r="Q2096" s="108"/>
      <c r="R2096" s="104"/>
      <c r="S2096" s="253">
        <v>2.7368299999999999</v>
      </c>
      <c r="T2096" s="104"/>
      <c r="U2096" s="108"/>
      <c r="V2096" s="107"/>
      <c r="W2096" s="106"/>
    </row>
    <row r="2097" spans="1:23" ht="19">
      <c r="A2097" s="104" t="s">
        <v>273</v>
      </c>
      <c r="B2097" s="104" t="s">
        <v>74</v>
      </c>
      <c r="C2097" s="454" t="s">
        <v>274</v>
      </c>
      <c r="D2097" s="105" t="s">
        <v>1249</v>
      </c>
      <c r="E2097" s="104" t="s">
        <v>1207</v>
      </c>
      <c r="F2097" s="104">
        <v>160196</v>
      </c>
      <c r="G2097" s="106"/>
      <c r="H2097" s="104"/>
      <c r="I2097" s="104" t="s">
        <v>289</v>
      </c>
      <c r="J2097" s="104" t="s">
        <v>284</v>
      </c>
      <c r="K2097" s="104" t="s">
        <v>290</v>
      </c>
      <c r="L2097" s="104" t="s">
        <v>973</v>
      </c>
      <c r="M2097" s="104"/>
      <c r="N2097" s="108"/>
      <c r="O2097" s="104"/>
      <c r="P2097" s="108"/>
      <c r="Q2097" s="108"/>
      <c r="R2097" s="104"/>
      <c r="S2097" s="253">
        <v>2.7919099999999997</v>
      </c>
      <c r="T2097" s="104"/>
      <c r="U2097" s="108"/>
      <c r="V2097" s="107"/>
      <c r="W2097" s="106"/>
    </row>
    <row r="2098" spans="1:23" ht="19">
      <c r="A2098" s="104" t="s">
        <v>273</v>
      </c>
      <c r="B2098" s="104" t="s">
        <v>74</v>
      </c>
      <c r="C2098" s="454" t="s">
        <v>274</v>
      </c>
      <c r="D2098" s="105" t="s">
        <v>1249</v>
      </c>
      <c r="E2098" s="104" t="s">
        <v>1207</v>
      </c>
      <c r="F2098" s="104">
        <v>160197</v>
      </c>
      <c r="G2098" s="106"/>
      <c r="H2098" s="104"/>
      <c r="I2098" s="104" t="s">
        <v>289</v>
      </c>
      <c r="J2098" s="104" t="s">
        <v>284</v>
      </c>
      <c r="K2098" s="104" t="s">
        <v>290</v>
      </c>
      <c r="L2098" s="104" t="s">
        <v>973</v>
      </c>
      <c r="M2098" s="104"/>
      <c r="N2098" s="108"/>
      <c r="O2098" s="104"/>
      <c r="P2098" s="108"/>
      <c r="Q2098" s="108"/>
      <c r="R2098" s="104"/>
      <c r="S2098" s="253">
        <v>2.7986399999999998</v>
      </c>
      <c r="T2098" s="104"/>
      <c r="U2098" s="108"/>
      <c r="V2098" s="107"/>
      <c r="W2098" s="106"/>
    </row>
    <row r="2099" spans="1:23" ht="19">
      <c r="A2099" s="104" t="s">
        <v>273</v>
      </c>
      <c r="B2099" s="104" t="s">
        <v>74</v>
      </c>
      <c r="C2099" s="454" t="s">
        <v>274</v>
      </c>
      <c r="D2099" s="105" t="s">
        <v>1249</v>
      </c>
      <c r="E2099" s="104" t="s">
        <v>1207</v>
      </c>
      <c r="F2099" s="104">
        <v>160198</v>
      </c>
      <c r="G2099" s="106"/>
      <c r="H2099" s="104"/>
      <c r="I2099" s="104" t="s">
        <v>289</v>
      </c>
      <c r="J2099" s="104" t="s">
        <v>284</v>
      </c>
      <c r="K2099" s="104" t="s">
        <v>290</v>
      </c>
      <c r="L2099" s="104" t="s">
        <v>973</v>
      </c>
      <c r="M2099" s="104"/>
      <c r="N2099" s="108"/>
      <c r="O2099" s="104"/>
      <c r="P2099" s="108"/>
      <c r="Q2099" s="108"/>
      <c r="R2099" s="104"/>
      <c r="S2099" s="253">
        <v>3.2364799999999998</v>
      </c>
      <c r="T2099" s="104"/>
      <c r="U2099" s="108"/>
      <c r="V2099" s="107"/>
      <c r="W2099" s="106"/>
    </row>
    <row r="2100" spans="1:23" ht="19">
      <c r="A2100" s="104" t="s">
        <v>273</v>
      </c>
      <c r="B2100" s="104" t="s">
        <v>74</v>
      </c>
      <c r="C2100" s="454" t="s">
        <v>299</v>
      </c>
      <c r="D2100" s="105" t="s">
        <v>1255</v>
      </c>
      <c r="E2100" s="104" t="s">
        <v>1207</v>
      </c>
      <c r="F2100" s="104">
        <v>64390</v>
      </c>
      <c r="G2100" s="106"/>
      <c r="H2100" s="104"/>
      <c r="I2100" s="104" t="s">
        <v>289</v>
      </c>
      <c r="J2100" s="104" t="s">
        <v>284</v>
      </c>
      <c r="K2100" s="104" t="s">
        <v>112</v>
      </c>
      <c r="L2100" s="104" t="s">
        <v>663</v>
      </c>
      <c r="M2100" s="104"/>
      <c r="N2100" s="108"/>
      <c r="O2100" s="104"/>
      <c r="P2100" s="108"/>
      <c r="Q2100" s="108"/>
      <c r="R2100" s="104"/>
      <c r="S2100" s="253">
        <v>1.5756199999999998</v>
      </c>
      <c r="T2100" s="104"/>
      <c r="U2100" s="108"/>
      <c r="V2100" s="107"/>
      <c r="W2100" s="106"/>
    </row>
    <row r="2101" spans="1:23" ht="19">
      <c r="A2101" s="104" t="s">
        <v>273</v>
      </c>
      <c r="B2101" s="104" t="s">
        <v>74</v>
      </c>
      <c r="C2101" s="454" t="s">
        <v>299</v>
      </c>
      <c r="D2101" s="105" t="s">
        <v>1255</v>
      </c>
      <c r="E2101" s="104" t="s">
        <v>1207</v>
      </c>
      <c r="F2101" s="104">
        <v>101289</v>
      </c>
      <c r="G2101" s="106"/>
      <c r="H2101" s="104"/>
      <c r="I2101" s="104" t="s">
        <v>289</v>
      </c>
      <c r="J2101" s="104" t="s">
        <v>284</v>
      </c>
      <c r="K2101" s="104" t="s">
        <v>112</v>
      </c>
      <c r="L2101" s="104" t="s">
        <v>663</v>
      </c>
      <c r="M2101" s="104"/>
      <c r="N2101" s="108"/>
      <c r="O2101" s="104"/>
      <c r="P2101" s="108"/>
      <c r="Q2101" s="108"/>
      <c r="R2101" s="104"/>
      <c r="S2101" s="253">
        <v>1.87476</v>
      </c>
      <c r="T2101" s="104"/>
      <c r="U2101" s="108"/>
      <c r="V2101" s="107"/>
      <c r="W2101" s="106"/>
    </row>
    <row r="2102" spans="1:23" ht="19">
      <c r="A2102" s="104" t="s">
        <v>273</v>
      </c>
      <c r="B2102" s="104" t="s">
        <v>74</v>
      </c>
      <c r="C2102" s="454" t="s">
        <v>299</v>
      </c>
      <c r="D2102" s="105" t="s">
        <v>1255</v>
      </c>
      <c r="E2102" s="104" t="s">
        <v>1207</v>
      </c>
      <c r="F2102" s="104">
        <v>64392</v>
      </c>
      <c r="G2102" s="106"/>
      <c r="H2102" s="104"/>
      <c r="I2102" s="104" t="s">
        <v>289</v>
      </c>
      <c r="J2102" s="104" t="s">
        <v>284</v>
      </c>
      <c r="K2102" s="104" t="s">
        <v>290</v>
      </c>
      <c r="L2102" s="104" t="s">
        <v>973</v>
      </c>
      <c r="M2102" s="104"/>
      <c r="N2102" s="108"/>
      <c r="O2102" s="104"/>
      <c r="P2102" s="108"/>
      <c r="Q2102" s="108"/>
      <c r="R2102" s="104"/>
      <c r="S2102" s="253">
        <v>1.9001700000000001</v>
      </c>
      <c r="T2102" s="104"/>
      <c r="U2102" s="108"/>
      <c r="V2102" s="107"/>
      <c r="W2102" s="106"/>
    </row>
    <row r="2103" spans="1:23" ht="19">
      <c r="A2103" s="104" t="s">
        <v>273</v>
      </c>
      <c r="B2103" s="104" t="s">
        <v>74</v>
      </c>
      <c r="C2103" s="454" t="s">
        <v>299</v>
      </c>
      <c r="D2103" s="105" t="s">
        <v>1255</v>
      </c>
      <c r="E2103" s="104" t="s">
        <v>1207</v>
      </c>
      <c r="F2103" s="104">
        <v>92716</v>
      </c>
      <c r="G2103" s="106"/>
      <c r="H2103" s="104"/>
      <c r="I2103" s="104" t="s">
        <v>289</v>
      </c>
      <c r="J2103" s="104" t="s">
        <v>284</v>
      </c>
      <c r="K2103" s="104" t="s">
        <v>112</v>
      </c>
      <c r="L2103" s="104" t="s">
        <v>663</v>
      </c>
      <c r="M2103" s="104"/>
      <c r="N2103" s="108"/>
      <c r="O2103" s="104"/>
      <c r="P2103" s="108"/>
      <c r="Q2103" s="108"/>
      <c r="R2103" s="104"/>
      <c r="S2103" s="253">
        <v>1.9323900000000001</v>
      </c>
      <c r="T2103" s="104"/>
      <c r="U2103" s="108"/>
      <c r="V2103" s="107"/>
      <c r="W2103" s="106"/>
    </row>
    <row r="2104" spans="1:23" ht="19">
      <c r="A2104" s="104" t="s">
        <v>273</v>
      </c>
      <c r="B2104" s="104" t="s">
        <v>74</v>
      </c>
      <c r="C2104" s="454" t="s">
        <v>299</v>
      </c>
      <c r="D2104" s="105" t="s">
        <v>1255</v>
      </c>
      <c r="E2104" s="104" t="s">
        <v>1207</v>
      </c>
      <c r="F2104" s="104">
        <v>64391</v>
      </c>
      <c r="G2104" s="106"/>
      <c r="H2104" s="104"/>
      <c r="I2104" s="104" t="s">
        <v>289</v>
      </c>
      <c r="J2104" s="104" t="s">
        <v>284</v>
      </c>
      <c r="K2104" s="104" t="s">
        <v>290</v>
      </c>
      <c r="L2104" s="104" t="s">
        <v>973</v>
      </c>
      <c r="M2104" s="104"/>
      <c r="N2104" s="108"/>
      <c r="O2104" s="104"/>
      <c r="P2104" s="108"/>
      <c r="Q2104" s="108"/>
      <c r="R2104" s="104"/>
      <c r="S2104" s="253">
        <v>2.0691899999999999</v>
      </c>
      <c r="T2104" s="104"/>
      <c r="U2104" s="108"/>
      <c r="V2104" s="107"/>
      <c r="W2104" s="106"/>
    </row>
    <row r="2105" spans="1:23" ht="19">
      <c r="A2105" s="104" t="s">
        <v>273</v>
      </c>
      <c r="B2105" s="104" t="s">
        <v>74</v>
      </c>
      <c r="C2105" s="454" t="s">
        <v>299</v>
      </c>
      <c r="D2105" s="105" t="s">
        <v>1255</v>
      </c>
      <c r="E2105" s="104" t="s">
        <v>1207</v>
      </c>
      <c r="F2105" s="104">
        <v>92664</v>
      </c>
      <c r="G2105" s="106"/>
      <c r="H2105" s="104"/>
      <c r="I2105" s="104" t="s">
        <v>289</v>
      </c>
      <c r="J2105" s="104" t="s">
        <v>284</v>
      </c>
      <c r="K2105" s="104" t="s">
        <v>112</v>
      </c>
      <c r="L2105" s="104" t="s">
        <v>663</v>
      </c>
      <c r="M2105" s="104"/>
      <c r="N2105" s="108"/>
      <c r="O2105" s="104"/>
      <c r="P2105" s="108"/>
      <c r="Q2105" s="108"/>
      <c r="R2105" s="104"/>
      <c r="S2105" s="253">
        <v>2.08432</v>
      </c>
      <c r="T2105" s="104"/>
      <c r="U2105" s="108"/>
      <c r="V2105" s="107"/>
      <c r="W2105" s="106"/>
    </row>
    <row r="2106" spans="1:23" ht="19">
      <c r="A2106" s="104" t="s">
        <v>273</v>
      </c>
      <c r="B2106" s="104" t="s">
        <v>74</v>
      </c>
      <c r="C2106" s="454" t="s">
        <v>299</v>
      </c>
      <c r="D2106" s="105" t="s">
        <v>1255</v>
      </c>
      <c r="E2106" s="104" t="s">
        <v>1207</v>
      </c>
      <c r="F2106" s="104">
        <v>16190</v>
      </c>
      <c r="G2106" s="106"/>
      <c r="H2106" s="104"/>
      <c r="I2106" s="104" t="s">
        <v>289</v>
      </c>
      <c r="J2106" s="104" t="s">
        <v>284</v>
      </c>
      <c r="K2106" s="104" t="s">
        <v>112</v>
      </c>
      <c r="L2106" s="104" t="s">
        <v>663</v>
      </c>
      <c r="M2106" s="104"/>
      <c r="N2106" s="108"/>
      <c r="O2106" s="104"/>
      <c r="P2106" s="108"/>
      <c r="Q2106" s="108"/>
      <c r="R2106" s="104"/>
      <c r="S2106" s="253">
        <v>2.1404299999999998</v>
      </c>
      <c r="T2106" s="104"/>
      <c r="U2106" s="108"/>
      <c r="V2106" s="107"/>
      <c r="W2106" s="106"/>
    </row>
    <row r="2107" spans="1:23" ht="19">
      <c r="A2107" s="104" t="s">
        <v>273</v>
      </c>
      <c r="B2107" s="104" t="s">
        <v>74</v>
      </c>
      <c r="C2107" s="454" t="s">
        <v>299</v>
      </c>
      <c r="D2107" s="105" t="s">
        <v>1255</v>
      </c>
      <c r="E2107" s="104" t="s">
        <v>1207</v>
      </c>
      <c r="F2107" s="104">
        <v>64393</v>
      </c>
      <c r="G2107" s="106"/>
      <c r="H2107" s="104"/>
      <c r="I2107" s="104" t="s">
        <v>289</v>
      </c>
      <c r="J2107" s="104" t="s">
        <v>284</v>
      </c>
      <c r="K2107" s="104" t="s">
        <v>112</v>
      </c>
      <c r="L2107" s="104" t="s">
        <v>663</v>
      </c>
      <c r="M2107" s="104"/>
      <c r="N2107" s="108"/>
      <c r="O2107" s="104"/>
      <c r="P2107" s="108"/>
      <c r="Q2107" s="108"/>
      <c r="R2107" s="104"/>
      <c r="S2107" s="253">
        <v>2.2439200000000001</v>
      </c>
      <c r="T2107" s="104"/>
      <c r="U2107" s="108"/>
      <c r="V2107" s="107"/>
      <c r="W2107" s="106"/>
    </row>
    <row r="2108" spans="1:23" ht="19">
      <c r="A2108" s="104" t="s">
        <v>273</v>
      </c>
      <c r="B2108" s="104" t="s">
        <v>74</v>
      </c>
      <c r="C2108" s="454" t="s">
        <v>299</v>
      </c>
      <c r="D2108" s="105" t="s">
        <v>1255</v>
      </c>
      <c r="E2108" s="104" t="s">
        <v>1207</v>
      </c>
      <c r="F2108" s="104">
        <v>102111</v>
      </c>
      <c r="G2108" s="106"/>
      <c r="H2108" s="104"/>
      <c r="I2108" s="104" t="s">
        <v>289</v>
      </c>
      <c r="J2108" s="104" t="s">
        <v>284</v>
      </c>
      <c r="K2108" s="104" t="s">
        <v>112</v>
      </c>
      <c r="L2108" s="104" t="s">
        <v>663</v>
      </c>
      <c r="M2108" s="104"/>
      <c r="N2108" s="108"/>
      <c r="O2108" s="104"/>
      <c r="P2108" s="108"/>
      <c r="Q2108" s="108"/>
      <c r="R2108" s="104"/>
      <c r="S2108" s="253">
        <v>2.2909499999999996</v>
      </c>
      <c r="T2108" s="104"/>
      <c r="U2108" s="108"/>
      <c r="V2108" s="107"/>
      <c r="W2108" s="106"/>
    </row>
    <row r="2109" spans="1:23" ht="19">
      <c r="A2109" s="104" t="s">
        <v>273</v>
      </c>
      <c r="B2109" s="104" t="s">
        <v>74</v>
      </c>
      <c r="C2109" s="454" t="s">
        <v>299</v>
      </c>
      <c r="D2109" s="105" t="s">
        <v>1255</v>
      </c>
      <c r="E2109" s="104" t="s">
        <v>1207</v>
      </c>
      <c r="F2109" s="104">
        <v>54442</v>
      </c>
      <c r="G2109" s="106"/>
      <c r="H2109" s="104"/>
      <c r="I2109" s="104" t="s">
        <v>289</v>
      </c>
      <c r="J2109" s="104" t="s">
        <v>284</v>
      </c>
      <c r="K2109" s="104" t="s">
        <v>112</v>
      </c>
      <c r="L2109" s="104" t="s">
        <v>663</v>
      </c>
      <c r="M2109" s="104"/>
      <c r="N2109" s="108"/>
      <c r="O2109" s="104"/>
      <c r="P2109" s="108"/>
      <c r="Q2109" s="108"/>
      <c r="R2109" s="104"/>
      <c r="S2109" s="253">
        <v>2.2968800000000003</v>
      </c>
      <c r="T2109" s="104"/>
      <c r="U2109" s="108"/>
      <c r="V2109" s="107"/>
      <c r="W2109" s="106"/>
    </row>
    <row r="2110" spans="1:23" ht="19">
      <c r="A2110" s="104" t="s">
        <v>273</v>
      </c>
      <c r="B2110" s="104" t="s">
        <v>74</v>
      </c>
      <c r="C2110" s="454" t="s">
        <v>299</v>
      </c>
      <c r="D2110" s="105" t="s">
        <v>1255</v>
      </c>
      <c r="E2110" s="104" t="s">
        <v>1207</v>
      </c>
      <c r="F2110" s="104">
        <v>89147</v>
      </c>
      <c r="G2110" s="106"/>
      <c r="H2110" s="104"/>
      <c r="I2110" s="104" t="s">
        <v>289</v>
      </c>
      <c r="J2110" s="104" t="s">
        <v>284</v>
      </c>
      <c r="K2110" s="104" t="s">
        <v>112</v>
      </c>
      <c r="L2110" s="104" t="s">
        <v>663</v>
      </c>
      <c r="M2110" s="104"/>
      <c r="N2110" s="108"/>
      <c r="O2110" s="104"/>
      <c r="P2110" s="108"/>
      <c r="Q2110" s="108"/>
      <c r="R2110" s="104"/>
      <c r="S2110" s="253">
        <v>2.3627099999999999</v>
      </c>
      <c r="T2110" s="104"/>
      <c r="U2110" s="108"/>
      <c r="V2110" s="107"/>
      <c r="W2110" s="106"/>
    </row>
    <row r="2111" spans="1:23" ht="19">
      <c r="A2111" s="104" t="s">
        <v>273</v>
      </c>
      <c r="B2111" s="104" t="s">
        <v>74</v>
      </c>
      <c r="C2111" s="454" t="s">
        <v>299</v>
      </c>
      <c r="D2111" s="105" t="s">
        <v>1255</v>
      </c>
      <c r="E2111" s="104" t="s">
        <v>1207</v>
      </c>
      <c r="F2111" s="104">
        <v>54443</v>
      </c>
      <c r="G2111" s="106"/>
      <c r="H2111" s="104"/>
      <c r="I2111" s="104" t="s">
        <v>289</v>
      </c>
      <c r="J2111" s="104" t="s">
        <v>284</v>
      </c>
      <c r="K2111" s="104" t="s">
        <v>112</v>
      </c>
      <c r="L2111" s="104" t="s">
        <v>663</v>
      </c>
      <c r="M2111" s="104"/>
      <c r="N2111" s="108"/>
      <c r="O2111" s="104"/>
      <c r="P2111" s="108"/>
      <c r="Q2111" s="108"/>
      <c r="R2111" s="104"/>
      <c r="S2111" s="253">
        <v>2.4297800000000001</v>
      </c>
      <c r="T2111" s="104"/>
      <c r="U2111" s="108"/>
      <c r="V2111" s="107"/>
      <c r="W2111" s="106"/>
    </row>
    <row r="2112" spans="1:23" ht="19">
      <c r="A2112" s="104" t="s">
        <v>273</v>
      </c>
      <c r="B2112" s="104" t="s">
        <v>74</v>
      </c>
      <c r="C2112" s="454" t="s">
        <v>299</v>
      </c>
      <c r="D2112" s="105" t="s">
        <v>1255</v>
      </c>
      <c r="E2112" s="104" t="s">
        <v>1207</v>
      </c>
      <c r="F2112" s="104">
        <v>20562</v>
      </c>
      <c r="G2112" s="106"/>
      <c r="H2112" s="104"/>
      <c r="I2112" s="104" t="s">
        <v>289</v>
      </c>
      <c r="J2112" s="104" t="s">
        <v>284</v>
      </c>
      <c r="K2112" s="104" t="s">
        <v>112</v>
      </c>
      <c r="L2112" s="104" t="s">
        <v>663</v>
      </c>
      <c r="M2112" s="104"/>
      <c r="N2112" s="108"/>
      <c r="O2112" s="104"/>
      <c r="P2112" s="108"/>
      <c r="Q2112" s="108"/>
      <c r="R2112" s="104"/>
      <c r="S2112" s="253">
        <v>2.4918299999999998</v>
      </c>
      <c r="T2112" s="104"/>
      <c r="U2112" s="108"/>
      <c r="V2112" s="107"/>
      <c r="W2112" s="106"/>
    </row>
    <row r="2113" spans="1:23" ht="19">
      <c r="A2113" s="104" t="s">
        <v>273</v>
      </c>
      <c r="B2113" s="104" t="s">
        <v>74</v>
      </c>
      <c r="C2113" s="454" t="s">
        <v>299</v>
      </c>
      <c r="D2113" s="105" t="s">
        <v>1255</v>
      </c>
      <c r="E2113" s="104" t="s">
        <v>1207</v>
      </c>
      <c r="F2113" s="104">
        <v>265446</v>
      </c>
      <c r="G2113" s="106"/>
      <c r="H2113" s="104"/>
      <c r="I2113" s="104" t="s">
        <v>289</v>
      </c>
      <c r="J2113" s="104" t="s">
        <v>284</v>
      </c>
      <c r="K2113" s="104" t="s">
        <v>112</v>
      </c>
      <c r="L2113" s="104" t="s">
        <v>663</v>
      </c>
      <c r="M2113" s="104"/>
      <c r="N2113" s="108"/>
      <c r="O2113" s="104"/>
      <c r="P2113" s="108"/>
      <c r="Q2113" s="108"/>
      <c r="R2113" s="104"/>
      <c r="S2113" s="253">
        <v>2.58684</v>
      </c>
      <c r="T2113" s="104"/>
      <c r="U2113" s="108"/>
      <c r="V2113" s="107"/>
      <c r="W2113" s="106"/>
    </row>
    <row r="2114" spans="1:23" ht="19">
      <c r="A2114" s="104" t="s">
        <v>273</v>
      </c>
      <c r="B2114" s="104" t="s">
        <v>74</v>
      </c>
      <c r="C2114" s="454" t="s">
        <v>299</v>
      </c>
      <c r="D2114" s="105" t="s">
        <v>1255</v>
      </c>
      <c r="E2114" s="104" t="s">
        <v>1207</v>
      </c>
      <c r="F2114" s="104">
        <v>54444</v>
      </c>
      <c r="G2114" s="106"/>
      <c r="H2114" s="104"/>
      <c r="I2114" s="104" t="s">
        <v>289</v>
      </c>
      <c r="J2114" s="104" t="s">
        <v>284</v>
      </c>
      <c r="K2114" s="104" t="s">
        <v>112</v>
      </c>
      <c r="L2114" s="104" t="s">
        <v>663</v>
      </c>
      <c r="M2114" s="104"/>
      <c r="N2114" s="108"/>
      <c r="O2114" s="104"/>
      <c r="P2114" s="108"/>
      <c r="Q2114" s="108"/>
      <c r="R2114" s="104"/>
      <c r="S2114" s="253">
        <v>2.63198</v>
      </c>
      <c r="T2114" s="104"/>
      <c r="U2114" s="108"/>
      <c r="V2114" s="107"/>
      <c r="W2114" s="106"/>
    </row>
    <row r="2115" spans="1:23" ht="19">
      <c r="A2115" s="104" t="s">
        <v>273</v>
      </c>
      <c r="B2115" s="104" t="s">
        <v>74</v>
      </c>
      <c r="C2115" s="454" t="s">
        <v>299</v>
      </c>
      <c r="D2115" s="105" t="s">
        <v>1255</v>
      </c>
      <c r="E2115" s="104" t="s">
        <v>1207</v>
      </c>
      <c r="F2115" s="104">
        <v>140117</v>
      </c>
      <c r="G2115" s="106"/>
      <c r="H2115" s="104"/>
      <c r="I2115" s="104" t="s">
        <v>289</v>
      </c>
      <c r="J2115" s="104" t="s">
        <v>284</v>
      </c>
      <c r="K2115" s="104" t="s">
        <v>112</v>
      </c>
      <c r="L2115" s="104" t="s">
        <v>663</v>
      </c>
      <c r="M2115" s="104"/>
      <c r="N2115" s="108"/>
      <c r="O2115" s="104"/>
      <c r="P2115" s="108"/>
      <c r="Q2115" s="108"/>
      <c r="R2115" s="104"/>
      <c r="S2115" s="253">
        <v>2.6580100000000004</v>
      </c>
      <c r="T2115" s="104"/>
      <c r="U2115" s="108"/>
      <c r="V2115" s="107"/>
      <c r="W2115" s="106"/>
    </row>
    <row r="2116" spans="1:23" ht="19">
      <c r="A2116" s="104" t="s">
        <v>273</v>
      </c>
      <c r="B2116" s="104" t="s">
        <v>74</v>
      </c>
      <c r="C2116" s="454" t="s">
        <v>299</v>
      </c>
      <c r="D2116" s="105" t="s">
        <v>1255</v>
      </c>
      <c r="E2116" s="104" t="s">
        <v>1207</v>
      </c>
      <c r="F2116" s="104">
        <v>142666</v>
      </c>
      <c r="G2116" s="106"/>
      <c r="H2116" s="104"/>
      <c r="I2116" s="104" t="s">
        <v>289</v>
      </c>
      <c r="J2116" s="104" t="s">
        <v>284</v>
      </c>
      <c r="K2116" s="104" t="s">
        <v>112</v>
      </c>
      <c r="L2116" s="104" t="s">
        <v>663</v>
      </c>
      <c r="M2116" s="104"/>
      <c r="N2116" s="108"/>
      <c r="O2116" s="104"/>
      <c r="P2116" s="108"/>
      <c r="Q2116" s="108"/>
      <c r="R2116" s="104"/>
      <c r="S2116" s="253">
        <v>2.67109</v>
      </c>
      <c r="T2116" s="104"/>
      <c r="U2116" s="108"/>
      <c r="V2116" s="107"/>
      <c r="W2116" s="106"/>
    </row>
    <row r="2117" spans="1:23" ht="19">
      <c r="A2117" s="104" t="s">
        <v>273</v>
      </c>
      <c r="B2117" s="104" t="s">
        <v>74</v>
      </c>
      <c r="C2117" s="454" t="s">
        <v>299</v>
      </c>
      <c r="D2117" s="105" t="s">
        <v>1255</v>
      </c>
      <c r="E2117" s="104" t="s">
        <v>1207</v>
      </c>
      <c r="F2117" s="104">
        <v>140706</v>
      </c>
      <c r="G2117" s="106"/>
      <c r="H2117" s="104"/>
      <c r="I2117" s="104" t="s">
        <v>289</v>
      </c>
      <c r="J2117" s="104" t="s">
        <v>284</v>
      </c>
      <c r="K2117" s="104" t="s">
        <v>112</v>
      </c>
      <c r="L2117" s="104" t="s">
        <v>663</v>
      </c>
      <c r="M2117" s="104"/>
      <c r="N2117" s="108"/>
      <c r="O2117" s="104"/>
      <c r="P2117" s="108"/>
      <c r="Q2117" s="108"/>
      <c r="R2117" s="104"/>
      <c r="S2117" s="253">
        <v>2.7105700000000001</v>
      </c>
      <c r="T2117" s="104"/>
      <c r="U2117" s="108"/>
      <c r="V2117" s="107"/>
      <c r="W2117" s="106"/>
    </row>
    <row r="2118" spans="1:23" ht="19">
      <c r="A2118" s="104" t="s">
        <v>273</v>
      </c>
      <c r="B2118" s="104" t="s">
        <v>74</v>
      </c>
      <c r="C2118" s="454" t="s">
        <v>299</v>
      </c>
      <c r="D2118" s="105" t="s">
        <v>1260</v>
      </c>
      <c r="E2118" s="104" t="s">
        <v>1207</v>
      </c>
      <c r="F2118" s="104">
        <v>142656</v>
      </c>
      <c r="G2118" s="106"/>
      <c r="H2118" s="104"/>
      <c r="I2118" s="104" t="s">
        <v>289</v>
      </c>
      <c r="J2118" s="104" t="s">
        <v>284</v>
      </c>
      <c r="K2118" s="104" t="s">
        <v>112</v>
      </c>
      <c r="L2118" s="104" t="s">
        <v>663</v>
      </c>
      <c r="M2118" s="104"/>
      <c r="N2118" s="108"/>
      <c r="O2118" s="104"/>
      <c r="P2118" s="108"/>
      <c r="Q2118" s="108"/>
      <c r="R2118" s="104"/>
      <c r="S2118" s="253">
        <v>1.65079</v>
      </c>
      <c r="T2118" s="104"/>
      <c r="U2118" s="108"/>
      <c r="V2118" s="107"/>
      <c r="W2118" s="106"/>
    </row>
    <row r="2119" spans="1:23" ht="19">
      <c r="A2119" s="104" t="s">
        <v>273</v>
      </c>
      <c r="B2119" s="104" t="s">
        <v>74</v>
      </c>
      <c r="C2119" s="454" t="s">
        <v>299</v>
      </c>
      <c r="D2119" s="105" t="s">
        <v>1260</v>
      </c>
      <c r="E2119" s="104" t="s">
        <v>1207</v>
      </c>
      <c r="F2119" s="104">
        <v>142659</v>
      </c>
      <c r="G2119" s="106"/>
      <c r="H2119" s="104"/>
      <c r="I2119" s="104" t="s">
        <v>289</v>
      </c>
      <c r="J2119" s="104" t="s">
        <v>284</v>
      </c>
      <c r="K2119" s="104" t="s">
        <v>112</v>
      </c>
      <c r="L2119" s="104" t="s">
        <v>663</v>
      </c>
      <c r="M2119" s="104"/>
      <c r="N2119" s="108"/>
      <c r="O2119" s="104"/>
      <c r="P2119" s="108"/>
      <c r="Q2119" s="108"/>
      <c r="R2119" s="104"/>
      <c r="S2119" s="253">
        <v>1.9270999999999998</v>
      </c>
      <c r="T2119" s="104"/>
      <c r="U2119" s="108"/>
      <c r="V2119" s="107"/>
      <c r="W2119" s="106"/>
    </row>
    <row r="2120" spans="1:23" ht="19">
      <c r="A2120" s="104" t="s">
        <v>273</v>
      </c>
      <c r="B2120" s="104" t="s">
        <v>74</v>
      </c>
      <c r="C2120" s="454" t="s">
        <v>299</v>
      </c>
      <c r="D2120" s="105" t="s">
        <v>1260</v>
      </c>
      <c r="E2120" s="104" t="s">
        <v>1207</v>
      </c>
      <c r="F2120" s="104">
        <v>142692</v>
      </c>
      <c r="G2120" s="106"/>
      <c r="H2120" s="104"/>
      <c r="I2120" s="104" t="s">
        <v>289</v>
      </c>
      <c r="J2120" s="104" t="s">
        <v>284</v>
      </c>
      <c r="K2120" s="104" t="s">
        <v>691</v>
      </c>
      <c r="L2120" s="104" t="s">
        <v>692</v>
      </c>
      <c r="M2120" s="104"/>
      <c r="N2120" s="108"/>
      <c r="O2120" s="104"/>
      <c r="P2120" s="108"/>
      <c r="Q2120" s="108"/>
      <c r="R2120" s="104"/>
      <c r="S2120" s="253">
        <v>1.9410000000000001</v>
      </c>
      <c r="T2120" s="104"/>
      <c r="U2120" s="108"/>
      <c r="V2120" s="107"/>
      <c r="W2120" s="106"/>
    </row>
    <row r="2121" spans="1:23" ht="19">
      <c r="A2121" s="104" t="s">
        <v>273</v>
      </c>
      <c r="B2121" s="104" t="s">
        <v>74</v>
      </c>
      <c r="C2121" s="454" t="s">
        <v>299</v>
      </c>
      <c r="D2121" s="105" t="s">
        <v>1260</v>
      </c>
      <c r="E2121" s="104" t="s">
        <v>1207</v>
      </c>
      <c r="F2121" s="104">
        <v>142647</v>
      </c>
      <c r="G2121" s="106"/>
      <c r="H2121" s="104"/>
      <c r="I2121" s="104" t="s">
        <v>289</v>
      </c>
      <c r="J2121" s="104" t="s">
        <v>284</v>
      </c>
      <c r="K2121" s="104" t="s">
        <v>112</v>
      </c>
      <c r="L2121" s="104" t="s">
        <v>663</v>
      </c>
      <c r="M2121" s="104"/>
      <c r="N2121" s="108"/>
      <c r="O2121" s="104"/>
      <c r="P2121" s="108"/>
      <c r="Q2121" s="108"/>
      <c r="R2121" s="104"/>
      <c r="S2121" s="253">
        <v>2.1745700000000001</v>
      </c>
      <c r="T2121" s="104"/>
      <c r="U2121" s="108"/>
      <c r="V2121" s="107"/>
      <c r="W2121" s="106"/>
    </row>
    <row r="2122" spans="1:23" ht="19">
      <c r="A2122" s="104" t="s">
        <v>273</v>
      </c>
      <c r="B2122" s="104" t="s">
        <v>74</v>
      </c>
      <c r="C2122" s="454" t="s">
        <v>299</v>
      </c>
      <c r="D2122" s="105" t="s">
        <v>1260</v>
      </c>
      <c r="E2122" s="104" t="s">
        <v>1207</v>
      </c>
      <c r="F2122" s="104">
        <v>145875</v>
      </c>
      <c r="G2122" s="106"/>
      <c r="H2122" s="104"/>
      <c r="I2122" s="104" t="s">
        <v>289</v>
      </c>
      <c r="J2122" s="104" t="s">
        <v>284</v>
      </c>
      <c r="K2122" s="104" t="s">
        <v>112</v>
      </c>
      <c r="L2122" s="104" t="s">
        <v>663</v>
      </c>
      <c r="M2122" s="104"/>
      <c r="N2122" s="108"/>
      <c r="O2122" s="104"/>
      <c r="P2122" s="108"/>
      <c r="Q2122" s="108"/>
      <c r="R2122" s="104"/>
      <c r="S2122" s="253">
        <v>2.51064</v>
      </c>
      <c r="T2122" s="104"/>
      <c r="U2122" s="108"/>
      <c r="V2122" s="107"/>
      <c r="W2122" s="106"/>
    </row>
    <row r="2123" spans="1:23" ht="19">
      <c r="A2123" s="104" t="s">
        <v>273</v>
      </c>
      <c r="B2123" s="104" t="s">
        <v>74</v>
      </c>
      <c r="C2123" s="454" t="s">
        <v>299</v>
      </c>
      <c r="D2123" s="105" t="s">
        <v>1260</v>
      </c>
      <c r="E2123" s="104" t="s">
        <v>1207</v>
      </c>
      <c r="F2123" s="104">
        <v>265774</v>
      </c>
      <c r="G2123" s="106"/>
      <c r="H2123" s="104"/>
      <c r="I2123" s="104" t="s">
        <v>289</v>
      </c>
      <c r="J2123" s="104" t="s">
        <v>284</v>
      </c>
      <c r="K2123" s="104" t="s">
        <v>112</v>
      </c>
      <c r="L2123" s="104" t="s">
        <v>663</v>
      </c>
      <c r="M2123" s="104"/>
      <c r="N2123" s="108"/>
      <c r="O2123" s="104"/>
      <c r="P2123" s="108"/>
      <c r="Q2123" s="108"/>
      <c r="R2123" s="104"/>
      <c r="S2123" s="253">
        <v>2.52955</v>
      </c>
      <c r="T2123" s="104"/>
      <c r="U2123" s="108"/>
      <c r="V2123" s="107"/>
      <c r="W2123" s="106"/>
    </row>
    <row r="2124" spans="1:23" ht="19">
      <c r="A2124" s="104" t="s">
        <v>273</v>
      </c>
      <c r="B2124" s="104" t="s">
        <v>74</v>
      </c>
      <c r="C2124" s="454" t="s">
        <v>299</v>
      </c>
      <c r="D2124" s="105" t="s">
        <v>1260</v>
      </c>
      <c r="E2124" s="104" t="s">
        <v>1207</v>
      </c>
      <c r="F2124" s="104">
        <v>3851</v>
      </c>
      <c r="G2124" s="106"/>
      <c r="H2124" s="104"/>
      <c r="I2124" s="104" t="s">
        <v>289</v>
      </c>
      <c r="J2124" s="104" t="s">
        <v>284</v>
      </c>
      <c r="K2124" s="104" t="s">
        <v>112</v>
      </c>
      <c r="L2124" s="104" t="s">
        <v>663</v>
      </c>
      <c r="M2124" s="104"/>
      <c r="N2124" s="108"/>
      <c r="O2124" s="104"/>
      <c r="P2124" s="108"/>
      <c r="Q2124" s="108"/>
      <c r="R2124" s="104"/>
      <c r="S2124" s="253">
        <v>2.55491</v>
      </c>
      <c r="T2124" s="104"/>
      <c r="U2124" s="108"/>
      <c r="V2124" s="107"/>
      <c r="W2124" s="106"/>
    </row>
    <row r="2125" spans="1:23" ht="19">
      <c r="A2125" s="104" t="s">
        <v>273</v>
      </c>
      <c r="B2125" s="104" t="s">
        <v>74</v>
      </c>
      <c r="C2125" s="454" t="s">
        <v>299</v>
      </c>
      <c r="D2125" s="105" t="s">
        <v>1260</v>
      </c>
      <c r="E2125" s="104" t="s">
        <v>1207</v>
      </c>
      <c r="F2125" s="104">
        <v>232361</v>
      </c>
      <c r="G2125" s="106"/>
      <c r="H2125" s="104"/>
      <c r="I2125" s="104" t="s">
        <v>289</v>
      </c>
      <c r="J2125" s="104" t="s">
        <v>284</v>
      </c>
      <c r="K2125" s="104" t="s">
        <v>112</v>
      </c>
      <c r="L2125" s="104" t="s">
        <v>663</v>
      </c>
      <c r="M2125" s="104"/>
      <c r="N2125" s="108"/>
      <c r="O2125" s="104"/>
      <c r="P2125" s="108"/>
      <c r="Q2125" s="108"/>
      <c r="R2125" s="104"/>
      <c r="S2125" s="253">
        <v>2.6061199999999998</v>
      </c>
      <c r="T2125" s="104"/>
      <c r="U2125" s="108"/>
      <c r="V2125" s="107"/>
      <c r="W2125" s="106"/>
    </row>
    <row r="2126" spans="1:23" s="663" customFormat="1" ht="19">
      <c r="A2126" s="104" t="s">
        <v>273</v>
      </c>
      <c r="B2126" s="104" t="s">
        <v>74</v>
      </c>
      <c r="C2126" s="454" t="s">
        <v>299</v>
      </c>
      <c r="D2126" s="105" t="s">
        <v>1260</v>
      </c>
      <c r="E2126" s="104" t="s">
        <v>1207</v>
      </c>
      <c r="F2126" s="104">
        <v>142657</v>
      </c>
      <c r="G2126" s="106"/>
      <c r="H2126" s="104"/>
      <c r="I2126" s="104" t="s">
        <v>289</v>
      </c>
      <c r="J2126" s="104" t="s">
        <v>284</v>
      </c>
      <c r="K2126" s="104" t="s">
        <v>112</v>
      </c>
      <c r="L2126" s="104" t="s">
        <v>663</v>
      </c>
      <c r="M2126" s="104"/>
      <c r="N2126" s="108"/>
      <c r="O2126" s="104"/>
      <c r="P2126" s="108"/>
      <c r="Q2126" s="108"/>
      <c r="R2126" s="104"/>
      <c r="S2126" s="253">
        <v>2.6842100000000002</v>
      </c>
      <c r="T2126" s="104"/>
      <c r="U2126" s="108"/>
      <c r="V2126" s="107"/>
      <c r="W2126" s="106"/>
    </row>
    <row r="2127" spans="1:23" s="663" customFormat="1" ht="19">
      <c r="A2127" s="104" t="s">
        <v>273</v>
      </c>
      <c r="B2127" s="104" t="s">
        <v>74</v>
      </c>
      <c r="C2127" s="454" t="s">
        <v>299</v>
      </c>
      <c r="D2127" s="105" t="s">
        <v>1260</v>
      </c>
      <c r="E2127" s="104" t="s">
        <v>1207</v>
      </c>
      <c r="F2127" s="104">
        <v>142693</v>
      </c>
      <c r="G2127" s="106"/>
      <c r="H2127" s="104"/>
      <c r="I2127" s="104" t="s">
        <v>289</v>
      </c>
      <c r="J2127" s="104" t="s">
        <v>284</v>
      </c>
      <c r="K2127" s="104" t="s">
        <v>112</v>
      </c>
      <c r="L2127" s="104" t="s">
        <v>663</v>
      </c>
      <c r="M2127" s="104"/>
      <c r="N2127" s="108"/>
      <c r="O2127" s="104"/>
      <c r="P2127" s="108"/>
      <c r="Q2127" s="108"/>
      <c r="R2127" s="104"/>
      <c r="S2127" s="253">
        <v>2.7238200000000004</v>
      </c>
      <c r="T2127" s="104"/>
      <c r="U2127" s="108"/>
      <c r="V2127" s="107"/>
      <c r="W2127" s="106"/>
    </row>
    <row r="2128" spans="1:23" s="663" customFormat="1" ht="19">
      <c r="A2128" s="104" t="s">
        <v>273</v>
      </c>
      <c r="B2128" s="104" t="s">
        <v>74</v>
      </c>
      <c r="C2128" s="454" t="s">
        <v>299</v>
      </c>
      <c r="D2128" s="105" t="s">
        <v>1260</v>
      </c>
      <c r="E2128" s="104" t="s">
        <v>1207</v>
      </c>
      <c r="F2128" s="104">
        <v>142698</v>
      </c>
      <c r="G2128" s="106"/>
      <c r="H2128" s="104"/>
      <c r="I2128" s="104" t="s">
        <v>289</v>
      </c>
      <c r="J2128" s="104" t="s">
        <v>284</v>
      </c>
      <c r="K2128" s="104" t="s">
        <v>112</v>
      </c>
      <c r="L2128" s="104" t="s">
        <v>663</v>
      </c>
      <c r="M2128" s="104"/>
      <c r="N2128" s="108"/>
      <c r="O2128" s="104"/>
      <c r="P2128" s="108"/>
      <c r="Q2128" s="108"/>
      <c r="R2128" s="104"/>
      <c r="S2128" s="253">
        <v>2.75712</v>
      </c>
      <c r="T2128" s="104"/>
      <c r="U2128" s="108"/>
      <c r="V2128" s="107"/>
      <c r="W2128" s="106"/>
    </row>
    <row r="2129" spans="1:23" s="663" customFormat="1" ht="19">
      <c r="A2129" s="104" t="s">
        <v>273</v>
      </c>
      <c r="B2129" s="104" t="s">
        <v>74</v>
      </c>
      <c r="C2129" s="454" t="s">
        <v>299</v>
      </c>
      <c r="D2129" s="105" t="s">
        <v>1260</v>
      </c>
      <c r="E2129" s="104" t="s">
        <v>1207</v>
      </c>
      <c r="F2129" s="104">
        <v>145872</v>
      </c>
      <c r="G2129" s="106"/>
      <c r="H2129" s="104"/>
      <c r="I2129" s="104" t="s">
        <v>289</v>
      </c>
      <c r="J2129" s="104" t="s">
        <v>284</v>
      </c>
      <c r="K2129" s="104" t="s">
        <v>112</v>
      </c>
      <c r="L2129" s="104" t="s">
        <v>663</v>
      </c>
      <c r="M2129" s="104"/>
      <c r="N2129" s="108"/>
      <c r="O2129" s="104"/>
      <c r="P2129" s="108"/>
      <c r="Q2129" s="108"/>
      <c r="R2129" s="104"/>
      <c r="S2129" s="253">
        <v>2.9485900000000003</v>
      </c>
      <c r="T2129" s="104"/>
      <c r="U2129" s="108"/>
      <c r="V2129" s="107"/>
      <c r="W2129" s="106"/>
    </row>
    <row r="2130" spans="1:23" s="663" customFormat="1" ht="19">
      <c r="A2130" s="104" t="s">
        <v>273</v>
      </c>
      <c r="B2130" s="104" t="s">
        <v>74</v>
      </c>
      <c r="C2130" s="454" t="s">
        <v>299</v>
      </c>
      <c r="D2130" s="105" t="s">
        <v>1260</v>
      </c>
      <c r="E2130" s="104" t="s">
        <v>1207</v>
      </c>
      <c r="F2130" s="104">
        <v>142653</v>
      </c>
      <c r="G2130" s="106"/>
      <c r="H2130" s="104"/>
      <c r="I2130" s="104" t="s">
        <v>289</v>
      </c>
      <c r="J2130" s="104" t="s">
        <v>284</v>
      </c>
      <c r="K2130" s="104" t="s">
        <v>112</v>
      </c>
      <c r="L2130" s="104" t="s">
        <v>663</v>
      </c>
      <c r="M2130" s="104"/>
      <c r="N2130" s="108"/>
      <c r="O2130" s="104"/>
      <c r="P2130" s="108"/>
      <c r="Q2130" s="108"/>
      <c r="R2130" s="104"/>
      <c r="S2130" s="253">
        <v>3.0119400000000001</v>
      </c>
      <c r="T2130" s="104"/>
      <c r="U2130" s="108"/>
      <c r="V2130" s="107"/>
      <c r="W2130" s="106"/>
    </row>
    <row r="2131" spans="1:23" s="663" customFormat="1" ht="19">
      <c r="A2131" s="104" t="s">
        <v>273</v>
      </c>
      <c r="B2131" s="104" t="s">
        <v>74</v>
      </c>
      <c r="C2131" s="454" t="s">
        <v>299</v>
      </c>
      <c r="D2131" s="105" t="s">
        <v>1260</v>
      </c>
      <c r="E2131" s="104" t="s">
        <v>1207</v>
      </c>
      <c r="F2131" s="104">
        <v>1238</v>
      </c>
      <c r="G2131" s="106"/>
      <c r="H2131" s="104"/>
      <c r="I2131" s="104" t="s">
        <v>289</v>
      </c>
      <c r="J2131" s="104" t="s">
        <v>284</v>
      </c>
      <c r="K2131" s="104" t="s">
        <v>112</v>
      </c>
      <c r="L2131" s="104" t="s">
        <v>663</v>
      </c>
      <c r="M2131" s="104"/>
      <c r="N2131" s="108"/>
      <c r="O2131" s="104"/>
      <c r="P2131" s="108"/>
      <c r="Q2131" s="108"/>
      <c r="R2131" s="104"/>
      <c r="S2131" s="253">
        <v>3.2370000000000001</v>
      </c>
      <c r="T2131" s="104"/>
      <c r="U2131" s="108"/>
      <c r="V2131" s="107"/>
      <c r="W2131" s="106"/>
    </row>
    <row r="2132" spans="1:23" s="663" customFormat="1" ht="19">
      <c r="A2132" s="104" t="s">
        <v>273</v>
      </c>
      <c r="B2132" s="104" t="s">
        <v>74</v>
      </c>
      <c r="C2132" s="454" t="s">
        <v>299</v>
      </c>
      <c r="D2132" s="105" t="s">
        <v>1260</v>
      </c>
      <c r="E2132" s="104" t="s">
        <v>1207</v>
      </c>
      <c r="F2132" s="104">
        <v>232364</v>
      </c>
      <c r="G2132" s="106"/>
      <c r="H2132" s="104"/>
      <c r="I2132" s="104" t="s">
        <v>289</v>
      </c>
      <c r="J2132" s="104" t="s">
        <v>284</v>
      </c>
      <c r="K2132" s="104" t="s">
        <v>290</v>
      </c>
      <c r="L2132" s="104" t="s">
        <v>973</v>
      </c>
      <c r="M2132" s="104"/>
      <c r="N2132" s="108"/>
      <c r="O2132" s="104"/>
      <c r="P2132" s="108"/>
      <c r="Q2132" s="108"/>
      <c r="R2132" s="104"/>
      <c r="S2132" s="253">
        <v>4.3963400000000004</v>
      </c>
      <c r="T2132" s="104"/>
      <c r="U2132" s="108"/>
      <c r="V2132" s="107"/>
      <c r="W2132" s="106"/>
    </row>
    <row r="2133" spans="1:23" s="663" customFormat="1" ht="19">
      <c r="A2133" s="104" t="s">
        <v>273</v>
      </c>
      <c r="B2133" s="104" t="s">
        <v>74</v>
      </c>
      <c r="C2133" s="454" t="s">
        <v>299</v>
      </c>
      <c r="D2133" s="105" t="s">
        <v>1261</v>
      </c>
      <c r="E2133" s="104" t="s">
        <v>1207</v>
      </c>
      <c r="F2133" s="104">
        <v>246686</v>
      </c>
      <c r="G2133" s="106"/>
      <c r="H2133" s="104"/>
      <c r="I2133" s="104" t="s">
        <v>289</v>
      </c>
      <c r="J2133" s="104" t="s">
        <v>284</v>
      </c>
      <c r="K2133" s="104" t="s">
        <v>112</v>
      </c>
      <c r="L2133" s="104" t="s">
        <v>663</v>
      </c>
      <c r="M2133" s="104"/>
      <c r="N2133" s="108"/>
      <c r="O2133" s="104"/>
      <c r="P2133" s="108"/>
      <c r="Q2133" s="108"/>
      <c r="R2133" s="104"/>
      <c r="S2133" s="253">
        <v>2.5612699999999999</v>
      </c>
      <c r="T2133" s="104"/>
      <c r="U2133" s="108"/>
      <c r="V2133" s="107"/>
      <c r="W2133" s="106"/>
    </row>
    <row r="2134" spans="1:23" s="663" customFormat="1" ht="19">
      <c r="A2134" s="104" t="s">
        <v>273</v>
      </c>
      <c r="B2134" s="104" t="s">
        <v>74</v>
      </c>
      <c r="C2134" s="454" t="s">
        <v>299</v>
      </c>
      <c r="D2134" s="105" t="s">
        <v>1261</v>
      </c>
      <c r="E2134" s="104" t="s">
        <v>1207</v>
      </c>
      <c r="F2134" s="104">
        <v>8683</v>
      </c>
      <c r="G2134" s="106"/>
      <c r="H2134" s="104"/>
      <c r="I2134" s="104" t="s">
        <v>289</v>
      </c>
      <c r="J2134" s="104" t="s">
        <v>284</v>
      </c>
      <c r="K2134" s="104" t="s">
        <v>290</v>
      </c>
      <c r="L2134" s="104" t="s">
        <v>973</v>
      </c>
      <c r="M2134" s="104"/>
      <c r="N2134" s="108"/>
      <c r="O2134" s="104"/>
      <c r="P2134" s="108"/>
      <c r="Q2134" s="108"/>
      <c r="R2134" s="104"/>
      <c r="S2134" s="253">
        <v>4.1788500000000006</v>
      </c>
      <c r="T2134" s="104"/>
      <c r="U2134" s="108"/>
      <c r="V2134" s="107"/>
      <c r="W2134" s="106"/>
    </row>
    <row r="2135" spans="1:23" s="663" customFormat="1">
      <c r="C2135" s="664"/>
      <c r="D2135" s="665"/>
      <c r="G2135" s="666"/>
      <c r="N2135" s="667"/>
      <c r="P2135" s="670"/>
      <c r="Q2135" s="670"/>
      <c r="S2135" s="668"/>
      <c r="U2135" s="667"/>
      <c r="V2135" s="669"/>
      <c r="W2135" s="671"/>
    </row>
    <row r="2136" spans="1:23" s="663" customFormat="1">
      <c r="C2136" s="664"/>
      <c r="D2136" s="665"/>
      <c r="G2136" s="666"/>
      <c r="N2136" s="667"/>
      <c r="P2136" s="670"/>
      <c r="Q2136" s="670"/>
      <c r="S2136" s="668"/>
      <c r="U2136" s="667"/>
      <c r="V2136" s="669"/>
      <c r="W2136" s="671"/>
    </row>
    <row r="2137" spans="1:23" s="663" customFormat="1">
      <c r="C2137" s="664"/>
      <c r="D2137" s="665"/>
      <c r="G2137" s="666"/>
      <c r="N2137" s="667"/>
      <c r="P2137" s="670"/>
      <c r="Q2137" s="670"/>
      <c r="S2137" s="668"/>
      <c r="U2137" s="667"/>
      <c r="V2137" s="669"/>
      <c r="W2137" s="671"/>
    </row>
    <row r="2138" spans="1:23" s="663" customFormat="1">
      <c r="C2138" s="664"/>
      <c r="D2138" s="665"/>
      <c r="G2138" s="666"/>
      <c r="N2138" s="667"/>
      <c r="P2138" s="670"/>
      <c r="Q2138" s="670"/>
      <c r="S2138" s="668"/>
      <c r="U2138" s="667"/>
      <c r="V2138" s="669"/>
      <c r="W2138" s="671"/>
    </row>
    <row r="2139" spans="1:23" s="663" customFormat="1">
      <c r="C2139" s="664"/>
      <c r="D2139" s="665"/>
      <c r="G2139" s="666"/>
      <c r="N2139" s="667"/>
      <c r="P2139" s="670"/>
      <c r="Q2139" s="670"/>
      <c r="S2139" s="668"/>
      <c r="U2139" s="667"/>
      <c r="V2139" s="669"/>
      <c r="W2139" s="671"/>
    </row>
    <row r="2140" spans="1:23" s="663" customFormat="1">
      <c r="C2140" s="664"/>
      <c r="D2140" s="665"/>
      <c r="G2140" s="666"/>
      <c r="N2140" s="667"/>
      <c r="P2140" s="670"/>
      <c r="Q2140" s="670"/>
      <c r="S2140" s="668"/>
      <c r="U2140" s="667"/>
      <c r="V2140" s="669"/>
      <c r="W2140" s="671"/>
    </row>
    <row r="2141" spans="1:23" s="663" customFormat="1">
      <c r="C2141" s="664"/>
      <c r="D2141" s="665"/>
      <c r="G2141" s="666"/>
      <c r="N2141" s="667"/>
      <c r="P2141" s="670"/>
      <c r="Q2141" s="670"/>
      <c r="S2141" s="668"/>
      <c r="U2141" s="667"/>
      <c r="V2141" s="669"/>
      <c r="W2141" s="671"/>
    </row>
    <row r="2142" spans="1:23" s="663" customFormat="1">
      <c r="C2142" s="664"/>
      <c r="D2142" s="665"/>
      <c r="G2142" s="666"/>
      <c r="N2142" s="667"/>
      <c r="P2142" s="670"/>
      <c r="Q2142" s="670"/>
      <c r="S2142" s="668"/>
      <c r="U2142" s="667"/>
      <c r="V2142" s="669"/>
      <c r="W2142" s="671"/>
    </row>
    <row r="2143" spans="1:23" s="663" customFormat="1">
      <c r="C2143" s="664"/>
      <c r="D2143" s="665"/>
      <c r="G2143" s="666"/>
      <c r="N2143" s="667"/>
      <c r="P2143" s="670"/>
      <c r="Q2143" s="670"/>
      <c r="S2143" s="668"/>
      <c r="U2143" s="667"/>
      <c r="V2143" s="669"/>
      <c r="W2143" s="671"/>
    </row>
    <row r="2144" spans="1:23" s="663" customFormat="1">
      <c r="C2144" s="664"/>
      <c r="D2144" s="665"/>
      <c r="G2144" s="666"/>
      <c r="N2144" s="667"/>
      <c r="P2144" s="670"/>
      <c r="Q2144" s="670"/>
      <c r="S2144" s="668"/>
      <c r="U2144" s="667"/>
      <c r="V2144" s="669"/>
      <c r="W2144" s="671"/>
    </row>
  </sheetData>
  <sortState xmlns:xlrd2="http://schemas.microsoft.com/office/spreadsheetml/2017/richdata2" ref="A3:W2134">
    <sortCondition ref="G3:G2134"/>
    <sortCondition ref="A3:A2134"/>
    <sortCondition ref="B3:B2134"/>
    <sortCondition ref="C3:C2134"/>
    <sortCondition ref="D3:D2134"/>
  </sortState>
  <phoneticPr fontId="24" type="noConversion"/>
  <conditionalFormatting sqref="F1755">
    <cfRule type="duplicateValues" dxfId="5" priority="7"/>
  </conditionalFormatting>
  <pageMargins left="0.25" right="0.25" top="0.75" bottom="0.75" header="0.3" footer="0.3"/>
  <pageSetup scale="31" fitToHeight="30" orientation="landscape" horizontalDpi="4294967292" verticalDpi="4294967292" r:id="rId1"/>
  <rowBreaks count="1" manualBreakCount="1">
    <brk id="530" max="16383" man="1"/>
  </rowBreaks>
  <colBreaks count="1" manualBreakCount="1">
    <brk id="6" max="1048575"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7391A-BE29-314A-95FC-190A2A97802F}">
  <sheetPr>
    <pageSetUpPr fitToPage="1"/>
  </sheetPr>
  <dimension ref="A1:AC591"/>
  <sheetViews>
    <sheetView topLeftCell="C1" zoomScale="115" zoomScaleNormal="115" workbookViewId="0">
      <selection activeCell="R14" sqref="R14"/>
    </sheetView>
  </sheetViews>
  <sheetFormatPr baseColWidth="10" defaultColWidth="8.83203125" defaultRowHeight="15"/>
  <cols>
    <col min="1" max="1" width="13.5" style="123" customWidth="1"/>
    <col min="2" max="2" width="19" style="123" customWidth="1"/>
    <col min="3" max="3" width="14.5" style="125" customWidth="1"/>
    <col min="4" max="4" width="17" style="125" customWidth="1"/>
    <col min="5" max="5" width="12" style="123" customWidth="1"/>
    <col min="6" max="6" width="6" style="123" customWidth="1"/>
    <col min="7" max="7" width="10" style="123" customWidth="1"/>
    <col min="8" max="8" width="9.5" style="140" customWidth="1"/>
    <col min="9" max="9" width="6.33203125" style="123" customWidth="1"/>
    <col min="10" max="14" width="6.33203125" style="485" customWidth="1"/>
    <col min="15" max="15" width="6.33203125" style="486" customWidth="1"/>
    <col min="16" max="16" width="6.33203125" style="485" customWidth="1"/>
    <col min="17" max="19" width="6.83203125" style="485" customWidth="1"/>
    <col min="20" max="27" width="7.33203125" style="485" customWidth="1"/>
    <col min="28" max="29" width="8.83203125" style="123"/>
    <col min="30" max="16384" width="8.83203125" style="118"/>
  </cols>
  <sheetData>
    <row r="1" spans="1:29" s="373" customFormat="1" ht="37" customHeight="1">
      <c r="A1" s="391" t="s">
        <v>1546</v>
      </c>
      <c r="B1" s="391"/>
      <c r="C1" s="392"/>
      <c r="D1" s="392"/>
      <c r="E1" s="391"/>
      <c r="F1" s="391"/>
      <c r="G1" s="391"/>
      <c r="H1" s="393"/>
      <c r="I1" s="391"/>
      <c r="J1" s="480"/>
      <c r="K1" s="480"/>
      <c r="L1" s="480"/>
      <c r="M1" s="480"/>
      <c r="N1" s="480"/>
      <c r="O1" s="480"/>
      <c r="P1" s="480"/>
      <c r="Q1" s="480"/>
      <c r="R1" s="480"/>
      <c r="S1" s="480"/>
      <c r="T1" s="480"/>
      <c r="U1" s="480"/>
      <c r="V1" s="480"/>
      <c r="W1" s="480"/>
      <c r="X1" s="480"/>
      <c r="Y1" s="480"/>
      <c r="Z1" s="480"/>
      <c r="AA1" s="480"/>
      <c r="AB1" s="372"/>
      <c r="AC1" s="372"/>
    </row>
    <row r="2" spans="1:29" s="121" customFormat="1" ht="156" customHeight="1">
      <c r="A2" s="394" t="s">
        <v>430</v>
      </c>
      <c r="B2" s="394" t="s">
        <v>431</v>
      </c>
      <c r="C2" s="395" t="s">
        <v>616</v>
      </c>
      <c r="D2" s="395" t="s">
        <v>433</v>
      </c>
      <c r="E2" s="394" t="s">
        <v>1547</v>
      </c>
      <c r="F2" s="394" t="s">
        <v>1548</v>
      </c>
      <c r="G2" s="478" t="s">
        <v>1549</v>
      </c>
      <c r="H2" s="479" t="s">
        <v>1550</v>
      </c>
      <c r="I2" s="478" t="s">
        <v>1551</v>
      </c>
      <c r="J2" s="481" t="s">
        <v>1552</v>
      </c>
      <c r="K2" s="481" t="s">
        <v>1553</v>
      </c>
      <c r="L2" s="481" t="s">
        <v>1554</v>
      </c>
      <c r="M2" s="481" t="s">
        <v>1555</v>
      </c>
      <c r="N2" s="481" t="s">
        <v>1556</v>
      </c>
      <c r="O2" s="481" t="s">
        <v>1557</v>
      </c>
      <c r="P2" s="481" t="s">
        <v>1558</v>
      </c>
      <c r="Q2" s="481" t="s">
        <v>1559</v>
      </c>
      <c r="R2" s="481" t="s">
        <v>1560</v>
      </c>
      <c r="S2" s="481" t="s">
        <v>1561</v>
      </c>
      <c r="T2" s="481" t="s">
        <v>1562</v>
      </c>
      <c r="U2" s="481" t="s">
        <v>1563</v>
      </c>
      <c r="V2" s="481" t="s">
        <v>1564</v>
      </c>
      <c r="W2" s="481" t="s">
        <v>1565</v>
      </c>
      <c r="X2" s="481" t="s">
        <v>1566</v>
      </c>
      <c r="Y2" s="481" t="s">
        <v>1567</v>
      </c>
      <c r="Z2" s="481" t="s">
        <v>1568</v>
      </c>
      <c r="AA2" s="481" t="s">
        <v>1569</v>
      </c>
      <c r="AB2" s="122"/>
      <c r="AC2" s="122"/>
    </row>
    <row r="3" spans="1:29" customFormat="1" ht="18">
      <c r="A3" s="103" t="s">
        <v>273</v>
      </c>
      <c r="B3" s="103" t="s">
        <v>74</v>
      </c>
      <c r="C3" s="396" t="s">
        <v>299</v>
      </c>
      <c r="D3" s="396" t="s">
        <v>1570</v>
      </c>
      <c r="E3" s="103">
        <v>16339</v>
      </c>
      <c r="F3" s="103" t="s">
        <v>1571</v>
      </c>
      <c r="G3" s="103">
        <v>590</v>
      </c>
      <c r="H3" s="397">
        <v>709</v>
      </c>
      <c r="I3" s="103">
        <v>709</v>
      </c>
      <c r="J3" s="386">
        <v>79.31</v>
      </c>
      <c r="K3" s="386">
        <v>8.73</v>
      </c>
      <c r="L3" s="386">
        <v>5.29</v>
      </c>
      <c r="M3" s="386">
        <v>3</v>
      </c>
      <c r="N3" s="386">
        <v>6.14</v>
      </c>
      <c r="O3" s="386">
        <v>4.5199999999999996</v>
      </c>
      <c r="P3" s="386">
        <v>3.31</v>
      </c>
      <c r="Q3" s="386">
        <v>10.199999999999999</v>
      </c>
      <c r="R3" s="386">
        <v>5.24</v>
      </c>
      <c r="S3" s="386">
        <v>17.84</v>
      </c>
      <c r="T3" s="386">
        <v>10.88</v>
      </c>
      <c r="U3" s="386">
        <v>5.16</v>
      </c>
      <c r="V3" s="386">
        <v>87.4</v>
      </c>
      <c r="W3" s="386">
        <v>4.59</v>
      </c>
      <c r="X3" s="386">
        <v>11.47</v>
      </c>
      <c r="Y3" s="386">
        <v>6.36</v>
      </c>
      <c r="Z3" s="386">
        <v>73.47</v>
      </c>
      <c r="AA3" s="386">
        <v>7.97</v>
      </c>
      <c r="AB3" s="2"/>
      <c r="AC3" s="2"/>
    </row>
    <row r="4" spans="1:29" customFormat="1" ht="18">
      <c r="A4" s="103" t="s">
        <v>273</v>
      </c>
      <c r="B4" s="103" t="s">
        <v>74</v>
      </c>
      <c r="C4" s="396" t="s">
        <v>274</v>
      </c>
      <c r="D4" s="396" t="s">
        <v>1249</v>
      </c>
      <c r="E4" s="103">
        <v>7990</v>
      </c>
      <c r="F4" s="103" t="s">
        <v>1572</v>
      </c>
      <c r="G4" s="103">
        <v>780</v>
      </c>
      <c r="H4" s="397">
        <v>1843</v>
      </c>
      <c r="I4" s="103">
        <v>1843</v>
      </c>
      <c r="J4" s="386">
        <v>99.41</v>
      </c>
      <c r="K4" s="386">
        <v>11.64</v>
      </c>
      <c r="L4" s="386">
        <v>6.46</v>
      </c>
      <c r="M4" s="386">
        <v>3.78</v>
      </c>
      <c r="N4" s="386">
        <v>7.84</v>
      </c>
      <c r="O4" s="386">
        <v>7.54</v>
      </c>
      <c r="P4" s="386">
        <v>6.58</v>
      </c>
      <c r="Q4" s="386">
        <v>14.22</v>
      </c>
      <c r="R4" s="386">
        <v>7.92</v>
      </c>
      <c r="S4" s="386">
        <v>21.72</v>
      </c>
      <c r="T4" s="386">
        <v>16.22</v>
      </c>
      <c r="U4" s="386">
        <v>6.74</v>
      </c>
      <c r="V4" s="386">
        <v>98.34</v>
      </c>
      <c r="W4" s="386">
        <v>6.29</v>
      </c>
      <c r="X4" s="386">
        <v>17.43</v>
      </c>
      <c r="Y4" s="386">
        <v>8.8800000000000008</v>
      </c>
      <c r="Z4" s="386">
        <v>94.07</v>
      </c>
      <c r="AA4" s="386">
        <v>10.25</v>
      </c>
      <c r="AB4" s="2"/>
      <c r="AC4" s="2"/>
    </row>
    <row r="5" spans="1:29" customFormat="1" ht="18">
      <c r="A5" s="103" t="s">
        <v>273</v>
      </c>
      <c r="B5" s="103" t="s">
        <v>74</v>
      </c>
      <c r="C5" s="396" t="s">
        <v>299</v>
      </c>
      <c r="D5" s="396" t="s">
        <v>1261</v>
      </c>
      <c r="E5" s="103">
        <v>1392</v>
      </c>
      <c r="F5" s="103" t="s">
        <v>1573</v>
      </c>
      <c r="G5" s="103">
        <v>1080</v>
      </c>
      <c r="H5" s="397">
        <v>3062</v>
      </c>
      <c r="I5" s="103">
        <v>3062</v>
      </c>
      <c r="J5" s="386">
        <v>135.22999999999999</v>
      </c>
      <c r="K5" s="386">
        <v>16.03</v>
      </c>
      <c r="L5" s="386">
        <v>7.21</v>
      </c>
      <c r="M5" s="386">
        <v>2</v>
      </c>
      <c r="N5" s="386">
        <v>10.85</v>
      </c>
      <c r="O5" s="386">
        <v>7.38</v>
      </c>
      <c r="P5" s="386">
        <v>4.8600000000000003</v>
      </c>
      <c r="Q5" s="386">
        <v>19.8</v>
      </c>
      <c r="R5" s="386">
        <v>10.19</v>
      </c>
      <c r="S5" s="386">
        <v>31.92</v>
      </c>
      <c r="T5" s="386">
        <v>21.69</v>
      </c>
      <c r="U5" s="386">
        <v>8.15</v>
      </c>
      <c r="V5" s="386">
        <v>151.31</v>
      </c>
      <c r="W5" s="386">
        <v>7.7</v>
      </c>
      <c r="X5" s="386">
        <v>23.08</v>
      </c>
      <c r="Y5" s="386">
        <v>12.21</v>
      </c>
      <c r="Z5" s="386">
        <v>138.94999999999999</v>
      </c>
      <c r="AA5" s="386">
        <v>14.31</v>
      </c>
      <c r="AB5" s="2"/>
      <c r="AC5" s="2"/>
    </row>
    <row r="6" spans="1:29" customFormat="1" ht="18">
      <c r="A6" s="103" t="s">
        <v>273</v>
      </c>
      <c r="B6" s="103" t="s">
        <v>74</v>
      </c>
      <c r="C6" s="396" t="s">
        <v>274</v>
      </c>
      <c r="D6" s="396" t="s">
        <v>1249</v>
      </c>
      <c r="E6" s="103">
        <v>1368</v>
      </c>
      <c r="F6" s="103" t="s">
        <v>1572</v>
      </c>
      <c r="G6" s="103">
        <v>940</v>
      </c>
      <c r="H6" s="397">
        <v>3856</v>
      </c>
      <c r="I6" s="103">
        <v>3856</v>
      </c>
      <c r="J6" s="386"/>
      <c r="K6" s="386">
        <v>13.47</v>
      </c>
      <c r="L6" s="386">
        <v>7.43</v>
      </c>
      <c r="M6" s="386">
        <v>3.82</v>
      </c>
      <c r="N6" s="386">
        <v>7.88</v>
      </c>
      <c r="O6" s="386">
        <v>7.38</v>
      </c>
      <c r="P6" s="386">
        <v>5.74</v>
      </c>
      <c r="Q6" s="386">
        <v>18.13</v>
      </c>
      <c r="R6" s="386">
        <v>9.69</v>
      </c>
      <c r="S6" s="386">
        <v>29.85</v>
      </c>
      <c r="T6" s="386">
        <v>19.7</v>
      </c>
      <c r="U6" s="386">
        <v>8.49</v>
      </c>
      <c r="V6" s="386">
        <v>131.97999999999999</v>
      </c>
      <c r="W6" s="386">
        <v>7.97</v>
      </c>
      <c r="X6" s="386">
        <v>21.24</v>
      </c>
      <c r="Y6" s="386">
        <v>11.31</v>
      </c>
      <c r="Z6" s="386">
        <v>125.36</v>
      </c>
      <c r="AA6" s="386">
        <v>13.08</v>
      </c>
      <c r="AB6" s="2"/>
      <c r="AC6" s="2"/>
    </row>
    <row r="7" spans="1:29" customFormat="1" ht="18">
      <c r="A7" s="103" t="s">
        <v>273</v>
      </c>
      <c r="B7" s="103" t="s">
        <v>74</v>
      </c>
      <c r="C7" s="396" t="s">
        <v>274</v>
      </c>
      <c r="D7" s="396" t="s">
        <v>1249</v>
      </c>
      <c r="E7" s="103">
        <v>11694</v>
      </c>
      <c r="F7" s="103" t="s">
        <v>1572</v>
      </c>
      <c r="G7" s="103">
        <v>908</v>
      </c>
      <c r="H7" s="397">
        <v>4082</v>
      </c>
      <c r="I7" s="103">
        <v>4082</v>
      </c>
      <c r="J7" s="386">
        <v>113.49</v>
      </c>
      <c r="K7" s="386">
        <v>12.12</v>
      </c>
      <c r="L7" s="386">
        <v>7.16</v>
      </c>
      <c r="M7" s="386">
        <v>2.91</v>
      </c>
      <c r="N7" s="386">
        <v>7.42</v>
      </c>
      <c r="O7" s="386">
        <v>6.55</v>
      </c>
      <c r="P7" s="386">
        <v>4.8899999999999997</v>
      </c>
      <c r="Q7" s="386"/>
      <c r="R7" s="386"/>
      <c r="S7" s="386"/>
      <c r="T7" s="386"/>
      <c r="U7" s="386"/>
      <c r="V7" s="386"/>
      <c r="W7" s="386"/>
      <c r="X7" s="386"/>
      <c r="Y7" s="386"/>
      <c r="Z7" s="386"/>
      <c r="AA7" s="386"/>
      <c r="AB7" s="2"/>
      <c r="AC7" s="2"/>
    </row>
    <row r="8" spans="1:29" customFormat="1" ht="18">
      <c r="A8" s="103" t="s">
        <v>273</v>
      </c>
      <c r="B8" s="103" t="s">
        <v>74</v>
      </c>
      <c r="C8" s="396" t="s">
        <v>299</v>
      </c>
      <c r="D8" s="396" t="s">
        <v>1261</v>
      </c>
      <c r="E8" s="103">
        <v>4236</v>
      </c>
      <c r="F8" s="103" t="s">
        <v>1573</v>
      </c>
      <c r="G8" s="103">
        <v>1008</v>
      </c>
      <c r="H8" s="397">
        <v>4337</v>
      </c>
      <c r="I8" s="103">
        <v>4337</v>
      </c>
      <c r="J8" s="386">
        <v>131.4</v>
      </c>
      <c r="K8" s="386">
        <v>14.91</v>
      </c>
      <c r="L8" s="386">
        <v>7.15</v>
      </c>
      <c r="M8" s="386">
        <v>2.85</v>
      </c>
      <c r="N8" s="386">
        <v>10.220000000000001</v>
      </c>
      <c r="O8" s="386">
        <v>6.27</v>
      </c>
      <c r="P8" s="386">
        <v>4.46</v>
      </c>
      <c r="Q8" s="386">
        <v>18.579999999999998</v>
      </c>
      <c r="R8" s="386">
        <v>10.3</v>
      </c>
      <c r="S8" s="386">
        <v>29.68</v>
      </c>
      <c r="T8" s="386">
        <v>20.43</v>
      </c>
      <c r="U8" s="386">
        <v>8.3000000000000007</v>
      </c>
      <c r="V8" s="386">
        <v>146.47999999999999</v>
      </c>
      <c r="W8" s="386">
        <v>7.9</v>
      </c>
      <c r="X8" s="386">
        <v>20.64</v>
      </c>
      <c r="Y8" s="386">
        <v>12.15</v>
      </c>
      <c r="Z8" s="386">
        <v>137.27000000000001</v>
      </c>
      <c r="AA8" s="386">
        <v>13.91</v>
      </c>
      <c r="AB8" s="2"/>
      <c r="AC8" s="2"/>
    </row>
    <row r="9" spans="1:29" customFormat="1" ht="18">
      <c r="A9" s="103" t="s">
        <v>273</v>
      </c>
      <c r="B9" s="103" t="s">
        <v>74</v>
      </c>
      <c r="C9" s="396" t="s">
        <v>299</v>
      </c>
      <c r="D9" s="396" t="s">
        <v>1261</v>
      </c>
      <c r="E9" s="103">
        <v>1393</v>
      </c>
      <c r="F9" s="103" t="s">
        <v>1572</v>
      </c>
      <c r="G9" s="103">
        <v>1073</v>
      </c>
      <c r="H9" s="397">
        <v>4422.5</v>
      </c>
      <c r="I9" s="103">
        <v>4422.5</v>
      </c>
      <c r="J9" s="386">
        <v>126.72</v>
      </c>
      <c r="K9" s="386">
        <v>13.62</v>
      </c>
      <c r="L9" s="386">
        <v>7.4</v>
      </c>
      <c r="M9" s="386">
        <v>2.46</v>
      </c>
      <c r="N9" s="386">
        <v>9.44</v>
      </c>
      <c r="O9" s="386">
        <v>6</v>
      </c>
      <c r="P9" s="386">
        <v>4.59</v>
      </c>
      <c r="Q9" s="386">
        <v>17.510000000000002</v>
      </c>
      <c r="R9" s="386">
        <v>9.16</v>
      </c>
      <c r="S9" s="386">
        <v>31.05</v>
      </c>
      <c r="T9" s="386">
        <v>20.22</v>
      </c>
      <c r="U9" s="386">
        <v>8.33</v>
      </c>
      <c r="V9" s="386">
        <v>142.47</v>
      </c>
      <c r="W9" s="386">
        <v>7.24</v>
      </c>
      <c r="X9" s="386">
        <v>18.559999999999999</v>
      </c>
      <c r="Y9" s="386">
        <v>11.63</v>
      </c>
      <c r="Z9" s="386">
        <v>135.66999999999999</v>
      </c>
      <c r="AA9" s="386">
        <v>14.72</v>
      </c>
      <c r="AB9" s="2"/>
      <c r="AC9" s="2"/>
    </row>
    <row r="10" spans="1:29" customFormat="1" ht="18">
      <c r="A10" s="103" t="s">
        <v>273</v>
      </c>
      <c r="B10" s="103" t="s">
        <v>74</v>
      </c>
      <c r="C10" s="396" t="s">
        <v>274</v>
      </c>
      <c r="D10" s="396" t="s">
        <v>1249</v>
      </c>
      <c r="E10" s="103">
        <v>3974</v>
      </c>
      <c r="F10" s="103" t="s">
        <v>1573</v>
      </c>
      <c r="G10" s="103">
        <v>1013</v>
      </c>
      <c r="H10" s="397">
        <v>4508</v>
      </c>
      <c r="I10" s="103">
        <v>4508</v>
      </c>
      <c r="J10" s="386">
        <v>118.31</v>
      </c>
      <c r="K10" s="386">
        <v>13.05</v>
      </c>
      <c r="L10" s="386">
        <v>7.81</v>
      </c>
      <c r="M10" s="386">
        <v>3.67</v>
      </c>
      <c r="N10" s="386">
        <v>7.64</v>
      </c>
      <c r="O10" s="386">
        <v>7.15</v>
      </c>
      <c r="P10" s="386">
        <v>5.69</v>
      </c>
      <c r="Q10" s="386">
        <v>18.11</v>
      </c>
      <c r="R10" s="386">
        <v>9.1300000000000008</v>
      </c>
      <c r="S10" s="386">
        <v>29.09</v>
      </c>
      <c r="T10" s="386">
        <v>20.81</v>
      </c>
      <c r="U10" s="386">
        <v>8.3699999999999992</v>
      </c>
      <c r="V10" s="386">
        <v>128.58000000000001</v>
      </c>
      <c r="W10" s="386">
        <v>8.6300000000000008</v>
      </c>
      <c r="X10" s="386">
        <v>21.86</v>
      </c>
      <c r="Y10" s="386">
        <v>11.48</v>
      </c>
      <c r="Z10" s="386">
        <v>125.05</v>
      </c>
      <c r="AA10" s="386">
        <v>14.05</v>
      </c>
      <c r="AB10" s="2"/>
      <c r="AC10" s="2"/>
    </row>
    <row r="11" spans="1:29" customFormat="1" ht="18">
      <c r="A11" s="103" t="s">
        <v>273</v>
      </c>
      <c r="B11" s="103" t="s">
        <v>74</v>
      </c>
      <c r="C11" s="396" t="s">
        <v>274</v>
      </c>
      <c r="D11" s="396" t="s">
        <v>1249</v>
      </c>
      <c r="E11" s="103">
        <v>4922</v>
      </c>
      <c r="F11" s="103" t="s">
        <v>1573</v>
      </c>
      <c r="G11" s="103">
        <v>949</v>
      </c>
      <c r="H11" s="397">
        <v>4621</v>
      </c>
      <c r="I11" s="103">
        <v>4621</v>
      </c>
      <c r="J11" s="386">
        <v>116.51</v>
      </c>
      <c r="K11" s="386">
        <v>11.99</v>
      </c>
      <c r="L11" s="386">
        <v>6.82</v>
      </c>
      <c r="M11" s="386">
        <v>3.2</v>
      </c>
      <c r="N11" s="386">
        <v>6.8</v>
      </c>
      <c r="O11" s="386">
        <v>6.29</v>
      </c>
      <c r="P11" s="386">
        <v>4.83</v>
      </c>
      <c r="Q11" s="386"/>
      <c r="R11" s="386"/>
      <c r="S11" s="386"/>
      <c r="T11" s="386"/>
      <c r="U11" s="386"/>
      <c r="V11" s="386"/>
      <c r="W11" s="386"/>
      <c r="X11" s="386"/>
      <c r="Y11" s="386"/>
      <c r="Z11" s="386"/>
      <c r="AA11" s="386"/>
      <c r="AB11" s="2"/>
      <c r="AC11" s="2"/>
    </row>
    <row r="12" spans="1:29" customFormat="1" ht="18">
      <c r="A12" s="103" t="s">
        <v>273</v>
      </c>
      <c r="B12" s="103" t="s">
        <v>74</v>
      </c>
      <c r="C12" s="396" t="s">
        <v>299</v>
      </c>
      <c r="D12" s="396" t="s">
        <v>1261</v>
      </c>
      <c r="E12" s="103">
        <v>5645</v>
      </c>
      <c r="F12" s="103" t="s">
        <v>1572</v>
      </c>
      <c r="G12" s="103">
        <v>1065</v>
      </c>
      <c r="H12" s="397">
        <v>5103</v>
      </c>
      <c r="I12" s="103">
        <v>5103</v>
      </c>
      <c r="J12" s="386">
        <v>130.04</v>
      </c>
      <c r="K12" s="386">
        <v>14.78</v>
      </c>
      <c r="L12" s="386">
        <v>6.87</v>
      </c>
      <c r="M12" s="386">
        <v>3.06</v>
      </c>
      <c r="N12" s="386">
        <v>9.5299999999999994</v>
      </c>
      <c r="O12" s="386">
        <v>7.07</v>
      </c>
      <c r="P12" s="386">
        <v>4.68</v>
      </c>
      <c r="Q12" s="386">
        <v>18.2</v>
      </c>
      <c r="R12" s="386">
        <v>9.85</v>
      </c>
      <c r="S12" s="386">
        <v>31.3</v>
      </c>
      <c r="T12" s="386">
        <v>18.7</v>
      </c>
      <c r="U12" s="386">
        <v>8.25</v>
      </c>
      <c r="V12" s="386">
        <v>151.08000000000001</v>
      </c>
      <c r="W12" s="386">
        <v>8.0399999999999991</v>
      </c>
      <c r="X12" s="386">
        <v>21.03</v>
      </c>
      <c r="Y12" s="386">
        <v>12.41</v>
      </c>
      <c r="Z12" s="386">
        <v>137.63999999999999</v>
      </c>
      <c r="AA12" s="386">
        <v>15.85</v>
      </c>
      <c r="AB12" s="2"/>
      <c r="AC12" s="2"/>
    </row>
    <row r="13" spans="1:29" customFormat="1" ht="18">
      <c r="A13" s="103" t="s">
        <v>273</v>
      </c>
      <c r="B13" s="103" t="s">
        <v>74</v>
      </c>
      <c r="C13" s="396" t="s">
        <v>299</v>
      </c>
      <c r="D13" s="396" t="s">
        <v>1261</v>
      </c>
      <c r="E13" s="103">
        <v>1359</v>
      </c>
      <c r="F13" s="103" t="s">
        <v>1573</v>
      </c>
      <c r="G13" s="103">
        <v>1245</v>
      </c>
      <c r="H13" s="397">
        <v>5528</v>
      </c>
      <c r="I13" s="103">
        <v>5528</v>
      </c>
      <c r="J13" s="386">
        <v>133.96</v>
      </c>
      <c r="K13" s="386">
        <v>17.079999999999998</v>
      </c>
      <c r="L13" s="386">
        <v>7.99</v>
      </c>
      <c r="M13" s="386">
        <v>3.73</v>
      </c>
      <c r="N13" s="386">
        <v>10.4</v>
      </c>
      <c r="O13" s="386">
        <v>7.04</v>
      </c>
      <c r="P13" s="386">
        <v>5.04</v>
      </c>
      <c r="Q13" s="386">
        <v>26.47</v>
      </c>
      <c r="R13" s="386">
        <v>10.46</v>
      </c>
      <c r="S13" s="386">
        <v>30.98</v>
      </c>
      <c r="T13" s="386">
        <v>21.81</v>
      </c>
      <c r="U13" s="386">
        <v>8.67</v>
      </c>
      <c r="V13" s="386">
        <v>158.12</v>
      </c>
      <c r="W13" s="386">
        <v>8.56</v>
      </c>
      <c r="X13" s="386">
        <v>25.84</v>
      </c>
      <c r="Y13" s="386">
        <v>14.23</v>
      </c>
      <c r="Z13" s="386">
        <v>141.87</v>
      </c>
      <c r="AA13" s="386">
        <v>15.45</v>
      </c>
      <c r="AB13" s="2"/>
      <c r="AC13" s="2"/>
    </row>
    <row r="14" spans="1:29" customFormat="1" ht="18">
      <c r="A14" s="103" t="s">
        <v>273</v>
      </c>
      <c r="B14" s="103" t="s">
        <v>74</v>
      </c>
      <c r="C14" s="396" t="s">
        <v>299</v>
      </c>
      <c r="D14" s="396" t="s">
        <v>1261</v>
      </c>
      <c r="E14" s="103">
        <v>3975</v>
      </c>
      <c r="F14" s="103" t="s">
        <v>1573</v>
      </c>
      <c r="G14" s="103">
        <v>1086</v>
      </c>
      <c r="H14" s="397">
        <v>5528</v>
      </c>
      <c r="I14" s="103">
        <v>5528</v>
      </c>
      <c r="J14" s="386">
        <v>139.44</v>
      </c>
      <c r="K14" s="386">
        <v>14.41</v>
      </c>
      <c r="L14" s="386">
        <v>7.5</v>
      </c>
      <c r="M14" s="386">
        <v>4.2</v>
      </c>
      <c r="N14" s="386">
        <v>10.76</v>
      </c>
      <c r="O14" s="386">
        <v>6.94</v>
      </c>
      <c r="P14" s="386">
        <v>5.58</v>
      </c>
      <c r="Q14" s="386">
        <v>19.34</v>
      </c>
      <c r="R14" s="386">
        <v>10.47</v>
      </c>
      <c r="S14" s="386">
        <v>33.25</v>
      </c>
      <c r="T14" s="386">
        <v>21.54</v>
      </c>
      <c r="U14" s="386">
        <v>8.57</v>
      </c>
      <c r="V14" s="386">
        <v>154.04</v>
      </c>
      <c r="W14" s="386">
        <v>8.18</v>
      </c>
      <c r="X14" s="386">
        <v>20.76</v>
      </c>
      <c r="Y14" s="386">
        <v>12.06</v>
      </c>
      <c r="Z14" s="386">
        <v>140.55000000000001</v>
      </c>
      <c r="AA14" s="386">
        <v>14.27</v>
      </c>
      <c r="AB14" s="2"/>
      <c r="AC14" s="2"/>
    </row>
    <row r="15" spans="1:29" customFormat="1" ht="18">
      <c r="A15" s="103" t="s">
        <v>273</v>
      </c>
      <c r="B15" s="103" t="s">
        <v>74</v>
      </c>
      <c r="C15" s="396" t="s">
        <v>299</v>
      </c>
      <c r="D15" s="396" t="s">
        <v>1261</v>
      </c>
      <c r="E15" s="103">
        <v>5675</v>
      </c>
      <c r="F15" s="103" t="s">
        <v>1573</v>
      </c>
      <c r="G15" s="103">
        <v>1080</v>
      </c>
      <c r="H15" s="397">
        <v>5727</v>
      </c>
      <c r="I15" s="103">
        <v>5727</v>
      </c>
      <c r="J15" s="386">
        <v>137.83000000000001</v>
      </c>
      <c r="K15" s="386">
        <v>17.510000000000002</v>
      </c>
      <c r="L15" s="386">
        <v>7.07</v>
      </c>
      <c r="M15" s="386">
        <v>3.99</v>
      </c>
      <c r="N15" s="386">
        <v>10.68</v>
      </c>
      <c r="O15" s="386">
        <v>7.53</v>
      </c>
      <c r="P15" s="386">
        <v>4.91</v>
      </c>
      <c r="Q15" s="386">
        <v>17.489999999999998</v>
      </c>
      <c r="R15" s="386">
        <v>10.38</v>
      </c>
      <c r="S15" s="386">
        <v>30.5</v>
      </c>
      <c r="T15" s="386">
        <v>20.02</v>
      </c>
      <c r="U15" s="386">
        <v>8.64</v>
      </c>
      <c r="V15" s="386">
        <v>153.24</v>
      </c>
      <c r="W15" s="386">
        <v>7.85</v>
      </c>
      <c r="X15" s="386">
        <v>21.05</v>
      </c>
      <c r="Y15" s="386">
        <v>11.87</v>
      </c>
      <c r="Z15" s="386">
        <v>137.91999999999999</v>
      </c>
      <c r="AA15" s="386">
        <v>15.77</v>
      </c>
      <c r="AB15" s="2"/>
      <c r="AC15" s="2"/>
    </row>
    <row r="16" spans="1:29" customFormat="1" ht="18">
      <c r="A16" s="103" t="s">
        <v>273</v>
      </c>
      <c r="B16" s="103" t="s">
        <v>74</v>
      </c>
      <c r="C16" s="396" t="s">
        <v>1574</v>
      </c>
      <c r="D16" s="396" t="s">
        <v>1575</v>
      </c>
      <c r="E16" s="103">
        <v>7994</v>
      </c>
      <c r="F16" s="103" t="s">
        <v>1573</v>
      </c>
      <c r="G16" s="103">
        <v>800</v>
      </c>
      <c r="H16" s="397">
        <v>5897</v>
      </c>
      <c r="I16" s="103">
        <v>5897</v>
      </c>
      <c r="J16" s="386">
        <v>119.19</v>
      </c>
      <c r="K16" s="386">
        <v>12.2</v>
      </c>
      <c r="L16" s="386">
        <v>5.92</v>
      </c>
      <c r="M16" s="386">
        <v>2.76</v>
      </c>
      <c r="N16" s="386">
        <v>6.83</v>
      </c>
      <c r="O16" s="386">
        <v>5.97</v>
      </c>
      <c r="P16" s="386">
        <v>4.17</v>
      </c>
      <c r="Q16" s="386">
        <v>20.079999999999998</v>
      </c>
      <c r="R16" s="386">
        <v>10.86</v>
      </c>
      <c r="S16" s="386">
        <v>28.36</v>
      </c>
      <c r="T16" s="386">
        <v>23.55</v>
      </c>
      <c r="U16" s="386">
        <v>11.62</v>
      </c>
      <c r="V16" s="386">
        <v>109.03</v>
      </c>
      <c r="W16" s="386">
        <v>9.36</v>
      </c>
      <c r="X16" s="386">
        <v>25.22</v>
      </c>
      <c r="Y16" s="386">
        <v>13.92</v>
      </c>
      <c r="Z16" s="386">
        <v>112.95</v>
      </c>
      <c r="AA16" s="386">
        <v>13.47</v>
      </c>
      <c r="AB16" s="2"/>
      <c r="AC16" s="2"/>
    </row>
    <row r="17" spans="1:29" customFormat="1" ht="18">
      <c r="A17" s="103" t="s">
        <v>273</v>
      </c>
      <c r="B17" s="103" t="s">
        <v>74</v>
      </c>
      <c r="C17" s="396" t="s">
        <v>299</v>
      </c>
      <c r="D17" s="396" t="s">
        <v>1261</v>
      </c>
      <c r="E17" s="103">
        <v>1390</v>
      </c>
      <c r="F17" s="103" t="s">
        <v>1573</v>
      </c>
      <c r="G17" s="103">
        <v>1105</v>
      </c>
      <c r="H17" s="397">
        <v>5982</v>
      </c>
      <c r="I17" s="103">
        <v>5982</v>
      </c>
      <c r="J17" s="386">
        <v>141.34</v>
      </c>
      <c r="K17" s="386">
        <v>16.41</v>
      </c>
      <c r="L17" s="386">
        <v>7.51</v>
      </c>
      <c r="M17" s="386">
        <v>3.38</v>
      </c>
      <c r="N17" s="386">
        <v>10.78</v>
      </c>
      <c r="O17" s="386">
        <v>7.49</v>
      </c>
      <c r="P17" s="386">
        <v>5</v>
      </c>
      <c r="Q17" s="386">
        <v>19.079999999999998</v>
      </c>
      <c r="R17" s="386">
        <v>10.46</v>
      </c>
      <c r="S17" s="386">
        <v>32.68</v>
      </c>
      <c r="T17" s="386">
        <v>22.7</v>
      </c>
      <c r="U17" s="386">
        <v>8.77</v>
      </c>
      <c r="V17" s="386">
        <v>160.04</v>
      </c>
      <c r="W17" s="386">
        <v>8.34</v>
      </c>
      <c r="X17" s="386">
        <v>22.2</v>
      </c>
      <c r="Y17" s="386">
        <v>13.42</v>
      </c>
      <c r="Z17" s="386">
        <v>144.83000000000001</v>
      </c>
      <c r="AA17" s="386">
        <v>16</v>
      </c>
      <c r="AB17" s="2"/>
      <c r="AC17" s="2"/>
    </row>
    <row r="18" spans="1:29" customFormat="1" ht="18">
      <c r="A18" s="103" t="s">
        <v>273</v>
      </c>
      <c r="B18" s="103" t="s">
        <v>74</v>
      </c>
      <c r="C18" s="396" t="s">
        <v>299</v>
      </c>
      <c r="D18" s="396" t="s">
        <v>1261</v>
      </c>
      <c r="E18" s="103">
        <v>5690</v>
      </c>
      <c r="F18" s="103" t="s">
        <v>1573</v>
      </c>
      <c r="G18" s="103">
        <v>1165</v>
      </c>
      <c r="H18" s="397">
        <v>6123</v>
      </c>
      <c r="I18" s="103">
        <v>6123</v>
      </c>
      <c r="J18" s="386">
        <v>142.94999999999999</v>
      </c>
      <c r="K18" s="386">
        <v>15.28</v>
      </c>
      <c r="L18" s="386">
        <v>8.11</v>
      </c>
      <c r="M18" s="386">
        <v>2.88</v>
      </c>
      <c r="N18" s="386">
        <v>9.3800000000000008</v>
      </c>
      <c r="O18" s="386">
        <v>7.9</v>
      </c>
      <c r="P18" s="386">
        <v>5.28</v>
      </c>
      <c r="Q18" s="386">
        <v>19.489999999999998</v>
      </c>
      <c r="R18" s="386">
        <v>10.28</v>
      </c>
      <c r="S18" s="386">
        <v>33.479999999999997</v>
      </c>
      <c r="T18" s="386">
        <v>22.66</v>
      </c>
      <c r="U18" s="386">
        <v>9.4</v>
      </c>
      <c r="V18" s="386">
        <v>160.62</v>
      </c>
      <c r="W18" s="386">
        <v>8.33</v>
      </c>
      <c r="X18" s="386">
        <v>22.65</v>
      </c>
      <c r="Y18" s="386">
        <v>12.43</v>
      </c>
      <c r="Z18" s="386">
        <v>149.62</v>
      </c>
      <c r="AA18" s="386">
        <v>16.149999999999999</v>
      </c>
      <c r="AB18" s="2"/>
      <c r="AC18" s="2"/>
    </row>
    <row r="19" spans="1:29" customFormat="1" ht="18">
      <c r="A19" s="103" t="s">
        <v>273</v>
      </c>
      <c r="B19" s="103" t="s">
        <v>74</v>
      </c>
      <c r="C19" s="396" t="s">
        <v>266</v>
      </c>
      <c r="D19" s="396" t="s">
        <v>1576</v>
      </c>
      <c r="E19" s="103">
        <v>16463</v>
      </c>
      <c r="F19" s="103" t="s">
        <v>1573</v>
      </c>
      <c r="G19" s="103">
        <v>1000</v>
      </c>
      <c r="H19" s="397">
        <v>6600</v>
      </c>
      <c r="I19" s="103">
        <v>6600</v>
      </c>
      <c r="J19" s="386">
        <v>141.74</v>
      </c>
      <c r="K19" s="386">
        <v>18.940000000000001</v>
      </c>
      <c r="L19" s="386">
        <v>7.92</v>
      </c>
      <c r="M19" s="386">
        <v>4.28</v>
      </c>
      <c r="N19" s="386">
        <v>9.7799999999999994</v>
      </c>
      <c r="O19" s="386">
        <v>9.06</v>
      </c>
      <c r="P19" s="386">
        <v>5.65</v>
      </c>
      <c r="Q19" s="386"/>
      <c r="R19" s="386"/>
      <c r="S19" s="386"/>
      <c r="T19" s="386">
        <v>25.19</v>
      </c>
      <c r="U19" s="386">
        <v>10.91</v>
      </c>
      <c r="V19" s="386">
        <v>153.72</v>
      </c>
      <c r="W19" s="386">
        <v>10.01</v>
      </c>
      <c r="X19" s="386">
        <v>23.6</v>
      </c>
      <c r="Y19" s="386">
        <v>13.21</v>
      </c>
      <c r="Z19" s="386">
        <v>142.41999999999999</v>
      </c>
      <c r="AA19" s="386">
        <v>15.9</v>
      </c>
      <c r="AB19" s="2"/>
      <c r="AC19" s="2"/>
    </row>
    <row r="20" spans="1:29" customFormat="1" ht="18">
      <c r="A20" s="103" t="s">
        <v>273</v>
      </c>
      <c r="B20" s="103" t="s">
        <v>74</v>
      </c>
      <c r="C20" s="396" t="s">
        <v>266</v>
      </c>
      <c r="D20" s="396" t="s">
        <v>267</v>
      </c>
      <c r="E20" s="103">
        <v>2473</v>
      </c>
      <c r="F20" s="103" t="s">
        <v>1572</v>
      </c>
      <c r="G20" s="103">
        <v>1181</v>
      </c>
      <c r="H20" s="397">
        <v>10971</v>
      </c>
      <c r="I20" s="103">
        <v>10971</v>
      </c>
      <c r="J20" s="386">
        <v>170.05</v>
      </c>
      <c r="K20" s="386">
        <v>22.05</v>
      </c>
      <c r="L20" s="386">
        <v>10.64</v>
      </c>
      <c r="M20" s="386">
        <v>4.45</v>
      </c>
      <c r="N20" s="386">
        <v>12.05</v>
      </c>
      <c r="O20" s="386">
        <v>12.52</v>
      </c>
      <c r="P20" s="386">
        <v>6.81</v>
      </c>
      <c r="Q20" s="386"/>
      <c r="R20" s="386"/>
      <c r="S20" s="386"/>
      <c r="T20" s="386"/>
      <c r="U20" s="386"/>
      <c r="V20" s="386"/>
      <c r="W20" s="386"/>
      <c r="X20" s="386"/>
      <c r="Y20" s="386"/>
      <c r="Z20" s="386"/>
      <c r="AA20" s="386"/>
      <c r="AB20" s="2"/>
      <c r="AC20" s="2"/>
    </row>
    <row r="21" spans="1:29" customFormat="1" ht="18">
      <c r="A21" s="103" t="s">
        <v>273</v>
      </c>
      <c r="B21" s="103" t="s">
        <v>74</v>
      </c>
      <c r="C21" s="396" t="s">
        <v>266</v>
      </c>
      <c r="D21" s="396" t="s">
        <v>267</v>
      </c>
      <c r="E21" s="103">
        <v>7832</v>
      </c>
      <c r="F21" s="103" t="s">
        <v>1572</v>
      </c>
      <c r="G21" s="103">
        <v>1177</v>
      </c>
      <c r="H21" s="397">
        <v>11141</v>
      </c>
      <c r="I21" s="103">
        <v>11141</v>
      </c>
      <c r="J21" s="386">
        <v>175.13</v>
      </c>
      <c r="K21" s="386">
        <v>20.71</v>
      </c>
      <c r="L21" s="386">
        <v>9.7899999999999991</v>
      </c>
      <c r="M21" s="386">
        <v>4.79</v>
      </c>
      <c r="N21" s="386">
        <v>12.33</v>
      </c>
      <c r="O21" s="386">
        <v>12.92</v>
      </c>
      <c r="P21" s="386">
        <v>7.09</v>
      </c>
      <c r="Q21" s="386"/>
      <c r="R21" s="386"/>
      <c r="S21" s="386"/>
      <c r="T21" s="386"/>
      <c r="U21" s="386"/>
      <c r="V21" s="386"/>
      <c r="W21" s="386"/>
      <c r="X21" s="386"/>
      <c r="Y21" s="386"/>
      <c r="Z21" s="386"/>
      <c r="AA21" s="386"/>
      <c r="AB21" s="2"/>
      <c r="AC21" s="2"/>
    </row>
    <row r="22" spans="1:29" customFormat="1" ht="18">
      <c r="A22" s="103" t="s">
        <v>273</v>
      </c>
      <c r="B22" s="103" t="s">
        <v>74</v>
      </c>
      <c r="C22" s="396" t="s">
        <v>266</v>
      </c>
      <c r="D22" s="396" t="s">
        <v>267</v>
      </c>
      <c r="E22" s="103">
        <v>13248</v>
      </c>
      <c r="F22" s="103" t="s">
        <v>1573</v>
      </c>
      <c r="G22" s="103">
        <v>1156</v>
      </c>
      <c r="H22" s="397">
        <v>11340</v>
      </c>
      <c r="I22" s="103">
        <v>11340</v>
      </c>
      <c r="J22" s="386">
        <v>168.17</v>
      </c>
      <c r="K22" s="386">
        <v>22.64</v>
      </c>
      <c r="L22" s="386">
        <v>9.61</v>
      </c>
      <c r="M22" s="386">
        <v>3.91</v>
      </c>
      <c r="N22" s="386">
        <v>11.11</v>
      </c>
      <c r="O22" s="386">
        <v>12.46</v>
      </c>
      <c r="P22" s="386">
        <v>7.16</v>
      </c>
      <c r="Q22" s="386"/>
      <c r="R22" s="386"/>
      <c r="S22" s="386"/>
      <c r="T22" s="386"/>
      <c r="U22" s="386"/>
      <c r="V22" s="386"/>
      <c r="W22" s="386"/>
      <c r="X22" s="386"/>
      <c r="Y22" s="386"/>
      <c r="Z22" s="386"/>
      <c r="AA22" s="386"/>
      <c r="AB22" s="2"/>
      <c r="AC22" s="2"/>
    </row>
    <row r="23" spans="1:29" customFormat="1" ht="18">
      <c r="A23" s="103" t="s">
        <v>273</v>
      </c>
      <c r="B23" s="103" t="s">
        <v>74</v>
      </c>
      <c r="C23" s="396" t="s">
        <v>266</v>
      </c>
      <c r="D23" s="396" t="s">
        <v>267</v>
      </c>
      <c r="E23" s="103">
        <v>13244</v>
      </c>
      <c r="F23" s="103" t="s">
        <v>1573</v>
      </c>
      <c r="G23" s="103">
        <v>1188</v>
      </c>
      <c r="H23" s="397">
        <v>11793</v>
      </c>
      <c r="I23" s="103">
        <v>11793</v>
      </c>
      <c r="J23" s="386">
        <v>178.66</v>
      </c>
      <c r="K23" s="386">
        <v>23.47</v>
      </c>
      <c r="L23" s="386">
        <v>9.9700000000000006</v>
      </c>
      <c r="M23" s="386">
        <v>5.68</v>
      </c>
      <c r="N23" s="386">
        <v>12.9</v>
      </c>
      <c r="O23" s="386">
        <v>11.39</v>
      </c>
      <c r="P23" s="386">
        <v>7.59</v>
      </c>
      <c r="Q23" s="386"/>
      <c r="R23" s="386"/>
      <c r="S23" s="386"/>
      <c r="T23" s="386"/>
      <c r="U23" s="386"/>
      <c r="V23" s="386"/>
      <c r="W23" s="386"/>
      <c r="X23" s="386"/>
      <c r="Y23" s="386"/>
      <c r="Z23" s="386"/>
      <c r="AA23" s="386"/>
      <c r="AB23" s="2"/>
      <c r="AC23" s="2"/>
    </row>
    <row r="24" spans="1:29" customFormat="1" ht="18">
      <c r="A24" s="103" t="s">
        <v>273</v>
      </c>
      <c r="B24" s="103" t="s">
        <v>74</v>
      </c>
      <c r="C24" s="396" t="s">
        <v>266</v>
      </c>
      <c r="D24" s="396" t="s">
        <v>267</v>
      </c>
      <c r="E24" s="103">
        <v>2466</v>
      </c>
      <c r="F24" s="103" t="s">
        <v>1573</v>
      </c>
      <c r="G24" s="103"/>
      <c r="H24" s="397">
        <v>12247</v>
      </c>
      <c r="I24" s="103">
        <v>12247</v>
      </c>
      <c r="J24" s="386">
        <v>172.93</v>
      </c>
      <c r="K24" s="386">
        <v>21.76</v>
      </c>
      <c r="L24" s="386">
        <v>9.1</v>
      </c>
      <c r="M24" s="386">
        <v>4.37</v>
      </c>
      <c r="N24" s="386">
        <v>12.86</v>
      </c>
      <c r="O24" s="386">
        <v>12.73</v>
      </c>
      <c r="P24" s="386">
        <v>7.35</v>
      </c>
      <c r="Q24" s="386"/>
      <c r="R24" s="386"/>
      <c r="S24" s="386"/>
      <c r="T24" s="386"/>
      <c r="U24" s="386"/>
      <c r="V24" s="386"/>
      <c r="W24" s="386"/>
      <c r="X24" s="386"/>
      <c r="Y24" s="386"/>
      <c r="Z24" s="386"/>
      <c r="AA24" s="386"/>
      <c r="AB24" s="2"/>
      <c r="AC24" s="2"/>
    </row>
    <row r="25" spans="1:29" customFormat="1" ht="18">
      <c r="A25" s="103" t="s">
        <v>273</v>
      </c>
      <c r="B25" s="103" t="s">
        <v>74</v>
      </c>
      <c r="C25" s="396" t="s">
        <v>266</v>
      </c>
      <c r="D25" s="396" t="s">
        <v>267</v>
      </c>
      <c r="E25" s="103">
        <v>4990</v>
      </c>
      <c r="F25" s="103" t="s">
        <v>1573</v>
      </c>
      <c r="G25" s="104"/>
      <c r="H25" s="397">
        <v>13154</v>
      </c>
      <c r="I25" s="103">
        <v>13154</v>
      </c>
      <c r="J25" s="386">
        <v>169.81</v>
      </c>
      <c r="K25" s="386">
        <v>22.56</v>
      </c>
      <c r="L25" s="386">
        <v>10.41</v>
      </c>
      <c r="M25" s="386">
        <v>5.98</v>
      </c>
      <c r="N25" s="386">
        <v>11.89</v>
      </c>
      <c r="O25" s="386">
        <v>12.78</v>
      </c>
      <c r="P25" s="386">
        <v>7.06</v>
      </c>
      <c r="Q25" s="386">
        <v>23.94</v>
      </c>
      <c r="R25" s="386">
        <v>13.72</v>
      </c>
      <c r="S25" s="386">
        <v>38.85</v>
      </c>
      <c r="T25" s="386">
        <v>28.89</v>
      </c>
      <c r="U25" s="386">
        <v>12.12</v>
      </c>
      <c r="V25" s="386">
        <v>181.66</v>
      </c>
      <c r="W25" s="386">
        <v>10.81</v>
      </c>
      <c r="X25" s="386">
        <v>28.85</v>
      </c>
      <c r="Y25" s="386">
        <v>15.13</v>
      </c>
      <c r="Z25" s="386">
        <v>171.95</v>
      </c>
      <c r="AA25" s="386">
        <v>19.86</v>
      </c>
      <c r="AB25" s="2"/>
      <c r="AC25" s="2"/>
    </row>
    <row r="26" spans="1:29" customFormat="1" ht="18">
      <c r="A26" s="103" t="s">
        <v>273</v>
      </c>
      <c r="B26" s="103" t="s">
        <v>74</v>
      </c>
      <c r="C26" s="396" t="s">
        <v>266</v>
      </c>
      <c r="D26" s="396" t="s">
        <v>267</v>
      </c>
      <c r="E26" s="103">
        <v>5646</v>
      </c>
      <c r="F26" s="103" t="s">
        <v>1573</v>
      </c>
      <c r="G26" s="103">
        <v>1215</v>
      </c>
      <c r="H26" s="397">
        <v>13154</v>
      </c>
      <c r="I26" s="103">
        <v>13154</v>
      </c>
      <c r="J26" s="386">
        <v>179.52</v>
      </c>
      <c r="K26" s="386">
        <v>21.41</v>
      </c>
      <c r="L26" s="386">
        <v>9.9700000000000006</v>
      </c>
      <c r="M26" s="386">
        <v>4.3499999999999996</v>
      </c>
      <c r="N26" s="386">
        <v>11.47</v>
      </c>
      <c r="O26" s="386">
        <v>12.81</v>
      </c>
      <c r="P26" s="386">
        <v>7.11</v>
      </c>
      <c r="Q26" s="386">
        <v>25.3</v>
      </c>
      <c r="R26" s="386">
        <v>13.98</v>
      </c>
      <c r="S26" s="386">
        <v>40.049999999999997</v>
      </c>
      <c r="T26" s="386">
        <v>30.95</v>
      </c>
      <c r="U26" s="386">
        <v>12.92</v>
      </c>
      <c r="V26" s="386">
        <v>187.87</v>
      </c>
      <c r="W26" s="386">
        <v>11.82</v>
      </c>
      <c r="X26" s="386">
        <v>28.78</v>
      </c>
      <c r="Y26" s="386">
        <v>16.899999999999999</v>
      </c>
      <c r="Z26" s="386">
        <v>179.52</v>
      </c>
      <c r="AA26" s="386">
        <v>20.51</v>
      </c>
      <c r="AB26" s="2"/>
      <c r="AC26" s="2"/>
    </row>
    <row r="27" spans="1:29" customFormat="1" ht="18">
      <c r="A27" s="103" t="s">
        <v>273</v>
      </c>
      <c r="B27" s="103" t="s">
        <v>74</v>
      </c>
      <c r="C27" s="396" t="s">
        <v>266</v>
      </c>
      <c r="D27" s="396" t="s">
        <v>267</v>
      </c>
      <c r="E27" s="103">
        <v>5647</v>
      </c>
      <c r="F27" s="103" t="s">
        <v>1573</v>
      </c>
      <c r="G27" s="103">
        <v>1330</v>
      </c>
      <c r="H27" s="397">
        <v>13154</v>
      </c>
      <c r="I27" s="103">
        <v>13154</v>
      </c>
      <c r="J27" s="386">
        <v>181.26</v>
      </c>
      <c r="K27" s="386">
        <v>21.3</v>
      </c>
      <c r="L27" s="386">
        <v>11.08</v>
      </c>
      <c r="M27" s="386">
        <v>4.96</v>
      </c>
      <c r="N27" s="386">
        <v>12.46</v>
      </c>
      <c r="O27" s="386">
        <v>12.69</v>
      </c>
      <c r="P27" s="386">
        <v>7.89</v>
      </c>
      <c r="Q27" s="386">
        <v>25.48</v>
      </c>
      <c r="R27" s="386">
        <v>13.42</v>
      </c>
      <c r="S27" s="386">
        <v>44.2</v>
      </c>
      <c r="T27" s="386">
        <v>29.91</v>
      </c>
      <c r="U27" s="386">
        <v>13.16</v>
      </c>
      <c r="V27" s="386">
        <v>203.81</v>
      </c>
      <c r="W27" s="386">
        <v>11.62</v>
      </c>
      <c r="X27" s="386">
        <v>28.3</v>
      </c>
      <c r="Y27" s="386">
        <v>18.32</v>
      </c>
      <c r="Z27" s="386">
        <v>190.51</v>
      </c>
      <c r="AA27" s="386">
        <v>19.260000000000002</v>
      </c>
      <c r="AB27" s="2"/>
      <c r="AC27" s="2"/>
    </row>
    <row r="28" spans="1:29" customFormat="1" ht="18">
      <c r="A28" s="103" t="s">
        <v>273</v>
      </c>
      <c r="B28" s="103" t="s">
        <v>74</v>
      </c>
      <c r="C28" s="396" t="s">
        <v>266</v>
      </c>
      <c r="D28" s="396" t="s">
        <v>267</v>
      </c>
      <c r="E28" s="103">
        <v>1852</v>
      </c>
      <c r="F28" s="103" t="s">
        <v>1573</v>
      </c>
      <c r="G28" s="103">
        <v>1237</v>
      </c>
      <c r="H28" s="397">
        <v>17237</v>
      </c>
      <c r="I28" s="103">
        <v>17237</v>
      </c>
      <c r="J28" s="386">
        <v>184.84</v>
      </c>
      <c r="K28" s="386">
        <v>22.35</v>
      </c>
      <c r="L28" s="386">
        <v>9.9</v>
      </c>
      <c r="M28" s="386">
        <v>3.94</v>
      </c>
      <c r="N28" s="386">
        <v>13.22</v>
      </c>
      <c r="O28" s="386">
        <v>12.48</v>
      </c>
      <c r="P28" s="386">
        <v>6.92</v>
      </c>
      <c r="Q28" s="386">
        <v>25.36</v>
      </c>
      <c r="R28" s="386">
        <v>13.15</v>
      </c>
      <c r="S28" s="386">
        <v>42.82</v>
      </c>
      <c r="T28" s="386">
        <v>32.44</v>
      </c>
      <c r="U28" s="386">
        <v>14.82</v>
      </c>
      <c r="V28" s="386">
        <v>194.21</v>
      </c>
      <c r="W28" s="386">
        <v>13.27</v>
      </c>
      <c r="X28" s="386">
        <v>31.46</v>
      </c>
      <c r="Y28" s="386">
        <v>17.93</v>
      </c>
      <c r="Z28" s="386">
        <v>182.99</v>
      </c>
      <c r="AA28" s="386">
        <v>18.850000000000001</v>
      </c>
      <c r="AB28" s="2"/>
      <c r="AC28" s="2"/>
    </row>
    <row r="29" spans="1:29" customFormat="1" ht="18">
      <c r="A29" s="103" t="s">
        <v>273</v>
      </c>
      <c r="B29" s="103" t="s">
        <v>74</v>
      </c>
      <c r="C29" s="396" t="s">
        <v>266</v>
      </c>
      <c r="D29" s="396" t="s">
        <v>267</v>
      </c>
      <c r="E29" s="103">
        <v>15702</v>
      </c>
      <c r="F29" s="103" t="s">
        <v>1572</v>
      </c>
      <c r="G29" s="103">
        <v>1230</v>
      </c>
      <c r="H29" s="397">
        <v>17917</v>
      </c>
      <c r="I29" s="103">
        <v>17917</v>
      </c>
      <c r="J29" s="386">
        <v>176.47</v>
      </c>
      <c r="K29" s="386">
        <v>21.42</v>
      </c>
      <c r="L29" s="386">
        <v>10.66</v>
      </c>
      <c r="M29" s="386">
        <v>5.76</v>
      </c>
      <c r="N29" s="386">
        <v>11.69</v>
      </c>
      <c r="O29" s="386">
        <v>12.99</v>
      </c>
      <c r="P29" s="386">
        <v>8.35</v>
      </c>
      <c r="Q29" s="386"/>
      <c r="R29" s="386"/>
      <c r="S29" s="386"/>
      <c r="T29" s="386"/>
      <c r="U29" s="386"/>
      <c r="V29" s="386"/>
      <c r="W29" s="386"/>
      <c r="X29" s="386"/>
      <c r="Y29" s="386"/>
      <c r="Z29" s="386"/>
      <c r="AA29" s="386"/>
      <c r="AB29" s="2"/>
      <c r="AC29" s="2"/>
    </row>
    <row r="30" spans="1:29" customFormat="1" ht="18">
      <c r="A30" s="103" t="s">
        <v>273</v>
      </c>
      <c r="B30" s="103" t="s">
        <v>74</v>
      </c>
      <c r="C30" s="396" t="s">
        <v>266</v>
      </c>
      <c r="D30" s="396" t="s">
        <v>505</v>
      </c>
      <c r="E30" s="103">
        <v>1350</v>
      </c>
      <c r="F30" s="103" t="s">
        <v>1573</v>
      </c>
      <c r="G30" s="103">
        <v>1511</v>
      </c>
      <c r="H30" s="397">
        <v>22680</v>
      </c>
      <c r="I30" s="103">
        <v>22680</v>
      </c>
      <c r="J30" s="386">
        <v>239.79</v>
      </c>
      <c r="K30" s="386">
        <v>28.13</v>
      </c>
      <c r="L30" s="386">
        <v>12.36</v>
      </c>
      <c r="M30" s="386">
        <v>5.73</v>
      </c>
      <c r="N30" s="386">
        <v>14.6</v>
      </c>
      <c r="O30" s="386">
        <v>15.35</v>
      </c>
      <c r="P30" s="386">
        <v>7.6</v>
      </c>
      <c r="Q30" s="386">
        <v>37.72</v>
      </c>
      <c r="R30" s="386">
        <v>20.239999999999998</v>
      </c>
      <c r="S30" s="386">
        <v>61.35</v>
      </c>
      <c r="T30" s="386">
        <v>42.22</v>
      </c>
      <c r="U30" s="386">
        <v>17.93</v>
      </c>
      <c r="V30" s="386">
        <v>248.4</v>
      </c>
      <c r="W30" s="386">
        <v>16.66</v>
      </c>
      <c r="X30" s="386">
        <v>42.17</v>
      </c>
      <c r="Y30" s="386">
        <v>23.06</v>
      </c>
      <c r="Z30" s="386">
        <v>234.36</v>
      </c>
      <c r="AA30" s="386">
        <v>31.46</v>
      </c>
      <c r="AB30" s="2"/>
      <c r="AC30" s="2"/>
    </row>
    <row r="31" spans="1:29" customFormat="1" ht="18">
      <c r="A31" s="103" t="s">
        <v>273</v>
      </c>
      <c r="B31" s="103" t="s">
        <v>74</v>
      </c>
      <c r="C31" s="396" t="s">
        <v>266</v>
      </c>
      <c r="D31" s="396" t="s">
        <v>505</v>
      </c>
      <c r="E31" s="103">
        <v>10639</v>
      </c>
      <c r="F31" s="103" t="s">
        <v>1573</v>
      </c>
      <c r="G31" s="103"/>
      <c r="H31" s="397">
        <v>23133</v>
      </c>
      <c r="I31" s="103">
        <v>23133</v>
      </c>
      <c r="J31" s="386">
        <v>226.22</v>
      </c>
      <c r="K31" s="386">
        <v>27.13</v>
      </c>
      <c r="L31" s="386">
        <v>11.41</v>
      </c>
      <c r="M31" s="386">
        <v>6.07</v>
      </c>
      <c r="N31" s="386">
        <v>12.93</v>
      </c>
      <c r="O31" s="386">
        <v>15.09</v>
      </c>
      <c r="P31" s="386">
        <v>7.93</v>
      </c>
      <c r="Q31" s="386"/>
      <c r="R31" s="386"/>
      <c r="S31" s="386"/>
      <c r="T31" s="386"/>
      <c r="U31" s="386"/>
      <c r="V31" s="386"/>
      <c r="W31" s="386"/>
      <c r="X31" s="386"/>
      <c r="Y31" s="386"/>
      <c r="Z31" s="386"/>
      <c r="AA31" s="386"/>
      <c r="AB31" s="2"/>
      <c r="AC31" s="2"/>
    </row>
    <row r="32" spans="1:29" customFormat="1" ht="18">
      <c r="A32" s="103" t="s">
        <v>273</v>
      </c>
      <c r="B32" s="103" t="s">
        <v>74</v>
      </c>
      <c r="C32" s="396" t="s">
        <v>266</v>
      </c>
      <c r="D32" s="396" t="s">
        <v>505</v>
      </c>
      <c r="E32" s="103">
        <v>13252</v>
      </c>
      <c r="F32" s="103" t="s">
        <v>1572</v>
      </c>
      <c r="G32" s="103">
        <v>1676</v>
      </c>
      <c r="H32" s="397">
        <v>24040</v>
      </c>
      <c r="I32" s="103">
        <v>24040</v>
      </c>
      <c r="J32" s="386">
        <v>214.26</v>
      </c>
      <c r="K32" s="386">
        <v>25.76</v>
      </c>
      <c r="L32" s="386">
        <v>12.02</v>
      </c>
      <c r="M32" s="386">
        <v>5.59</v>
      </c>
      <c r="N32" s="386">
        <v>13.5</v>
      </c>
      <c r="O32" s="386">
        <v>15.3</v>
      </c>
      <c r="P32" s="386">
        <v>7.86</v>
      </c>
      <c r="Q32" s="386"/>
      <c r="R32" s="386"/>
      <c r="S32" s="386"/>
      <c r="T32" s="386">
        <v>42.07</v>
      </c>
      <c r="U32" s="386">
        <v>19.98</v>
      </c>
      <c r="V32" s="386">
        <v>250.98</v>
      </c>
      <c r="W32" s="386">
        <v>17.02</v>
      </c>
      <c r="X32" s="386">
        <v>42.16</v>
      </c>
      <c r="Y32" s="386">
        <v>25.06</v>
      </c>
      <c r="Z32" s="386">
        <v>238.54</v>
      </c>
      <c r="AA32" s="386">
        <v>30.22</v>
      </c>
      <c r="AB32" s="2"/>
      <c r="AC32" s="2"/>
    </row>
    <row r="33" spans="1:29" customFormat="1" ht="18">
      <c r="A33" s="103" t="s">
        <v>273</v>
      </c>
      <c r="B33" s="103" t="s">
        <v>74</v>
      </c>
      <c r="C33" s="396" t="s">
        <v>266</v>
      </c>
      <c r="D33" s="396" t="s">
        <v>505</v>
      </c>
      <c r="E33" s="103">
        <v>2835</v>
      </c>
      <c r="F33" s="103" t="s">
        <v>1572</v>
      </c>
      <c r="G33" s="103">
        <v>1581</v>
      </c>
      <c r="H33" s="397">
        <v>26393</v>
      </c>
      <c r="I33" s="103">
        <v>26393</v>
      </c>
      <c r="J33" s="386">
        <v>206.73</v>
      </c>
      <c r="K33" s="386">
        <v>24.08</v>
      </c>
      <c r="L33" s="386">
        <v>10.23</v>
      </c>
      <c r="M33" s="386">
        <v>6.54</v>
      </c>
      <c r="N33" s="386">
        <v>13.09</v>
      </c>
      <c r="O33" s="386">
        <v>13.59</v>
      </c>
      <c r="P33" s="386">
        <v>7.06</v>
      </c>
      <c r="Q33" s="386"/>
      <c r="R33" s="386"/>
      <c r="S33" s="386"/>
      <c r="T33" s="386"/>
      <c r="U33" s="386"/>
      <c r="V33" s="386"/>
      <c r="W33" s="386"/>
      <c r="X33" s="386"/>
      <c r="Y33" s="386"/>
      <c r="Z33" s="386"/>
      <c r="AA33" s="386"/>
      <c r="AB33" s="2"/>
      <c r="AC33" s="2"/>
    </row>
    <row r="34" spans="1:29" customFormat="1" ht="18">
      <c r="A34" s="103" t="s">
        <v>273</v>
      </c>
      <c r="B34" s="103" t="s">
        <v>74</v>
      </c>
      <c r="C34" s="396" t="s">
        <v>266</v>
      </c>
      <c r="D34" s="396" t="s">
        <v>505</v>
      </c>
      <c r="E34" s="103">
        <v>13266</v>
      </c>
      <c r="F34" s="103" t="s">
        <v>1572</v>
      </c>
      <c r="G34" s="103">
        <v>1560</v>
      </c>
      <c r="H34" s="398">
        <v>32000</v>
      </c>
      <c r="I34" s="104">
        <v>32000</v>
      </c>
      <c r="J34" s="386">
        <v>197.25</v>
      </c>
      <c r="K34" s="386">
        <v>25.32</v>
      </c>
      <c r="L34" s="386">
        <v>10.93</v>
      </c>
      <c r="M34" s="386">
        <v>4.78</v>
      </c>
      <c r="N34" s="386">
        <v>12.59</v>
      </c>
      <c r="O34" s="386">
        <v>12.94</v>
      </c>
      <c r="P34" s="386">
        <v>8.34</v>
      </c>
      <c r="Q34" s="386">
        <v>32.44</v>
      </c>
      <c r="R34" s="386">
        <v>18.7</v>
      </c>
      <c r="S34" s="386">
        <v>58.05</v>
      </c>
      <c r="T34" s="386">
        <v>40.1</v>
      </c>
      <c r="U34" s="386">
        <v>17.61</v>
      </c>
      <c r="V34" s="386">
        <v>221.86</v>
      </c>
      <c r="W34" s="386">
        <v>15.84</v>
      </c>
      <c r="X34" s="386">
        <v>39.619999999999997</v>
      </c>
      <c r="Y34" s="386">
        <v>23.97</v>
      </c>
      <c r="Z34" s="386">
        <v>210.85</v>
      </c>
      <c r="AA34" s="386">
        <v>27.93</v>
      </c>
      <c r="AB34" s="2"/>
      <c r="AC34" s="2"/>
    </row>
    <row r="35" spans="1:29" customFormat="1" ht="18">
      <c r="A35" s="103" t="s">
        <v>273</v>
      </c>
      <c r="B35" s="103" t="s">
        <v>74</v>
      </c>
      <c r="C35" s="396" t="s">
        <v>266</v>
      </c>
      <c r="D35" s="396" t="s">
        <v>505</v>
      </c>
      <c r="E35" s="103">
        <v>13263</v>
      </c>
      <c r="F35" s="103" t="s">
        <v>1572</v>
      </c>
      <c r="G35" s="103">
        <v>1626</v>
      </c>
      <c r="H35" s="397">
        <v>32205</v>
      </c>
      <c r="I35" s="103">
        <v>32205</v>
      </c>
      <c r="J35" s="386">
        <v>222</v>
      </c>
      <c r="K35" s="386">
        <v>25.39</v>
      </c>
      <c r="L35" s="386">
        <v>12.27</v>
      </c>
      <c r="M35" s="386">
        <v>5.95</v>
      </c>
      <c r="N35" s="386">
        <v>15.11</v>
      </c>
      <c r="O35" s="386">
        <v>13.28</v>
      </c>
      <c r="P35" s="386">
        <v>8.98</v>
      </c>
      <c r="Q35" s="386"/>
      <c r="R35" s="386"/>
      <c r="S35" s="386"/>
      <c r="T35" s="386"/>
      <c r="U35" s="386"/>
      <c r="V35" s="386"/>
      <c r="W35" s="386"/>
      <c r="X35" s="386"/>
      <c r="Y35" s="386"/>
      <c r="Z35" s="386"/>
      <c r="AA35" s="386"/>
      <c r="AB35" s="2"/>
      <c r="AC35" s="2"/>
    </row>
    <row r="36" spans="1:29" customFormat="1" ht="18">
      <c r="A36" s="103" t="s">
        <v>273</v>
      </c>
      <c r="B36" s="103" t="s">
        <v>74</v>
      </c>
      <c r="C36" s="396" t="s">
        <v>266</v>
      </c>
      <c r="D36" s="396" t="s">
        <v>505</v>
      </c>
      <c r="E36" s="103">
        <v>13262</v>
      </c>
      <c r="F36" s="103" t="s">
        <v>1573</v>
      </c>
      <c r="G36" s="103">
        <v>1575</v>
      </c>
      <c r="H36" s="397">
        <v>33112</v>
      </c>
      <c r="I36" s="103">
        <v>33112</v>
      </c>
      <c r="J36" s="386">
        <v>215.42</v>
      </c>
      <c r="K36" s="386">
        <v>30.69</v>
      </c>
      <c r="L36" s="386">
        <v>12.51</v>
      </c>
      <c r="M36" s="386">
        <v>7.88</v>
      </c>
      <c r="N36" s="386">
        <v>14.51</v>
      </c>
      <c r="O36" s="386">
        <v>14.29</v>
      </c>
      <c r="P36" s="386">
        <v>7.62</v>
      </c>
      <c r="Q36" s="386"/>
      <c r="R36" s="386"/>
      <c r="S36" s="386"/>
      <c r="T36" s="386"/>
      <c r="U36" s="386"/>
      <c r="V36" s="386"/>
      <c r="W36" s="386"/>
      <c r="X36" s="386"/>
      <c r="Y36" s="386"/>
      <c r="Z36" s="386"/>
      <c r="AA36" s="386"/>
      <c r="AB36" s="2"/>
      <c r="AC36" s="2"/>
    </row>
    <row r="37" spans="1:29" customFormat="1" ht="18">
      <c r="A37" s="103" t="s">
        <v>273</v>
      </c>
      <c r="B37" s="103" t="s">
        <v>74</v>
      </c>
      <c r="C37" s="396" t="s">
        <v>266</v>
      </c>
      <c r="D37" s="396" t="s">
        <v>505</v>
      </c>
      <c r="E37" s="103">
        <v>1362</v>
      </c>
      <c r="F37" s="103" t="s">
        <v>1573</v>
      </c>
      <c r="G37" s="103">
        <v>1537</v>
      </c>
      <c r="H37" s="397">
        <v>33566</v>
      </c>
      <c r="I37" s="103">
        <v>33566</v>
      </c>
      <c r="J37" s="386">
        <v>215.84</v>
      </c>
      <c r="K37" s="386">
        <v>25.95</v>
      </c>
      <c r="L37" s="386">
        <v>12.54</v>
      </c>
      <c r="M37" s="386">
        <v>5.26</v>
      </c>
      <c r="N37" s="386">
        <v>14.87</v>
      </c>
      <c r="O37" s="386">
        <v>15.29</v>
      </c>
      <c r="P37" s="386">
        <v>8.75</v>
      </c>
      <c r="Q37" s="386">
        <v>37.380000000000003</v>
      </c>
      <c r="R37" s="386">
        <v>21.23</v>
      </c>
      <c r="S37" s="386">
        <v>59.93</v>
      </c>
      <c r="T37" s="386">
        <v>45.7</v>
      </c>
      <c r="U37" s="386">
        <v>18.329999999999998</v>
      </c>
      <c r="V37" s="386">
        <v>258.01</v>
      </c>
      <c r="W37" s="386">
        <v>16.5</v>
      </c>
      <c r="X37" s="386">
        <v>42.34</v>
      </c>
      <c r="Y37" s="386">
        <v>25.45</v>
      </c>
      <c r="Z37" s="386">
        <v>249.69</v>
      </c>
      <c r="AA37" s="386">
        <v>32.28</v>
      </c>
      <c r="AB37" s="2"/>
      <c r="AC37" s="2"/>
    </row>
    <row r="38" spans="1:29" customFormat="1" ht="18">
      <c r="A38" s="103" t="s">
        <v>273</v>
      </c>
      <c r="B38" s="103" t="s">
        <v>74</v>
      </c>
      <c r="C38" s="396" t="s">
        <v>266</v>
      </c>
      <c r="D38" s="396" t="s">
        <v>505</v>
      </c>
      <c r="E38" s="103">
        <v>1221</v>
      </c>
      <c r="F38" s="103" t="s">
        <v>1573</v>
      </c>
      <c r="G38" s="103">
        <v>1676</v>
      </c>
      <c r="H38" s="397">
        <v>34473</v>
      </c>
      <c r="I38" s="103">
        <v>34473</v>
      </c>
      <c r="J38" s="386">
        <v>227.07</v>
      </c>
      <c r="K38" s="386">
        <v>29.75</v>
      </c>
      <c r="L38" s="386">
        <v>11.88</v>
      </c>
      <c r="M38" s="386">
        <v>6.26</v>
      </c>
      <c r="N38" s="386">
        <v>15.91</v>
      </c>
      <c r="O38" s="386">
        <v>16.02</v>
      </c>
      <c r="P38" s="386">
        <v>8.86</v>
      </c>
      <c r="Q38" s="386">
        <v>33.950000000000003</v>
      </c>
      <c r="R38" s="386">
        <v>20.64</v>
      </c>
      <c r="S38" s="386">
        <v>61.25</v>
      </c>
      <c r="T38" s="386">
        <v>44.3</v>
      </c>
      <c r="U38" s="386">
        <v>17.29</v>
      </c>
      <c r="V38" s="386">
        <v>247.84</v>
      </c>
      <c r="W38" s="386">
        <v>16.98</v>
      </c>
      <c r="X38" s="386">
        <v>42.38</v>
      </c>
      <c r="Y38" s="386">
        <v>26.24</v>
      </c>
      <c r="Z38" s="386">
        <v>256.94</v>
      </c>
      <c r="AA38" s="386">
        <v>31.69</v>
      </c>
      <c r="AB38" s="2"/>
      <c r="AC38" s="2"/>
    </row>
    <row r="39" spans="1:29" customFormat="1" ht="18">
      <c r="A39" s="103" t="s">
        <v>273</v>
      </c>
      <c r="B39" s="103" t="s">
        <v>74</v>
      </c>
      <c r="C39" s="396" t="s">
        <v>266</v>
      </c>
      <c r="D39" s="396" t="s">
        <v>505</v>
      </c>
      <c r="E39" s="103">
        <v>1361</v>
      </c>
      <c r="F39" s="103" t="s">
        <v>1573</v>
      </c>
      <c r="G39" s="103">
        <v>1575</v>
      </c>
      <c r="H39" s="397">
        <v>34927</v>
      </c>
      <c r="I39" s="103">
        <v>34927</v>
      </c>
      <c r="J39" s="386">
        <v>218.09</v>
      </c>
      <c r="K39" s="386">
        <v>27.37</v>
      </c>
      <c r="L39" s="386">
        <v>10.76</v>
      </c>
      <c r="M39" s="386">
        <v>6.94</v>
      </c>
      <c r="N39" s="386">
        <v>15.47</v>
      </c>
      <c r="O39" s="386">
        <v>15.34</v>
      </c>
      <c r="P39" s="386">
        <v>6.54</v>
      </c>
      <c r="Q39" s="386">
        <v>37.49</v>
      </c>
      <c r="R39" s="386">
        <v>21.33</v>
      </c>
      <c r="S39" s="386">
        <v>61.29</v>
      </c>
      <c r="T39" s="386">
        <v>44.21</v>
      </c>
      <c r="U39" s="386">
        <v>19.07</v>
      </c>
      <c r="V39" s="386">
        <v>275.48</v>
      </c>
      <c r="W39" s="386">
        <v>16.28</v>
      </c>
      <c r="X39" s="386">
        <v>43.2</v>
      </c>
      <c r="Y39" s="386">
        <v>24.36</v>
      </c>
      <c r="Z39" s="386">
        <v>232.84</v>
      </c>
      <c r="AA39" s="386">
        <v>27.98</v>
      </c>
      <c r="AB39" s="2"/>
      <c r="AC39" s="2"/>
    </row>
    <row r="40" spans="1:29" customFormat="1" ht="18">
      <c r="A40" s="103" t="s">
        <v>273</v>
      </c>
      <c r="B40" s="103" t="s">
        <v>74</v>
      </c>
      <c r="C40" s="396" t="s">
        <v>266</v>
      </c>
      <c r="D40" s="396" t="s">
        <v>505</v>
      </c>
      <c r="E40" s="103">
        <v>13265</v>
      </c>
      <c r="F40" s="103" t="s">
        <v>1573</v>
      </c>
      <c r="G40" s="103">
        <v>1746</v>
      </c>
      <c r="H40" s="397">
        <v>36287</v>
      </c>
      <c r="I40" s="103">
        <v>36287</v>
      </c>
      <c r="J40" s="386">
        <v>235.64</v>
      </c>
      <c r="K40" s="386">
        <v>30.44</v>
      </c>
      <c r="L40" s="386">
        <v>12.18</v>
      </c>
      <c r="M40" s="386">
        <v>5.83</v>
      </c>
      <c r="N40" s="386">
        <v>16.05</v>
      </c>
      <c r="O40" s="386">
        <v>16.72</v>
      </c>
      <c r="P40" s="386">
        <v>8.5500000000000007</v>
      </c>
      <c r="Q40" s="386"/>
      <c r="R40" s="386"/>
      <c r="S40" s="386"/>
      <c r="T40" s="386">
        <v>46.88</v>
      </c>
      <c r="U40" s="386">
        <v>18.73</v>
      </c>
      <c r="V40" s="386">
        <v>262.2</v>
      </c>
      <c r="W40" s="386">
        <v>20.36</v>
      </c>
      <c r="X40" s="386">
        <v>45.95</v>
      </c>
      <c r="Y40" s="386">
        <v>28.42</v>
      </c>
      <c r="Z40" s="386">
        <v>257.11</v>
      </c>
      <c r="AA40" s="386">
        <v>30.27</v>
      </c>
      <c r="AB40" s="2"/>
      <c r="AC40" s="2"/>
    </row>
    <row r="41" spans="1:29" customFormat="1" ht="18">
      <c r="A41" s="103" t="s">
        <v>273</v>
      </c>
      <c r="B41" s="103" t="s">
        <v>74</v>
      </c>
      <c r="C41" s="396" t="s">
        <v>266</v>
      </c>
      <c r="D41" s="396" t="s">
        <v>505</v>
      </c>
      <c r="E41" s="103">
        <v>1349</v>
      </c>
      <c r="F41" s="103" t="s">
        <v>1573</v>
      </c>
      <c r="G41" s="103">
        <v>1549</v>
      </c>
      <c r="H41" s="397">
        <v>38555.4</v>
      </c>
      <c r="I41" s="103">
        <v>38555.4</v>
      </c>
      <c r="J41" s="386">
        <v>224.95</v>
      </c>
      <c r="K41" s="386">
        <v>28.62</v>
      </c>
      <c r="L41" s="386">
        <v>12.04</v>
      </c>
      <c r="M41" s="386">
        <v>6.91</v>
      </c>
      <c r="N41" s="386">
        <v>15.55</v>
      </c>
      <c r="O41" s="386">
        <v>16.36</v>
      </c>
      <c r="P41" s="386">
        <v>8.7100000000000009</v>
      </c>
      <c r="Q41" s="386">
        <v>33.979999999999997</v>
      </c>
      <c r="R41" s="386">
        <v>19.22</v>
      </c>
      <c r="S41" s="386">
        <v>61.93</v>
      </c>
      <c r="T41" s="386">
        <v>42.44</v>
      </c>
      <c r="U41" s="386">
        <v>18.72</v>
      </c>
      <c r="V41" s="386">
        <v>274.45</v>
      </c>
      <c r="W41" s="386" t="s">
        <v>1577</v>
      </c>
      <c r="X41" s="386">
        <v>41.13</v>
      </c>
      <c r="Y41" s="386">
        <v>28.94</v>
      </c>
      <c r="Z41" s="386">
        <v>239.62</v>
      </c>
      <c r="AA41" s="386">
        <v>31</v>
      </c>
      <c r="AB41" s="2"/>
      <c r="AC41" s="2"/>
    </row>
    <row r="42" spans="1:29" customFormat="1" ht="18">
      <c r="A42" s="103" t="s">
        <v>273</v>
      </c>
      <c r="B42" s="103" t="s">
        <v>74</v>
      </c>
      <c r="C42" s="396" t="s">
        <v>266</v>
      </c>
      <c r="D42" s="396" t="s">
        <v>505</v>
      </c>
      <c r="E42" s="103">
        <v>1872</v>
      </c>
      <c r="F42" s="103" t="s">
        <v>1573</v>
      </c>
      <c r="G42" s="103"/>
      <c r="H42" s="397">
        <v>44452</v>
      </c>
      <c r="I42" s="103">
        <v>44452</v>
      </c>
      <c r="J42" s="386">
        <v>237.12</v>
      </c>
      <c r="K42" s="386">
        <v>28.65</v>
      </c>
      <c r="L42" s="386">
        <v>11.67</v>
      </c>
      <c r="M42" s="386">
        <v>5.97</v>
      </c>
      <c r="N42" s="386">
        <v>14.36</v>
      </c>
      <c r="O42" s="386">
        <v>14.31</v>
      </c>
      <c r="P42" s="386">
        <v>8.5299999999999994</v>
      </c>
      <c r="Q42" s="386">
        <v>39.590000000000003</v>
      </c>
      <c r="R42" s="386">
        <v>22.2</v>
      </c>
      <c r="S42" s="386">
        <v>66.790000000000006</v>
      </c>
      <c r="T42" s="386">
        <v>47.85</v>
      </c>
      <c r="U42" s="386">
        <v>20.71</v>
      </c>
      <c r="V42" s="386">
        <v>279.49</v>
      </c>
      <c r="W42" s="386">
        <v>20.59</v>
      </c>
      <c r="X42" s="386">
        <v>47.6</v>
      </c>
      <c r="Y42" s="386">
        <v>27.46</v>
      </c>
      <c r="Z42" s="386">
        <v>261.14999999999998</v>
      </c>
      <c r="AA42" s="386">
        <v>31.1</v>
      </c>
      <c r="AB42" s="2"/>
      <c r="AC42" s="2"/>
    </row>
    <row r="43" spans="1:29" customFormat="1" ht="18">
      <c r="A43" s="103" t="s">
        <v>273</v>
      </c>
      <c r="B43" s="103" t="s">
        <v>74</v>
      </c>
      <c r="C43" s="396" t="s">
        <v>299</v>
      </c>
      <c r="D43" s="396" t="s">
        <v>1570</v>
      </c>
      <c r="E43" s="103">
        <v>16468</v>
      </c>
      <c r="F43" s="103" t="s">
        <v>1571</v>
      </c>
      <c r="G43" s="103"/>
      <c r="H43" s="397">
        <f t="shared" ref="H43:H56" si="0">10^((LOG(J43)*3.407)+-3.511)</f>
        <v>848.98984354901961</v>
      </c>
      <c r="I43" s="103"/>
      <c r="J43" s="386">
        <v>77.66</v>
      </c>
      <c r="K43" s="386">
        <v>8.6999999999999993</v>
      </c>
      <c r="L43" s="386">
        <v>5.22</v>
      </c>
      <c r="M43" s="386">
        <v>3.12</v>
      </c>
      <c r="N43" s="386">
        <v>5.34</v>
      </c>
      <c r="O43" s="386">
        <v>4.2300000000000004</v>
      </c>
      <c r="P43" s="386">
        <v>3.36</v>
      </c>
      <c r="Q43" s="386">
        <v>9.59</v>
      </c>
      <c r="R43" s="386">
        <v>5.0599999999999996</v>
      </c>
      <c r="S43" s="386">
        <v>16.350000000000001</v>
      </c>
      <c r="T43" s="386">
        <v>11.16</v>
      </c>
      <c r="U43" s="386">
        <v>4.5</v>
      </c>
      <c r="V43" s="386">
        <v>84.63</v>
      </c>
      <c r="W43" s="386">
        <v>4.25</v>
      </c>
      <c r="X43" s="386">
        <v>11.2</v>
      </c>
      <c r="Y43" s="386">
        <v>5.82</v>
      </c>
      <c r="Z43" s="386">
        <v>70.61</v>
      </c>
      <c r="AA43" s="386">
        <v>7.39</v>
      </c>
      <c r="AB43" s="2"/>
      <c r="AC43" s="2"/>
    </row>
    <row r="44" spans="1:29" customFormat="1" ht="18">
      <c r="A44" s="103" t="s">
        <v>273</v>
      </c>
      <c r="B44" s="103" t="s">
        <v>74</v>
      </c>
      <c r="C44" s="396" t="s">
        <v>299</v>
      </c>
      <c r="D44" s="396" t="s">
        <v>1260</v>
      </c>
      <c r="E44" s="103">
        <v>16505</v>
      </c>
      <c r="F44" s="103" t="s">
        <v>1571</v>
      </c>
      <c r="G44" s="103"/>
      <c r="H44" s="397">
        <f t="shared" si="0"/>
        <v>1716.7875003721563</v>
      </c>
      <c r="I44" s="103"/>
      <c r="J44" s="386">
        <v>95.49</v>
      </c>
      <c r="K44" s="386">
        <v>9.5299999999999994</v>
      </c>
      <c r="L44" s="386">
        <v>5.71</v>
      </c>
      <c r="M44" s="386">
        <v>4.24</v>
      </c>
      <c r="N44" s="386">
        <v>6.69</v>
      </c>
      <c r="O44" s="386">
        <v>5.43</v>
      </c>
      <c r="P44" s="386">
        <v>3.97</v>
      </c>
      <c r="Q44" s="386"/>
      <c r="R44" s="386"/>
      <c r="S44" s="386"/>
      <c r="T44" s="386"/>
      <c r="U44" s="386"/>
      <c r="V44" s="386"/>
      <c r="W44" s="386"/>
      <c r="X44" s="386"/>
      <c r="Y44" s="386"/>
      <c r="Z44" s="386"/>
      <c r="AA44" s="386"/>
      <c r="AB44" s="2"/>
      <c r="AC44" s="2"/>
    </row>
    <row r="45" spans="1:29" customFormat="1" ht="18">
      <c r="A45" s="103" t="s">
        <v>273</v>
      </c>
      <c r="B45" s="103" t="s">
        <v>74</v>
      </c>
      <c r="C45" s="396" t="s">
        <v>274</v>
      </c>
      <c r="D45" s="396" t="s">
        <v>1249</v>
      </c>
      <c r="E45" s="103">
        <v>14181</v>
      </c>
      <c r="F45" s="103" t="s">
        <v>1573</v>
      </c>
      <c r="G45" s="103">
        <v>820</v>
      </c>
      <c r="H45" s="397">
        <f t="shared" si="0"/>
        <v>2241.8679129026959</v>
      </c>
      <c r="I45" s="103"/>
      <c r="J45" s="386">
        <v>103.27</v>
      </c>
      <c r="K45" s="386">
        <v>12.1</v>
      </c>
      <c r="L45" s="386">
        <v>5.85</v>
      </c>
      <c r="M45" s="386">
        <v>3.74</v>
      </c>
      <c r="N45" s="386">
        <v>7.06</v>
      </c>
      <c r="O45" s="386">
        <v>6.08</v>
      </c>
      <c r="P45" s="386">
        <v>4.17</v>
      </c>
      <c r="Q45" s="386"/>
      <c r="R45" s="386"/>
      <c r="S45" s="386"/>
      <c r="T45" s="386"/>
      <c r="U45" s="386"/>
      <c r="V45" s="386"/>
      <c r="W45" s="386"/>
      <c r="X45" s="386"/>
      <c r="Y45" s="386"/>
      <c r="Z45" s="386"/>
      <c r="AA45" s="386"/>
      <c r="AB45" s="2"/>
      <c r="AC45" s="2"/>
    </row>
    <row r="46" spans="1:29" customFormat="1" ht="18">
      <c r="A46" s="103" t="s">
        <v>273</v>
      </c>
      <c r="B46" s="103" t="s">
        <v>74</v>
      </c>
      <c r="C46" s="396" t="s">
        <v>1574</v>
      </c>
      <c r="D46" s="396" t="s">
        <v>1575</v>
      </c>
      <c r="E46" s="103">
        <v>16467</v>
      </c>
      <c r="F46" s="103" t="s">
        <v>1572</v>
      </c>
      <c r="G46" s="103">
        <v>940</v>
      </c>
      <c r="H46" s="397">
        <f t="shared" si="0"/>
        <v>2814.4635794711512</v>
      </c>
      <c r="I46" s="103"/>
      <c r="J46" s="386">
        <v>110.4</v>
      </c>
      <c r="K46" s="386">
        <v>12.01</v>
      </c>
      <c r="L46" s="386">
        <v>5.38</v>
      </c>
      <c r="M46" s="386"/>
      <c r="N46" s="386">
        <v>6.15</v>
      </c>
      <c r="O46" s="386">
        <v>6.92</v>
      </c>
      <c r="P46" s="386">
        <v>3.88</v>
      </c>
      <c r="Q46" s="386"/>
      <c r="R46" s="386"/>
      <c r="S46" s="386"/>
      <c r="T46" s="386">
        <v>26.54</v>
      </c>
      <c r="U46" s="386">
        <v>8.66</v>
      </c>
      <c r="V46" s="386">
        <v>103.31</v>
      </c>
      <c r="W46" s="386">
        <v>8.08</v>
      </c>
      <c r="X46" s="386">
        <v>21.93</v>
      </c>
      <c r="Y46" s="386">
        <v>12.97</v>
      </c>
      <c r="Z46" s="386">
        <v>104.1</v>
      </c>
      <c r="AA46" s="386">
        <v>11.78</v>
      </c>
      <c r="AB46" s="2"/>
      <c r="AC46" s="2"/>
    </row>
    <row r="47" spans="1:29" customFormat="1" ht="18">
      <c r="A47" s="103" t="s">
        <v>273</v>
      </c>
      <c r="B47" s="103" t="s">
        <v>74</v>
      </c>
      <c r="C47" s="396" t="s">
        <v>274</v>
      </c>
      <c r="D47" s="396" t="s">
        <v>1249</v>
      </c>
      <c r="E47" s="103">
        <v>5514</v>
      </c>
      <c r="F47" s="103" t="s">
        <v>1573</v>
      </c>
      <c r="G47" s="103">
        <v>967</v>
      </c>
      <c r="H47" s="397">
        <f t="shared" si="0"/>
        <v>4032.4856458202939</v>
      </c>
      <c r="I47" s="103"/>
      <c r="J47" s="386">
        <v>122.69</v>
      </c>
      <c r="K47" s="386">
        <v>13.31</v>
      </c>
      <c r="L47" s="386">
        <v>8.19</v>
      </c>
      <c r="M47" s="386">
        <v>3.69</v>
      </c>
      <c r="N47" s="386">
        <v>8.2899999999999991</v>
      </c>
      <c r="O47" s="386">
        <v>7.14</v>
      </c>
      <c r="P47" s="386">
        <v>5.29</v>
      </c>
      <c r="Q47" s="386">
        <v>18.32</v>
      </c>
      <c r="R47" s="386">
        <v>9.6999999999999993</v>
      </c>
      <c r="S47" s="386">
        <v>29.71</v>
      </c>
      <c r="T47" s="386">
        <v>21.1</v>
      </c>
      <c r="U47" s="386">
        <v>9.1</v>
      </c>
      <c r="V47" s="386">
        <v>131.97999999999999</v>
      </c>
      <c r="W47" s="386">
        <v>8.5</v>
      </c>
      <c r="X47" s="386">
        <v>22.16</v>
      </c>
      <c r="Y47" s="386">
        <v>11.59</v>
      </c>
      <c r="Z47" s="386">
        <v>125.92</v>
      </c>
      <c r="AA47" s="386">
        <v>13.33</v>
      </c>
      <c r="AB47" s="2"/>
      <c r="AC47" s="2"/>
    </row>
    <row r="48" spans="1:29" customFormat="1" ht="18">
      <c r="A48" s="103" t="s">
        <v>273</v>
      </c>
      <c r="B48" s="103" t="s">
        <v>74</v>
      </c>
      <c r="C48" s="396" t="s">
        <v>299</v>
      </c>
      <c r="D48" s="396" t="s">
        <v>1261</v>
      </c>
      <c r="E48" s="103">
        <v>4892</v>
      </c>
      <c r="F48" s="103" t="s">
        <v>1572</v>
      </c>
      <c r="G48" s="103">
        <v>1060</v>
      </c>
      <c r="H48" s="397">
        <f t="shared" si="0"/>
        <v>5512.3500075095262</v>
      </c>
      <c r="I48" s="103"/>
      <c r="J48" s="386">
        <v>134.47999999999999</v>
      </c>
      <c r="K48" s="386">
        <v>15.34</v>
      </c>
      <c r="L48" s="386">
        <v>7.48</v>
      </c>
      <c r="M48" s="386">
        <v>3.14</v>
      </c>
      <c r="N48" s="386">
        <v>10.220000000000001</v>
      </c>
      <c r="O48" s="386">
        <v>6.89</v>
      </c>
      <c r="P48" s="386">
        <v>4.93</v>
      </c>
      <c r="Q48" s="386">
        <v>18.25</v>
      </c>
      <c r="R48" s="386">
        <v>9.86</v>
      </c>
      <c r="S48" s="386">
        <v>31.29</v>
      </c>
      <c r="T48" s="386">
        <v>21.51</v>
      </c>
      <c r="U48" s="386">
        <v>8.0399999999999991</v>
      </c>
      <c r="V48" s="386">
        <v>150.61000000000001</v>
      </c>
      <c r="W48" s="386">
        <v>7.52</v>
      </c>
      <c r="X48" s="386">
        <v>20.440000000000001</v>
      </c>
      <c r="Y48" s="386">
        <v>11.66</v>
      </c>
      <c r="Z48" s="386">
        <v>136.1</v>
      </c>
      <c r="AA48" s="386">
        <v>13.07</v>
      </c>
      <c r="AB48" s="2"/>
      <c r="AC48" s="2"/>
    </row>
    <row r="49" spans="1:29" customFormat="1" ht="18">
      <c r="A49" s="103" t="s">
        <v>273</v>
      </c>
      <c r="B49" s="103" t="s">
        <v>74</v>
      </c>
      <c r="C49" s="396" t="s">
        <v>266</v>
      </c>
      <c r="D49" s="396" t="s">
        <v>345</v>
      </c>
      <c r="E49" s="103">
        <v>12832</v>
      </c>
      <c r="F49" s="103" t="s">
        <v>1572</v>
      </c>
      <c r="G49" s="103"/>
      <c r="H49" s="397">
        <f t="shared" si="0"/>
        <v>14751.794853874591</v>
      </c>
      <c r="I49" s="103"/>
      <c r="J49" s="386">
        <v>179.53</v>
      </c>
      <c r="K49" s="386">
        <v>20.190000000000001</v>
      </c>
      <c r="L49" s="386">
        <v>10.29</v>
      </c>
      <c r="M49" s="386">
        <v>6.95</v>
      </c>
      <c r="N49" s="386">
        <v>12.14</v>
      </c>
      <c r="O49" s="386">
        <v>9.92</v>
      </c>
      <c r="P49" s="386">
        <v>7.19</v>
      </c>
      <c r="Q49" s="386"/>
      <c r="R49" s="386"/>
      <c r="S49" s="386"/>
      <c r="T49" s="386"/>
      <c r="U49" s="386"/>
      <c r="V49" s="386"/>
      <c r="W49" s="386"/>
      <c r="X49" s="386"/>
      <c r="Y49" s="386"/>
      <c r="Z49" s="386"/>
      <c r="AA49" s="386"/>
      <c r="AB49" s="2"/>
      <c r="AC49" s="2"/>
    </row>
    <row r="50" spans="1:29" customFormat="1" ht="18">
      <c r="A50" s="103" t="s">
        <v>273</v>
      </c>
      <c r="B50" s="103" t="s">
        <v>74</v>
      </c>
      <c r="C50" s="396" t="s">
        <v>1578</v>
      </c>
      <c r="D50" s="396" t="s">
        <v>1579</v>
      </c>
      <c r="E50" s="103">
        <v>7639</v>
      </c>
      <c r="F50" s="103" t="s">
        <v>1573</v>
      </c>
      <c r="G50" s="103">
        <v>1260</v>
      </c>
      <c r="H50" s="397">
        <f t="shared" si="0"/>
        <v>15987.705483832873</v>
      </c>
      <c r="I50" s="103"/>
      <c r="J50" s="386">
        <v>183.82</v>
      </c>
      <c r="K50" s="386">
        <v>24.05</v>
      </c>
      <c r="L50" s="386">
        <v>9.6</v>
      </c>
      <c r="M50" s="386">
        <v>4.49</v>
      </c>
      <c r="N50" s="386">
        <v>13.09</v>
      </c>
      <c r="O50" s="386">
        <v>10.41</v>
      </c>
      <c r="P50" s="386">
        <v>5.81</v>
      </c>
      <c r="Q50" s="386">
        <v>29.89</v>
      </c>
      <c r="R50" s="386">
        <v>16.62</v>
      </c>
      <c r="S50" s="386">
        <v>50.06</v>
      </c>
      <c r="T50" s="386">
        <v>35.130000000000003</v>
      </c>
      <c r="U50" s="386">
        <v>17.3</v>
      </c>
      <c r="V50" s="386">
        <v>198.53</v>
      </c>
      <c r="W50" s="386">
        <v>13.87</v>
      </c>
      <c r="X50" s="386">
        <v>34.47</v>
      </c>
      <c r="Y50" s="386">
        <v>21.3</v>
      </c>
      <c r="Z50" s="386">
        <v>193.22</v>
      </c>
      <c r="AA50" s="386">
        <v>27.91</v>
      </c>
      <c r="AB50" s="2"/>
      <c r="AC50" s="2"/>
    </row>
    <row r="51" spans="1:29" customFormat="1" ht="18">
      <c r="A51" s="103" t="s">
        <v>273</v>
      </c>
      <c r="B51" s="103" t="s">
        <v>74</v>
      </c>
      <c r="C51" s="396" t="s">
        <v>1580</v>
      </c>
      <c r="D51" s="396" t="s">
        <v>1581</v>
      </c>
      <c r="E51" s="103">
        <v>16465</v>
      </c>
      <c r="F51" s="103" t="s">
        <v>1572</v>
      </c>
      <c r="G51" s="103"/>
      <c r="H51" s="397">
        <f t="shared" si="0"/>
        <v>18340.938165314226</v>
      </c>
      <c r="I51" s="103"/>
      <c r="J51" s="386">
        <v>191.38</v>
      </c>
      <c r="K51" s="386">
        <v>20.39</v>
      </c>
      <c r="L51" s="386">
        <v>11.08</v>
      </c>
      <c r="M51" s="386">
        <v>6.2</v>
      </c>
      <c r="N51" s="386">
        <v>11.43</v>
      </c>
      <c r="O51" s="386">
        <v>10.74</v>
      </c>
      <c r="P51" s="386">
        <v>7.62</v>
      </c>
      <c r="Q51" s="386">
        <v>34.28</v>
      </c>
      <c r="R51" s="386">
        <v>18.329999999999998</v>
      </c>
      <c r="S51" s="386">
        <v>54.52</v>
      </c>
      <c r="T51" s="386"/>
      <c r="U51" s="386"/>
      <c r="V51" s="386"/>
      <c r="W51" s="386"/>
      <c r="X51" s="386"/>
      <c r="Y51" s="386"/>
      <c r="Z51" s="386"/>
      <c r="AA51" s="386"/>
      <c r="AB51" s="2"/>
      <c r="AC51" s="2"/>
    </row>
    <row r="52" spans="1:29" customFormat="1" ht="18">
      <c r="A52" s="103" t="s">
        <v>273</v>
      </c>
      <c r="B52" s="103" t="s">
        <v>74</v>
      </c>
      <c r="C52" s="396" t="s">
        <v>266</v>
      </c>
      <c r="D52" s="396" t="s">
        <v>505</v>
      </c>
      <c r="E52" s="103">
        <v>12314</v>
      </c>
      <c r="F52" s="103" t="s">
        <v>1572</v>
      </c>
      <c r="G52" s="103"/>
      <c r="H52" s="397">
        <f t="shared" si="0"/>
        <v>22311.240447379492</v>
      </c>
      <c r="I52" s="103"/>
      <c r="J52" s="386">
        <v>202.71</v>
      </c>
      <c r="K52" s="386">
        <v>25.45</v>
      </c>
      <c r="L52" s="386">
        <v>11.91</v>
      </c>
      <c r="M52" s="386">
        <v>5.92</v>
      </c>
      <c r="N52" s="386">
        <v>13.79</v>
      </c>
      <c r="O52" s="386">
        <v>11.44</v>
      </c>
      <c r="P52" s="386">
        <v>6.83</v>
      </c>
      <c r="Q52" s="386"/>
      <c r="R52" s="386"/>
      <c r="S52" s="386"/>
      <c r="T52" s="386"/>
      <c r="U52" s="386"/>
      <c r="V52" s="386"/>
      <c r="W52" s="386"/>
      <c r="X52" s="386"/>
      <c r="Y52" s="386"/>
      <c r="Z52" s="386"/>
      <c r="AA52" s="386"/>
      <c r="AB52" s="2"/>
      <c r="AC52" s="2"/>
    </row>
    <row r="53" spans="1:29" customFormat="1" ht="18">
      <c r="A53" s="103" t="s">
        <v>273</v>
      </c>
      <c r="B53" s="103" t="s">
        <v>74</v>
      </c>
      <c r="C53" s="396" t="s">
        <v>266</v>
      </c>
      <c r="D53" s="396" t="s">
        <v>505</v>
      </c>
      <c r="E53" s="103">
        <v>19228</v>
      </c>
      <c r="F53" s="103" t="s">
        <v>1573</v>
      </c>
      <c r="G53" s="103"/>
      <c r="H53" s="397">
        <f t="shared" si="0"/>
        <v>26627.34574201444</v>
      </c>
      <c r="I53" s="103"/>
      <c r="J53" s="386">
        <v>213.51</v>
      </c>
      <c r="K53" s="386">
        <v>27.72</v>
      </c>
      <c r="L53" s="386">
        <v>11.99</v>
      </c>
      <c r="M53" s="386">
        <v>5.14</v>
      </c>
      <c r="N53" s="386">
        <v>14.19</v>
      </c>
      <c r="O53" s="386">
        <v>12.69</v>
      </c>
      <c r="P53" s="386">
        <v>7.62</v>
      </c>
      <c r="Q53" s="386"/>
      <c r="R53" s="386"/>
      <c r="S53" s="386"/>
      <c r="T53" s="386"/>
      <c r="U53" s="386"/>
      <c r="V53" s="386"/>
      <c r="W53" s="386"/>
      <c r="X53" s="386"/>
      <c r="Y53" s="386"/>
      <c r="Z53" s="386"/>
      <c r="AA53" s="386"/>
      <c r="AB53" s="2"/>
      <c r="AC53" s="2"/>
    </row>
    <row r="54" spans="1:29" customFormat="1" ht="18">
      <c r="A54" s="103" t="s">
        <v>273</v>
      </c>
      <c r="B54" s="103" t="s">
        <v>74</v>
      </c>
      <c r="C54" s="396" t="s">
        <v>266</v>
      </c>
      <c r="D54" s="396" t="s">
        <v>505</v>
      </c>
      <c r="E54" s="103">
        <v>2252</v>
      </c>
      <c r="F54" s="103" t="s">
        <v>1573</v>
      </c>
      <c r="G54" s="103">
        <v>1574</v>
      </c>
      <c r="H54" s="397">
        <f t="shared" si="0"/>
        <v>28915.812761731897</v>
      </c>
      <c r="I54" s="103"/>
      <c r="J54" s="386">
        <v>218.74</v>
      </c>
      <c r="K54" s="386">
        <v>26.35</v>
      </c>
      <c r="L54" s="386">
        <v>10.9</v>
      </c>
      <c r="M54" s="386">
        <v>5.4</v>
      </c>
      <c r="N54" s="386">
        <v>15.48</v>
      </c>
      <c r="O54" s="386">
        <v>13.67</v>
      </c>
      <c r="P54" s="386">
        <v>7.79</v>
      </c>
      <c r="Q54" s="386">
        <v>33.9</v>
      </c>
      <c r="R54" s="386">
        <v>17.809999999999999</v>
      </c>
      <c r="S54" s="386">
        <v>60.14</v>
      </c>
      <c r="T54" s="386">
        <v>39.81</v>
      </c>
      <c r="U54" s="386">
        <v>16.64</v>
      </c>
      <c r="V54" s="386">
        <v>250</v>
      </c>
      <c r="W54" s="386">
        <v>15.77</v>
      </c>
      <c r="X54" s="386">
        <v>39.770000000000003</v>
      </c>
      <c r="Y54" s="386">
        <v>21.61</v>
      </c>
      <c r="Z54" s="386">
        <v>230.48</v>
      </c>
      <c r="AA54" s="386">
        <v>29.53</v>
      </c>
      <c r="AB54" s="2"/>
      <c r="AC54" s="2"/>
    </row>
    <row r="55" spans="1:29" customFormat="1" ht="18">
      <c r="A55" s="103" t="s">
        <v>273</v>
      </c>
      <c r="B55" s="103" t="s">
        <v>74</v>
      </c>
      <c r="C55" s="396" t="s">
        <v>266</v>
      </c>
      <c r="D55" s="396" t="s">
        <v>505</v>
      </c>
      <c r="E55" s="103">
        <v>19317</v>
      </c>
      <c r="F55" s="103" t="s">
        <v>1573</v>
      </c>
      <c r="G55" s="103"/>
      <c r="H55" s="397">
        <f t="shared" si="0"/>
        <v>30776.144476598216</v>
      </c>
      <c r="I55" s="103"/>
      <c r="J55" s="386">
        <v>222.78</v>
      </c>
      <c r="K55" s="386">
        <v>25.86</v>
      </c>
      <c r="L55" s="386">
        <v>11.7</v>
      </c>
      <c r="M55" s="386">
        <v>5.86</v>
      </c>
      <c r="N55" s="386">
        <v>13.59</v>
      </c>
      <c r="O55" s="386">
        <v>14.96</v>
      </c>
      <c r="P55" s="386">
        <v>8.9700000000000006</v>
      </c>
      <c r="Q55" s="386"/>
      <c r="R55" s="386"/>
      <c r="S55" s="386"/>
      <c r="T55" s="386"/>
      <c r="U55" s="386"/>
      <c r="V55" s="386"/>
      <c r="W55" s="386"/>
      <c r="X55" s="386"/>
      <c r="Y55" s="386"/>
      <c r="Z55" s="386"/>
      <c r="AA55" s="386"/>
      <c r="AB55" s="2"/>
      <c r="AC55" s="2"/>
    </row>
    <row r="56" spans="1:29" customFormat="1" ht="18">
      <c r="A56" s="103" t="s">
        <v>273</v>
      </c>
      <c r="B56" s="103" t="s">
        <v>74</v>
      </c>
      <c r="C56" s="396" t="s">
        <v>266</v>
      </c>
      <c r="D56" s="396" t="s">
        <v>505</v>
      </c>
      <c r="E56" s="103">
        <v>19316</v>
      </c>
      <c r="F56" s="103" t="s">
        <v>1573</v>
      </c>
      <c r="G56" s="103"/>
      <c r="H56" s="397">
        <f t="shared" si="0"/>
        <v>33015.298504324986</v>
      </c>
      <c r="I56" s="103"/>
      <c r="J56" s="386">
        <v>227.42</v>
      </c>
      <c r="K56" s="386">
        <v>26.83</v>
      </c>
      <c r="L56" s="386">
        <v>10.8</v>
      </c>
      <c r="M56" s="386">
        <v>6.07</v>
      </c>
      <c r="N56" s="386">
        <v>14.77</v>
      </c>
      <c r="O56" s="386">
        <v>16.190000000000001</v>
      </c>
      <c r="P56" s="386">
        <v>8.68</v>
      </c>
      <c r="Q56" s="386"/>
      <c r="R56" s="386"/>
      <c r="S56" s="386"/>
      <c r="T56" s="386"/>
      <c r="U56" s="386"/>
      <c r="V56" s="386"/>
      <c r="W56" s="386"/>
      <c r="X56" s="386"/>
      <c r="Y56" s="386"/>
      <c r="Z56" s="386"/>
      <c r="AA56" s="386"/>
      <c r="AB56" s="2"/>
      <c r="AC56" s="2"/>
    </row>
    <row r="57" spans="1:29" customFormat="1" ht="18">
      <c r="A57" s="103" t="s">
        <v>273</v>
      </c>
      <c r="B57" s="103" t="s">
        <v>76</v>
      </c>
      <c r="C57" s="396" t="s">
        <v>1582</v>
      </c>
      <c r="D57" s="396" t="s">
        <v>1583</v>
      </c>
      <c r="E57" s="103">
        <v>8062</v>
      </c>
      <c r="F57" s="103" t="s">
        <v>1572</v>
      </c>
      <c r="G57" s="103">
        <v>532</v>
      </c>
      <c r="H57" s="397">
        <v>603.70000000000005</v>
      </c>
      <c r="I57" s="103">
        <v>603.70000000000005</v>
      </c>
      <c r="J57" s="386">
        <v>90.59</v>
      </c>
      <c r="K57" s="386">
        <v>8.17</v>
      </c>
      <c r="L57" s="386"/>
      <c r="M57" s="386"/>
      <c r="N57" s="386">
        <v>8.67</v>
      </c>
      <c r="O57" s="386">
        <v>2.33</v>
      </c>
      <c r="P57" s="386"/>
      <c r="Q57" s="386">
        <v>13.54</v>
      </c>
      <c r="R57" s="386">
        <v>7.1</v>
      </c>
      <c r="S57" s="386">
        <v>23.67</v>
      </c>
      <c r="T57" s="386">
        <v>17.98</v>
      </c>
      <c r="U57" s="386">
        <v>7.42</v>
      </c>
      <c r="V57" s="386">
        <v>107.42</v>
      </c>
      <c r="W57" s="386">
        <v>6.36</v>
      </c>
      <c r="X57" s="386">
        <v>15.19</v>
      </c>
      <c r="Y57" s="386">
        <v>8.74</v>
      </c>
      <c r="Z57" s="386">
        <v>101.49</v>
      </c>
      <c r="AA57" s="386">
        <v>13.07</v>
      </c>
      <c r="AB57" s="2"/>
      <c r="AC57" s="2"/>
    </row>
    <row r="58" spans="1:29" customFormat="1" ht="18">
      <c r="A58" s="103" t="s">
        <v>273</v>
      </c>
      <c r="B58" s="103" t="s">
        <v>76</v>
      </c>
      <c r="C58" s="396" t="s">
        <v>1582</v>
      </c>
      <c r="D58" s="396" t="s">
        <v>1583</v>
      </c>
      <c r="E58" s="103">
        <v>8031</v>
      </c>
      <c r="F58" s="103" t="s">
        <v>1571</v>
      </c>
      <c r="G58" s="103">
        <v>720</v>
      </c>
      <c r="H58" s="397">
        <v>1814</v>
      </c>
      <c r="I58" s="103">
        <v>1814</v>
      </c>
      <c r="J58" s="386">
        <v>74.650000000000006</v>
      </c>
      <c r="K58" s="386">
        <v>7.56</v>
      </c>
      <c r="L58" s="386"/>
      <c r="M58" s="386"/>
      <c r="N58" s="386">
        <v>6.32</v>
      </c>
      <c r="O58" s="386">
        <v>1.49</v>
      </c>
      <c r="P58" s="386"/>
      <c r="Q58" s="386"/>
      <c r="R58" s="386"/>
      <c r="S58" s="386"/>
      <c r="T58" s="386"/>
      <c r="U58" s="386"/>
      <c r="V58" s="386"/>
      <c r="W58" s="386"/>
      <c r="X58" s="386"/>
      <c r="Y58" s="386"/>
      <c r="Z58" s="386"/>
      <c r="AA58" s="386"/>
      <c r="AB58" s="2"/>
      <c r="AC58" s="2"/>
    </row>
    <row r="59" spans="1:29" customFormat="1" ht="18">
      <c r="A59" s="103" t="s">
        <v>273</v>
      </c>
      <c r="B59" s="103" t="s">
        <v>76</v>
      </c>
      <c r="C59" s="396" t="s">
        <v>1582</v>
      </c>
      <c r="D59" s="396" t="s">
        <v>1583</v>
      </c>
      <c r="E59" s="103">
        <v>8017</v>
      </c>
      <c r="F59" s="103" t="s">
        <v>1573</v>
      </c>
      <c r="G59" s="103">
        <v>868</v>
      </c>
      <c r="H59" s="397">
        <v>2268</v>
      </c>
      <c r="I59" s="103">
        <v>2268</v>
      </c>
      <c r="J59" s="386">
        <v>83.86</v>
      </c>
      <c r="K59" s="386">
        <v>8.41</v>
      </c>
      <c r="L59" s="386"/>
      <c r="M59" s="386"/>
      <c r="N59" s="386">
        <v>7.59</v>
      </c>
      <c r="O59" s="386">
        <v>1.89</v>
      </c>
      <c r="P59" s="386"/>
      <c r="Q59" s="386">
        <v>16.559999999999999</v>
      </c>
      <c r="R59" s="386">
        <v>7.74</v>
      </c>
      <c r="S59" s="386">
        <v>28.81</v>
      </c>
      <c r="T59" s="386">
        <v>17.62</v>
      </c>
      <c r="U59" s="386">
        <v>8.08</v>
      </c>
      <c r="V59" s="386">
        <v>120.71</v>
      </c>
      <c r="W59" s="386">
        <v>8.06</v>
      </c>
      <c r="X59" s="386">
        <v>19.440000000000001</v>
      </c>
      <c r="Y59" s="386">
        <v>9.82</v>
      </c>
      <c r="Z59" s="386">
        <v>119.49</v>
      </c>
      <c r="AA59" s="386">
        <v>12.85</v>
      </c>
      <c r="AB59" s="2"/>
      <c r="AC59" s="2"/>
    </row>
    <row r="60" spans="1:29" customFormat="1" ht="18">
      <c r="A60" s="103" t="s">
        <v>273</v>
      </c>
      <c r="B60" s="103" t="s">
        <v>76</v>
      </c>
      <c r="C60" s="396" t="s">
        <v>1582</v>
      </c>
      <c r="D60" s="396" t="s">
        <v>1584</v>
      </c>
      <c r="E60" s="103">
        <v>16491</v>
      </c>
      <c r="F60" s="103" t="s">
        <v>1573</v>
      </c>
      <c r="G60" s="103">
        <v>820</v>
      </c>
      <c r="H60" s="397">
        <v>2300</v>
      </c>
      <c r="I60" s="103">
        <v>2300</v>
      </c>
      <c r="J60" s="386">
        <v>87.47</v>
      </c>
      <c r="K60" s="386">
        <v>7.8</v>
      </c>
      <c r="L60" s="386"/>
      <c r="M60" s="386"/>
      <c r="N60" s="386">
        <v>6.81</v>
      </c>
      <c r="O60" s="386">
        <v>1.91</v>
      </c>
      <c r="P60" s="386"/>
      <c r="Q60" s="386">
        <v>15.54</v>
      </c>
      <c r="R60" s="386">
        <v>8.4499999999999993</v>
      </c>
      <c r="S60" s="386"/>
      <c r="T60" s="386">
        <v>20.09</v>
      </c>
      <c r="U60" s="386">
        <v>7.38</v>
      </c>
      <c r="V60" s="386">
        <v>111.57</v>
      </c>
      <c r="W60" s="386">
        <v>6.45</v>
      </c>
      <c r="X60" s="386">
        <v>18.48</v>
      </c>
      <c r="Y60" s="386">
        <v>9.51</v>
      </c>
      <c r="Z60" s="386">
        <v>118.13</v>
      </c>
      <c r="AA60" s="386">
        <v>13.84</v>
      </c>
      <c r="AB60" s="2"/>
      <c r="AC60" s="2"/>
    </row>
    <row r="61" spans="1:29" customFormat="1" ht="18">
      <c r="A61" s="103" t="s">
        <v>273</v>
      </c>
      <c r="B61" s="103" t="s">
        <v>76</v>
      </c>
      <c r="C61" s="396" t="s">
        <v>1582</v>
      </c>
      <c r="D61" s="396" t="s">
        <v>1583</v>
      </c>
      <c r="E61" s="103">
        <v>16487</v>
      </c>
      <c r="F61" s="103" t="s">
        <v>1572</v>
      </c>
      <c r="G61" s="103">
        <v>682</v>
      </c>
      <c r="H61" s="397">
        <v>2430</v>
      </c>
      <c r="I61" s="103">
        <v>2430</v>
      </c>
      <c r="J61" s="386">
        <v>71.41</v>
      </c>
      <c r="K61" s="386">
        <v>7.53</v>
      </c>
      <c r="L61" s="386"/>
      <c r="M61" s="386"/>
      <c r="N61" s="386">
        <v>6.56</v>
      </c>
      <c r="O61" s="386">
        <v>1.81</v>
      </c>
      <c r="P61" s="386"/>
      <c r="Q61" s="386"/>
      <c r="R61" s="386"/>
      <c r="S61" s="386"/>
      <c r="T61" s="386">
        <v>15.16</v>
      </c>
      <c r="U61" s="386">
        <v>6.19</v>
      </c>
      <c r="V61" s="386">
        <v>105.62</v>
      </c>
      <c r="W61" s="386">
        <v>6.91</v>
      </c>
      <c r="X61" s="386">
        <v>15.85</v>
      </c>
      <c r="Y61" s="386">
        <v>8.3800000000000008</v>
      </c>
      <c r="Z61" s="386">
        <v>102.47</v>
      </c>
      <c r="AA61" s="386">
        <v>10.53</v>
      </c>
      <c r="AB61" s="2"/>
      <c r="AC61" s="2"/>
    </row>
    <row r="62" spans="1:29" customFormat="1" ht="18">
      <c r="A62" s="103" t="s">
        <v>273</v>
      </c>
      <c r="B62" s="103" t="s">
        <v>76</v>
      </c>
      <c r="C62" s="396" t="s">
        <v>1582</v>
      </c>
      <c r="D62" s="396" t="s">
        <v>1585</v>
      </c>
      <c r="E62" s="103">
        <v>7996</v>
      </c>
      <c r="F62" s="103" t="s">
        <v>1573</v>
      </c>
      <c r="G62" s="103">
        <v>940</v>
      </c>
      <c r="H62" s="397">
        <v>2438</v>
      </c>
      <c r="I62" s="103">
        <v>2438</v>
      </c>
      <c r="J62" s="386">
        <v>85.38</v>
      </c>
      <c r="K62" s="386">
        <v>9.49</v>
      </c>
      <c r="L62" s="386"/>
      <c r="M62" s="386"/>
      <c r="N62" s="386">
        <v>8.1</v>
      </c>
      <c r="O62" s="386">
        <v>1.97</v>
      </c>
      <c r="P62" s="386"/>
      <c r="Q62" s="386">
        <v>13.42</v>
      </c>
      <c r="R62" s="386">
        <v>9.7200000000000006</v>
      </c>
      <c r="S62" s="386">
        <v>27.14</v>
      </c>
      <c r="T62" s="386">
        <v>18.82</v>
      </c>
      <c r="U62" s="386">
        <v>6.83</v>
      </c>
      <c r="V62" s="386">
        <v>115.92</v>
      </c>
      <c r="W62" s="386">
        <v>6.8</v>
      </c>
      <c r="X62" s="386">
        <v>18.75</v>
      </c>
      <c r="Y62" s="386">
        <v>10.78</v>
      </c>
      <c r="Z62" s="386">
        <v>116.85</v>
      </c>
      <c r="AA62" s="386">
        <v>12.63</v>
      </c>
      <c r="AB62" s="2"/>
      <c r="AC62" s="2"/>
    </row>
    <row r="63" spans="1:29" customFormat="1" ht="18">
      <c r="A63" s="103" t="s">
        <v>273</v>
      </c>
      <c r="B63" s="103" t="s">
        <v>76</v>
      </c>
      <c r="C63" s="396" t="s">
        <v>1582</v>
      </c>
      <c r="D63" s="396" t="s">
        <v>1586</v>
      </c>
      <c r="E63" s="103">
        <v>4377</v>
      </c>
      <c r="F63" s="103" t="s">
        <v>1573</v>
      </c>
      <c r="G63" s="103">
        <v>776</v>
      </c>
      <c r="H63" s="397">
        <v>3742</v>
      </c>
      <c r="I63" s="103">
        <v>3742</v>
      </c>
      <c r="J63" s="386">
        <v>78.59</v>
      </c>
      <c r="K63" s="386">
        <v>7.94</v>
      </c>
      <c r="L63" s="386"/>
      <c r="M63" s="386"/>
      <c r="N63" s="386">
        <v>7.5</v>
      </c>
      <c r="O63" s="386">
        <v>2.08</v>
      </c>
      <c r="P63" s="386"/>
      <c r="Q63" s="386">
        <v>17.149999999999999</v>
      </c>
      <c r="R63" s="386">
        <v>9.41</v>
      </c>
      <c r="S63" s="386">
        <v>30.89</v>
      </c>
      <c r="T63" s="386">
        <v>19.850000000000001</v>
      </c>
      <c r="U63" s="386">
        <v>8.89</v>
      </c>
      <c r="V63" s="386">
        <v>107.77</v>
      </c>
      <c r="W63" s="386">
        <v>8.02</v>
      </c>
      <c r="X63" s="386">
        <v>18.34</v>
      </c>
      <c r="Y63" s="386">
        <v>9.93</v>
      </c>
      <c r="Z63" s="386">
        <v>103.27</v>
      </c>
      <c r="AA63" s="386">
        <v>12.39</v>
      </c>
      <c r="AB63" s="2"/>
      <c r="AC63" s="2"/>
    </row>
    <row r="64" spans="1:29" customFormat="1" ht="18">
      <c r="A64" s="103" t="s">
        <v>273</v>
      </c>
      <c r="B64" s="103" t="s">
        <v>76</v>
      </c>
      <c r="C64" s="396" t="s">
        <v>1582</v>
      </c>
      <c r="D64" s="396" t="s">
        <v>1586</v>
      </c>
      <c r="E64" s="103">
        <v>4239</v>
      </c>
      <c r="F64" s="103" t="s">
        <v>1573</v>
      </c>
      <c r="G64" s="103">
        <v>767</v>
      </c>
      <c r="H64" s="397">
        <v>4167</v>
      </c>
      <c r="I64" s="103">
        <v>4167</v>
      </c>
      <c r="J64" s="386">
        <v>81.400000000000006</v>
      </c>
      <c r="K64" s="386">
        <v>8.2100000000000009</v>
      </c>
      <c r="L64" s="386"/>
      <c r="M64" s="386"/>
      <c r="N64" s="386">
        <v>7.24</v>
      </c>
      <c r="O64" s="386">
        <v>2.08</v>
      </c>
      <c r="P64" s="386"/>
      <c r="Q64" s="386">
        <v>17.260000000000002</v>
      </c>
      <c r="R64" s="386">
        <v>9.94</v>
      </c>
      <c r="S64" s="386">
        <v>31.98</v>
      </c>
      <c r="T64" s="386">
        <v>18.45</v>
      </c>
      <c r="U64" s="386">
        <v>8.77</v>
      </c>
      <c r="V64" s="386">
        <v>115.77</v>
      </c>
      <c r="W64" s="386">
        <v>7.92</v>
      </c>
      <c r="X64" s="386">
        <v>18.86</v>
      </c>
      <c r="Y64" s="386">
        <v>10.46</v>
      </c>
      <c r="Z64" s="386">
        <v>111.13</v>
      </c>
      <c r="AA64" s="386">
        <v>11.55</v>
      </c>
      <c r="AB64" s="2"/>
      <c r="AC64" s="2"/>
    </row>
    <row r="65" spans="1:29" customFormat="1" ht="18">
      <c r="A65" s="103" t="s">
        <v>273</v>
      </c>
      <c r="B65" s="103" t="s">
        <v>76</v>
      </c>
      <c r="C65" s="396" t="s">
        <v>1582</v>
      </c>
      <c r="D65" s="396" t="s">
        <v>345</v>
      </c>
      <c r="E65" s="103">
        <v>4080</v>
      </c>
      <c r="F65" s="103" t="s">
        <v>1572</v>
      </c>
      <c r="G65" s="103">
        <v>784</v>
      </c>
      <c r="H65" s="397">
        <v>5216</v>
      </c>
      <c r="I65" s="103">
        <v>5216</v>
      </c>
      <c r="J65" s="386"/>
      <c r="K65" s="386"/>
      <c r="L65" s="386"/>
      <c r="M65" s="386"/>
      <c r="N65" s="386"/>
      <c r="O65" s="386"/>
      <c r="P65" s="386"/>
      <c r="Q65" s="386">
        <v>21.26</v>
      </c>
      <c r="R65" s="386">
        <v>11.19</v>
      </c>
      <c r="S65" s="386">
        <v>39.450000000000003</v>
      </c>
      <c r="T65" s="386">
        <v>26.59</v>
      </c>
      <c r="U65" s="386">
        <v>11.29</v>
      </c>
      <c r="V65" s="386">
        <v>158.41</v>
      </c>
      <c r="W65" s="386">
        <v>10.73</v>
      </c>
      <c r="X65" s="386">
        <v>26.11</v>
      </c>
      <c r="Y65" s="386">
        <v>12.83</v>
      </c>
      <c r="Z65" s="386">
        <v>160.52000000000001</v>
      </c>
      <c r="AA65" s="386">
        <v>17.45</v>
      </c>
      <c r="AB65" s="2"/>
      <c r="AC65" s="2"/>
    </row>
    <row r="66" spans="1:29" customFormat="1" ht="18">
      <c r="A66" s="103" t="s">
        <v>273</v>
      </c>
      <c r="B66" s="103" t="s">
        <v>76</v>
      </c>
      <c r="C66" s="396" t="s">
        <v>1582</v>
      </c>
      <c r="D66" s="396" t="s">
        <v>345</v>
      </c>
      <c r="E66" s="103">
        <v>3177</v>
      </c>
      <c r="F66" s="103" t="s">
        <v>1573</v>
      </c>
      <c r="G66" s="103">
        <v>813</v>
      </c>
      <c r="H66" s="397">
        <v>5783</v>
      </c>
      <c r="I66" s="103">
        <v>5783</v>
      </c>
      <c r="J66" s="386">
        <v>92.75</v>
      </c>
      <c r="K66" s="386">
        <v>12.71</v>
      </c>
      <c r="L66" s="386"/>
      <c r="M66" s="386"/>
      <c r="N66" s="386">
        <v>8.67</v>
      </c>
      <c r="O66" s="386">
        <v>3.09</v>
      </c>
      <c r="P66" s="386"/>
      <c r="Q66" s="386"/>
      <c r="R66" s="386"/>
      <c r="S66" s="386"/>
      <c r="T66" s="386"/>
      <c r="U66" s="386"/>
      <c r="V66" s="386"/>
      <c r="W66" s="386"/>
      <c r="X66" s="386"/>
      <c r="Y66" s="386"/>
      <c r="Z66" s="386"/>
      <c r="AA66" s="386"/>
      <c r="AB66" s="2"/>
      <c r="AC66" s="2"/>
    </row>
    <row r="67" spans="1:29" customFormat="1" ht="18">
      <c r="A67" s="103" t="s">
        <v>273</v>
      </c>
      <c r="B67" s="103" t="s">
        <v>76</v>
      </c>
      <c r="C67" s="396" t="s">
        <v>1582</v>
      </c>
      <c r="D67" s="396" t="s">
        <v>1587</v>
      </c>
      <c r="E67" s="103">
        <v>7998</v>
      </c>
      <c r="F67" s="103" t="s">
        <v>1572</v>
      </c>
      <c r="G67" s="103">
        <v>843</v>
      </c>
      <c r="H67" s="397">
        <v>7711</v>
      </c>
      <c r="I67" s="103">
        <v>7711</v>
      </c>
      <c r="J67" s="386">
        <v>100.62</v>
      </c>
      <c r="K67" s="386">
        <v>9.31</v>
      </c>
      <c r="L67" s="386"/>
      <c r="M67" s="386"/>
      <c r="N67" s="386">
        <v>9.33</v>
      </c>
      <c r="O67" s="386">
        <v>2.71</v>
      </c>
      <c r="P67" s="386"/>
      <c r="Q67" s="386">
        <v>19.190000000000001</v>
      </c>
      <c r="R67" s="386">
        <v>9.84</v>
      </c>
      <c r="S67" s="386">
        <v>36.340000000000003</v>
      </c>
      <c r="T67" s="386">
        <v>24.22</v>
      </c>
      <c r="U67" s="386">
        <v>9.19</v>
      </c>
      <c r="V67" s="386">
        <v>127.03</v>
      </c>
      <c r="W67" s="386">
        <v>9.01</v>
      </c>
      <c r="X67" s="386">
        <v>23.61</v>
      </c>
      <c r="Y67" s="386">
        <v>11.86</v>
      </c>
      <c r="Z67" s="386">
        <v>132.91999999999999</v>
      </c>
      <c r="AA67" s="386">
        <v>16.14</v>
      </c>
      <c r="AB67" s="2"/>
      <c r="AC67" s="2"/>
    </row>
    <row r="68" spans="1:29" customFormat="1" ht="18">
      <c r="A68" s="103" t="s">
        <v>273</v>
      </c>
      <c r="B68" s="103" t="s">
        <v>76</v>
      </c>
      <c r="C68" s="396" t="s">
        <v>1582</v>
      </c>
      <c r="D68" s="396" t="s">
        <v>345</v>
      </c>
      <c r="E68" s="103">
        <v>5631</v>
      </c>
      <c r="F68" s="103" t="s">
        <v>1572</v>
      </c>
      <c r="G68" s="103">
        <v>963</v>
      </c>
      <c r="H68" s="397">
        <v>8051</v>
      </c>
      <c r="I68" s="103">
        <v>8051</v>
      </c>
      <c r="J68" s="386">
        <v>100.32</v>
      </c>
      <c r="K68" s="386">
        <v>10.81</v>
      </c>
      <c r="L68" s="386"/>
      <c r="M68" s="386"/>
      <c r="N68" s="386">
        <v>9.19</v>
      </c>
      <c r="O68" s="386">
        <v>2.66</v>
      </c>
      <c r="P68" s="386"/>
      <c r="Q68" s="386">
        <v>20.99</v>
      </c>
      <c r="R68" s="386">
        <v>11.95</v>
      </c>
      <c r="S68" s="386">
        <v>45.2</v>
      </c>
      <c r="T68" s="386">
        <v>27.71</v>
      </c>
      <c r="U68" s="386">
        <v>11.78</v>
      </c>
      <c r="V68" s="386">
        <v>170</v>
      </c>
      <c r="W68" s="386">
        <v>10.75</v>
      </c>
      <c r="X68" s="386">
        <v>25.12</v>
      </c>
      <c r="Y68" s="386">
        <v>14.52</v>
      </c>
      <c r="Z68" s="386">
        <v>173.19</v>
      </c>
      <c r="AA68" s="386">
        <v>18.32</v>
      </c>
      <c r="AB68" s="2"/>
      <c r="AC68" s="2"/>
    </row>
    <row r="69" spans="1:29" customFormat="1" ht="18">
      <c r="A69" s="103" t="s">
        <v>273</v>
      </c>
      <c r="B69" s="103" t="s">
        <v>76</v>
      </c>
      <c r="C69" s="396" t="s">
        <v>1582</v>
      </c>
      <c r="D69" s="396" t="s">
        <v>1588</v>
      </c>
      <c r="E69" s="103">
        <v>7997</v>
      </c>
      <c r="F69" s="103" t="s">
        <v>1573</v>
      </c>
      <c r="G69" s="103">
        <v>939</v>
      </c>
      <c r="H69" s="397">
        <v>8136</v>
      </c>
      <c r="I69" s="103">
        <v>8136</v>
      </c>
      <c r="J69" s="386">
        <v>101.89</v>
      </c>
      <c r="K69" s="386">
        <v>9.1199999999999992</v>
      </c>
      <c r="L69" s="386"/>
      <c r="M69" s="386"/>
      <c r="N69" s="386">
        <v>7.85</v>
      </c>
      <c r="O69" s="386">
        <v>1.57</v>
      </c>
      <c r="P69" s="386"/>
      <c r="Q69" s="386">
        <v>19.18</v>
      </c>
      <c r="R69" s="386">
        <v>10.94</v>
      </c>
      <c r="S69" s="386">
        <v>36.31</v>
      </c>
      <c r="T69" s="386">
        <v>23.81</v>
      </c>
      <c r="U69" s="386">
        <v>8.09</v>
      </c>
      <c r="V69" s="386">
        <v>152</v>
      </c>
      <c r="W69" s="386">
        <v>9.18</v>
      </c>
      <c r="X69" s="386">
        <v>25.44</v>
      </c>
      <c r="Y69" s="386">
        <v>12.85</v>
      </c>
      <c r="Z69" s="386">
        <v>148.22</v>
      </c>
      <c r="AA69" s="386">
        <v>15.74</v>
      </c>
      <c r="AB69" s="2"/>
      <c r="AC69" s="2"/>
    </row>
    <row r="70" spans="1:29" customFormat="1" ht="18">
      <c r="A70" s="103" t="s">
        <v>273</v>
      </c>
      <c r="B70" s="103" t="s">
        <v>76</v>
      </c>
      <c r="C70" s="396" t="s">
        <v>1582</v>
      </c>
      <c r="D70" s="396" t="s">
        <v>345</v>
      </c>
      <c r="E70" s="103">
        <v>1858</v>
      </c>
      <c r="F70" s="103" t="s">
        <v>1572</v>
      </c>
      <c r="G70" s="103">
        <v>843</v>
      </c>
      <c r="H70" s="397">
        <v>8505</v>
      </c>
      <c r="I70" s="103">
        <v>8505</v>
      </c>
      <c r="J70" s="386">
        <v>98.12</v>
      </c>
      <c r="K70" s="386">
        <v>11.3</v>
      </c>
      <c r="L70" s="386"/>
      <c r="M70" s="386"/>
      <c r="N70" s="386">
        <v>9.2200000000000006</v>
      </c>
      <c r="O70" s="386">
        <v>2.52</v>
      </c>
      <c r="P70" s="386"/>
      <c r="Q70" s="386">
        <v>22.4</v>
      </c>
      <c r="R70" s="386">
        <v>11.34</v>
      </c>
      <c r="S70" s="386">
        <v>41.44</v>
      </c>
      <c r="T70" s="386">
        <v>26.84</v>
      </c>
      <c r="U70" s="386">
        <v>10.96</v>
      </c>
      <c r="V70" s="386">
        <v>153.72999999999999</v>
      </c>
      <c r="W70" s="386">
        <v>10.56</v>
      </c>
      <c r="X70" s="386">
        <v>26.46</v>
      </c>
      <c r="Y70" s="386">
        <v>13.77</v>
      </c>
      <c r="Z70" s="386">
        <v>159.82</v>
      </c>
      <c r="AA70" s="386">
        <v>17.18</v>
      </c>
      <c r="AB70" s="2"/>
      <c r="AC70" s="2"/>
    </row>
    <row r="71" spans="1:29" customFormat="1" ht="18">
      <c r="A71" s="103" t="s">
        <v>273</v>
      </c>
      <c r="B71" s="103" t="s">
        <v>76</v>
      </c>
      <c r="C71" s="396" t="s">
        <v>1582</v>
      </c>
      <c r="D71" s="396" t="s">
        <v>1589</v>
      </c>
      <c r="E71" s="103">
        <v>5699</v>
      </c>
      <c r="F71" s="103" t="s">
        <v>1572</v>
      </c>
      <c r="G71" s="103">
        <v>940</v>
      </c>
      <c r="H71" s="397">
        <v>8845</v>
      </c>
      <c r="I71" s="103">
        <v>8845</v>
      </c>
      <c r="J71" s="386">
        <v>104.54</v>
      </c>
      <c r="K71" s="386">
        <v>11.86</v>
      </c>
      <c r="L71" s="386"/>
      <c r="M71" s="386"/>
      <c r="N71" s="386">
        <v>9.48</v>
      </c>
      <c r="O71" s="386">
        <v>2.08</v>
      </c>
      <c r="P71" s="386"/>
      <c r="Q71" s="386"/>
      <c r="R71" s="386"/>
      <c r="S71" s="386"/>
      <c r="T71" s="386"/>
      <c r="U71" s="386"/>
      <c r="V71" s="386"/>
      <c r="W71" s="386"/>
      <c r="X71" s="386"/>
      <c r="Y71" s="386"/>
      <c r="Z71" s="386"/>
      <c r="AA71" s="386"/>
      <c r="AB71" s="2"/>
      <c r="AC71" s="2"/>
    </row>
    <row r="72" spans="1:29" customFormat="1" ht="18">
      <c r="A72" s="103" t="s">
        <v>273</v>
      </c>
      <c r="B72" s="103" t="s">
        <v>76</v>
      </c>
      <c r="C72" s="396" t="s">
        <v>1582</v>
      </c>
      <c r="D72" s="396" t="s">
        <v>1589</v>
      </c>
      <c r="E72" s="103">
        <v>4916</v>
      </c>
      <c r="F72" s="103" t="s">
        <v>1572</v>
      </c>
      <c r="G72" s="103">
        <v>868</v>
      </c>
      <c r="H72" s="397">
        <v>9072</v>
      </c>
      <c r="I72" s="103">
        <v>9072</v>
      </c>
      <c r="J72" s="386">
        <v>101.59</v>
      </c>
      <c r="K72" s="386">
        <v>12.39</v>
      </c>
      <c r="L72" s="386"/>
      <c r="M72" s="386"/>
      <c r="N72" s="386">
        <v>11.31</v>
      </c>
      <c r="O72" s="386">
        <v>2.39</v>
      </c>
      <c r="P72" s="386"/>
      <c r="Q72" s="386">
        <v>24.65</v>
      </c>
      <c r="R72" s="386">
        <v>12.5</v>
      </c>
      <c r="S72" s="386">
        <v>46.32</v>
      </c>
      <c r="T72" s="386">
        <v>29</v>
      </c>
      <c r="U72" s="386">
        <v>11.98</v>
      </c>
      <c r="V72" s="386">
        <v>203.2</v>
      </c>
      <c r="W72" s="386">
        <v>11.54</v>
      </c>
      <c r="X72" s="386">
        <v>27.21</v>
      </c>
      <c r="Y72" s="386">
        <v>13.75</v>
      </c>
      <c r="Z72" s="386">
        <v>195.77</v>
      </c>
      <c r="AA72" s="386">
        <v>18.32</v>
      </c>
      <c r="AB72" s="2"/>
      <c r="AC72" s="2"/>
    </row>
    <row r="73" spans="1:29" customFormat="1" ht="18">
      <c r="A73" s="103" t="s">
        <v>273</v>
      </c>
      <c r="B73" s="103" t="s">
        <v>76</v>
      </c>
      <c r="C73" s="396" t="s">
        <v>1590</v>
      </c>
      <c r="D73" s="396" t="s">
        <v>1591</v>
      </c>
      <c r="E73" s="103">
        <v>7995</v>
      </c>
      <c r="F73" s="103" t="s">
        <v>1572</v>
      </c>
      <c r="G73" s="103">
        <v>1524</v>
      </c>
      <c r="H73" s="397">
        <v>9979</v>
      </c>
      <c r="I73" s="103">
        <v>9979</v>
      </c>
      <c r="J73" s="386">
        <v>128.72</v>
      </c>
      <c r="K73" s="386">
        <v>13.21</v>
      </c>
      <c r="L73" s="386"/>
      <c r="M73" s="386"/>
      <c r="N73" s="386">
        <v>13.19</v>
      </c>
      <c r="O73" s="386">
        <v>2.98</v>
      </c>
      <c r="P73" s="386"/>
      <c r="Q73" s="386">
        <v>25.13</v>
      </c>
      <c r="R73" s="386">
        <v>13.48</v>
      </c>
      <c r="S73" s="386">
        <v>39.61</v>
      </c>
      <c r="T73" s="386">
        <v>33.03</v>
      </c>
      <c r="U73" s="386">
        <v>12.04</v>
      </c>
      <c r="V73" s="386">
        <v>154.55000000000001</v>
      </c>
      <c r="W73" s="386">
        <v>10.48</v>
      </c>
      <c r="X73" s="386">
        <v>27.75</v>
      </c>
      <c r="Y73" s="386">
        <v>16.3</v>
      </c>
      <c r="Z73" s="386">
        <v>163.35</v>
      </c>
      <c r="AA73" s="386">
        <v>18.59</v>
      </c>
      <c r="AB73" s="2"/>
      <c r="AC73" s="2"/>
    </row>
    <row r="74" spans="1:29" customFormat="1" ht="18">
      <c r="A74" s="103" t="s">
        <v>273</v>
      </c>
      <c r="B74" s="103" t="s">
        <v>76</v>
      </c>
      <c r="C74" s="396" t="s">
        <v>1582</v>
      </c>
      <c r="D74" s="396" t="s">
        <v>1589</v>
      </c>
      <c r="E74" s="103">
        <v>5636</v>
      </c>
      <c r="F74" s="103" t="s">
        <v>1573</v>
      </c>
      <c r="G74" s="103">
        <v>880</v>
      </c>
      <c r="H74" s="397">
        <v>10433</v>
      </c>
      <c r="I74" s="103">
        <v>10433</v>
      </c>
      <c r="J74" s="386">
        <v>111.9</v>
      </c>
      <c r="K74" s="386">
        <v>12.02</v>
      </c>
      <c r="L74" s="386"/>
      <c r="M74" s="386"/>
      <c r="N74" s="386">
        <v>10.14</v>
      </c>
      <c r="O74" s="386">
        <v>2</v>
      </c>
      <c r="P74" s="386"/>
      <c r="Q74" s="386"/>
      <c r="R74" s="386"/>
      <c r="S74" s="386"/>
      <c r="T74" s="386"/>
      <c r="U74" s="386"/>
      <c r="V74" s="386"/>
      <c r="W74" s="386"/>
      <c r="X74" s="386"/>
      <c r="Y74" s="386"/>
      <c r="Z74" s="386"/>
      <c r="AA74" s="386"/>
      <c r="AB74" s="2"/>
      <c r="AC74" s="2"/>
    </row>
    <row r="75" spans="1:29" customFormat="1" ht="18">
      <c r="A75" s="103" t="s">
        <v>273</v>
      </c>
      <c r="B75" s="103" t="s">
        <v>76</v>
      </c>
      <c r="C75" s="396" t="s">
        <v>1582</v>
      </c>
      <c r="D75" s="396" t="s">
        <v>1589</v>
      </c>
      <c r="E75" s="103">
        <v>5627</v>
      </c>
      <c r="F75" s="103" t="s">
        <v>1572</v>
      </c>
      <c r="G75" s="103">
        <v>890</v>
      </c>
      <c r="H75" s="397">
        <v>10886</v>
      </c>
      <c r="I75" s="103">
        <v>10886</v>
      </c>
      <c r="J75" s="386">
        <v>81.22</v>
      </c>
      <c r="K75" s="386">
        <v>11.19</v>
      </c>
      <c r="L75" s="386"/>
      <c r="M75" s="386"/>
      <c r="N75" s="386">
        <v>9.9</v>
      </c>
      <c r="O75" s="386">
        <v>2.2799999999999998</v>
      </c>
      <c r="P75" s="386"/>
      <c r="Q75" s="386"/>
      <c r="R75" s="386"/>
      <c r="S75" s="386"/>
      <c r="T75" s="386"/>
      <c r="U75" s="386"/>
      <c r="V75" s="386"/>
      <c r="W75" s="386"/>
      <c r="X75" s="386"/>
      <c r="Y75" s="386"/>
      <c r="Z75" s="386"/>
      <c r="AA75" s="386"/>
      <c r="AB75" s="2"/>
      <c r="AC75" s="2"/>
    </row>
    <row r="76" spans="1:29" customFormat="1" ht="18">
      <c r="A76" s="103" t="s">
        <v>273</v>
      </c>
      <c r="B76" s="103" t="s">
        <v>76</v>
      </c>
      <c r="C76" s="396" t="s">
        <v>1582</v>
      </c>
      <c r="D76" s="396" t="s">
        <v>1589</v>
      </c>
      <c r="E76" s="103">
        <v>5637</v>
      </c>
      <c r="F76" s="103" t="s">
        <v>1573</v>
      </c>
      <c r="G76" s="103">
        <v>905</v>
      </c>
      <c r="H76" s="397">
        <v>11085</v>
      </c>
      <c r="I76" s="103">
        <v>11085</v>
      </c>
      <c r="J76" s="386"/>
      <c r="K76" s="386">
        <v>12.93</v>
      </c>
      <c r="L76" s="386"/>
      <c r="M76" s="386"/>
      <c r="N76" s="386">
        <v>10.98</v>
      </c>
      <c r="O76" s="386">
        <v>1.7</v>
      </c>
      <c r="P76" s="386"/>
      <c r="Q76" s="386"/>
      <c r="R76" s="386"/>
      <c r="S76" s="386"/>
      <c r="T76" s="386"/>
      <c r="U76" s="386"/>
      <c r="V76" s="386"/>
      <c r="W76" s="386"/>
      <c r="X76" s="386"/>
      <c r="Y76" s="386"/>
      <c r="Z76" s="386"/>
      <c r="AA76" s="386"/>
      <c r="AB76" s="2"/>
      <c r="AC76" s="2"/>
    </row>
    <row r="77" spans="1:29" customFormat="1" ht="18">
      <c r="A77" s="103" t="s">
        <v>273</v>
      </c>
      <c r="B77" s="103" t="s">
        <v>76</v>
      </c>
      <c r="C77" s="396" t="s">
        <v>1582</v>
      </c>
      <c r="D77" s="396" t="s">
        <v>345</v>
      </c>
      <c r="E77" s="103">
        <v>4344</v>
      </c>
      <c r="F77" s="103" t="s">
        <v>1573</v>
      </c>
      <c r="G77" s="103">
        <v>957</v>
      </c>
      <c r="H77" s="397">
        <v>11425</v>
      </c>
      <c r="I77" s="103">
        <v>11425</v>
      </c>
      <c r="J77" s="386">
        <v>109.85</v>
      </c>
      <c r="K77" s="386">
        <v>12.1</v>
      </c>
      <c r="L77" s="386"/>
      <c r="M77" s="386"/>
      <c r="N77" s="386">
        <v>10.3</v>
      </c>
      <c r="O77" s="386">
        <v>2.97</v>
      </c>
      <c r="P77" s="386"/>
      <c r="Q77" s="386">
        <v>23.08</v>
      </c>
      <c r="R77" s="386">
        <v>12.38</v>
      </c>
      <c r="S77" s="386">
        <v>41.36</v>
      </c>
      <c r="T77" s="386">
        <v>30.64</v>
      </c>
      <c r="U77" s="386">
        <v>13.17</v>
      </c>
      <c r="V77" s="386">
        <v>174.24</v>
      </c>
      <c r="W77" s="386">
        <v>11.74</v>
      </c>
      <c r="X77" s="386">
        <v>30.36</v>
      </c>
      <c r="Y77" s="386">
        <v>15.41</v>
      </c>
      <c r="Z77" s="386">
        <v>179.33</v>
      </c>
      <c r="AA77" s="386">
        <v>21.57</v>
      </c>
      <c r="AB77" s="2"/>
      <c r="AC77" s="2"/>
    </row>
    <row r="78" spans="1:29" customFormat="1" ht="18">
      <c r="A78" s="103" t="s">
        <v>273</v>
      </c>
      <c r="B78" s="103" t="s">
        <v>76</v>
      </c>
      <c r="C78" s="396" t="s">
        <v>1582</v>
      </c>
      <c r="D78" s="396" t="s">
        <v>345</v>
      </c>
      <c r="E78" s="103">
        <v>1369</v>
      </c>
      <c r="F78" s="103" t="s">
        <v>1573</v>
      </c>
      <c r="G78" s="103">
        <v>940</v>
      </c>
      <c r="H78" s="397">
        <v>14061</v>
      </c>
      <c r="I78" s="103">
        <v>14061</v>
      </c>
      <c r="J78" s="386">
        <v>115.35</v>
      </c>
      <c r="K78" s="386">
        <v>11.15</v>
      </c>
      <c r="L78" s="386"/>
      <c r="M78" s="386"/>
      <c r="N78" s="386">
        <v>8.31</v>
      </c>
      <c r="O78" s="386">
        <v>2.36</v>
      </c>
      <c r="P78" s="386"/>
      <c r="Q78" s="386"/>
      <c r="R78" s="386"/>
      <c r="S78" s="386"/>
      <c r="T78" s="386"/>
      <c r="U78" s="386"/>
      <c r="V78" s="386"/>
      <c r="W78" s="386"/>
      <c r="X78" s="386"/>
      <c r="Y78" s="386"/>
      <c r="Z78" s="386"/>
      <c r="AA78" s="386"/>
      <c r="AB78" s="2"/>
      <c r="AC78" s="2"/>
    </row>
    <row r="79" spans="1:29" customFormat="1" ht="18">
      <c r="A79" s="103" t="s">
        <v>273</v>
      </c>
      <c r="B79" s="103" t="s">
        <v>76</v>
      </c>
      <c r="C79" s="396" t="s">
        <v>524</v>
      </c>
      <c r="D79" s="396" t="s">
        <v>1592</v>
      </c>
      <c r="E79" s="103">
        <v>4721</v>
      </c>
      <c r="F79" s="103" t="s">
        <v>1572</v>
      </c>
      <c r="G79" s="103">
        <v>1980</v>
      </c>
      <c r="H79" s="397">
        <v>72575</v>
      </c>
      <c r="I79" s="103">
        <v>72575</v>
      </c>
      <c r="J79" s="386">
        <v>232.09</v>
      </c>
      <c r="K79" s="386">
        <v>24.57</v>
      </c>
      <c r="L79" s="386"/>
      <c r="M79" s="386"/>
      <c r="N79" s="386">
        <v>22.85</v>
      </c>
      <c r="O79" s="386">
        <v>5.4</v>
      </c>
      <c r="P79" s="386"/>
      <c r="Q79" s="386">
        <v>46.78</v>
      </c>
      <c r="R79" s="386">
        <v>31.48</v>
      </c>
      <c r="S79" s="386">
        <v>96.3</v>
      </c>
      <c r="T79" s="386">
        <v>77.760000000000005</v>
      </c>
      <c r="U79" s="386">
        <v>28.56</v>
      </c>
      <c r="V79" s="386">
        <v>287.62</v>
      </c>
      <c r="W79" s="386">
        <v>23.96</v>
      </c>
      <c r="X79" s="386">
        <v>70.510000000000005</v>
      </c>
      <c r="Y79" s="386">
        <v>35.33</v>
      </c>
      <c r="Z79" s="386">
        <v>325</v>
      </c>
      <c r="AA79" s="386">
        <v>49.11</v>
      </c>
      <c r="AB79" s="2"/>
      <c r="AC79" s="2"/>
    </row>
    <row r="80" spans="1:29" customFormat="1" ht="18">
      <c r="A80" s="103" t="s">
        <v>273</v>
      </c>
      <c r="B80" s="103" t="s">
        <v>76</v>
      </c>
      <c r="C80" s="396" t="s">
        <v>524</v>
      </c>
      <c r="D80" s="396" t="s">
        <v>1593</v>
      </c>
      <c r="E80" s="103">
        <v>6246</v>
      </c>
      <c r="F80" s="103" t="s">
        <v>1572</v>
      </c>
      <c r="G80" s="103">
        <v>2370</v>
      </c>
      <c r="H80" s="397">
        <v>145150</v>
      </c>
      <c r="I80" s="103">
        <v>145150</v>
      </c>
      <c r="J80" s="386">
        <v>245.96</v>
      </c>
      <c r="K80" s="386">
        <v>21.52</v>
      </c>
      <c r="L80" s="386"/>
      <c r="M80" s="386"/>
      <c r="N80" s="386">
        <v>22.32</v>
      </c>
      <c r="O80" s="386">
        <v>4.1900000000000004</v>
      </c>
      <c r="P80" s="386"/>
      <c r="Q80" s="386">
        <v>53.08</v>
      </c>
      <c r="R80" s="386">
        <v>31.79</v>
      </c>
      <c r="S80" s="386"/>
      <c r="T80" s="386">
        <v>79.08</v>
      </c>
      <c r="U80" s="386">
        <v>29.79</v>
      </c>
      <c r="V80" s="386">
        <v>305.10000000000002</v>
      </c>
      <c r="W80" s="386">
        <v>24.89</v>
      </c>
      <c r="X80" s="386">
        <v>69.39</v>
      </c>
      <c r="Y80" s="386">
        <v>37.29</v>
      </c>
      <c r="Z80" s="386">
        <v>354</v>
      </c>
      <c r="AA80" s="386">
        <v>53.64</v>
      </c>
      <c r="AB80" s="2"/>
      <c r="AC80" s="2"/>
    </row>
    <row r="81" spans="1:29" customFormat="1" ht="18">
      <c r="A81" s="103" t="s">
        <v>273</v>
      </c>
      <c r="B81" s="103" t="s">
        <v>76</v>
      </c>
      <c r="C81" s="396" t="s">
        <v>1582</v>
      </c>
      <c r="D81" s="396" t="s">
        <v>1588</v>
      </c>
      <c r="E81" s="103">
        <v>16489</v>
      </c>
      <c r="F81" s="103" t="s">
        <v>1573</v>
      </c>
      <c r="G81" s="103">
        <v>610</v>
      </c>
      <c r="H81" s="397">
        <f t="shared" ref="H81:H104" si="1">10^((LOG(J81)*3.142)+-2.44)</f>
        <v>4176.2710537111152</v>
      </c>
      <c r="I81" s="103"/>
      <c r="J81" s="386">
        <v>84.91</v>
      </c>
      <c r="K81" s="386">
        <v>8.24</v>
      </c>
      <c r="L81" s="386"/>
      <c r="M81" s="386"/>
      <c r="N81" s="386">
        <v>7.41</v>
      </c>
      <c r="O81" s="386">
        <v>1.84</v>
      </c>
      <c r="P81" s="386"/>
      <c r="Q81" s="386">
        <v>14.73</v>
      </c>
      <c r="R81" s="386">
        <v>7.46</v>
      </c>
      <c r="S81" s="386" t="s">
        <v>17</v>
      </c>
      <c r="T81" s="386">
        <v>16.66</v>
      </c>
      <c r="U81" s="386">
        <v>6.91</v>
      </c>
      <c r="V81" s="386">
        <v>98.9</v>
      </c>
      <c r="W81" s="386">
        <v>6.46</v>
      </c>
      <c r="X81" s="386">
        <v>15.66</v>
      </c>
      <c r="Y81" s="386">
        <v>8.77</v>
      </c>
      <c r="Z81" s="386">
        <v>91.9</v>
      </c>
      <c r="AA81" s="386">
        <v>12.87</v>
      </c>
      <c r="AB81" s="2"/>
      <c r="AC81" s="2"/>
    </row>
    <row r="82" spans="1:29" customFormat="1" ht="18">
      <c r="A82" s="103" t="s">
        <v>273</v>
      </c>
      <c r="B82" s="103" t="s">
        <v>76</v>
      </c>
      <c r="C82" s="396" t="s">
        <v>1582</v>
      </c>
      <c r="D82" s="396" t="s">
        <v>1594</v>
      </c>
      <c r="E82" s="103">
        <v>18580</v>
      </c>
      <c r="F82" s="103" t="s">
        <v>1572</v>
      </c>
      <c r="G82" s="103">
        <v>1130</v>
      </c>
      <c r="H82" s="397">
        <f t="shared" si="1"/>
        <v>9038.0475210967397</v>
      </c>
      <c r="I82" s="103"/>
      <c r="J82" s="386">
        <v>108.56</v>
      </c>
      <c r="K82" s="386">
        <v>10.69</v>
      </c>
      <c r="L82" s="386"/>
      <c r="M82" s="386"/>
      <c r="N82" s="386">
        <v>9.8000000000000007</v>
      </c>
      <c r="O82" s="386">
        <v>2.2400000000000002</v>
      </c>
      <c r="P82" s="386"/>
      <c r="Q82" s="386"/>
      <c r="R82" s="386"/>
      <c r="S82" s="386"/>
      <c r="T82" s="386"/>
      <c r="U82" s="386"/>
      <c r="V82" s="386"/>
      <c r="W82" s="386"/>
      <c r="X82" s="386"/>
      <c r="Y82" s="386"/>
      <c r="Z82" s="386"/>
      <c r="AA82" s="386"/>
      <c r="AB82" s="2"/>
      <c r="AC82" s="2"/>
    </row>
    <row r="83" spans="1:29" customFormat="1" ht="18">
      <c r="A83" s="103" t="s">
        <v>273</v>
      </c>
      <c r="B83" s="103" t="s">
        <v>76</v>
      </c>
      <c r="C83" s="396" t="s">
        <v>1582</v>
      </c>
      <c r="D83" s="396" t="s">
        <v>1589</v>
      </c>
      <c r="E83" s="103">
        <v>3519</v>
      </c>
      <c r="F83" s="103" t="s">
        <v>1573</v>
      </c>
      <c r="G83" s="103">
        <v>1000</v>
      </c>
      <c r="H83" s="397">
        <f t="shared" si="1"/>
        <v>9182.7008066707367</v>
      </c>
      <c r="I83" s="103"/>
      <c r="J83" s="386">
        <v>109.11</v>
      </c>
      <c r="K83" s="386">
        <v>13.85</v>
      </c>
      <c r="L83" s="386"/>
      <c r="M83" s="386"/>
      <c r="N83" s="386">
        <v>11.44</v>
      </c>
      <c r="O83" s="386">
        <v>3.06</v>
      </c>
      <c r="P83" s="386"/>
      <c r="Q83" s="386">
        <v>25.33</v>
      </c>
      <c r="R83" s="386">
        <v>14.64</v>
      </c>
      <c r="S83" s="386">
        <v>50.56</v>
      </c>
      <c r="T83" s="386">
        <v>32.17</v>
      </c>
      <c r="U83" s="386">
        <v>12.22</v>
      </c>
      <c r="V83" s="386">
        <v>216.25</v>
      </c>
      <c r="W83" s="386">
        <v>11.33</v>
      </c>
      <c r="X83" s="386">
        <v>28.31</v>
      </c>
      <c r="Y83" s="386">
        <v>15.58</v>
      </c>
      <c r="Z83" s="386">
        <v>210.3</v>
      </c>
      <c r="AA83" s="386">
        <v>19.850000000000001</v>
      </c>
      <c r="AB83" s="2"/>
      <c r="AC83" s="2"/>
    </row>
    <row r="84" spans="1:29" customFormat="1" ht="18">
      <c r="A84" s="103" t="s">
        <v>273</v>
      </c>
      <c r="B84" s="103" t="s">
        <v>76</v>
      </c>
      <c r="C84" s="396" t="s">
        <v>1590</v>
      </c>
      <c r="D84" s="396" t="s">
        <v>1591</v>
      </c>
      <c r="E84" s="103">
        <v>16496</v>
      </c>
      <c r="F84" s="103" t="s">
        <v>1572</v>
      </c>
      <c r="G84" s="103">
        <v>1140</v>
      </c>
      <c r="H84" s="397">
        <f t="shared" si="1"/>
        <v>9697.2957867031346</v>
      </c>
      <c r="I84" s="103"/>
      <c r="J84" s="386">
        <v>111.02</v>
      </c>
      <c r="K84" s="386">
        <v>13.09</v>
      </c>
      <c r="L84" s="386"/>
      <c r="M84" s="386"/>
      <c r="N84" s="386">
        <v>12.67</v>
      </c>
      <c r="O84" s="386">
        <v>3.28</v>
      </c>
      <c r="P84" s="386"/>
      <c r="Q84" s="386">
        <v>24.72</v>
      </c>
      <c r="R84" s="386">
        <v>12.29</v>
      </c>
      <c r="S84" s="386">
        <v>39.479999999999997</v>
      </c>
      <c r="T84" s="386">
        <v>32.08</v>
      </c>
      <c r="U84" s="386">
        <v>11.88</v>
      </c>
      <c r="V84" s="386">
        <v>124.49</v>
      </c>
      <c r="W84" s="386">
        <v>9.1</v>
      </c>
      <c r="X84" s="386">
        <v>26.28</v>
      </c>
      <c r="Y84" s="386">
        <v>15.55</v>
      </c>
      <c r="Z84" s="386">
        <v>130.94</v>
      </c>
      <c r="AA84" s="386">
        <v>17.46</v>
      </c>
      <c r="AB84" s="2"/>
      <c r="AC84" s="2"/>
    </row>
    <row r="85" spans="1:29" customFormat="1" ht="18">
      <c r="A85" s="103" t="s">
        <v>273</v>
      </c>
      <c r="B85" s="103" t="s">
        <v>76</v>
      </c>
      <c r="C85" s="396" t="s">
        <v>1582</v>
      </c>
      <c r="D85" s="396" t="s">
        <v>1595</v>
      </c>
      <c r="E85" s="103">
        <v>16493</v>
      </c>
      <c r="F85" s="103" t="s">
        <v>1571</v>
      </c>
      <c r="G85" s="103"/>
      <c r="H85" s="397">
        <f t="shared" si="1"/>
        <v>10891.399522505853</v>
      </c>
      <c r="I85" s="103"/>
      <c r="J85" s="386">
        <v>115.2</v>
      </c>
      <c r="K85" s="386">
        <v>10.41</v>
      </c>
      <c r="L85" s="386"/>
      <c r="M85" s="386"/>
      <c r="N85" s="386">
        <v>9.61</v>
      </c>
      <c r="O85" s="386">
        <v>2.14</v>
      </c>
      <c r="P85" s="386"/>
      <c r="Q85" s="386">
        <v>23.75</v>
      </c>
      <c r="R85" s="386">
        <v>11.71</v>
      </c>
      <c r="S85" s="386">
        <v>36.520000000000003</v>
      </c>
      <c r="T85" s="386">
        <v>29.28</v>
      </c>
      <c r="U85" s="386">
        <v>12.72</v>
      </c>
      <c r="V85" s="386">
        <v>142.28</v>
      </c>
      <c r="W85" s="386">
        <v>10.99</v>
      </c>
      <c r="X85" s="386">
        <v>26.23</v>
      </c>
      <c r="Y85" s="386">
        <v>14.38</v>
      </c>
      <c r="Z85" s="386">
        <v>147.72999999999999</v>
      </c>
      <c r="AA85" s="386">
        <v>18.13</v>
      </c>
      <c r="AB85" s="2"/>
      <c r="AC85" s="2"/>
    </row>
    <row r="86" spans="1:29" customFormat="1" ht="18">
      <c r="A86" s="103" t="s">
        <v>273</v>
      </c>
      <c r="B86" s="103" t="s">
        <v>76</v>
      </c>
      <c r="C86" s="396" t="s">
        <v>1582</v>
      </c>
      <c r="D86" s="396" t="s">
        <v>1595</v>
      </c>
      <c r="E86" s="103">
        <v>4460</v>
      </c>
      <c r="F86" s="103" t="s">
        <v>1573</v>
      </c>
      <c r="G86" s="103"/>
      <c r="H86" s="397">
        <f t="shared" si="1"/>
        <v>13949.404806286038</v>
      </c>
      <c r="I86" s="103"/>
      <c r="J86" s="386">
        <v>124.64</v>
      </c>
      <c r="K86" s="386">
        <v>11.68</v>
      </c>
      <c r="L86" s="386"/>
      <c r="M86" s="386"/>
      <c r="N86" s="386">
        <v>10.71</v>
      </c>
      <c r="O86" s="386">
        <v>2.86</v>
      </c>
      <c r="P86" s="386"/>
      <c r="Q86" s="386">
        <v>22.65</v>
      </c>
      <c r="R86" s="386">
        <v>13.02</v>
      </c>
      <c r="S86" s="386">
        <v>36.450000000000003</v>
      </c>
      <c r="T86" s="386">
        <v>30.59</v>
      </c>
      <c r="U86" s="386">
        <v>13.38</v>
      </c>
      <c r="V86" s="386">
        <v>150.32</v>
      </c>
      <c r="W86" s="386">
        <v>11.59</v>
      </c>
      <c r="X86" s="386">
        <v>26.04</v>
      </c>
      <c r="Y86" s="386">
        <v>14.76</v>
      </c>
      <c r="Z86" s="386">
        <v>155.24</v>
      </c>
      <c r="AA86" s="386">
        <v>20.65</v>
      </c>
      <c r="AB86" s="2"/>
      <c r="AC86" s="2"/>
    </row>
    <row r="87" spans="1:29" customFormat="1" ht="18">
      <c r="A87" s="103" t="s">
        <v>273</v>
      </c>
      <c r="B87" s="103" t="s">
        <v>76</v>
      </c>
      <c r="C87" s="396" t="s">
        <v>1596</v>
      </c>
      <c r="D87" s="396" t="s">
        <v>1597</v>
      </c>
      <c r="E87" s="103">
        <v>5018</v>
      </c>
      <c r="F87" s="103" t="s">
        <v>1573</v>
      </c>
      <c r="G87" s="103">
        <v>1656</v>
      </c>
      <c r="H87" s="397">
        <f t="shared" si="1"/>
        <v>15738.463743341352</v>
      </c>
      <c r="I87" s="103"/>
      <c r="J87" s="386">
        <v>129.52000000000001</v>
      </c>
      <c r="K87" s="386">
        <v>15.32</v>
      </c>
      <c r="L87" s="386"/>
      <c r="M87" s="386"/>
      <c r="N87" s="386">
        <v>14.37</v>
      </c>
      <c r="O87" s="386">
        <v>3.32</v>
      </c>
      <c r="P87" s="386"/>
      <c r="Q87" s="386">
        <v>29.28</v>
      </c>
      <c r="R87" s="386">
        <v>17.809999999999999</v>
      </c>
      <c r="S87" s="386">
        <v>66.23</v>
      </c>
      <c r="T87" s="386">
        <v>34.29</v>
      </c>
      <c r="U87" s="386">
        <v>17.75</v>
      </c>
      <c r="V87" s="386">
        <v>238</v>
      </c>
      <c r="W87" s="386">
        <v>14.27</v>
      </c>
      <c r="X87" s="386"/>
      <c r="Y87" s="386">
        <v>20.51</v>
      </c>
      <c r="Z87" s="386">
        <v>224</v>
      </c>
      <c r="AA87" s="386">
        <v>28.62</v>
      </c>
      <c r="AB87" s="2"/>
      <c r="AC87" s="2"/>
    </row>
    <row r="88" spans="1:29" customFormat="1" ht="18">
      <c r="A88" s="103" t="s">
        <v>273</v>
      </c>
      <c r="B88" s="103" t="s">
        <v>76</v>
      </c>
      <c r="C88" s="396" t="s">
        <v>1582</v>
      </c>
      <c r="D88" s="396" t="s">
        <v>530</v>
      </c>
      <c r="E88" s="103">
        <v>4287</v>
      </c>
      <c r="F88" s="103" t="s">
        <v>1572</v>
      </c>
      <c r="G88" s="103"/>
      <c r="H88" s="397">
        <f t="shared" si="1"/>
        <v>20966.632669740484</v>
      </c>
      <c r="I88" s="103"/>
      <c r="J88" s="386">
        <v>141.9</v>
      </c>
      <c r="K88" s="386">
        <v>14.79</v>
      </c>
      <c r="L88" s="386"/>
      <c r="M88" s="386"/>
      <c r="N88" s="386">
        <v>14.09</v>
      </c>
      <c r="O88" s="386">
        <v>2.5499999999999998</v>
      </c>
      <c r="P88" s="386"/>
      <c r="Q88" s="386"/>
      <c r="R88" s="386"/>
      <c r="S88" s="386"/>
      <c r="T88" s="386"/>
      <c r="U88" s="386"/>
      <c r="V88" s="386"/>
      <c r="W88" s="386"/>
      <c r="X88" s="386"/>
      <c r="Y88" s="386"/>
      <c r="Z88" s="386"/>
      <c r="AA88" s="386"/>
      <c r="AB88" s="2"/>
      <c r="AC88" s="2"/>
    </row>
    <row r="89" spans="1:29" customFormat="1" ht="18">
      <c r="A89" s="103" t="s">
        <v>273</v>
      </c>
      <c r="B89" s="103" t="s">
        <v>76</v>
      </c>
      <c r="C89" s="396" t="s">
        <v>1582</v>
      </c>
      <c r="D89" s="396" t="s">
        <v>530</v>
      </c>
      <c r="E89" s="103">
        <v>4461</v>
      </c>
      <c r="F89" s="103" t="s">
        <v>1573</v>
      </c>
      <c r="G89" s="103"/>
      <c r="H89" s="397">
        <f t="shared" si="1"/>
        <v>23038.346264627784</v>
      </c>
      <c r="I89" s="103"/>
      <c r="J89" s="386">
        <v>146.22</v>
      </c>
      <c r="K89" s="386">
        <v>15.93</v>
      </c>
      <c r="L89" s="386"/>
      <c r="M89" s="386"/>
      <c r="N89" s="386">
        <v>15.63</v>
      </c>
      <c r="O89" s="386">
        <v>3.43</v>
      </c>
      <c r="P89" s="386"/>
      <c r="Q89" s="386"/>
      <c r="R89" s="386"/>
      <c r="S89" s="386"/>
      <c r="T89" s="386"/>
      <c r="U89" s="386"/>
      <c r="V89" s="386"/>
      <c r="W89" s="386"/>
      <c r="X89" s="386"/>
      <c r="Y89" s="386"/>
      <c r="Z89" s="386"/>
      <c r="AA89" s="386"/>
      <c r="AB89" s="2"/>
      <c r="AC89" s="2"/>
    </row>
    <row r="90" spans="1:29" customFormat="1" ht="18">
      <c r="A90" s="103" t="s">
        <v>273</v>
      </c>
      <c r="B90" s="103" t="s">
        <v>76</v>
      </c>
      <c r="C90" s="396" t="s">
        <v>1582</v>
      </c>
      <c r="D90" s="396" t="s">
        <v>530</v>
      </c>
      <c r="E90" s="103">
        <v>4286</v>
      </c>
      <c r="F90" s="103" t="s">
        <v>1572</v>
      </c>
      <c r="G90" s="103"/>
      <c r="H90" s="397">
        <f t="shared" si="1"/>
        <v>31495.394551702804</v>
      </c>
      <c r="I90" s="103"/>
      <c r="J90" s="386">
        <v>161.52000000000001</v>
      </c>
      <c r="K90" s="386">
        <v>16.57</v>
      </c>
      <c r="L90" s="386"/>
      <c r="M90" s="386"/>
      <c r="N90" s="386">
        <v>15.43</v>
      </c>
      <c r="O90" s="386">
        <v>3.05</v>
      </c>
      <c r="P90" s="386"/>
      <c r="Q90" s="386"/>
      <c r="R90" s="386"/>
      <c r="S90" s="386"/>
      <c r="T90" s="386"/>
      <c r="U90" s="386"/>
      <c r="V90" s="386"/>
      <c r="W90" s="386"/>
      <c r="X90" s="386"/>
      <c r="Y90" s="386"/>
      <c r="Z90" s="386"/>
      <c r="AA90" s="386"/>
      <c r="AB90" s="2"/>
      <c r="AC90" s="2"/>
    </row>
    <row r="91" spans="1:29" customFormat="1" ht="18">
      <c r="A91" s="103" t="s">
        <v>273</v>
      </c>
      <c r="B91" s="103" t="s">
        <v>76</v>
      </c>
      <c r="C91" s="396" t="s">
        <v>524</v>
      </c>
      <c r="D91" s="396" t="s">
        <v>1598</v>
      </c>
      <c r="E91" s="103">
        <v>5618</v>
      </c>
      <c r="F91" s="103" t="s">
        <v>1572</v>
      </c>
      <c r="G91" s="103">
        <v>1854</v>
      </c>
      <c r="H91" s="397">
        <f t="shared" si="1"/>
        <v>37683.703231189771</v>
      </c>
      <c r="I91" s="103"/>
      <c r="J91" s="386">
        <v>171.01</v>
      </c>
      <c r="K91" s="386">
        <v>16.43</v>
      </c>
      <c r="L91" s="386"/>
      <c r="M91" s="386"/>
      <c r="N91" s="386">
        <v>17.03</v>
      </c>
      <c r="O91" s="386">
        <v>3.14</v>
      </c>
      <c r="P91" s="386"/>
      <c r="Q91" s="386">
        <v>30.93</v>
      </c>
      <c r="R91" s="386">
        <v>17.09</v>
      </c>
      <c r="S91" s="386">
        <v>54.26</v>
      </c>
      <c r="T91" s="386">
        <v>43.38</v>
      </c>
      <c r="U91" s="386">
        <v>19.29</v>
      </c>
      <c r="V91" s="386">
        <v>211.33</v>
      </c>
      <c r="W91" s="386">
        <v>15.72</v>
      </c>
      <c r="X91" s="386">
        <v>40.590000000000003</v>
      </c>
      <c r="Y91" s="386">
        <v>21.19</v>
      </c>
      <c r="Z91" s="386">
        <v>233.65</v>
      </c>
      <c r="AA91" s="386">
        <v>29.31</v>
      </c>
      <c r="AB91" s="2"/>
      <c r="AC91" s="2"/>
    </row>
    <row r="92" spans="1:29" customFormat="1" ht="18">
      <c r="A92" s="103" t="s">
        <v>273</v>
      </c>
      <c r="B92" s="103" t="s">
        <v>76</v>
      </c>
      <c r="C92" s="396" t="s">
        <v>524</v>
      </c>
      <c r="D92" s="396" t="s">
        <v>1598</v>
      </c>
      <c r="E92" s="103">
        <v>4238</v>
      </c>
      <c r="F92" s="103" t="s">
        <v>1573</v>
      </c>
      <c r="G92" s="103">
        <v>2015</v>
      </c>
      <c r="H92" s="397">
        <f t="shared" si="1"/>
        <v>61607.210943240403</v>
      </c>
      <c r="I92" s="103"/>
      <c r="J92" s="386">
        <v>199.97</v>
      </c>
      <c r="K92" s="386">
        <v>18.059999999999999</v>
      </c>
      <c r="L92" s="386"/>
      <c r="M92" s="386"/>
      <c r="N92" s="386">
        <v>17.489999999999998</v>
      </c>
      <c r="O92" s="386">
        <v>0</v>
      </c>
      <c r="P92" s="386"/>
      <c r="Q92" s="386">
        <v>37.81</v>
      </c>
      <c r="R92" s="386">
        <v>24.16</v>
      </c>
      <c r="S92" s="386">
        <v>70.23</v>
      </c>
      <c r="T92" s="386">
        <v>61.89</v>
      </c>
      <c r="U92" s="386">
        <v>23.4</v>
      </c>
      <c r="V92" s="386">
        <v>236.04</v>
      </c>
      <c r="W92" s="386">
        <v>18.760000000000002</v>
      </c>
      <c r="X92" s="386">
        <v>52.03</v>
      </c>
      <c r="Y92" s="386">
        <v>27.56</v>
      </c>
      <c r="Z92" s="386">
        <v>255.97</v>
      </c>
      <c r="AA92" s="386">
        <v>40.57</v>
      </c>
      <c r="AB92" s="2"/>
      <c r="AC92" s="2"/>
    </row>
    <row r="93" spans="1:29" customFormat="1" ht="18">
      <c r="A93" s="103" t="s">
        <v>273</v>
      </c>
      <c r="B93" s="103" t="s">
        <v>76</v>
      </c>
      <c r="C93" s="396" t="s">
        <v>524</v>
      </c>
      <c r="D93" s="396" t="s">
        <v>1592</v>
      </c>
      <c r="E93" s="103">
        <v>17535</v>
      </c>
      <c r="F93" s="103" t="s">
        <v>1573</v>
      </c>
      <c r="G93" s="103"/>
      <c r="H93" s="397">
        <f t="shared" si="1"/>
        <v>86966.617790768767</v>
      </c>
      <c r="I93" s="103"/>
      <c r="J93" s="386">
        <v>223.16</v>
      </c>
      <c r="K93" s="386">
        <v>26.65</v>
      </c>
      <c r="L93" s="386"/>
      <c r="M93" s="386"/>
      <c r="N93" s="386">
        <v>23.91</v>
      </c>
      <c r="O93" s="386">
        <v>3.55</v>
      </c>
      <c r="P93" s="386"/>
      <c r="Q93" s="386"/>
      <c r="R93" s="386"/>
      <c r="S93" s="386"/>
      <c r="T93" s="386"/>
      <c r="U93" s="386"/>
      <c r="V93" s="386"/>
      <c r="W93" s="386"/>
      <c r="X93" s="386"/>
      <c r="Y93" s="386"/>
      <c r="Z93" s="386"/>
      <c r="AA93" s="386"/>
      <c r="AB93" s="2"/>
      <c r="AC93" s="2"/>
    </row>
    <row r="94" spans="1:29" customFormat="1" ht="18">
      <c r="A94" s="103" t="s">
        <v>273</v>
      </c>
      <c r="B94" s="103" t="s">
        <v>76</v>
      </c>
      <c r="C94" s="396" t="s">
        <v>524</v>
      </c>
      <c r="D94" s="396" t="s">
        <v>1592</v>
      </c>
      <c r="E94" s="103">
        <v>17533</v>
      </c>
      <c r="F94" s="103" t="s">
        <v>1572</v>
      </c>
      <c r="G94" s="103"/>
      <c r="H94" s="397">
        <f t="shared" si="1"/>
        <v>116153.46402757399</v>
      </c>
      <c r="I94" s="103"/>
      <c r="J94" s="386">
        <v>244.69</v>
      </c>
      <c r="K94" s="386">
        <v>25.09</v>
      </c>
      <c r="L94" s="386"/>
      <c r="M94" s="386"/>
      <c r="N94" s="386">
        <v>23.71</v>
      </c>
      <c r="O94" s="386">
        <v>4.1100000000000003</v>
      </c>
      <c r="P94" s="386"/>
      <c r="Q94" s="386"/>
      <c r="R94" s="386"/>
      <c r="S94" s="386"/>
      <c r="T94" s="386"/>
      <c r="U94" s="386"/>
      <c r="V94" s="386"/>
      <c r="W94" s="386"/>
      <c r="X94" s="386"/>
      <c r="Y94" s="386"/>
      <c r="Z94" s="386"/>
      <c r="AA94" s="386"/>
      <c r="AB94" s="2"/>
      <c r="AC94" s="2"/>
    </row>
    <row r="95" spans="1:29" customFormat="1" ht="18">
      <c r="A95" s="103" t="s">
        <v>273</v>
      </c>
      <c r="B95" s="103" t="s">
        <v>76</v>
      </c>
      <c r="C95" s="396" t="s">
        <v>524</v>
      </c>
      <c r="D95" s="396" t="s">
        <v>1592</v>
      </c>
      <c r="E95" s="103">
        <v>17543</v>
      </c>
      <c r="F95" s="103" t="s">
        <v>1572</v>
      </c>
      <c r="G95" s="103"/>
      <c r="H95" s="397">
        <f t="shared" si="1"/>
        <v>118753.34323826856</v>
      </c>
      <c r="I95" s="103"/>
      <c r="J95" s="386">
        <v>246.42</v>
      </c>
      <c r="K95" s="386">
        <v>24.29</v>
      </c>
      <c r="L95" s="386"/>
      <c r="M95" s="386"/>
      <c r="N95" s="386">
        <v>23.81</v>
      </c>
      <c r="O95" s="386">
        <v>3.54</v>
      </c>
      <c r="P95" s="386"/>
      <c r="Q95" s="386"/>
      <c r="R95" s="386"/>
      <c r="S95" s="386"/>
      <c r="T95" s="386"/>
      <c r="U95" s="386"/>
      <c r="V95" s="386"/>
      <c r="W95" s="386"/>
      <c r="X95" s="386"/>
      <c r="Y95" s="386"/>
      <c r="Z95" s="386"/>
      <c r="AA95" s="386"/>
      <c r="AB95" s="2"/>
      <c r="AC95" s="2"/>
    </row>
    <row r="96" spans="1:29" customFormat="1" ht="18">
      <c r="A96" s="103" t="s">
        <v>273</v>
      </c>
      <c r="B96" s="103" t="s">
        <v>76</v>
      </c>
      <c r="C96" s="396" t="s">
        <v>524</v>
      </c>
      <c r="D96" s="396" t="s">
        <v>1592</v>
      </c>
      <c r="E96" s="103" t="s">
        <v>1599</v>
      </c>
      <c r="F96" s="103" t="s">
        <v>1571</v>
      </c>
      <c r="G96" s="103"/>
      <c r="H96" s="397">
        <f t="shared" si="1"/>
        <v>119831.72859451066</v>
      </c>
      <c r="I96" s="103"/>
      <c r="J96" s="386">
        <v>247.13</v>
      </c>
      <c r="K96" s="386">
        <v>25.13</v>
      </c>
      <c r="L96" s="386"/>
      <c r="M96" s="386"/>
      <c r="N96" s="386">
        <v>22.33</v>
      </c>
      <c r="O96" s="386">
        <v>5.0599999999999996</v>
      </c>
      <c r="P96" s="386"/>
      <c r="Q96" s="386">
        <v>48.91</v>
      </c>
      <c r="R96" s="386">
        <v>30.17</v>
      </c>
      <c r="S96" s="386">
        <v>93.11</v>
      </c>
      <c r="T96" s="386">
        <v>74.05</v>
      </c>
      <c r="U96" s="386">
        <v>30.38</v>
      </c>
      <c r="V96" s="386">
        <v>276.42</v>
      </c>
      <c r="W96" s="386">
        <v>25.84</v>
      </c>
      <c r="X96" s="386">
        <v>68.77</v>
      </c>
      <c r="Y96" s="386">
        <v>36.22</v>
      </c>
      <c r="Z96" s="386">
        <v>303</v>
      </c>
      <c r="AA96" s="386">
        <v>55.72</v>
      </c>
      <c r="AB96" s="2"/>
      <c r="AC96" s="2"/>
    </row>
    <row r="97" spans="1:29" customFormat="1" ht="18">
      <c r="A97" s="103" t="s">
        <v>273</v>
      </c>
      <c r="B97" s="103" t="s">
        <v>76</v>
      </c>
      <c r="C97" s="396" t="s">
        <v>524</v>
      </c>
      <c r="D97" s="396" t="s">
        <v>1592</v>
      </c>
      <c r="E97" s="103">
        <v>17534</v>
      </c>
      <c r="F97" s="103" t="s">
        <v>1572</v>
      </c>
      <c r="G97" s="103"/>
      <c r="H97" s="397">
        <f t="shared" si="1"/>
        <v>122750.35100954041</v>
      </c>
      <c r="I97" s="103"/>
      <c r="J97" s="386">
        <v>249.03</v>
      </c>
      <c r="K97" s="386">
        <v>23.38</v>
      </c>
      <c r="L97" s="386"/>
      <c r="M97" s="386"/>
      <c r="N97" s="386">
        <v>24.41</v>
      </c>
      <c r="O97" s="386">
        <v>3.45</v>
      </c>
      <c r="P97" s="386"/>
      <c r="Q97" s="386"/>
      <c r="R97" s="386"/>
      <c r="S97" s="386"/>
      <c r="T97" s="386"/>
      <c r="U97" s="386"/>
      <c r="V97" s="386"/>
      <c r="W97" s="386"/>
      <c r="X97" s="386"/>
      <c r="Y97" s="386"/>
      <c r="Z97" s="386"/>
      <c r="AA97" s="386"/>
      <c r="AB97" s="2"/>
      <c r="AC97" s="2"/>
    </row>
    <row r="98" spans="1:29" customFormat="1" ht="18">
      <c r="A98" s="103" t="s">
        <v>273</v>
      </c>
      <c r="B98" s="103" t="s">
        <v>76</v>
      </c>
      <c r="C98" s="396" t="s">
        <v>524</v>
      </c>
      <c r="D98" s="396" t="s">
        <v>1592</v>
      </c>
      <c r="E98" s="103">
        <v>17541</v>
      </c>
      <c r="F98" s="103" t="s">
        <v>1572</v>
      </c>
      <c r="G98" s="103"/>
      <c r="H98" s="397">
        <f t="shared" si="1"/>
        <v>134233.87592821853</v>
      </c>
      <c r="I98" s="103"/>
      <c r="J98" s="386">
        <v>256.22000000000003</v>
      </c>
      <c r="K98" s="386">
        <v>25.04</v>
      </c>
      <c r="L98" s="386"/>
      <c r="M98" s="386"/>
      <c r="N98" s="386">
        <v>20.55</v>
      </c>
      <c r="O98" s="386">
        <v>4.87</v>
      </c>
      <c r="P98" s="386"/>
      <c r="Q98" s="386"/>
      <c r="R98" s="386"/>
      <c r="S98" s="386"/>
      <c r="T98" s="386"/>
      <c r="U98" s="386"/>
      <c r="V98" s="386"/>
      <c r="W98" s="386"/>
      <c r="X98" s="386"/>
      <c r="Y98" s="386"/>
      <c r="Z98" s="386"/>
      <c r="AA98" s="386"/>
      <c r="AB98" s="2"/>
      <c r="AC98" s="2"/>
    </row>
    <row r="99" spans="1:29" customFormat="1" ht="18">
      <c r="A99" s="103" t="s">
        <v>273</v>
      </c>
      <c r="B99" s="103" t="s">
        <v>76</v>
      </c>
      <c r="C99" s="396" t="s">
        <v>524</v>
      </c>
      <c r="D99" s="396" t="s">
        <v>1592</v>
      </c>
      <c r="E99" s="103">
        <v>12736</v>
      </c>
      <c r="F99" s="103" t="s">
        <v>1571</v>
      </c>
      <c r="G99" s="103"/>
      <c r="H99" s="397">
        <f t="shared" si="1"/>
        <v>136302.2675599299</v>
      </c>
      <c r="I99" s="103"/>
      <c r="J99" s="386">
        <v>257.47000000000003</v>
      </c>
      <c r="K99" s="386">
        <v>25.21</v>
      </c>
      <c r="L99" s="386"/>
      <c r="M99" s="386"/>
      <c r="N99" s="386">
        <v>25.64</v>
      </c>
      <c r="O99" s="386">
        <v>4.26</v>
      </c>
      <c r="P99" s="386"/>
      <c r="Q99" s="386"/>
      <c r="R99" s="386"/>
      <c r="S99" s="386"/>
      <c r="T99" s="386"/>
      <c r="U99" s="386"/>
      <c r="V99" s="386"/>
      <c r="W99" s="386"/>
      <c r="X99" s="386"/>
      <c r="Y99" s="386"/>
      <c r="Z99" s="386"/>
      <c r="AA99" s="386"/>
      <c r="AB99" s="2"/>
      <c r="AC99" s="2"/>
    </row>
    <row r="100" spans="1:29" customFormat="1" ht="18">
      <c r="A100" s="103" t="s">
        <v>273</v>
      </c>
      <c r="B100" s="103" t="s">
        <v>76</v>
      </c>
      <c r="C100" s="396" t="s">
        <v>524</v>
      </c>
      <c r="D100" s="396" t="s">
        <v>1592</v>
      </c>
      <c r="E100" s="103">
        <v>17539</v>
      </c>
      <c r="F100" s="103" t="s">
        <v>1571</v>
      </c>
      <c r="G100" s="103"/>
      <c r="H100" s="397">
        <f t="shared" si="1"/>
        <v>137888.69957088158</v>
      </c>
      <c r="I100" s="103"/>
      <c r="J100" s="386">
        <v>258.42</v>
      </c>
      <c r="K100" s="386">
        <v>28.02</v>
      </c>
      <c r="L100" s="386"/>
      <c r="M100" s="386"/>
      <c r="N100" s="386">
        <v>25.76</v>
      </c>
      <c r="O100" s="386">
        <v>5.99</v>
      </c>
      <c r="P100" s="386"/>
      <c r="Q100" s="386"/>
      <c r="R100" s="386"/>
      <c r="S100" s="386"/>
      <c r="T100" s="386"/>
      <c r="U100" s="386"/>
      <c r="V100" s="386"/>
      <c r="W100" s="386"/>
      <c r="X100" s="386"/>
      <c r="Y100" s="386"/>
      <c r="Z100" s="386"/>
      <c r="AA100" s="386"/>
      <c r="AB100" s="2"/>
      <c r="AC100" s="2"/>
    </row>
    <row r="101" spans="1:29" customFormat="1" ht="18">
      <c r="A101" s="103" t="s">
        <v>273</v>
      </c>
      <c r="B101" s="103" t="s">
        <v>76</v>
      </c>
      <c r="C101" s="396" t="s">
        <v>524</v>
      </c>
      <c r="D101" s="396" t="s">
        <v>1592</v>
      </c>
      <c r="E101" s="103">
        <v>17544</v>
      </c>
      <c r="F101" s="103" t="s">
        <v>1572</v>
      </c>
      <c r="G101" s="103"/>
      <c r="H101" s="397">
        <f t="shared" si="1"/>
        <v>140504.03670877099</v>
      </c>
      <c r="I101" s="103"/>
      <c r="J101" s="386">
        <v>259.97000000000003</v>
      </c>
      <c r="K101" s="386">
        <v>24.4</v>
      </c>
      <c r="L101" s="386"/>
      <c r="M101" s="386"/>
      <c r="N101" s="386">
        <v>23.92</v>
      </c>
      <c r="O101" s="386">
        <v>4.04</v>
      </c>
      <c r="P101" s="386"/>
      <c r="Q101" s="386"/>
      <c r="R101" s="386"/>
      <c r="S101" s="386"/>
      <c r="T101" s="386"/>
      <c r="U101" s="386"/>
      <c r="V101" s="386"/>
      <c r="W101" s="386"/>
      <c r="X101" s="386"/>
      <c r="Y101" s="386"/>
      <c r="Z101" s="386"/>
      <c r="AA101" s="386"/>
      <c r="AB101" s="2"/>
      <c r="AC101" s="2"/>
    </row>
    <row r="102" spans="1:29" customFormat="1" ht="18">
      <c r="A102" s="103" t="s">
        <v>273</v>
      </c>
      <c r="B102" s="103" t="s">
        <v>76</v>
      </c>
      <c r="C102" s="396" t="s">
        <v>524</v>
      </c>
      <c r="D102" s="396" t="s">
        <v>1592</v>
      </c>
      <c r="E102" s="103">
        <v>18573</v>
      </c>
      <c r="F102" s="103" t="s">
        <v>1573</v>
      </c>
      <c r="G102" s="103"/>
      <c r="H102" s="397">
        <f t="shared" si="1"/>
        <v>207750.28548870099</v>
      </c>
      <c r="I102" s="103"/>
      <c r="J102" s="386">
        <v>294.43</v>
      </c>
      <c r="K102" s="386"/>
      <c r="L102" s="386"/>
      <c r="M102" s="386"/>
      <c r="N102" s="386"/>
      <c r="O102" s="386">
        <v>5.2</v>
      </c>
      <c r="P102" s="386"/>
      <c r="Q102" s="386"/>
      <c r="R102" s="386"/>
      <c r="S102" s="386"/>
      <c r="T102" s="386"/>
      <c r="U102" s="386"/>
      <c r="V102" s="386"/>
      <c r="W102" s="386"/>
      <c r="X102" s="386"/>
      <c r="Y102" s="386"/>
      <c r="Z102" s="386"/>
      <c r="AA102" s="386"/>
      <c r="AB102" s="2"/>
      <c r="AC102" s="2"/>
    </row>
    <row r="103" spans="1:29" customFormat="1" ht="18">
      <c r="A103" s="103" t="s">
        <v>273</v>
      </c>
      <c r="B103" s="103" t="s">
        <v>76</v>
      </c>
      <c r="C103" s="396" t="s">
        <v>524</v>
      </c>
      <c r="D103" s="396" t="s">
        <v>1592</v>
      </c>
      <c r="E103" s="103">
        <v>17537</v>
      </c>
      <c r="F103" s="103" t="s">
        <v>1573</v>
      </c>
      <c r="G103" s="103"/>
      <c r="H103" s="397">
        <f t="shared" si="1"/>
        <v>223085.68185851906</v>
      </c>
      <c r="I103" s="103"/>
      <c r="J103" s="386">
        <v>301.18</v>
      </c>
      <c r="K103" s="386">
        <v>27.97</v>
      </c>
      <c r="L103" s="386"/>
      <c r="M103" s="386"/>
      <c r="N103" s="386">
        <v>26.22</v>
      </c>
      <c r="O103" s="386">
        <v>4.47</v>
      </c>
      <c r="P103" s="386"/>
      <c r="Q103" s="386"/>
      <c r="R103" s="386"/>
      <c r="S103" s="386"/>
      <c r="T103" s="386"/>
      <c r="U103" s="386"/>
      <c r="V103" s="386"/>
      <c r="W103" s="386"/>
      <c r="X103" s="386"/>
      <c r="Y103" s="386"/>
      <c r="Z103" s="386"/>
      <c r="AA103" s="386"/>
      <c r="AB103" s="2"/>
      <c r="AC103" s="2"/>
    </row>
    <row r="104" spans="1:29" customFormat="1" ht="18">
      <c r="A104" s="103" t="s">
        <v>273</v>
      </c>
      <c r="B104" s="103" t="s">
        <v>76</v>
      </c>
      <c r="C104" s="396" t="s">
        <v>524</v>
      </c>
      <c r="D104" s="396" t="s">
        <v>1592</v>
      </c>
      <c r="E104" s="103">
        <v>7494</v>
      </c>
      <c r="F104" s="103" t="s">
        <v>1573</v>
      </c>
      <c r="G104" s="103"/>
      <c r="H104" s="397">
        <f t="shared" si="1"/>
        <v>311666.97349834227</v>
      </c>
      <c r="I104" s="103"/>
      <c r="J104" s="386">
        <v>335</v>
      </c>
      <c r="K104" s="386">
        <v>28.85</v>
      </c>
      <c r="L104" s="386"/>
      <c r="M104" s="386"/>
      <c r="N104" s="386">
        <v>27.45</v>
      </c>
      <c r="O104" s="386">
        <v>4.91</v>
      </c>
      <c r="P104" s="386"/>
      <c r="Q104" s="386">
        <v>52.85</v>
      </c>
      <c r="R104" s="386">
        <v>36.04</v>
      </c>
      <c r="S104" s="386">
        <v>109.88</v>
      </c>
      <c r="T104" s="386">
        <v>83.23</v>
      </c>
      <c r="U104" s="386">
        <v>36.76</v>
      </c>
      <c r="V104" s="386">
        <v>321</v>
      </c>
      <c r="W104" s="386">
        <v>29.78</v>
      </c>
      <c r="X104" s="386">
        <v>74.319999999999993</v>
      </c>
      <c r="Y104" s="386">
        <v>38.869999999999997</v>
      </c>
      <c r="Z104" s="386">
        <v>372</v>
      </c>
      <c r="AA104" s="386">
        <v>63.73</v>
      </c>
      <c r="AB104" s="2"/>
      <c r="AC104" s="2"/>
    </row>
    <row r="105" spans="1:29" customFormat="1" ht="18">
      <c r="A105" s="103" t="s">
        <v>273</v>
      </c>
      <c r="B105" s="103" t="s">
        <v>76</v>
      </c>
      <c r="C105" s="396" t="s">
        <v>524</v>
      </c>
      <c r="D105" s="396" t="s">
        <v>1592</v>
      </c>
      <c r="E105" s="103">
        <v>17532</v>
      </c>
      <c r="F105" s="103" t="s">
        <v>1572</v>
      </c>
      <c r="G105" s="103"/>
      <c r="H105" s="397"/>
      <c r="I105" s="103"/>
      <c r="J105" s="386"/>
      <c r="K105" s="386">
        <v>24.27</v>
      </c>
      <c r="L105" s="386"/>
      <c r="M105" s="386"/>
      <c r="N105" s="386">
        <v>23.5</v>
      </c>
      <c r="O105" s="386">
        <v>3.83</v>
      </c>
      <c r="P105" s="386"/>
      <c r="Q105" s="386"/>
      <c r="R105" s="386"/>
      <c r="S105" s="386"/>
      <c r="T105" s="386"/>
      <c r="U105" s="386"/>
      <c r="V105" s="386"/>
      <c r="W105" s="386"/>
      <c r="X105" s="386"/>
      <c r="Y105" s="386"/>
      <c r="Z105" s="386"/>
      <c r="AA105" s="386"/>
      <c r="AB105" s="2"/>
      <c r="AC105" s="2"/>
    </row>
    <row r="106" spans="1:29" customFormat="1" ht="18">
      <c r="A106" s="103" t="s">
        <v>273</v>
      </c>
      <c r="B106" s="103" t="s">
        <v>76</v>
      </c>
      <c r="C106" s="396" t="s">
        <v>524</v>
      </c>
      <c r="D106" s="396" t="s">
        <v>1592</v>
      </c>
      <c r="E106" s="103">
        <v>17536</v>
      </c>
      <c r="F106" s="103" t="s">
        <v>1572</v>
      </c>
      <c r="G106" s="103"/>
      <c r="H106" s="397"/>
      <c r="I106" s="103"/>
      <c r="J106" s="386"/>
      <c r="K106" s="386">
        <v>24.57</v>
      </c>
      <c r="L106" s="386"/>
      <c r="M106" s="386"/>
      <c r="N106" s="386">
        <v>24.26</v>
      </c>
      <c r="O106" s="386"/>
      <c r="P106" s="386"/>
      <c r="Q106" s="386"/>
      <c r="R106" s="386"/>
      <c r="S106" s="386"/>
      <c r="T106" s="386"/>
      <c r="U106" s="386"/>
      <c r="V106" s="386"/>
      <c r="W106" s="386"/>
      <c r="X106" s="386"/>
      <c r="Y106" s="386"/>
      <c r="Z106" s="386"/>
      <c r="AA106" s="386"/>
      <c r="AB106" s="2"/>
      <c r="AC106" s="2"/>
    </row>
    <row r="107" spans="1:29" customFormat="1" ht="18">
      <c r="A107" s="103" t="s">
        <v>579</v>
      </c>
      <c r="B107" s="103" t="s">
        <v>580</v>
      </c>
      <c r="C107" s="396" t="s">
        <v>585</v>
      </c>
      <c r="D107" s="396" t="s">
        <v>1600</v>
      </c>
      <c r="E107" s="103">
        <v>5926</v>
      </c>
      <c r="F107" s="103" t="s">
        <v>1573</v>
      </c>
      <c r="G107" s="103">
        <v>321</v>
      </c>
      <c r="H107" s="397">
        <v>442</v>
      </c>
      <c r="I107" s="103">
        <v>442</v>
      </c>
      <c r="J107" s="386"/>
      <c r="K107" s="386">
        <v>1.863</v>
      </c>
      <c r="L107" s="386"/>
      <c r="M107" s="386"/>
      <c r="N107" s="386"/>
      <c r="O107" s="386"/>
      <c r="P107" s="386"/>
      <c r="Q107" s="386"/>
      <c r="R107" s="386"/>
      <c r="S107" s="386"/>
      <c r="T107" s="386"/>
      <c r="U107" s="386"/>
      <c r="V107" s="386"/>
      <c r="W107" s="386"/>
      <c r="X107" s="386"/>
      <c r="Y107" s="386"/>
      <c r="Z107" s="386"/>
      <c r="AA107" s="386"/>
      <c r="AB107" s="2"/>
      <c r="AC107" s="2"/>
    </row>
    <row r="108" spans="1:29" customFormat="1" ht="18">
      <c r="A108" s="103" t="s">
        <v>579</v>
      </c>
      <c r="B108" s="103" t="s">
        <v>580</v>
      </c>
      <c r="C108" s="396" t="s">
        <v>585</v>
      </c>
      <c r="D108" s="396" t="s">
        <v>125</v>
      </c>
      <c r="E108" s="103">
        <v>11936</v>
      </c>
      <c r="F108" s="103" t="s">
        <v>1573</v>
      </c>
      <c r="G108" s="103">
        <v>356</v>
      </c>
      <c r="H108" s="397">
        <v>705</v>
      </c>
      <c r="I108" s="103">
        <v>705</v>
      </c>
      <c r="J108" s="386"/>
      <c r="K108" s="386">
        <v>2.72</v>
      </c>
      <c r="L108" s="386"/>
      <c r="M108" s="386"/>
      <c r="N108" s="386"/>
      <c r="O108" s="386"/>
      <c r="P108" s="386"/>
      <c r="Q108" s="386"/>
      <c r="R108" s="386"/>
      <c r="S108" s="386"/>
      <c r="T108" s="386"/>
      <c r="U108" s="386"/>
      <c r="V108" s="386"/>
      <c r="W108" s="386"/>
      <c r="X108" s="386"/>
      <c r="Y108" s="386"/>
      <c r="Z108" s="386"/>
      <c r="AA108" s="386"/>
      <c r="AB108" s="2"/>
      <c r="AC108" s="2"/>
    </row>
    <row r="109" spans="1:29" customFormat="1" ht="18">
      <c r="A109" s="103" t="s">
        <v>579</v>
      </c>
      <c r="B109" s="103" t="s">
        <v>580</v>
      </c>
      <c r="C109" s="396" t="s">
        <v>585</v>
      </c>
      <c r="D109" s="396" t="s">
        <v>125</v>
      </c>
      <c r="E109" s="103">
        <v>6863</v>
      </c>
      <c r="F109" s="103" t="s">
        <v>1573</v>
      </c>
      <c r="G109" s="103">
        <v>353</v>
      </c>
      <c r="H109" s="397">
        <v>781</v>
      </c>
      <c r="I109" s="103">
        <v>781</v>
      </c>
      <c r="J109" s="386"/>
      <c r="K109" s="386">
        <v>2.165</v>
      </c>
      <c r="L109" s="386"/>
      <c r="M109" s="386"/>
      <c r="N109" s="386"/>
      <c r="O109" s="386"/>
      <c r="P109" s="386"/>
      <c r="Q109" s="386"/>
      <c r="R109" s="386"/>
      <c r="S109" s="386"/>
      <c r="T109" s="386"/>
      <c r="U109" s="386"/>
      <c r="V109" s="386"/>
      <c r="W109" s="386"/>
      <c r="X109" s="386"/>
      <c r="Y109" s="386"/>
      <c r="Z109" s="386"/>
      <c r="AA109" s="386"/>
      <c r="AB109" s="2"/>
      <c r="AC109" s="2"/>
    </row>
    <row r="110" spans="1:29" customFormat="1" ht="18">
      <c r="A110" s="103" t="s">
        <v>579</v>
      </c>
      <c r="B110" s="103" t="s">
        <v>580</v>
      </c>
      <c r="C110" s="396" t="s">
        <v>585</v>
      </c>
      <c r="D110" s="396" t="s">
        <v>125</v>
      </c>
      <c r="E110" s="103">
        <v>4243</v>
      </c>
      <c r="F110" s="103" t="s">
        <v>1573</v>
      </c>
      <c r="G110" s="103">
        <v>410</v>
      </c>
      <c r="H110" s="397">
        <v>959</v>
      </c>
      <c r="I110" s="103">
        <v>959</v>
      </c>
      <c r="J110" s="386"/>
      <c r="K110" s="386">
        <v>2.859</v>
      </c>
      <c r="L110" s="386"/>
      <c r="M110" s="386"/>
      <c r="N110" s="386"/>
      <c r="O110" s="386"/>
      <c r="P110" s="386"/>
      <c r="Q110" s="386"/>
      <c r="R110" s="386"/>
      <c r="S110" s="386"/>
      <c r="T110" s="386"/>
      <c r="U110" s="386"/>
      <c r="V110" s="386"/>
      <c r="W110" s="386"/>
      <c r="X110" s="386"/>
      <c r="Y110" s="386"/>
      <c r="Z110" s="386"/>
      <c r="AA110" s="386"/>
      <c r="AB110" s="2"/>
      <c r="AC110" s="2"/>
    </row>
    <row r="111" spans="1:29" customFormat="1" ht="18">
      <c r="A111" s="103" t="s">
        <v>579</v>
      </c>
      <c r="B111" s="103" t="s">
        <v>580</v>
      </c>
      <c r="C111" s="396" t="s">
        <v>585</v>
      </c>
      <c r="D111" s="396" t="s">
        <v>125</v>
      </c>
      <c r="E111" s="103">
        <v>19177</v>
      </c>
      <c r="F111" s="103" t="s">
        <v>1573</v>
      </c>
      <c r="G111" s="103">
        <v>390</v>
      </c>
      <c r="H111" s="397">
        <v>1045</v>
      </c>
      <c r="I111" s="103">
        <v>1045</v>
      </c>
      <c r="J111" s="386"/>
      <c r="K111" s="386">
        <v>2.351</v>
      </c>
      <c r="L111" s="386"/>
      <c r="M111" s="386"/>
      <c r="N111" s="386"/>
      <c r="O111" s="386"/>
      <c r="P111" s="386"/>
      <c r="Q111" s="386"/>
      <c r="R111" s="386"/>
      <c r="S111" s="386"/>
      <c r="T111" s="386"/>
      <c r="U111" s="386"/>
      <c r="V111" s="386"/>
      <c r="W111" s="386"/>
      <c r="X111" s="386"/>
      <c r="Y111" s="386"/>
      <c r="Z111" s="386"/>
      <c r="AA111" s="386"/>
      <c r="AB111" s="2"/>
      <c r="AC111" s="2"/>
    </row>
    <row r="112" spans="1:29" customFormat="1" ht="18">
      <c r="A112" s="103" t="s">
        <v>579</v>
      </c>
      <c r="B112" s="103" t="s">
        <v>580</v>
      </c>
      <c r="C112" s="396" t="s">
        <v>581</v>
      </c>
      <c r="D112" s="396" t="s">
        <v>133</v>
      </c>
      <c r="E112" s="103">
        <v>1020</v>
      </c>
      <c r="F112" s="103" t="s">
        <v>1571</v>
      </c>
      <c r="G112" s="103"/>
      <c r="H112" s="397">
        <v>1077</v>
      </c>
      <c r="I112" s="103">
        <v>1077</v>
      </c>
      <c r="J112" s="482"/>
      <c r="K112" s="386">
        <v>2.6749999999999998</v>
      </c>
      <c r="L112" s="386"/>
      <c r="M112" s="386"/>
      <c r="N112" s="386"/>
      <c r="O112" s="386"/>
      <c r="P112" s="386"/>
      <c r="Q112" s="386"/>
      <c r="R112" s="386"/>
      <c r="S112" s="386"/>
      <c r="T112" s="386"/>
      <c r="U112" s="386"/>
      <c r="V112" s="386"/>
      <c r="W112" s="386"/>
      <c r="X112" s="386"/>
      <c r="Y112" s="386"/>
      <c r="Z112" s="386"/>
      <c r="AA112" s="386"/>
      <c r="AB112" s="2"/>
      <c r="AC112" s="2"/>
    </row>
    <row r="113" spans="1:29" customFormat="1" ht="18">
      <c r="A113" s="103" t="s">
        <v>579</v>
      </c>
      <c r="B113" s="103" t="s">
        <v>580</v>
      </c>
      <c r="C113" s="396" t="s">
        <v>585</v>
      </c>
      <c r="D113" s="396" t="s">
        <v>125</v>
      </c>
      <c r="E113" s="103">
        <v>4380</v>
      </c>
      <c r="F113" s="103" t="s">
        <v>1573</v>
      </c>
      <c r="G113" s="103">
        <v>409</v>
      </c>
      <c r="H113" s="397">
        <v>1087</v>
      </c>
      <c r="I113" s="103">
        <v>1087</v>
      </c>
      <c r="J113" s="386"/>
      <c r="K113" s="386">
        <v>2.484</v>
      </c>
      <c r="L113" s="386"/>
      <c r="M113" s="386"/>
      <c r="N113" s="386"/>
      <c r="O113" s="386"/>
      <c r="P113" s="386"/>
      <c r="Q113" s="386"/>
      <c r="R113" s="386"/>
      <c r="S113" s="386"/>
      <c r="T113" s="386"/>
      <c r="U113" s="386"/>
      <c r="V113" s="386"/>
      <c r="W113" s="386"/>
      <c r="X113" s="386"/>
      <c r="Y113" s="386"/>
      <c r="Z113" s="386"/>
      <c r="AA113" s="386"/>
      <c r="AB113" s="2"/>
      <c r="AC113" s="2"/>
    </row>
    <row r="114" spans="1:29" customFormat="1" ht="18">
      <c r="A114" s="103" t="s">
        <v>579</v>
      </c>
      <c r="B114" s="103" t="s">
        <v>580</v>
      </c>
      <c r="C114" s="396" t="s">
        <v>585</v>
      </c>
      <c r="D114" s="396" t="s">
        <v>125</v>
      </c>
      <c r="E114" s="103">
        <v>8955</v>
      </c>
      <c r="F114" s="103" t="s">
        <v>1573</v>
      </c>
      <c r="G114" s="103">
        <v>430</v>
      </c>
      <c r="H114" s="397">
        <v>1162</v>
      </c>
      <c r="I114" s="103">
        <v>1162</v>
      </c>
      <c r="J114" s="386"/>
      <c r="K114" s="386">
        <v>2.254</v>
      </c>
      <c r="L114" s="386"/>
      <c r="M114" s="386"/>
      <c r="N114" s="386"/>
      <c r="O114" s="386"/>
      <c r="P114" s="386"/>
      <c r="Q114" s="386"/>
      <c r="R114" s="386"/>
      <c r="S114" s="386"/>
      <c r="T114" s="386"/>
      <c r="U114" s="386"/>
      <c r="V114" s="386"/>
      <c r="W114" s="386"/>
      <c r="X114" s="386"/>
      <c r="Y114" s="386"/>
      <c r="Z114" s="386"/>
      <c r="AA114" s="386"/>
      <c r="AB114" s="2"/>
      <c r="AC114" s="2"/>
    </row>
    <row r="115" spans="1:29" customFormat="1" ht="18">
      <c r="A115" s="103" t="s">
        <v>579</v>
      </c>
      <c r="B115" s="103" t="s">
        <v>580</v>
      </c>
      <c r="C115" s="396" t="s">
        <v>585</v>
      </c>
      <c r="D115" s="396" t="s">
        <v>125</v>
      </c>
      <c r="E115" s="103">
        <v>3815</v>
      </c>
      <c r="F115" s="103" t="s">
        <v>1573</v>
      </c>
      <c r="G115" s="103">
        <v>432</v>
      </c>
      <c r="H115" s="397">
        <v>1270</v>
      </c>
      <c r="I115" s="103">
        <v>1270</v>
      </c>
      <c r="J115" s="386"/>
      <c r="K115" s="386">
        <v>2.5790000000000002</v>
      </c>
      <c r="L115" s="386"/>
      <c r="M115" s="386"/>
      <c r="N115" s="386"/>
      <c r="O115" s="386"/>
      <c r="P115" s="386"/>
      <c r="Q115" s="386"/>
      <c r="R115" s="386"/>
      <c r="S115" s="386"/>
      <c r="T115" s="386"/>
      <c r="U115" s="386"/>
      <c r="V115" s="386"/>
      <c r="W115" s="386"/>
      <c r="X115" s="386"/>
      <c r="Y115" s="386"/>
      <c r="Z115" s="386"/>
      <c r="AA115" s="386"/>
      <c r="AB115" s="2"/>
      <c r="AC115" s="2"/>
    </row>
    <row r="116" spans="1:29" customFormat="1" ht="18">
      <c r="A116" s="103" t="s">
        <v>579</v>
      </c>
      <c r="B116" s="103" t="s">
        <v>580</v>
      </c>
      <c r="C116" s="396" t="s">
        <v>585</v>
      </c>
      <c r="D116" s="396" t="s">
        <v>125</v>
      </c>
      <c r="E116" s="103">
        <v>3670</v>
      </c>
      <c r="F116" s="103" t="s">
        <v>1573</v>
      </c>
      <c r="G116" s="103">
        <v>445</v>
      </c>
      <c r="H116" s="397">
        <v>1276</v>
      </c>
      <c r="I116" s="103">
        <v>1276</v>
      </c>
      <c r="J116" s="386"/>
      <c r="K116" s="386">
        <v>2.62</v>
      </c>
      <c r="L116" s="386"/>
      <c r="M116" s="386"/>
      <c r="N116" s="386"/>
      <c r="O116" s="386"/>
      <c r="P116" s="386"/>
      <c r="Q116" s="386"/>
      <c r="R116" s="386"/>
      <c r="S116" s="386"/>
      <c r="T116" s="386"/>
      <c r="U116" s="386"/>
      <c r="V116" s="386"/>
      <c r="W116" s="386"/>
      <c r="X116" s="386"/>
      <c r="Y116" s="386"/>
      <c r="Z116" s="386"/>
      <c r="AA116" s="386"/>
      <c r="AB116" s="2"/>
      <c r="AC116" s="2"/>
    </row>
    <row r="117" spans="1:29" customFormat="1" ht="18">
      <c r="A117" s="103" t="s">
        <v>579</v>
      </c>
      <c r="B117" s="103" t="s">
        <v>580</v>
      </c>
      <c r="C117" s="396" t="s">
        <v>581</v>
      </c>
      <c r="D117" s="396" t="s">
        <v>133</v>
      </c>
      <c r="E117" s="103">
        <v>12760</v>
      </c>
      <c r="F117" s="103" t="s">
        <v>1572</v>
      </c>
      <c r="G117" s="103">
        <v>420</v>
      </c>
      <c r="H117" s="397">
        <v>1288</v>
      </c>
      <c r="I117" s="103">
        <v>1288</v>
      </c>
      <c r="J117" s="482"/>
      <c r="K117" s="386">
        <v>2.8519999999999999</v>
      </c>
      <c r="L117" s="386"/>
      <c r="M117" s="386"/>
      <c r="N117" s="386"/>
      <c r="O117" s="386"/>
      <c r="P117" s="386"/>
      <c r="Q117" s="386"/>
      <c r="R117" s="386"/>
      <c r="S117" s="386"/>
      <c r="T117" s="386"/>
      <c r="U117" s="386"/>
      <c r="V117" s="386"/>
      <c r="W117" s="386"/>
      <c r="X117" s="386"/>
      <c r="Y117" s="386"/>
      <c r="Z117" s="386"/>
      <c r="AA117" s="386"/>
      <c r="AB117" s="2"/>
      <c r="AC117" s="2"/>
    </row>
    <row r="118" spans="1:29" customFormat="1" ht="18">
      <c r="A118" s="103" t="s">
        <v>579</v>
      </c>
      <c r="B118" s="103" t="s">
        <v>580</v>
      </c>
      <c r="C118" s="396" t="s">
        <v>581</v>
      </c>
      <c r="D118" s="396" t="s">
        <v>133</v>
      </c>
      <c r="E118" s="103">
        <v>12765</v>
      </c>
      <c r="F118" s="103" t="s">
        <v>1573</v>
      </c>
      <c r="G118" s="103">
        <v>435</v>
      </c>
      <c r="H118" s="397">
        <v>1294</v>
      </c>
      <c r="I118" s="103">
        <v>1294</v>
      </c>
      <c r="J118" s="482"/>
      <c r="K118" s="386">
        <v>2.4969999999999999</v>
      </c>
      <c r="L118" s="386"/>
      <c r="M118" s="386"/>
      <c r="N118" s="386"/>
      <c r="O118" s="386"/>
      <c r="P118" s="386"/>
      <c r="Q118" s="386"/>
      <c r="R118" s="386"/>
      <c r="S118" s="386"/>
      <c r="T118" s="386"/>
      <c r="U118" s="386"/>
      <c r="V118" s="386"/>
      <c r="W118" s="386"/>
      <c r="X118" s="386"/>
      <c r="Y118" s="386"/>
      <c r="Z118" s="386"/>
      <c r="AA118" s="386"/>
      <c r="AB118" s="2"/>
      <c r="AC118" s="2"/>
    </row>
    <row r="119" spans="1:29" customFormat="1" ht="18">
      <c r="A119" s="103" t="s">
        <v>579</v>
      </c>
      <c r="B119" s="103" t="s">
        <v>580</v>
      </c>
      <c r="C119" s="396" t="s">
        <v>585</v>
      </c>
      <c r="D119" s="396" t="s">
        <v>125</v>
      </c>
      <c r="E119" s="103">
        <v>4759</v>
      </c>
      <c r="F119" s="103" t="s">
        <v>1573</v>
      </c>
      <c r="G119" s="103">
        <v>442</v>
      </c>
      <c r="H119" s="397">
        <v>1389</v>
      </c>
      <c r="I119" s="103">
        <v>1389</v>
      </c>
      <c r="J119" s="386"/>
      <c r="K119" s="386">
        <v>2.62</v>
      </c>
      <c r="L119" s="386"/>
      <c r="M119" s="386"/>
      <c r="N119" s="386"/>
      <c r="O119" s="386"/>
      <c r="P119" s="386"/>
      <c r="Q119" s="386"/>
      <c r="R119" s="386"/>
      <c r="S119" s="386"/>
      <c r="T119" s="386"/>
      <c r="U119" s="386"/>
      <c r="V119" s="386"/>
      <c r="W119" s="386"/>
      <c r="X119" s="386"/>
      <c r="Y119" s="386"/>
      <c r="Z119" s="386"/>
      <c r="AA119" s="386"/>
      <c r="AB119" s="2"/>
      <c r="AC119" s="2"/>
    </row>
    <row r="120" spans="1:29" customFormat="1" ht="18">
      <c r="A120" s="103" t="s">
        <v>579</v>
      </c>
      <c r="B120" s="103" t="s">
        <v>580</v>
      </c>
      <c r="C120" s="396" t="s">
        <v>585</v>
      </c>
      <c r="D120" s="396" t="s">
        <v>125</v>
      </c>
      <c r="E120" s="103">
        <v>4877</v>
      </c>
      <c r="F120" s="103" t="s">
        <v>1572</v>
      </c>
      <c r="G120" s="103">
        <v>478</v>
      </c>
      <c r="H120" s="397">
        <v>1417</v>
      </c>
      <c r="I120" s="103">
        <v>1417</v>
      </c>
      <c r="J120" s="386"/>
      <c r="K120" s="386">
        <v>2.4289999999999998</v>
      </c>
      <c r="L120" s="386"/>
      <c r="M120" s="386"/>
      <c r="N120" s="386"/>
      <c r="O120" s="386"/>
      <c r="P120" s="386"/>
      <c r="Q120" s="386"/>
      <c r="R120" s="386"/>
      <c r="S120" s="386"/>
      <c r="T120" s="386"/>
      <c r="U120" s="386"/>
      <c r="V120" s="386"/>
      <c r="W120" s="386"/>
      <c r="X120" s="386"/>
      <c r="Y120" s="386"/>
      <c r="Z120" s="386"/>
      <c r="AA120" s="386"/>
      <c r="AB120" s="2"/>
      <c r="AC120" s="2"/>
    </row>
    <row r="121" spans="1:29" customFormat="1" ht="18">
      <c r="A121" s="103" t="s">
        <v>579</v>
      </c>
      <c r="B121" s="103" t="s">
        <v>580</v>
      </c>
      <c r="C121" s="396" t="s">
        <v>581</v>
      </c>
      <c r="D121" s="396" t="s">
        <v>133</v>
      </c>
      <c r="E121" s="103">
        <v>12762</v>
      </c>
      <c r="F121" s="103" t="s">
        <v>1572</v>
      </c>
      <c r="G121" s="103">
        <v>445</v>
      </c>
      <c r="H121" s="397">
        <v>1443</v>
      </c>
      <c r="I121" s="103">
        <v>1443</v>
      </c>
      <c r="J121" s="482"/>
      <c r="K121" s="386">
        <v>2.7480000000000002</v>
      </c>
      <c r="L121" s="386"/>
      <c r="M121" s="386"/>
      <c r="N121" s="386"/>
      <c r="O121" s="386"/>
      <c r="P121" s="386"/>
      <c r="Q121" s="386"/>
      <c r="R121" s="386"/>
      <c r="S121" s="386"/>
      <c r="T121" s="386"/>
      <c r="U121" s="386"/>
      <c r="V121" s="386"/>
      <c r="W121" s="386"/>
      <c r="X121" s="386"/>
      <c r="Y121" s="386"/>
      <c r="Z121" s="386"/>
      <c r="AA121" s="386"/>
      <c r="AB121" s="2"/>
      <c r="AC121" s="2"/>
    </row>
    <row r="122" spans="1:29" customFormat="1" ht="18">
      <c r="A122" s="103" t="s">
        <v>579</v>
      </c>
      <c r="B122" s="103" t="s">
        <v>580</v>
      </c>
      <c r="C122" s="396" t="s">
        <v>581</v>
      </c>
      <c r="D122" s="396" t="s">
        <v>133</v>
      </c>
      <c r="E122" s="103">
        <v>4964</v>
      </c>
      <c r="F122" s="103" t="s">
        <v>1572</v>
      </c>
      <c r="G122" s="103">
        <v>443</v>
      </c>
      <c r="H122" s="397">
        <v>1497</v>
      </c>
      <c r="I122" s="103">
        <v>1497</v>
      </c>
      <c r="J122" s="386"/>
      <c r="K122" s="386">
        <v>2.9220000000000002</v>
      </c>
      <c r="L122" s="386"/>
      <c r="M122" s="386"/>
      <c r="N122" s="386"/>
      <c r="O122" s="386"/>
      <c r="P122" s="386"/>
      <c r="Q122" s="386"/>
      <c r="R122" s="386"/>
      <c r="S122" s="386"/>
      <c r="T122" s="386"/>
      <c r="U122" s="386"/>
      <c r="V122" s="386"/>
      <c r="W122" s="386"/>
      <c r="X122" s="386"/>
      <c r="Y122" s="386"/>
      <c r="Z122" s="386"/>
      <c r="AA122" s="386"/>
      <c r="AB122" s="2"/>
      <c r="AC122" s="2"/>
    </row>
    <row r="123" spans="1:29" customFormat="1" ht="18">
      <c r="A123" s="103" t="s">
        <v>579</v>
      </c>
      <c r="B123" s="103" t="s">
        <v>580</v>
      </c>
      <c r="C123" s="396" t="s">
        <v>581</v>
      </c>
      <c r="D123" s="396" t="s">
        <v>133</v>
      </c>
      <c r="E123" s="103">
        <v>3887</v>
      </c>
      <c r="F123" s="103" t="s">
        <v>1572</v>
      </c>
      <c r="G123" s="103">
        <v>420</v>
      </c>
      <c r="H123" s="397">
        <v>1843</v>
      </c>
      <c r="I123" s="103">
        <v>1843</v>
      </c>
      <c r="J123" s="482"/>
      <c r="K123" s="386">
        <v>2.7559999999999998</v>
      </c>
      <c r="L123" s="386"/>
      <c r="M123" s="386"/>
      <c r="N123" s="386"/>
      <c r="O123" s="386"/>
      <c r="P123" s="386"/>
      <c r="Q123" s="386"/>
      <c r="R123" s="386"/>
      <c r="S123" s="386"/>
      <c r="T123" s="386"/>
      <c r="U123" s="386"/>
      <c r="V123" s="386"/>
      <c r="W123" s="386"/>
      <c r="X123" s="386"/>
      <c r="Y123" s="386"/>
      <c r="Z123" s="386"/>
      <c r="AA123" s="386"/>
      <c r="AB123" s="2"/>
      <c r="AC123" s="2"/>
    </row>
    <row r="124" spans="1:29" customFormat="1" ht="18">
      <c r="A124" s="103" t="s">
        <v>579</v>
      </c>
      <c r="B124" s="103" t="s">
        <v>580</v>
      </c>
      <c r="C124" s="396" t="s">
        <v>581</v>
      </c>
      <c r="D124" s="396" t="s">
        <v>133</v>
      </c>
      <c r="E124" s="103">
        <v>11939</v>
      </c>
      <c r="F124" s="103" t="s">
        <v>1572</v>
      </c>
      <c r="G124" s="103">
        <v>391</v>
      </c>
      <c r="H124" s="397">
        <v>1899</v>
      </c>
      <c r="I124" s="103">
        <v>1899</v>
      </c>
      <c r="J124" s="386"/>
      <c r="K124" s="386">
        <v>2.7440000000000002</v>
      </c>
      <c r="L124" s="386"/>
      <c r="M124" s="386"/>
      <c r="N124" s="386"/>
      <c r="O124" s="386"/>
      <c r="P124" s="386"/>
      <c r="Q124" s="386"/>
      <c r="R124" s="386"/>
      <c r="S124" s="386"/>
      <c r="T124" s="386"/>
      <c r="U124" s="386"/>
      <c r="V124" s="386"/>
      <c r="W124" s="386"/>
      <c r="X124" s="386"/>
      <c r="Y124" s="386"/>
      <c r="Z124" s="386"/>
      <c r="AA124" s="386"/>
      <c r="AB124" s="2"/>
      <c r="AC124" s="2"/>
    </row>
    <row r="125" spans="1:29" customFormat="1" ht="18">
      <c r="A125" s="103" t="s">
        <v>579</v>
      </c>
      <c r="B125" s="103" t="s">
        <v>580</v>
      </c>
      <c r="C125" s="396" t="s">
        <v>581</v>
      </c>
      <c r="D125" s="396" t="s">
        <v>133</v>
      </c>
      <c r="E125" s="103">
        <v>5731</v>
      </c>
      <c r="F125" s="103" t="s">
        <v>1573</v>
      </c>
      <c r="G125" s="103">
        <v>428</v>
      </c>
      <c r="H125" s="397">
        <v>1928</v>
      </c>
      <c r="I125" s="103">
        <v>1928</v>
      </c>
      <c r="J125" s="386"/>
      <c r="K125" s="386">
        <v>2.919</v>
      </c>
      <c r="L125" s="386"/>
      <c r="M125" s="386"/>
      <c r="N125" s="386"/>
      <c r="O125" s="386"/>
      <c r="P125" s="386"/>
      <c r="Q125" s="386"/>
      <c r="R125" s="386"/>
      <c r="S125" s="386"/>
      <c r="T125" s="386"/>
      <c r="U125" s="386"/>
      <c r="V125" s="386"/>
      <c r="W125" s="386"/>
      <c r="X125" s="386"/>
      <c r="Y125" s="386"/>
      <c r="Z125" s="386"/>
      <c r="AA125" s="386"/>
      <c r="AB125" s="2"/>
      <c r="AC125" s="2"/>
    </row>
    <row r="126" spans="1:29" customFormat="1" ht="18">
      <c r="A126" s="103" t="s">
        <v>579</v>
      </c>
      <c r="B126" s="103" t="s">
        <v>580</v>
      </c>
      <c r="C126" s="396" t="s">
        <v>581</v>
      </c>
      <c r="D126" s="396" t="s">
        <v>133</v>
      </c>
      <c r="E126" s="103">
        <v>5089</v>
      </c>
      <c r="F126" s="103" t="s">
        <v>1572</v>
      </c>
      <c r="G126" s="103">
        <v>435</v>
      </c>
      <c r="H126" s="397">
        <v>2070</v>
      </c>
      <c r="I126" s="103">
        <v>2070</v>
      </c>
      <c r="J126" s="386"/>
      <c r="K126" s="386">
        <v>2.8540000000000001</v>
      </c>
      <c r="L126" s="386"/>
      <c r="M126" s="386"/>
      <c r="N126" s="386"/>
      <c r="O126" s="386"/>
      <c r="P126" s="386"/>
      <c r="Q126" s="386"/>
      <c r="R126" s="386"/>
      <c r="S126" s="386"/>
      <c r="T126" s="386"/>
      <c r="U126" s="386"/>
      <c r="V126" s="386"/>
      <c r="W126" s="386"/>
      <c r="X126" s="386"/>
      <c r="Y126" s="386"/>
      <c r="Z126" s="386"/>
      <c r="AA126" s="386"/>
      <c r="AB126" s="2"/>
      <c r="AC126" s="2"/>
    </row>
    <row r="127" spans="1:29" customFormat="1" ht="18">
      <c r="A127" s="103" t="s">
        <v>579</v>
      </c>
      <c r="B127" s="103" t="s">
        <v>580</v>
      </c>
      <c r="C127" s="396" t="s">
        <v>581</v>
      </c>
      <c r="D127" s="396" t="s">
        <v>133</v>
      </c>
      <c r="E127" s="103">
        <v>1022</v>
      </c>
      <c r="F127" s="103" t="s">
        <v>1573</v>
      </c>
      <c r="G127" s="103"/>
      <c r="H127" s="397">
        <v>2098</v>
      </c>
      <c r="I127" s="103">
        <v>2098</v>
      </c>
      <c r="J127" s="482"/>
      <c r="K127" s="386">
        <v>2.66</v>
      </c>
      <c r="L127" s="386"/>
      <c r="M127" s="386"/>
      <c r="N127" s="386"/>
      <c r="O127" s="386"/>
      <c r="P127" s="386"/>
      <c r="Q127" s="386"/>
      <c r="R127" s="386"/>
      <c r="S127" s="386"/>
      <c r="T127" s="386"/>
      <c r="U127" s="386"/>
      <c r="V127" s="386"/>
      <c r="W127" s="386"/>
      <c r="X127" s="386"/>
      <c r="Y127" s="386"/>
      <c r="Z127" s="386"/>
      <c r="AA127" s="386"/>
      <c r="AB127" s="2"/>
      <c r="AC127" s="2"/>
    </row>
    <row r="128" spans="1:29" customFormat="1" ht="18">
      <c r="A128" s="103" t="s">
        <v>579</v>
      </c>
      <c r="B128" s="103" t="s">
        <v>580</v>
      </c>
      <c r="C128" s="396" t="s">
        <v>581</v>
      </c>
      <c r="D128" s="396" t="s">
        <v>1601</v>
      </c>
      <c r="E128" s="103">
        <v>4791</v>
      </c>
      <c r="F128" s="103" t="s">
        <v>1572</v>
      </c>
      <c r="G128" s="103">
        <v>468</v>
      </c>
      <c r="H128" s="397">
        <v>2268</v>
      </c>
      <c r="I128" s="103">
        <v>2268</v>
      </c>
      <c r="J128" s="386"/>
      <c r="K128" s="386">
        <v>3.3039999999999998</v>
      </c>
      <c r="L128" s="386"/>
      <c r="M128" s="386"/>
      <c r="N128" s="386"/>
      <c r="O128" s="386"/>
      <c r="P128" s="386"/>
      <c r="Q128" s="386"/>
      <c r="R128" s="386"/>
      <c r="S128" s="386"/>
      <c r="T128" s="386"/>
      <c r="U128" s="386"/>
      <c r="V128" s="386"/>
      <c r="W128" s="386"/>
      <c r="X128" s="386"/>
      <c r="Y128" s="386"/>
      <c r="Z128" s="386"/>
      <c r="AA128" s="386"/>
      <c r="AB128" s="2"/>
      <c r="AC128" s="2"/>
    </row>
    <row r="129" spans="1:29" customFormat="1" ht="18">
      <c r="A129" s="103" t="s">
        <v>579</v>
      </c>
      <c r="B129" s="103" t="s">
        <v>580</v>
      </c>
      <c r="C129" s="396" t="s">
        <v>581</v>
      </c>
      <c r="D129" s="396" t="s">
        <v>1602</v>
      </c>
      <c r="E129" s="103">
        <v>5101</v>
      </c>
      <c r="F129" s="103" t="s">
        <v>1573</v>
      </c>
      <c r="G129" s="103">
        <v>604</v>
      </c>
      <c r="H129" s="397">
        <v>2410</v>
      </c>
      <c r="I129" s="103">
        <v>2410</v>
      </c>
      <c r="J129" s="386"/>
      <c r="K129" s="386">
        <v>3.4340000000000002</v>
      </c>
      <c r="L129" s="386"/>
      <c r="M129" s="386"/>
      <c r="N129" s="386"/>
      <c r="O129" s="386"/>
      <c r="P129" s="386"/>
      <c r="Q129" s="386"/>
      <c r="R129" s="386"/>
      <c r="S129" s="386"/>
      <c r="T129" s="386"/>
      <c r="U129" s="386"/>
      <c r="V129" s="386"/>
      <c r="W129" s="386"/>
      <c r="X129" s="386"/>
      <c r="Y129" s="386"/>
      <c r="Z129" s="386"/>
      <c r="AA129" s="386"/>
      <c r="AB129" s="2"/>
      <c r="AC129" s="2"/>
    </row>
    <row r="130" spans="1:29" customFormat="1" ht="18">
      <c r="A130" s="103" t="s">
        <v>579</v>
      </c>
      <c r="B130" s="103" t="s">
        <v>580</v>
      </c>
      <c r="C130" s="396" t="s">
        <v>581</v>
      </c>
      <c r="D130" s="396" t="s">
        <v>1603</v>
      </c>
      <c r="E130" s="103">
        <v>4519</v>
      </c>
      <c r="F130" s="103" t="s">
        <v>1572</v>
      </c>
      <c r="G130" s="103">
        <v>598</v>
      </c>
      <c r="H130" s="397">
        <v>2595</v>
      </c>
      <c r="I130" s="103">
        <v>2595</v>
      </c>
      <c r="J130" s="386"/>
      <c r="K130" s="386">
        <v>3.1659999999999999</v>
      </c>
      <c r="L130" s="386"/>
      <c r="M130" s="386"/>
      <c r="N130" s="386"/>
      <c r="O130" s="386"/>
      <c r="P130" s="386"/>
      <c r="Q130" s="386"/>
      <c r="R130" s="386"/>
      <c r="S130" s="386"/>
      <c r="T130" s="386"/>
      <c r="U130" s="386"/>
      <c r="V130" s="386"/>
      <c r="W130" s="386"/>
      <c r="X130" s="386"/>
      <c r="Y130" s="386"/>
      <c r="Z130" s="386"/>
      <c r="AA130" s="386"/>
      <c r="AB130" s="2"/>
      <c r="AC130" s="2"/>
    </row>
    <row r="131" spans="1:29" customFormat="1" ht="18">
      <c r="A131" s="103" t="s">
        <v>579</v>
      </c>
      <c r="B131" s="103" t="s">
        <v>580</v>
      </c>
      <c r="C131" s="396" t="s">
        <v>581</v>
      </c>
      <c r="D131" s="396" t="s">
        <v>1602</v>
      </c>
      <c r="E131" s="103">
        <v>5100</v>
      </c>
      <c r="F131" s="103" t="s">
        <v>1573</v>
      </c>
      <c r="G131" s="103">
        <v>612</v>
      </c>
      <c r="H131" s="397">
        <v>2665</v>
      </c>
      <c r="I131" s="103">
        <v>2665</v>
      </c>
      <c r="J131" s="386"/>
      <c r="K131" s="386">
        <v>3.3149999999999999</v>
      </c>
      <c r="L131" s="386"/>
      <c r="M131" s="386"/>
      <c r="N131" s="386"/>
      <c r="O131" s="386"/>
      <c r="P131" s="386"/>
      <c r="Q131" s="386"/>
      <c r="R131" s="386"/>
      <c r="S131" s="386"/>
      <c r="T131" s="386"/>
      <c r="U131" s="386"/>
      <c r="V131" s="386"/>
      <c r="W131" s="386"/>
      <c r="X131" s="386"/>
      <c r="Y131" s="386"/>
      <c r="Z131" s="386"/>
      <c r="AA131" s="386"/>
      <c r="AB131" s="2"/>
      <c r="AC131" s="2"/>
    </row>
    <row r="132" spans="1:29" customFormat="1" ht="18">
      <c r="A132" s="103" t="s">
        <v>579</v>
      </c>
      <c r="B132" s="103" t="s">
        <v>580</v>
      </c>
      <c r="C132" s="396" t="s">
        <v>581</v>
      </c>
      <c r="D132" s="396" t="s">
        <v>1602</v>
      </c>
      <c r="E132" s="103">
        <v>11940</v>
      </c>
      <c r="F132" s="103" t="s">
        <v>1573</v>
      </c>
      <c r="G132" s="103">
        <v>590</v>
      </c>
      <c r="H132" s="397">
        <v>3099</v>
      </c>
      <c r="I132" s="103">
        <v>3099</v>
      </c>
      <c r="J132" s="386"/>
      <c r="K132" s="386">
        <v>3.5049999999999999</v>
      </c>
      <c r="L132" s="386"/>
      <c r="M132" s="386"/>
      <c r="N132" s="386"/>
      <c r="O132" s="386"/>
      <c r="P132" s="386"/>
      <c r="Q132" s="386"/>
      <c r="R132" s="386"/>
      <c r="S132" s="386"/>
      <c r="T132" s="386"/>
      <c r="U132" s="386"/>
      <c r="V132" s="386"/>
      <c r="W132" s="386"/>
      <c r="X132" s="386"/>
      <c r="Y132" s="386"/>
      <c r="Z132" s="386"/>
      <c r="AA132" s="386"/>
      <c r="AB132" s="2"/>
      <c r="AC132" s="2"/>
    </row>
    <row r="133" spans="1:29" customFormat="1" ht="18">
      <c r="A133" s="103" t="s">
        <v>579</v>
      </c>
      <c r="B133" s="103" t="s">
        <v>580</v>
      </c>
      <c r="C133" s="396" t="s">
        <v>581</v>
      </c>
      <c r="D133" s="396" t="s">
        <v>1602</v>
      </c>
      <c r="E133" s="103">
        <v>1346</v>
      </c>
      <c r="F133" s="103" t="s">
        <v>1571</v>
      </c>
      <c r="G133" s="103">
        <v>597</v>
      </c>
      <c r="H133" s="397">
        <v>3402</v>
      </c>
      <c r="I133" s="103">
        <v>3402</v>
      </c>
      <c r="J133" s="386"/>
      <c r="K133" s="386">
        <v>3.0950000000000002</v>
      </c>
      <c r="L133" s="386"/>
      <c r="M133" s="386"/>
      <c r="N133" s="386"/>
      <c r="O133" s="386"/>
      <c r="P133" s="386"/>
      <c r="Q133" s="386"/>
      <c r="R133" s="386"/>
      <c r="S133" s="386"/>
      <c r="T133" s="386"/>
      <c r="U133" s="386"/>
      <c r="V133" s="386"/>
      <c r="W133" s="386"/>
      <c r="X133" s="386"/>
      <c r="Y133" s="386"/>
      <c r="Z133" s="386"/>
      <c r="AA133" s="386"/>
      <c r="AB133" s="2"/>
      <c r="AC133" s="2"/>
    </row>
    <row r="134" spans="1:29" customFormat="1" ht="18">
      <c r="A134" s="103" t="s">
        <v>579</v>
      </c>
      <c r="B134" s="103" t="s">
        <v>580</v>
      </c>
      <c r="C134" s="396" t="s">
        <v>581</v>
      </c>
      <c r="D134" s="396" t="s">
        <v>1602</v>
      </c>
      <c r="E134" s="103">
        <v>3734</v>
      </c>
      <c r="F134" s="103" t="s">
        <v>1573</v>
      </c>
      <c r="G134" s="103">
        <v>630</v>
      </c>
      <c r="H134" s="397">
        <v>3430</v>
      </c>
      <c r="I134" s="103">
        <v>3430</v>
      </c>
      <c r="J134" s="386"/>
      <c r="K134" s="386">
        <v>3.59</v>
      </c>
      <c r="L134" s="386"/>
      <c r="M134" s="386"/>
      <c r="N134" s="386"/>
      <c r="O134" s="386"/>
      <c r="P134" s="386"/>
      <c r="Q134" s="386"/>
      <c r="R134" s="386"/>
      <c r="S134" s="386"/>
      <c r="T134" s="386"/>
      <c r="U134" s="386"/>
      <c r="V134" s="386"/>
      <c r="W134" s="386"/>
      <c r="X134" s="386"/>
      <c r="Y134" s="386"/>
      <c r="Z134" s="386"/>
      <c r="AA134" s="386"/>
      <c r="AB134" s="2"/>
      <c r="AC134" s="2"/>
    </row>
    <row r="135" spans="1:29" customFormat="1" ht="18">
      <c r="A135" s="103" t="s">
        <v>579</v>
      </c>
      <c r="B135" s="103" t="s">
        <v>580</v>
      </c>
      <c r="C135" s="396" t="s">
        <v>581</v>
      </c>
      <c r="D135" s="396" t="s">
        <v>1602</v>
      </c>
      <c r="E135" s="103">
        <v>1164</v>
      </c>
      <c r="F135" s="103" t="s">
        <v>1571</v>
      </c>
      <c r="G135" s="103">
        <v>635</v>
      </c>
      <c r="H135" s="397">
        <v>3515</v>
      </c>
      <c r="I135" s="103">
        <v>3515</v>
      </c>
      <c r="J135" s="386"/>
      <c r="K135" s="386">
        <v>3.407</v>
      </c>
      <c r="L135" s="386"/>
      <c r="M135" s="386"/>
      <c r="N135" s="386"/>
      <c r="O135" s="386"/>
      <c r="P135" s="386"/>
      <c r="Q135" s="386"/>
      <c r="R135" s="386"/>
      <c r="S135" s="386"/>
      <c r="T135" s="386"/>
      <c r="U135" s="386"/>
      <c r="V135" s="386"/>
      <c r="W135" s="386"/>
      <c r="X135" s="386"/>
      <c r="Y135" s="386"/>
      <c r="Z135" s="386"/>
      <c r="AA135" s="386"/>
      <c r="AB135" s="2"/>
      <c r="AC135" s="2"/>
    </row>
    <row r="136" spans="1:29" customFormat="1" ht="18">
      <c r="A136" s="103" t="s">
        <v>579</v>
      </c>
      <c r="B136" s="103" t="s">
        <v>580</v>
      </c>
      <c r="C136" s="396" t="s">
        <v>585</v>
      </c>
      <c r="D136" s="396" t="s">
        <v>1604</v>
      </c>
      <c r="E136" s="103">
        <v>4676</v>
      </c>
      <c r="F136" s="103" t="s">
        <v>1573</v>
      </c>
      <c r="G136" s="103">
        <v>300</v>
      </c>
      <c r="H136" s="397"/>
      <c r="I136" s="103"/>
      <c r="J136" s="386"/>
      <c r="K136" s="386">
        <v>1.913</v>
      </c>
      <c r="L136" s="386"/>
      <c r="M136" s="386"/>
      <c r="N136" s="386"/>
      <c r="O136" s="386"/>
      <c r="P136" s="386"/>
      <c r="Q136" s="386"/>
      <c r="R136" s="386"/>
      <c r="S136" s="386"/>
      <c r="T136" s="386"/>
      <c r="U136" s="386"/>
      <c r="V136" s="386"/>
      <c r="W136" s="386"/>
      <c r="X136" s="386"/>
      <c r="Y136" s="386"/>
      <c r="Z136" s="386"/>
      <c r="AA136" s="386"/>
      <c r="AB136" s="2"/>
      <c r="AC136" s="2"/>
    </row>
    <row r="137" spans="1:29" customFormat="1" ht="18">
      <c r="A137" s="103" t="s">
        <v>579</v>
      </c>
      <c r="B137" s="103" t="s">
        <v>580</v>
      </c>
      <c r="C137" s="396" t="s">
        <v>585</v>
      </c>
      <c r="D137" s="396" t="s">
        <v>1604</v>
      </c>
      <c r="E137" s="103">
        <v>4486</v>
      </c>
      <c r="F137" s="103" t="s">
        <v>1573</v>
      </c>
      <c r="G137" s="103">
        <v>321</v>
      </c>
      <c r="H137" s="397"/>
      <c r="I137" s="103"/>
      <c r="J137" s="386"/>
      <c r="K137" s="386">
        <v>1.97</v>
      </c>
      <c r="L137" s="386"/>
      <c r="M137" s="386"/>
      <c r="N137" s="386"/>
      <c r="O137" s="386"/>
      <c r="P137" s="386"/>
      <c r="Q137" s="386"/>
      <c r="R137" s="386"/>
      <c r="S137" s="386"/>
      <c r="T137" s="386"/>
      <c r="U137" s="386"/>
      <c r="V137" s="386"/>
      <c r="W137" s="386"/>
      <c r="X137" s="386"/>
      <c r="Y137" s="386"/>
      <c r="Z137" s="386"/>
      <c r="AA137" s="386"/>
      <c r="AB137" s="2"/>
      <c r="AC137" s="2"/>
    </row>
    <row r="138" spans="1:29" customFormat="1" ht="18">
      <c r="A138" s="103" t="s">
        <v>579</v>
      </c>
      <c r="B138" s="103" t="s">
        <v>580</v>
      </c>
      <c r="C138" s="396" t="s">
        <v>585</v>
      </c>
      <c r="D138" s="396" t="s">
        <v>1604</v>
      </c>
      <c r="E138" s="103">
        <v>4485</v>
      </c>
      <c r="F138" s="103" t="s">
        <v>1573</v>
      </c>
      <c r="G138" s="103">
        <v>361</v>
      </c>
      <c r="H138" s="397"/>
      <c r="I138" s="103"/>
      <c r="J138" s="386"/>
      <c r="K138" s="386">
        <v>2.2170000000000001</v>
      </c>
      <c r="L138" s="386"/>
      <c r="M138" s="386"/>
      <c r="N138" s="386"/>
      <c r="O138" s="386"/>
      <c r="P138" s="386"/>
      <c r="Q138" s="386"/>
      <c r="R138" s="386"/>
      <c r="S138" s="386"/>
      <c r="T138" s="386"/>
      <c r="U138" s="386"/>
      <c r="V138" s="386"/>
      <c r="W138" s="386"/>
      <c r="X138" s="386"/>
      <c r="Y138" s="386"/>
      <c r="Z138" s="386"/>
      <c r="AA138" s="386"/>
      <c r="AB138" s="2"/>
      <c r="AC138" s="2"/>
    </row>
    <row r="139" spans="1:29" customFormat="1" ht="18">
      <c r="A139" s="103" t="s">
        <v>579</v>
      </c>
      <c r="B139" s="103" t="s">
        <v>580</v>
      </c>
      <c r="C139" s="396" t="s">
        <v>585</v>
      </c>
      <c r="D139" s="396" t="s">
        <v>1604</v>
      </c>
      <c r="E139" s="103">
        <v>4511</v>
      </c>
      <c r="F139" s="103" t="s">
        <v>1572</v>
      </c>
      <c r="G139" s="103">
        <v>373</v>
      </c>
      <c r="H139" s="397"/>
      <c r="I139" s="103"/>
      <c r="J139" s="386"/>
      <c r="K139" s="386">
        <v>2.492</v>
      </c>
      <c r="L139" s="386"/>
      <c r="M139" s="386"/>
      <c r="N139" s="386"/>
      <c r="O139" s="386"/>
      <c r="P139" s="386"/>
      <c r="Q139" s="386"/>
      <c r="R139" s="386"/>
      <c r="S139" s="386"/>
      <c r="T139" s="386"/>
      <c r="U139" s="386"/>
      <c r="V139" s="386"/>
      <c r="W139" s="386"/>
      <c r="X139" s="386"/>
      <c r="Y139" s="386"/>
      <c r="Z139" s="386"/>
      <c r="AA139" s="386"/>
      <c r="AB139" s="2"/>
      <c r="AC139" s="2"/>
    </row>
    <row r="140" spans="1:29" customFormat="1" ht="18">
      <c r="A140" s="103" t="s">
        <v>579</v>
      </c>
      <c r="B140" s="103" t="s">
        <v>580</v>
      </c>
      <c r="C140" s="396" t="s">
        <v>585</v>
      </c>
      <c r="D140" s="396" t="s">
        <v>1604</v>
      </c>
      <c r="E140" s="103">
        <v>4509</v>
      </c>
      <c r="F140" s="103" t="s">
        <v>1573</v>
      </c>
      <c r="G140" s="103">
        <v>376</v>
      </c>
      <c r="H140" s="397"/>
      <c r="I140" s="103"/>
      <c r="J140" s="386"/>
      <c r="K140" s="386">
        <v>2.36</v>
      </c>
      <c r="L140" s="386"/>
      <c r="M140" s="386"/>
      <c r="N140" s="386"/>
      <c r="O140" s="386"/>
      <c r="P140" s="386"/>
      <c r="Q140" s="386"/>
      <c r="R140" s="386"/>
      <c r="S140" s="386"/>
      <c r="T140" s="386"/>
      <c r="U140" s="386"/>
      <c r="V140" s="386"/>
      <c r="W140" s="386"/>
      <c r="X140" s="386"/>
      <c r="Y140" s="386"/>
      <c r="Z140" s="386"/>
      <c r="AA140" s="386"/>
      <c r="AB140" s="2"/>
      <c r="AC140" s="2"/>
    </row>
    <row r="141" spans="1:29" customFormat="1" ht="18">
      <c r="A141" s="103" t="s">
        <v>579</v>
      </c>
      <c r="B141" s="103" t="s">
        <v>580</v>
      </c>
      <c r="C141" s="396" t="s">
        <v>581</v>
      </c>
      <c r="D141" s="396" t="s">
        <v>1603</v>
      </c>
      <c r="E141" s="103">
        <v>4552</v>
      </c>
      <c r="F141" s="103" t="s">
        <v>1571</v>
      </c>
      <c r="G141" s="103">
        <v>472</v>
      </c>
      <c r="H141" s="397"/>
      <c r="I141" s="103"/>
      <c r="J141" s="386"/>
      <c r="K141" s="386">
        <v>2.4620000000000002</v>
      </c>
      <c r="L141" s="386"/>
      <c r="M141" s="386"/>
      <c r="N141" s="386"/>
      <c r="O141" s="386"/>
      <c r="P141" s="386"/>
      <c r="Q141" s="386"/>
      <c r="R141" s="386"/>
      <c r="S141" s="386"/>
      <c r="T141" s="386"/>
      <c r="U141" s="386"/>
      <c r="V141" s="386"/>
      <c r="W141" s="386"/>
      <c r="X141" s="386"/>
      <c r="Y141" s="386"/>
      <c r="Z141" s="386"/>
      <c r="AA141" s="386"/>
      <c r="AB141" s="2"/>
      <c r="AC141" s="2"/>
    </row>
    <row r="142" spans="1:29" customFormat="1" ht="18">
      <c r="A142" s="103" t="s">
        <v>579</v>
      </c>
      <c r="B142" s="103" t="s">
        <v>580</v>
      </c>
      <c r="C142" s="396" t="s">
        <v>581</v>
      </c>
      <c r="D142" s="396" t="s">
        <v>1603</v>
      </c>
      <c r="E142" s="103">
        <v>4488</v>
      </c>
      <c r="F142" s="103" t="s">
        <v>1573</v>
      </c>
      <c r="G142" s="103">
        <v>531</v>
      </c>
      <c r="H142" s="397"/>
      <c r="I142" s="103"/>
      <c r="J142" s="386"/>
      <c r="K142" s="386">
        <v>3.75</v>
      </c>
      <c r="L142" s="386"/>
      <c r="M142" s="386"/>
      <c r="N142" s="386"/>
      <c r="O142" s="386"/>
      <c r="P142" s="386"/>
      <c r="Q142" s="386"/>
      <c r="R142" s="386"/>
      <c r="S142" s="386"/>
      <c r="T142" s="386"/>
      <c r="U142" s="386"/>
      <c r="V142" s="386"/>
      <c r="W142" s="386"/>
      <c r="X142" s="386"/>
      <c r="Y142" s="386"/>
      <c r="Z142" s="386"/>
      <c r="AA142" s="386"/>
      <c r="AB142" s="2"/>
      <c r="AC142" s="2"/>
    </row>
    <row r="143" spans="1:29" customFormat="1" ht="18">
      <c r="A143" s="103" t="s">
        <v>579</v>
      </c>
      <c r="B143" s="103" t="s">
        <v>580</v>
      </c>
      <c r="C143" s="396" t="s">
        <v>581</v>
      </c>
      <c r="D143" s="396" t="s">
        <v>1603</v>
      </c>
      <c r="E143" s="103">
        <v>4489</v>
      </c>
      <c r="F143" s="103" t="s">
        <v>1573</v>
      </c>
      <c r="G143" s="103">
        <v>556</v>
      </c>
      <c r="H143" s="397"/>
      <c r="I143" s="103"/>
      <c r="J143" s="386"/>
      <c r="K143" s="386">
        <v>3.258</v>
      </c>
      <c r="L143" s="386"/>
      <c r="M143" s="386"/>
      <c r="N143" s="386"/>
      <c r="O143" s="386"/>
      <c r="P143" s="386"/>
      <c r="Q143" s="386"/>
      <c r="R143" s="386"/>
      <c r="S143" s="386"/>
      <c r="T143" s="386"/>
      <c r="U143" s="386"/>
      <c r="V143" s="386"/>
      <c r="W143" s="386"/>
      <c r="X143" s="386"/>
      <c r="Y143" s="386"/>
      <c r="Z143" s="386"/>
      <c r="AA143" s="386"/>
      <c r="AB143" s="2"/>
      <c r="AC143" s="2"/>
    </row>
    <row r="144" spans="1:29" customFormat="1" ht="18">
      <c r="A144" s="103" t="s">
        <v>579</v>
      </c>
      <c r="B144" s="103" t="s">
        <v>580</v>
      </c>
      <c r="C144" s="396" t="s">
        <v>581</v>
      </c>
      <c r="D144" s="396" t="s">
        <v>1603</v>
      </c>
      <c r="E144" s="103">
        <v>4503</v>
      </c>
      <c r="F144" s="103" t="s">
        <v>1573</v>
      </c>
      <c r="G144" s="103">
        <v>556</v>
      </c>
      <c r="H144" s="397"/>
      <c r="I144" s="103"/>
      <c r="J144" s="386"/>
      <c r="K144" s="386">
        <v>3.1619999999999999</v>
      </c>
      <c r="L144" s="386"/>
      <c r="M144" s="386"/>
      <c r="N144" s="386"/>
      <c r="O144" s="386"/>
      <c r="P144" s="386"/>
      <c r="Q144" s="386"/>
      <c r="R144" s="386"/>
      <c r="S144" s="386"/>
      <c r="T144" s="386"/>
      <c r="U144" s="386"/>
      <c r="V144" s="386"/>
      <c r="W144" s="386"/>
      <c r="X144" s="386"/>
      <c r="Y144" s="386"/>
      <c r="Z144" s="386"/>
      <c r="AA144" s="386"/>
      <c r="AB144" s="2"/>
      <c r="AC144" s="2"/>
    </row>
    <row r="145" spans="1:29" customFormat="1" ht="18">
      <c r="A145" s="103" t="s">
        <v>579</v>
      </c>
      <c r="B145" s="103" t="s">
        <v>580</v>
      </c>
      <c r="C145" s="396" t="s">
        <v>585</v>
      </c>
      <c r="D145" s="396" t="s">
        <v>1604</v>
      </c>
      <c r="E145" s="103">
        <v>12975</v>
      </c>
      <c r="F145" s="103" t="s">
        <v>1573</v>
      </c>
      <c r="G145" s="103"/>
      <c r="H145" s="397"/>
      <c r="I145" s="103"/>
      <c r="J145" s="386"/>
      <c r="K145" s="386">
        <v>1.794</v>
      </c>
      <c r="L145" s="386"/>
      <c r="M145" s="386"/>
      <c r="N145" s="386"/>
      <c r="O145" s="386"/>
      <c r="P145" s="386"/>
      <c r="Q145" s="386"/>
      <c r="R145" s="386"/>
      <c r="S145" s="386"/>
      <c r="T145" s="386"/>
      <c r="U145" s="386"/>
      <c r="V145" s="386"/>
      <c r="W145" s="386"/>
      <c r="X145" s="386"/>
      <c r="Y145" s="386"/>
      <c r="Z145" s="386"/>
      <c r="AA145" s="386"/>
      <c r="AB145" s="2"/>
      <c r="AC145" s="2"/>
    </row>
    <row r="146" spans="1:29" customFormat="1" ht="18">
      <c r="A146" s="103" t="s">
        <v>579</v>
      </c>
      <c r="B146" s="103" t="s">
        <v>580</v>
      </c>
      <c r="C146" s="396" t="s">
        <v>585</v>
      </c>
      <c r="D146" s="396" t="s">
        <v>1604</v>
      </c>
      <c r="E146" s="103">
        <v>10762</v>
      </c>
      <c r="F146" s="103" t="s">
        <v>1573</v>
      </c>
      <c r="G146" s="103"/>
      <c r="H146" s="397"/>
      <c r="I146" s="103"/>
      <c r="J146" s="386"/>
      <c r="K146" s="386">
        <v>2.2400000000000002</v>
      </c>
      <c r="L146" s="386"/>
      <c r="M146" s="386"/>
      <c r="N146" s="386"/>
      <c r="O146" s="386"/>
      <c r="P146" s="386"/>
      <c r="Q146" s="386"/>
      <c r="R146" s="386"/>
      <c r="S146" s="386"/>
      <c r="T146" s="386"/>
      <c r="U146" s="386"/>
      <c r="V146" s="386"/>
      <c r="W146" s="386"/>
      <c r="X146" s="386"/>
      <c r="Y146" s="386"/>
      <c r="Z146" s="386"/>
      <c r="AA146" s="386"/>
      <c r="AB146" s="2"/>
      <c r="AC146" s="2"/>
    </row>
    <row r="147" spans="1:29" customFormat="1" ht="18">
      <c r="A147" s="103" t="s">
        <v>579</v>
      </c>
      <c r="B147" s="103" t="s">
        <v>580</v>
      </c>
      <c r="C147" s="396" t="s">
        <v>585</v>
      </c>
      <c r="D147" s="396" t="s">
        <v>1604</v>
      </c>
      <c r="E147" s="103">
        <v>9801</v>
      </c>
      <c r="F147" s="103" t="s">
        <v>1573</v>
      </c>
      <c r="G147" s="103"/>
      <c r="H147" s="397"/>
      <c r="I147" s="103"/>
      <c r="J147" s="386"/>
      <c r="K147" s="386">
        <v>2.0870000000000002</v>
      </c>
      <c r="L147" s="386"/>
      <c r="M147" s="386"/>
      <c r="N147" s="386"/>
      <c r="O147" s="386"/>
      <c r="P147" s="386"/>
      <c r="Q147" s="386"/>
      <c r="R147" s="386"/>
      <c r="S147" s="386"/>
      <c r="T147" s="386"/>
      <c r="U147" s="386"/>
      <c r="V147" s="386"/>
      <c r="W147" s="386"/>
      <c r="X147" s="386"/>
      <c r="Y147" s="386"/>
      <c r="Z147" s="386"/>
      <c r="AA147" s="386"/>
      <c r="AB147" s="2"/>
      <c r="AC147" s="2"/>
    </row>
    <row r="148" spans="1:29" customFormat="1" ht="18">
      <c r="A148" s="103" t="s">
        <v>579</v>
      </c>
      <c r="B148" s="103" t="s">
        <v>580</v>
      </c>
      <c r="C148" s="396" t="s">
        <v>585</v>
      </c>
      <c r="D148" s="396" t="s">
        <v>1604</v>
      </c>
      <c r="E148" s="103">
        <v>4366</v>
      </c>
      <c r="F148" s="103" t="s">
        <v>1573</v>
      </c>
      <c r="G148" s="103"/>
      <c r="H148" s="397"/>
      <c r="I148" s="103"/>
      <c r="J148" s="386"/>
      <c r="K148" s="386">
        <v>2.15</v>
      </c>
      <c r="L148" s="386"/>
      <c r="M148" s="386"/>
      <c r="N148" s="386"/>
      <c r="O148" s="386"/>
      <c r="P148" s="386"/>
      <c r="Q148" s="386"/>
      <c r="R148" s="386"/>
      <c r="S148" s="386"/>
      <c r="T148" s="386"/>
      <c r="U148" s="386"/>
      <c r="V148" s="386"/>
      <c r="W148" s="386"/>
      <c r="X148" s="386"/>
      <c r="Y148" s="386"/>
      <c r="Z148" s="386"/>
      <c r="AA148" s="386"/>
      <c r="AB148" s="2"/>
      <c r="AC148" s="2"/>
    </row>
    <row r="149" spans="1:29" customFormat="1" ht="18">
      <c r="A149" s="103" t="s">
        <v>273</v>
      </c>
      <c r="B149" s="103" t="s">
        <v>77</v>
      </c>
      <c r="C149" s="396" t="s">
        <v>1605</v>
      </c>
      <c r="D149" s="396" t="s">
        <v>1606</v>
      </c>
      <c r="E149" s="103">
        <v>3709</v>
      </c>
      <c r="F149" s="103" t="s">
        <v>1572</v>
      </c>
      <c r="G149" s="103">
        <v>173</v>
      </c>
      <c r="H149" s="397">
        <v>21</v>
      </c>
      <c r="I149" s="103">
        <v>21</v>
      </c>
      <c r="J149" s="386">
        <v>26.27</v>
      </c>
      <c r="K149" s="386">
        <v>3.51</v>
      </c>
      <c r="L149" s="386">
        <v>0.25</v>
      </c>
      <c r="M149" s="386"/>
      <c r="N149" s="386">
        <v>1.48</v>
      </c>
      <c r="O149" s="386">
        <v>0.91</v>
      </c>
      <c r="P149" s="386"/>
      <c r="Q149" s="386"/>
      <c r="R149" s="386"/>
      <c r="S149" s="386"/>
      <c r="T149" s="386"/>
      <c r="U149" s="386"/>
      <c r="V149" s="386"/>
      <c r="W149" s="386"/>
      <c r="X149" s="386"/>
      <c r="Y149" s="386"/>
      <c r="Z149" s="386"/>
      <c r="AA149" s="386"/>
      <c r="AB149" s="2"/>
      <c r="AC149" s="2"/>
    </row>
    <row r="150" spans="1:29" customFormat="1" ht="18">
      <c r="A150" s="103" t="s">
        <v>273</v>
      </c>
      <c r="B150" s="103" t="s">
        <v>77</v>
      </c>
      <c r="C150" s="396" t="s">
        <v>1605</v>
      </c>
      <c r="D150" s="396" t="s">
        <v>1606</v>
      </c>
      <c r="E150" s="103">
        <v>3162</v>
      </c>
      <c r="F150" s="103" t="s">
        <v>1571</v>
      </c>
      <c r="G150" s="103">
        <v>170</v>
      </c>
      <c r="H150" s="397">
        <v>27</v>
      </c>
      <c r="I150" s="103">
        <v>27</v>
      </c>
      <c r="J150" s="386">
        <v>29.08</v>
      </c>
      <c r="K150" s="386">
        <v>3.67</v>
      </c>
      <c r="L150" s="386">
        <v>0.75</v>
      </c>
      <c r="M150" s="386"/>
      <c r="N150" s="386">
        <v>1.82</v>
      </c>
      <c r="O150" s="386">
        <v>1.37</v>
      </c>
      <c r="P150" s="386"/>
      <c r="Q150" s="386"/>
      <c r="R150" s="386"/>
      <c r="S150" s="386"/>
      <c r="T150" s="386"/>
      <c r="U150" s="386"/>
      <c r="V150" s="386"/>
      <c r="W150" s="386"/>
      <c r="X150" s="386"/>
      <c r="Y150" s="386"/>
      <c r="Z150" s="386"/>
      <c r="AA150" s="386"/>
      <c r="AB150" s="2"/>
      <c r="AC150" s="2"/>
    </row>
    <row r="151" spans="1:29" customFormat="1" ht="18">
      <c r="A151" s="103" t="s">
        <v>273</v>
      </c>
      <c r="B151" s="103" t="s">
        <v>77</v>
      </c>
      <c r="C151" s="396" t="s">
        <v>1605</v>
      </c>
      <c r="D151" s="396" t="s">
        <v>1606</v>
      </c>
      <c r="E151" s="103">
        <v>8051</v>
      </c>
      <c r="F151" s="103" t="s">
        <v>1572</v>
      </c>
      <c r="G151" s="103">
        <v>169</v>
      </c>
      <c r="H151" s="397">
        <v>30.6</v>
      </c>
      <c r="I151" s="103">
        <v>30.6</v>
      </c>
      <c r="J151" s="386">
        <v>26.27</v>
      </c>
      <c r="K151" s="386">
        <v>3.32</v>
      </c>
      <c r="L151" s="386">
        <v>0.35</v>
      </c>
      <c r="M151" s="386"/>
      <c r="N151" s="386">
        <v>1.0900000000000001</v>
      </c>
      <c r="O151" s="386">
        <v>1.34</v>
      </c>
      <c r="P151" s="386"/>
      <c r="Q151" s="386"/>
      <c r="R151" s="386"/>
      <c r="S151" s="386"/>
      <c r="T151" s="386"/>
      <c r="U151" s="386"/>
      <c r="V151" s="386"/>
      <c r="W151" s="386"/>
      <c r="X151" s="386"/>
      <c r="Y151" s="386"/>
      <c r="Z151" s="386"/>
      <c r="AA151" s="386"/>
      <c r="AB151" s="2"/>
      <c r="AC151" s="2"/>
    </row>
    <row r="152" spans="1:29" customFormat="1" ht="18">
      <c r="A152" s="103" t="s">
        <v>273</v>
      </c>
      <c r="B152" s="103" t="s">
        <v>77</v>
      </c>
      <c r="C152" s="396" t="s">
        <v>1605</v>
      </c>
      <c r="D152" s="396" t="s">
        <v>1606</v>
      </c>
      <c r="E152" s="103">
        <v>2655</v>
      </c>
      <c r="F152" s="103" t="s">
        <v>1571</v>
      </c>
      <c r="G152" s="103">
        <v>181</v>
      </c>
      <c r="H152" s="397">
        <v>39.799999999999997</v>
      </c>
      <c r="I152" s="103">
        <v>39.799999999999997</v>
      </c>
      <c r="J152" s="386">
        <v>28.79</v>
      </c>
      <c r="K152" s="386">
        <v>3.31</v>
      </c>
      <c r="L152" s="386">
        <v>0.63</v>
      </c>
      <c r="M152" s="386"/>
      <c r="N152" s="386">
        <v>1.58</v>
      </c>
      <c r="O152" s="386">
        <v>1.1100000000000001</v>
      </c>
      <c r="P152" s="386"/>
      <c r="Q152" s="386"/>
      <c r="R152" s="386"/>
      <c r="S152" s="386"/>
      <c r="T152" s="386"/>
      <c r="U152" s="386"/>
      <c r="V152" s="386"/>
      <c r="W152" s="386"/>
      <c r="X152" s="386"/>
      <c r="Y152" s="386"/>
      <c r="Z152" s="386"/>
      <c r="AA152" s="386"/>
      <c r="AB152" s="2"/>
      <c r="AC152" s="2"/>
    </row>
    <row r="153" spans="1:29" customFormat="1" ht="18">
      <c r="A153" s="103" t="s">
        <v>273</v>
      </c>
      <c r="B153" s="103" t="s">
        <v>77</v>
      </c>
      <c r="C153" s="396" t="s">
        <v>1605</v>
      </c>
      <c r="D153" s="396" t="s">
        <v>1607</v>
      </c>
      <c r="E153" s="103">
        <v>18690</v>
      </c>
      <c r="F153" s="103" t="s">
        <v>1572</v>
      </c>
      <c r="G153" s="103">
        <v>215</v>
      </c>
      <c r="H153" s="397">
        <v>49.83</v>
      </c>
      <c r="I153" s="103">
        <v>49.83</v>
      </c>
      <c r="J153" s="386">
        <v>32.69</v>
      </c>
      <c r="K153" s="386">
        <v>3.99</v>
      </c>
      <c r="L153" s="386">
        <v>0.56000000000000005</v>
      </c>
      <c r="M153" s="386"/>
      <c r="N153" s="386">
        <v>2.27</v>
      </c>
      <c r="O153" s="386">
        <v>1.24</v>
      </c>
      <c r="P153" s="386"/>
      <c r="Q153" s="386"/>
      <c r="R153" s="386"/>
      <c r="S153" s="386"/>
      <c r="T153" s="386">
        <v>4.12</v>
      </c>
      <c r="U153" s="386">
        <v>1.5</v>
      </c>
      <c r="V153" s="386">
        <v>24.71</v>
      </c>
      <c r="W153" s="386">
        <v>1.47</v>
      </c>
      <c r="X153" s="386">
        <v>3.95</v>
      </c>
      <c r="Y153" s="386">
        <v>2.0699999999999998</v>
      </c>
      <c r="Z153" s="386">
        <v>22.73</v>
      </c>
      <c r="AA153" s="386">
        <v>2.29</v>
      </c>
      <c r="AB153" s="2"/>
      <c r="AC153" s="2"/>
    </row>
    <row r="154" spans="1:29" customFormat="1" ht="18">
      <c r="A154" s="103" t="s">
        <v>273</v>
      </c>
      <c r="B154" s="103" t="s">
        <v>77</v>
      </c>
      <c r="C154" s="396" t="s">
        <v>1605</v>
      </c>
      <c r="D154" s="396" t="s">
        <v>1607</v>
      </c>
      <c r="E154" s="103">
        <v>12394</v>
      </c>
      <c r="F154" s="103" t="s">
        <v>1573</v>
      </c>
      <c r="G154" s="103">
        <v>223</v>
      </c>
      <c r="H154" s="397">
        <v>52.5</v>
      </c>
      <c r="I154" s="103">
        <v>52.5</v>
      </c>
      <c r="J154" s="386">
        <v>34.119999999999997</v>
      </c>
      <c r="K154" s="386">
        <v>4.5999999999999996</v>
      </c>
      <c r="L154" s="386">
        <v>0.61</v>
      </c>
      <c r="M154" s="386"/>
      <c r="N154" s="386">
        <v>2.59</v>
      </c>
      <c r="O154" s="386">
        <v>1.67</v>
      </c>
      <c r="P154" s="386"/>
      <c r="Q154" s="386"/>
      <c r="R154" s="386"/>
      <c r="S154" s="386"/>
      <c r="T154" s="386">
        <v>4.68</v>
      </c>
      <c r="U154" s="386">
        <v>1.9</v>
      </c>
      <c r="V154" s="386">
        <v>21.54</v>
      </c>
      <c r="W154" s="386">
        <v>1.84</v>
      </c>
      <c r="X154" s="386">
        <v>4.38</v>
      </c>
      <c r="Y154" s="386">
        <v>2.2799999999999998</v>
      </c>
      <c r="Z154" s="386">
        <v>21.66</v>
      </c>
      <c r="AA154" s="386">
        <v>2.59</v>
      </c>
      <c r="AB154" s="2"/>
      <c r="AC154" s="2"/>
    </row>
    <row r="155" spans="1:29" customFormat="1" ht="18">
      <c r="A155" s="103" t="s">
        <v>273</v>
      </c>
      <c r="B155" s="103" t="s">
        <v>77</v>
      </c>
      <c r="C155" s="396" t="s">
        <v>1605</v>
      </c>
      <c r="D155" s="396" t="s">
        <v>1606</v>
      </c>
      <c r="E155" s="103">
        <v>3671</v>
      </c>
      <c r="F155" s="103" t="s">
        <v>1573</v>
      </c>
      <c r="G155" s="103">
        <v>195</v>
      </c>
      <c r="H155" s="397">
        <v>56</v>
      </c>
      <c r="I155" s="103">
        <v>56</v>
      </c>
      <c r="J155" s="386">
        <v>30.83</v>
      </c>
      <c r="K155" s="386">
        <v>4.01</v>
      </c>
      <c r="L155" s="386">
        <v>0.8</v>
      </c>
      <c r="M155" s="386"/>
      <c r="N155" s="386">
        <v>1.73</v>
      </c>
      <c r="O155" s="386">
        <v>1.1499999999999999</v>
      </c>
      <c r="P155" s="386"/>
      <c r="Q155" s="386"/>
      <c r="R155" s="386"/>
      <c r="S155" s="386"/>
      <c r="T155" s="386"/>
      <c r="U155" s="386"/>
      <c r="V155" s="386"/>
      <c r="W155" s="386"/>
      <c r="X155" s="386"/>
      <c r="Y155" s="386"/>
      <c r="Z155" s="386"/>
      <c r="AA155" s="386"/>
      <c r="AB155" s="2"/>
      <c r="AC155" s="2"/>
    </row>
    <row r="156" spans="1:29" customFormat="1" ht="18">
      <c r="A156" s="103" t="s">
        <v>273</v>
      </c>
      <c r="B156" s="103" t="s">
        <v>77</v>
      </c>
      <c r="C156" s="396" t="s">
        <v>1605</v>
      </c>
      <c r="D156" s="396" t="s">
        <v>1607</v>
      </c>
      <c r="E156" s="103">
        <v>6264</v>
      </c>
      <c r="F156" s="103" t="s">
        <v>1572</v>
      </c>
      <c r="G156" s="103">
        <v>256</v>
      </c>
      <c r="H156" s="397">
        <v>67</v>
      </c>
      <c r="I156" s="103">
        <v>67</v>
      </c>
      <c r="J156" s="386">
        <v>30.78</v>
      </c>
      <c r="K156" s="386">
        <v>4.2300000000000004</v>
      </c>
      <c r="L156" s="386">
        <v>1.19</v>
      </c>
      <c r="M156" s="386"/>
      <c r="N156" s="386">
        <v>1.98</v>
      </c>
      <c r="O156" s="386">
        <v>1.31</v>
      </c>
      <c r="P156" s="386"/>
      <c r="Q156" s="386"/>
      <c r="R156" s="386"/>
      <c r="S156" s="386"/>
      <c r="T156" s="386"/>
      <c r="U156" s="386"/>
      <c r="V156" s="386"/>
      <c r="W156" s="386"/>
      <c r="X156" s="386"/>
      <c r="Y156" s="386"/>
      <c r="Z156" s="386"/>
      <c r="AA156" s="386"/>
      <c r="AB156" s="2"/>
      <c r="AC156" s="2"/>
    </row>
    <row r="157" spans="1:29" customFormat="1" ht="18">
      <c r="A157" s="103" t="s">
        <v>273</v>
      </c>
      <c r="B157" s="103" t="s">
        <v>77</v>
      </c>
      <c r="C157" s="396" t="s">
        <v>1605</v>
      </c>
      <c r="D157" s="396" t="s">
        <v>1607</v>
      </c>
      <c r="E157" s="103">
        <v>12392</v>
      </c>
      <c r="F157" s="103" t="s">
        <v>1572</v>
      </c>
      <c r="G157" s="103">
        <v>244</v>
      </c>
      <c r="H157" s="397">
        <v>69</v>
      </c>
      <c r="I157" s="103">
        <v>69</v>
      </c>
      <c r="J157" s="386">
        <v>32.58</v>
      </c>
      <c r="K157" s="386">
        <v>4.0599999999999996</v>
      </c>
      <c r="L157" s="386">
        <v>0.76</v>
      </c>
      <c r="M157" s="386"/>
      <c r="N157" s="386">
        <v>2.09</v>
      </c>
      <c r="O157" s="386">
        <v>1.24</v>
      </c>
      <c r="P157" s="386"/>
      <c r="Q157" s="386"/>
      <c r="R157" s="386"/>
      <c r="S157" s="386"/>
      <c r="T157" s="386">
        <v>4.5199999999999996</v>
      </c>
      <c r="U157" s="386">
        <v>1.96</v>
      </c>
      <c r="V157" s="386">
        <v>23.55</v>
      </c>
      <c r="W157" s="386">
        <v>1.68</v>
      </c>
      <c r="X157" s="386">
        <v>4.17</v>
      </c>
      <c r="Y157" s="386">
        <v>2.2400000000000002</v>
      </c>
      <c r="Z157" s="386">
        <v>23.15</v>
      </c>
      <c r="AA157" s="386">
        <v>2.63</v>
      </c>
      <c r="AB157" s="2"/>
      <c r="AC157" s="2"/>
    </row>
    <row r="158" spans="1:29" customFormat="1" ht="18">
      <c r="A158" s="103" t="s">
        <v>273</v>
      </c>
      <c r="B158" s="103" t="s">
        <v>77</v>
      </c>
      <c r="C158" s="396" t="s">
        <v>1605</v>
      </c>
      <c r="D158" s="396" t="s">
        <v>1607</v>
      </c>
      <c r="E158" s="103">
        <v>4928</v>
      </c>
      <c r="F158" s="103" t="s">
        <v>1573</v>
      </c>
      <c r="G158" s="103">
        <v>308</v>
      </c>
      <c r="H158" s="397">
        <v>83.1</v>
      </c>
      <c r="I158" s="103">
        <v>83.1</v>
      </c>
      <c r="J158" s="386">
        <v>39.92</v>
      </c>
      <c r="K158" s="386">
        <v>5.47</v>
      </c>
      <c r="L158" s="386">
        <v>0.67</v>
      </c>
      <c r="M158" s="386"/>
      <c r="N158" s="386">
        <v>2.34</v>
      </c>
      <c r="O158" s="386">
        <v>1.61</v>
      </c>
      <c r="P158" s="386"/>
      <c r="Q158" s="386">
        <v>3.11</v>
      </c>
      <c r="R158" s="386">
        <v>2.7</v>
      </c>
      <c r="S158" s="386"/>
      <c r="T158" s="386">
        <v>6.03</v>
      </c>
      <c r="U158" s="386">
        <v>1.7</v>
      </c>
      <c r="V158" s="386">
        <v>33.479999999999997</v>
      </c>
      <c r="W158" s="386">
        <v>1.94</v>
      </c>
      <c r="X158" s="386">
        <v>5.21</v>
      </c>
      <c r="Y158" s="386">
        <v>2.98</v>
      </c>
      <c r="Z158" s="386">
        <v>30.19</v>
      </c>
      <c r="AA158" s="386">
        <v>3.43</v>
      </c>
      <c r="AB158" s="2"/>
      <c r="AC158" s="2"/>
    </row>
    <row r="159" spans="1:29" customFormat="1" ht="18">
      <c r="A159" s="103" t="s">
        <v>273</v>
      </c>
      <c r="B159" s="103" t="s">
        <v>77</v>
      </c>
      <c r="C159" s="396" t="s">
        <v>1605</v>
      </c>
      <c r="D159" s="396" t="s">
        <v>1607</v>
      </c>
      <c r="E159" s="103">
        <v>12397</v>
      </c>
      <c r="F159" s="103" t="s">
        <v>1573</v>
      </c>
      <c r="G159" s="103">
        <v>279</v>
      </c>
      <c r="H159" s="397">
        <v>109</v>
      </c>
      <c r="I159" s="103">
        <v>109</v>
      </c>
      <c r="J159" s="386">
        <v>36.770000000000003</v>
      </c>
      <c r="K159" s="386">
        <v>4.58</v>
      </c>
      <c r="L159" s="386">
        <v>0.78</v>
      </c>
      <c r="M159" s="386"/>
      <c r="N159" s="386">
        <v>2.4900000000000002</v>
      </c>
      <c r="O159" s="386">
        <v>1.27</v>
      </c>
      <c r="P159" s="386"/>
      <c r="Q159" s="386">
        <v>4.63</v>
      </c>
      <c r="R159" s="386">
        <v>2.2400000000000002</v>
      </c>
      <c r="S159" s="386"/>
      <c r="T159" s="386">
        <v>5.61</v>
      </c>
      <c r="U159" s="386">
        <v>1.92</v>
      </c>
      <c r="V159" s="386">
        <v>31.31</v>
      </c>
      <c r="W159" s="386">
        <v>2.06</v>
      </c>
      <c r="X159" s="386">
        <v>5.19</v>
      </c>
      <c r="Y159" s="386">
        <v>2.81</v>
      </c>
      <c r="Z159" s="386">
        <v>26.31</v>
      </c>
      <c r="AA159" s="386">
        <v>2.8</v>
      </c>
      <c r="AB159" s="2"/>
      <c r="AC159" s="2"/>
    </row>
    <row r="160" spans="1:29" customFormat="1" ht="18">
      <c r="A160" s="103" t="s">
        <v>273</v>
      </c>
      <c r="B160" s="103" t="s">
        <v>77</v>
      </c>
      <c r="C160" s="396" t="s">
        <v>1605</v>
      </c>
      <c r="D160" s="396" t="s">
        <v>1607</v>
      </c>
      <c r="E160" s="103">
        <v>12398</v>
      </c>
      <c r="F160" s="103" t="s">
        <v>1573</v>
      </c>
      <c r="G160" s="103">
        <v>282</v>
      </c>
      <c r="H160" s="397">
        <v>110.4</v>
      </c>
      <c r="I160" s="103">
        <v>110.4</v>
      </c>
      <c r="J160" s="386">
        <v>37.31</v>
      </c>
      <c r="K160" s="386">
        <v>5.0999999999999996</v>
      </c>
      <c r="L160" s="386">
        <v>0.5</v>
      </c>
      <c r="M160" s="386"/>
      <c r="N160" s="386">
        <v>2.64</v>
      </c>
      <c r="O160" s="386">
        <v>1.92</v>
      </c>
      <c r="P160" s="386"/>
      <c r="Q160" s="386"/>
      <c r="R160" s="386"/>
      <c r="S160" s="386"/>
      <c r="T160" s="386">
        <v>5.4</v>
      </c>
      <c r="U160" s="386">
        <v>2.0499999999999998</v>
      </c>
      <c r="V160" s="386">
        <v>30.63</v>
      </c>
      <c r="W160" s="386">
        <v>1.92</v>
      </c>
      <c r="X160" s="386">
        <v>5.12</v>
      </c>
      <c r="Y160" s="386">
        <v>2.71</v>
      </c>
      <c r="Z160" s="386">
        <v>27.53</v>
      </c>
      <c r="AA160" s="386">
        <v>3.19</v>
      </c>
      <c r="AB160" s="2"/>
      <c r="AC160" s="2"/>
    </row>
    <row r="161" spans="1:29" customFormat="1" ht="18">
      <c r="A161" s="103" t="s">
        <v>273</v>
      </c>
      <c r="B161" s="103" t="s">
        <v>77</v>
      </c>
      <c r="C161" s="396" t="s">
        <v>1605</v>
      </c>
      <c r="D161" s="396" t="s">
        <v>1608</v>
      </c>
      <c r="E161" s="103">
        <v>4456</v>
      </c>
      <c r="F161" s="103" t="s">
        <v>1572</v>
      </c>
      <c r="G161" s="103">
        <v>375</v>
      </c>
      <c r="H161" s="397">
        <v>172.8</v>
      </c>
      <c r="I161" s="103">
        <v>172.8</v>
      </c>
      <c r="J161" s="386">
        <v>43.71</v>
      </c>
      <c r="K161" s="386">
        <v>6.01</v>
      </c>
      <c r="L161" s="386">
        <v>1.1499999999999999</v>
      </c>
      <c r="M161" s="386"/>
      <c r="N161" s="386">
        <v>3.5</v>
      </c>
      <c r="O161" s="386">
        <v>1.77</v>
      </c>
      <c r="P161" s="386"/>
      <c r="Q161" s="386"/>
      <c r="R161" s="386"/>
      <c r="S161" s="386"/>
      <c r="T161" s="386"/>
      <c r="U161" s="386"/>
      <c r="V161" s="386"/>
      <c r="W161" s="386"/>
      <c r="X161" s="386"/>
      <c r="Y161" s="386"/>
      <c r="Z161" s="386"/>
      <c r="AA161" s="386"/>
      <c r="AB161" s="2"/>
      <c r="AC161" s="2"/>
    </row>
    <row r="162" spans="1:29" customFormat="1" ht="18">
      <c r="A162" s="103" t="s">
        <v>273</v>
      </c>
      <c r="B162" s="103" t="s">
        <v>77</v>
      </c>
      <c r="C162" s="396" t="s">
        <v>1605</v>
      </c>
      <c r="D162" s="396" t="s">
        <v>1608</v>
      </c>
      <c r="E162" s="103">
        <v>3062</v>
      </c>
      <c r="F162" s="103" t="s">
        <v>1572</v>
      </c>
      <c r="G162" s="103">
        <v>374</v>
      </c>
      <c r="H162" s="397">
        <v>193.5</v>
      </c>
      <c r="I162" s="103">
        <v>193.5</v>
      </c>
      <c r="J162" s="386">
        <v>43.83</v>
      </c>
      <c r="K162" s="386">
        <v>6.17</v>
      </c>
      <c r="L162" s="386">
        <v>1.59</v>
      </c>
      <c r="M162" s="386"/>
      <c r="N162" s="386">
        <v>3.15</v>
      </c>
      <c r="O162" s="386">
        <v>1.8</v>
      </c>
      <c r="P162" s="386"/>
      <c r="Q162" s="386"/>
      <c r="R162" s="386"/>
      <c r="S162" s="386"/>
      <c r="T162" s="386"/>
      <c r="U162" s="386"/>
      <c r="V162" s="386"/>
      <c r="W162" s="386"/>
      <c r="X162" s="386"/>
      <c r="Y162" s="386"/>
      <c r="Z162" s="386"/>
      <c r="AA162" s="386"/>
      <c r="AB162" s="2"/>
      <c r="AC162" s="2"/>
    </row>
    <row r="163" spans="1:29" customFormat="1" ht="18">
      <c r="A163" s="103" t="s">
        <v>273</v>
      </c>
      <c r="B163" s="103" t="s">
        <v>77</v>
      </c>
      <c r="C163" s="396" t="s">
        <v>1605</v>
      </c>
      <c r="D163" s="396" t="s">
        <v>1608</v>
      </c>
      <c r="E163" s="103">
        <v>11096</v>
      </c>
      <c r="F163" s="103" t="s">
        <v>1573</v>
      </c>
      <c r="G163" s="103">
        <v>405</v>
      </c>
      <c r="H163" s="397">
        <v>279.2</v>
      </c>
      <c r="I163" s="103">
        <v>279.2</v>
      </c>
      <c r="J163" s="386">
        <v>46.4</v>
      </c>
      <c r="K163" s="386">
        <v>6.11</v>
      </c>
      <c r="L163" s="386">
        <v>1.37</v>
      </c>
      <c r="M163" s="386"/>
      <c r="N163" s="386">
        <v>3.84</v>
      </c>
      <c r="O163" s="386">
        <v>1.48</v>
      </c>
      <c r="P163" s="386"/>
      <c r="Q163" s="386"/>
      <c r="R163" s="386"/>
      <c r="S163" s="386"/>
      <c r="T163" s="386"/>
      <c r="U163" s="386"/>
      <c r="V163" s="386"/>
      <c r="W163" s="386"/>
      <c r="X163" s="386"/>
      <c r="Y163" s="386"/>
      <c r="Z163" s="386"/>
      <c r="AA163" s="386"/>
      <c r="AB163" s="2"/>
      <c r="AC163" s="2"/>
    </row>
    <row r="164" spans="1:29" customFormat="1" ht="18">
      <c r="A164" s="103" t="s">
        <v>273</v>
      </c>
      <c r="B164" s="103" t="s">
        <v>77</v>
      </c>
      <c r="C164" s="396" t="s">
        <v>1605</v>
      </c>
      <c r="D164" s="396" t="s">
        <v>1608</v>
      </c>
      <c r="E164" s="103">
        <v>12277</v>
      </c>
      <c r="F164" s="103" t="s">
        <v>1573</v>
      </c>
      <c r="G164" s="103">
        <v>415</v>
      </c>
      <c r="H164" s="397">
        <v>300</v>
      </c>
      <c r="I164" s="103">
        <v>300</v>
      </c>
      <c r="J164" s="386">
        <v>46.38</v>
      </c>
      <c r="K164" s="386">
        <v>6.1</v>
      </c>
      <c r="L164" s="386">
        <v>1.38</v>
      </c>
      <c r="M164" s="386"/>
      <c r="N164" s="386">
        <v>4.05</v>
      </c>
      <c r="O164" s="386">
        <v>1.71</v>
      </c>
      <c r="P164" s="386"/>
      <c r="Q164" s="386"/>
      <c r="R164" s="386"/>
      <c r="S164" s="386"/>
      <c r="T164" s="386">
        <v>7.96</v>
      </c>
      <c r="U164" s="386">
        <v>2.58</v>
      </c>
      <c r="V164" s="386">
        <v>38.75</v>
      </c>
      <c r="W164" s="386">
        <v>2.42</v>
      </c>
      <c r="X164" s="386">
        <v>7.28</v>
      </c>
      <c r="Y164" s="386">
        <v>3.98</v>
      </c>
      <c r="Z164" s="386">
        <v>36.19</v>
      </c>
      <c r="AA164" s="386">
        <v>4.24</v>
      </c>
      <c r="AB164" s="2"/>
      <c r="AC164" s="2"/>
    </row>
    <row r="165" spans="1:29" customFormat="1" ht="18">
      <c r="A165" s="103" t="s">
        <v>273</v>
      </c>
      <c r="B165" s="103" t="s">
        <v>77</v>
      </c>
      <c r="C165" s="396" t="s">
        <v>544</v>
      </c>
      <c r="D165" s="396" t="s">
        <v>1609</v>
      </c>
      <c r="E165" s="103">
        <v>13236</v>
      </c>
      <c r="F165" s="103" t="s">
        <v>1572</v>
      </c>
      <c r="G165" s="103">
        <v>433</v>
      </c>
      <c r="H165" s="397">
        <v>418.5</v>
      </c>
      <c r="I165" s="103">
        <v>418.5</v>
      </c>
      <c r="J165" s="386">
        <v>48.61</v>
      </c>
      <c r="K165" s="386">
        <v>7.31</v>
      </c>
      <c r="L165" s="386">
        <v>3.24</v>
      </c>
      <c r="M165" s="386"/>
      <c r="N165" s="386">
        <v>3.57</v>
      </c>
      <c r="O165" s="386">
        <v>4.21</v>
      </c>
      <c r="P165" s="386"/>
      <c r="Q165" s="386"/>
      <c r="R165" s="386"/>
      <c r="S165" s="386"/>
      <c r="T165" s="386"/>
      <c r="U165" s="386"/>
      <c r="V165" s="386"/>
      <c r="W165" s="386"/>
      <c r="X165" s="386"/>
      <c r="Y165" s="386"/>
      <c r="Z165" s="386"/>
      <c r="AA165" s="386"/>
      <c r="AB165" s="2"/>
      <c r="AC165" s="2"/>
    </row>
    <row r="166" spans="1:29" customFormat="1" ht="18">
      <c r="A166" s="103" t="s">
        <v>273</v>
      </c>
      <c r="B166" s="103" t="s">
        <v>77</v>
      </c>
      <c r="C166" s="396" t="s">
        <v>1605</v>
      </c>
      <c r="D166" s="396" t="s">
        <v>1608</v>
      </c>
      <c r="E166" s="103">
        <v>4983</v>
      </c>
      <c r="F166" s="103" t="s">
        <v>1573</v>
      </c>
      <c r="G166" s="103">
        <v>415</v>
      </c>
      <c r="H166" s="397">
        <v>419</v>
      </c>
      <c r="I166" s="103">
        <v>419</v>
      </c>
      <c r="J166" s="386">
        <v>49.58</v>
      </c>
      <c r="K166" s="386">
        <v>6.92</v>
      </c>
      <c r="L166" s="386">
        <v>1.72</v>
      </c>
      <c r="M166" s="386"/>
      <c r="N166" s="386">
        <v>3.69</v>
      </c>
      <c r="O166" s="386">
        <v>2.06</v>
      </c>
      <c r="P166" s="386"/>
      <c r="Q166" s="386"/>
      <c r="R166" s="386"/>
      <c r="S166" s="386"/>
      <c r="T166" s="386">
        <v>8.5500000000000007</v>
      </c>
      <c r="U166" s="386">
        <v>3.77</v>
      </c>
      <c r="V166" s="386">
        <v>40.270000000000003</v>
      </c>
      <c r="W166" s="386">
        <v>3.06</v>
      </c>
      <c r="X166" s="386">
        <v>7.84</v>
      </c>
      <c r="Y166" s="386">
        <v>4.21</v>
      </c>
      <c r="Z166" s="386">
        <v>38.31</v>
      </c>
      <c r="AA166" s="386">
        <v>5.4</v>
      </c>
      <c r="AB166" s="2"/>
      <c r="AC166" s="2"/>
    </row>
    <row r="167" spans="1:29" customFormat="1" ht="18">
      <c r="A167" s="103" t="s">
        <v>273</v>
      </c>
      <c r="B167" s="103" t="s">
        <v>77</v>
      </c>
      <c r="C167" s="396" t="s">
        <v>544</v>
      </c>
      <c r="D167" s="396" t="s">
        <v>1609</v>
      </c>
      <c r="E167" s="103">
        <v>12567</v>
      </c>
      <c r="F167" s="103" t="s">
        <v>1573</v>
      </c>
      <c r="G167" s="103">
        <v>464</v>
      </c>
      <c r="H167" s="397">
        <v>451.6</v>
      </c>
      <c r="I167" s="103">
        <v>451.6</v>
      </c>
      <c r="J167" s="386">
        <v>49.12</v>
      </c>
      <c r="K167" s="386">
        <v>7.93</v>
      </c>
      <c r="L167" s="386">
        <v>3.09</v>
      </c>
      <c r="M167" s="386"/>
      <c r="N167" s="386">
        <v>3.22</v>
      </c>
      <c r="O167" s="386">
        <v>4.25</v>
      </c>
      <c r="P167" s="386"/>
      <c r="Q167" s="386">
        <v>7.6</v>
      </c>
      <c r="R167" s="386">
        <v>3.13</v>
      </c>
      <c r="S167" s="386">
        <v>10.14</v>
      </c>
      <c r="T167" s="386">
        <v>9.35</v>
      </c>
      <c r="U167" s="386">
        <v>5.17</v>
      </c>
      <c r="V167" s="386">
        <v>45.84</v>
      </c>
      <c r="W167" s="386">
        <v>2.89</v>
      </c>
      <c r="X167" s="386">
        <v>8.16</v>
      </c>
      <c r="Y167" s="386">
        <v>5.35</v>
      </c>
      <c r="Z167" s="386">
        <v>43.18</v>
      </c>
      <c r="AA167" s="386">
        <v>5.77</v>
      </c>
      <c r="AB167" s="2"/>
      <c r="AC167" s="2"/>
    </row>
    <row r="168" spans="1:29" customFormat="1" ht="18">
      <c r="A168" s="103" t="s">
        <v>273</v>
      </c>
      <c r="B168" s="103" t="s">
        <v>77</v>
      </c>
      <c r="C168" s="396" t="s">
        <v>544</v>
      </c>
      <c r="D168" s="396" t="s">
        <v>1609</v>
      </c>
      <c r="E168" s="103">
        <v>13237</v>
      </c>
      <c r="F168" s="103" t="s">
        <v>1572</v>
      </c>
      <c r="G168" s="103">
        <v>489</v>
      </c>
      <c r="H168" s="397">
        <v>571</v>
      </c>
      <c r="I168" s="103">
        <v>571</v>
      </c>
      <c r="J168" s="386" t="s">
        <v>17</v>
      </c>
      <c r="K168" s="386">
        <v>8.14</v>
      </c>
      <c r="L168" s="386">
        <v>3.12</v>
      </c>
      <c r="M168" s="386"/>
      <c r="N168" s="386">
        <v>3.34</v>
      </c>
      <c r="O168" s="386">
        <v>4.1900000000000004</v>
      </c>
      <c r="P168" s="386"/>
      <c r="Q168" s="386"/>
      <c r="R168" s="386"/>
      <c r="S168" s="386"/>
      <c r="T168" s="386"/>
      <c r="U168" s="386"/>
      <c r="V168" s="386"/>
      <c r="W168" s="386"/>
      <c r="X168" s="386"/>
      <c r="Y168" s="386"/>
      <c r="Z168" s="386"/>
      <c r="AA168" s="386"/>
      <c r="AB168" s="2"/>
      <c r="AC168" s="2"/>
    </row>
    <row r="169" spans="1:29" customFormat="1" ht="18">
      <c r="A169" s="103" t="s">
        <v>273</v>
      </c>
      <c r="B169" s="103" t="s">
        <v>77</v>
      </c>
      <c r="C169" s="396" t="s">
        <v>1605</v>
      </c>
      <c r="D169" s="396" t="s">
        <v>1610</v>
      </c>
      <c r="E169" s="103">
        <v>7978</v>
      </c>
      <c r="F169" s="103" t="s">
        <v>1572</v>
      </c>
      <c r="G169" s="103">
        <v>522</v>
      </c>
      <c r="H169" s="397">
        <v>598.29999999999995</v>
      </c>
      <c r="I169" s="103">
        <v>598.29999999999995</v>
      </c>
      <c r="J169" s="386"/>
      <c r="K169" s="386"/>
      <c r="L169" s="386"/>
      <c r="M169" s="386"/>
      <c r="N169" s="386"/>
      <c r="O169" s="386"/>
      <c r="P169" s="386"/>
      <c r="Q169" s="386"/>
      <c r="R169" s="386"/>
      <c r="S169" s="386"/>
      <c r="T169" s="386"/>
      <c r="U169" s="386"/>
      <c r="V169" s="386"/>
      <c r="W169" s="386"/>
      <c r="X169" s="386"/>
      <c r="Y169" s="386"/>
      <c r="Z169" s="386"/>
      <c r="AA169" s="386"/>
      <c r="AB169" s="2"/>
      <c r="AC169" s="2"/>
    </row>
    <row r="170" spans="1:29" customFormat="1" ht="18">
      <c r="A170" s="103" t="s">
        <v>273</v>
      </c>
      <c r="B170" s="103" t="s">
        <v>77</v>
      </c>
      <c r="C170" s="396" t="s">
        <v>1605</v>
      </c>
      <c r="D170" s="396" t="s">
        <v>1610</v>
      </c>
      <c r="E170" s="103">
        <v>13061</v>
      </c>
      <c r="F170" s="103" t="s">
        <v>1572</v>
      </c>
      <c r="G170" s="103">
        <v>475</v>
      </c>
      <c r="H170" s="397">
        <v>611</v>
      </c>
      <c r="I170" s="103">
        <v>611</v>
      </c>
      <c r="J170" s="386">
        <v>52.96</v>
      </c>
      <c r="K170" s="386">
        <v>7.15</v>
      </c>
      <c r="L170" s="386">
        <v>1.91</v>
      </c>
      <c r="M170" s="386"/>
      <c r="N170" s="386">
        <v>4.88</v>
      </c>
      <c r="O170" s="386">
        <v>2.91</v>
      </c>
      <c r="P170" s="386"/>
      <c r="Q170" s="386"/>
      <c r="R170" s="386"/>
      <c r="S170" s="386"/>
      <c r="T170" s="386"/>
      <c r="U170" s="386"/>
      <c r="V170" s="386"/>
      <c r="W170" s="386"/>
      <c r="X170" s="386"/>
      <c r="Y170" s="386"/>
      <c r="Z170" s="386"/>
      <c r="AA170" s="386"/>
      <c r="AB170" s="2"/>
      <c r="AC170" s="2"/>
    </row>
    <row r="171" spans="1:29" customFormat="1" ht="18">
      <c r="A171" s="103" t="s">
        <v>273</v>
      </c>
      <c r="B171" s="103" t="s">
        <v>77</v>
      </c>
      <c r="C171" s="396" t="s">
        <v>1605</v>
      </c>
      <c r="D171" s="396" t="s">
        <v>1610</v>
      </c>
      <c r="E171" s="103">
        <v>11701</v>
      </c>
      <c r="F171" s="103" t="s">
        <v>1572</v>
      </c>
      <c r="G171" s="103">
        <v>540</v>
      </c>
      <c r="H171" s="397">
        <v>656.7</v>
      </c>
      <c r="I171" s="103">
        <v>656.7</v>
      </c>
      <c r="J171" s="386">
        <v>54.92</v>
      </c>
      <c r="K171" s="386">
        <v>7.33</v>
      </c>
      <c r="L171" s="386">
        <v>2.0099999999999998</v>
      </c>
      <c r="M171" s="386"/>
      <c r="N171" s="386">
        <v>4.0199999999999996</v>
      </c>
      <c r="O171" s="386">
        <v>2.69</v>
      </c>
      <c r="P171" s="386"/>
      <c r="Q171" s="386"/>
      <c r="R171" s="386"/>
      <c r="S171" s="386"/>
      <c r="T171" s="386"/>
      <c r="U171" s="386"/>
      <c r="V171" s="386"/>
      <c r="W171" s="386"/>
      <c r="X171" s="386"/>
      <c r="Y171" s="386"/>
      <c r="Z171" s="386"/>
      <c r="AA171" s="386"/>
      <c r="AB171" s="2"/>
      <c r="AC171" s="2"/>
    </row>
    <row r="172" spans="1:29" customFormat="1" ht="18">
      <c r="A172" s="103" t="s">
        <v>273</v>
      </c>
      <c r="B172" s="103" t="s">
        <v>77</v>
      </c>
      <c r="C172" s="396" t="s">
        <v>1605</v>
      </c>
      <c r="D172" s="396" t="s">
        <v>1611</v>
      </c>
      <c r="E172" s="103">
        <v>3667</v>
      </c>
      <c r="F172" s="103" t="s">
        <v>1572</v>
      </c>
      <c r="G172" s="103">
        <v>500</v>
      </c>
      <c r="H172" s="397">
        <v>699.2</v>
      </c>
      <c r="I172" s="103">
        <v>699.2</v>
      </c>
      <c r="J172" s="386">
        <v>44.76</v>
      </c>
      <c r="K172" s="386">
        <v>8.4700000000000006</v>
      </c>
      <c r="L172" s="386">
        <v>0.95</v>
      </c>
      <c r="M172" s="386"/>
      <c r="N172" s="386">
        <v>4.34</v>
      </c>
      <c r="O172" s="386">
        <v>1.98</v>
      </c>
      <c r="P172" s="386"/>
      <c r="Q172" s="386">
        <v>8.5399999999999991</v>
      </c>
      <c r="R172" s="386">
        <v>4.5599999999999996</v>
      </c>
      <c r="S172" s="386">
        <v>12.44</v>
      </c>
      <c r="T172" s="386">
        <v>11.88</v>
      </c>
      <c r="U172" s="386">
        <v>4.2</v>
      </c>
      <c r="V172" s="386">
        <v>47.98</v>
      </c>
      <c r="W172" s="386">
        <v>3.56</v>
      </c>
      <c r="X172" s="386">
        <v>9.9</v>
      </c>
      <c r="Y172" s="386">
        <v>6</v>
      </c>
      <c r="Z172" s="386">
        <v>48.24</v>
      </c>
      <c r="AA172" s="386">
        <v>6.55</v>
      </c>
      <c r="AB172" s="2"/>
      <c r="AC172" s="2"/>
    </row>
    <row r="173" spans="1:29" customFormat="1" ht="18">
      <c r="A173" s="103" t="s">
        <v>273</v>
      </c>
      <c r="B173" s="103" t="s">
        <v>77</v>
      </c>
      <c r="C173" s="396" t="s">
        <v>1612</v>
      </c>
      <c r="D173" s="396" t="s">
        <v>1613</v>
      </c>
      <c r="E173" s="103">
        <v>16472</v>
      </c>
      <c r="F173" s="103" t="s">
        <v>1573</v>
      </c>
      <c r="G173" s="103">
        <v>557</v>
      </c>
      <c r="H173" s="397">
        <v>726</v>
      </c>
      <c r="I173" s="103">
        <v>726</v>
      </c>
      <c r="J173" s="386">
        <v>56.96</v>
      </c>
      <c r="K173" s="386">
        <v>7.27</v>
      </c>
      <c r="L173" s="386">
        <v>2.88</v>
      </c>
      <c r="M173" s="386"/>
      <c r="N173" s="386">
        <v>4.46</v>
      </c>
      <c r="O173" s="386">
        <v>2.75</v>
      </c>
      <c r="P173" s="386"/>
      <c r="Q173" s="386"/>
      <c r="R173" s="386"/>
      <c r="S173" s="386">
        <v>5.25</v>
      </c>
      <c r="T173" s="386">
        <v>11.91</v>
      </c>
      <c r="U173" s="386">
        <v>3.85</v>
      </c>
      <c r="V173" s="386">
        <v>49.66</v>
      </c>
      <c r="W173" s="386">
        <v>3.43</v>
      </c>
      <c r="X173" s="386">
        <v>9.41</v>
      </c>
      <c r="Y173" s="386">
        <v>5.75</v>
      </c>
      <c r="Z173" s="386">
        <v>46.66</v>
      </c>
      <c r="AA173" s="386">
        <v>7.45</v>
      </c>
      <c r="AB173" s="2"/>
      <c r="AC173" s="2"/>
    </row>
    <row r="174" spans="1:29" customFormat="1" ht="18">
      <c r="A174" s="103" t="s">
        <v>273</v>
      </c>
      <c r="B174" s="103" t="s">
        <v>77</v>
      </c>
      <c r="C174" s="396" t="s">
        <v>1605</v>
      </c>
      <c r="D174" s="396" t="s">
        <v>1610</v>
      </c>
      <c r="E174" s="103">
        <v>3069</v>
      </c>
      <c r="F174" s="103" t="s">
        <v>1572</v>
      </c>
      <c r="G174" s="103">
        <v>507</v>
      </c>
      <c r="H174" s="397">
        <v>745</v>
      </c>
      <c r="I174" s="103">
        <v>745</v>
      </c>
      <c r="J174" s="386">
        <v>59.77</v>
      </c>
      <c r="K174" s="386">
        <v>6.94</v>
      </c>
      <c r="L174" s="386">
        <v>1.8</v>
      </c>
      <c r="M174" s="386"/>
      <c r="N174" s="386">
        <v>4.4000000000000004</v>
      </c>
      <c r="O174" s="386">
        <v>2.98</v>
      </c>
      <c r="P174" s="386"/>
      <c r="Q174" s="386"/>
      <c r="R174" s="386"/>
      <c r="S174" s="386"/>
      <c r="T174" s="386"/>
      <c r="U174" s="386"/>
      <c r="V174" s="386"/>
      <c r="W174" s="386"/>
      <c r="X174" s="386"/>
      <c r="Y174" s="386"/>
      <c r="Z174" s="386"/>
      <c r="AA174" s="386"/>
      <c r="AB174" s="2"/>
      <c r="AC174" s="2"/>
    </row>
    <row r="175" spans="1:29" customFormat="1" ht="18">
      <c r="A175" s="103" t="s">
        <v>273</v>
      </c>
      <c r="B175" s="103" t="s">
        <v>77</v>
      </c>
      <c r="C175" s="396" t="s">
        <v>1614</v>
      </c>
      <c r="D175" s="396" t="s">
        <v>195</v>
      </c>
      <c r="E175" s="103">
        <v>14063</v>
      </c>
      <c r="F175" s="103" t="s">
        <v>1573</v>
      </c>
      <c r="G175" s="103">
        <v>580</v>
      </c>
      <c r="H175" s="397">
        <v>756</v>
      </c>
      <c r="I175" s="103">
        <v>756</v>
      </c>
      <c r="J175" s="386">
        <v>73.709999999999994</v>
      </c>
      <c r="K175" s="386">
        <v>10.09</v>
      </c>
      <c r="L175" s="386">
        <v>3.02</v>
      </c>
      <c r="M175" s="386"/>
      <c r="N175" s="386">
        <v>5.56</v>
      </c>
      <c r="O175" s="386">
        <v>4.79</v>
      </c>
      <c r="P175" s="386"/>
      <c r="Q175" s="386">
        <v>11.36</v>
      </c>
      <c r="R175" s="386">
        <v>5.73</v>
      </c>
      <c r="S175" s="386">
        <v>17.399999999999999</v>
      </c>
      <c r="T175" s="386">
        <v>13.1</v>
      </c>
      <c r="U175" s="386">
        <v>4.1399999999999997</v>
      </c>
      <c r="V175" s="386">
        <v>76.28</v>
      </c>
      <c r="W175" s="386">
        <v>4.18</v>
      </c>
      <c r="X175" s="386">
        <v>11.31</v>
      </c>
      <c r="Y175" s="386">
        <v>6.1</v>
      </c>
      <c r="Z175" s="386">
        <v>68.260000000000005</v>
      </c>
      <c r="AA175" s="386">
        <v>6.54</v>
      </c>
      <c r="AB175" s="2"/>
      <c r="AC175" s="2"/>
    </row>
    <row r="176" spans="1:29" customFormat="1" ht="18">
      <c r="A176" s="103" t="s">
        <v>273</v>
      </c>
      <c r="B176" s="103" t="s">
        <v>77</v>
      </c>
      <c r="C176" s="396" t="s">
        <v>1605</v>
      </c>
      <c r="D176" s="396" t="s">
        <v>1610</v>
      </c>
      <c r="E176" s="103">
        <v>1869</v>
      </c>
      <c r="F176" s="103" t="s">
        <v>1572</v>
      </c>
      <c r="G176" s="103">
        <v>546</v>
      </c>
      <c r="H176" s="397">
        <v>794</v>
      </c>
      <c r="I176" s="103">
        <v>794</v>
      </c>
      <c r="J176" s="386">
        <v>58.33</v>
      </c>
      <c r="K176" s="386">
        <v>7.67</v>
      </c>
      <c r="L176" s="386">
        <v>2.2599999999999998</v>
      </c>
      <c r="M176" s="386"/>
      <c r="N176" s="386">
        <v>4.68</v>
      </c>
      <c r="O176" s="386">
        <v>3.16</v>
      </c>
      <c r="P176" s="386"/>
      <c r="Q176" s="386"/>
      <c r="R176" s="386"/>
      <c r="S176" s="386"/>
      <c r="T176" s="386"/>
      <c r="U176" s="386"/>
      <c r="V176" s="386"/>
      <c r="W176" s="386"/>
      <c r="X176" s="386"/>
      <c r="Y176" s="386"/>
      <c r="Z176" s="386"/>
      <c r="AA176" s="386"/>
      <c r="AB176" s="2"/>
      <c r="AC176" s="2"/>
    </row>
    <row r="177" spans="1:29" customFormat="1" ht="18">
      <c r="A177" s="103" t="s">
        <v>273</v>
      </c>
      <c r="B177" s="103" t="s">
        <v>77</v>
      </c>
      <c r="C177" s="396" t="s">
        <v>1614</v>
      </c>
      <c r="D177" s="396" t="s">
        <v>195</v>
      </c>
      <c r="E177" s="103">
        <v>14062</v>
      </c>
      <c r="F177" s="103" t="s">
        <v>1573</v>
      </c>
      <c r="G177" s="103">
        <v>600</v>
      </c>
      <c r="H177" s="397">
        <v>845.5</v>
      </c>
      <c r="I177" s="103">
        <v>845.5</v>
      </c>
      <c r="J177" s="386">
        <v>75.180000000000007</v>
      </c>
      <c r="K177" s="386">
        <v>9.4600000000000009</v>
      </c>
      <c r="L177" s="386">
        <v>2.98</v>
      </c>
      <c r="M177" s="386"/>
      <c r="N177" s="386">
        <v>5.73</v>
      </c>
      <c r="O177" s="386">
        <v>4.24</v>
      </c>
      <c r="P177" s="386"/>
      <c r="Q177" s="386">
        <v>12.39</v>
      </c>
      <c r="R177" s="386">
        <v>5.45</v>
      </c>
      <c r="S177" s="386">
        <v>14.99</v>
      </c>
      <c r="T177" s="386">
        <v>12.18</v>
      </c>
      <c r="U177" s="386">
        <v>4.8</v>
      </c>
      <c r="V177" s="386">
        <v>77.5</v>
      </c>
      <c r="W177" s="386">
        <v>4.66</v>
      </c>
      <c r="X177" s="386">
        <v>11.93</v>
      </c>
      <c r="Y177" s="386">
        <v>6.51</v>
      </c>
      <c r="Z177" s="386">
        <v>69.349999999999994</v>
      </c>
      <c r="AA177" s="386">
        <v>6.61</v>
      </c>
      <c r="AB177" s="2"/>
      <c r="AC177" s="2"/>
    </row>
    <row r="178" spans="1:29" customFormat="1" ht="18">
      <c r="A178" s="103" t="s">
        <v>273</v>
      </c>
      <c r="B178" s="103" t="s">
        <v>77</v>
      </c>
      <c r="C178" s="396" t="s">
        <v>1605</v>
      </c>
      <c r="D178" s="396" t="s">
        <v>1610</v>
      </c>
      <c r="E178" s="103">
        <v>1870</v>
      </c>
      <c r="F178" s="103" t="s">
        <v>1573</v>
      </c>
      <c r="G178" s="103">
        <v>559</v>
      </c>
      <c r="H178" s="397">
        <v>964</v>
      </c>
      <c r="I178" s="103">
        <v>964</v>
      </c>
      <c r="J178" s="386">
        <v>57.27</v>
      </c>
      <c r="K178" s="386">
        <v>7.71</v>
      </c>
      <c r="L178" s="386">
        <v>2.58</v>
      </c>
      <c r="M178" s="386"/>
      <c r="N178" s="386">
        <v>4.24</v>
      </c>
      <c r="O178" s="386">
        <v>2.54</v>
      </c>
      <c r="P178" s="386"/>
      <c r="Q178" s="386"/>
      <c r="R178" s="386"/>
      <c r="S178" s="386"/>
      <c r="T178" s="386"/>
      <c r="U178" s="386"/>
      <c r="V178" s="386"/>
      <c r="W178" s="386"/>
      <c r="X178" s="386"/>
      <c r="Y178" s="386"/>
      <c r="Z178" s="386"/>
      <c r="AA178" s="386"/>
      <c r="AB178" s="2"/>
      <c r="AC178" s="2"/>
    </row>
    <row r="179" spans="1:29" customFormat="1" ht="18">
      <c r="A179" s="103" t="s">
        <v>273</v>
      </c>
      <c r="B179" s="103" t="s">
        <v>77</v>
      </c>
      <c r="C179" s="396" t="s">
        <v>1605</v>
      </c>
      <c r="D179" s="396" t="s">
        <v>1609</v>
      </c>
      <c r="E179" s="103">
        <v>7999</v>
      </c>
      <c r="F179" s="103" t="s">
        <v>1573</v>
      </c>
      <c r="G179" s="103">
        <v>590</v>
      </c>
      <c r="H179" s="397">
        <v>992</v>
      </c>
      <c r="I179" s="103">
        <v>992</v>
      </c>
      <c r="J179" s="386">
        <v>66.430000000000007</v>
      </c>
      <c r="K179" s="386">
        <v>8.15</v>
      </c>
      <c r="L179" s="386">
        <v>2.39</v>
      </c>
      <c r="M179" s="386"/>
      <c r="N179" s="386">
        <v>4.6399999999999997</v>
      </c>
      <c r="O179" s="386">
        <v>2.5499999999999998</v>
      </c>
      <c r="P179" s="386"/>
      <c r="Q179" s="386"/>
      <c r="R179" s="386"/>
      <c r="S179" s="386"/>
      <c r="T179" s="386"/>
      <c r="U179" s="386"/>
      <c r="V179" s="386"/>
      <c r="W179" s="386"/>
      <c r="X179" s="386"/>
      <c r="Y179" s="386"/>
      <c r="Z179" s="386"/>
      <c r="AA179" s="386"/>
      <c r="AB179" s="2"/>
      <c r="AC179" s="2"/>
    </row>
    <row r="180" spans="1:29" customFormat="1" ht="18">
      <c r="A180" s="103" t="s">
        <v>273</v>
      </c>
      <c r="B180" s="103" t="s">
        <v>77</v>
      </c>
      <c r="C180" s="396" t="s">
        <v>1615</v>
      </c>
      <c r="D180" s="396" t="s">
        <v>1616</v>
      </c>
      <c r="E180" s="103">
        <v>16471</v>
      </c>
      <c r="F180" s="103" t="s">
        <v>1573</v>
      </c>
      <c r="G180" s="103">
        <v>569</v>
      </c>
      <c r="H180" s="397">
        <v>1050</v>
      </c>
      <c r="I180" s="103">
        <v>1050</v>
      </c>
      <c r="J180" s="386">
        <v>70.959999999999994</v>
      </c>
      <c r="K180" s="386">
        <v>9.27</v>
      </c>
      <c r="L180" s="386">
        <v>3.01</v>
      </c>
      <c r="M180" s="386"/>
      <c r="N180" s="386">
        <v>5.27</v>
      </c>
      <c r="O180" s="386">
        <v>8.3699999999999992</v>
      </c>
      <c r="P180" s="386">
        <v>4.2</v>
      </c>
      <c r="Q180" s="386"/>
      <c r="R180" s="386"/>
      <c r="S180" s="386"/>
      <c r="T180" s="386">
        <v>14.45</v>
      </c>
      <c r="U180" s="386">
        <v>5.38</v>
      </c>
      <c r="V180" s="386">
        <v>55.95</v>
      </c>
      <c r="W180" s="386">
        <v>3.9</v>
      </c>
      <c r="X180" s="386">
        <v>12.6</v>
      </c>
      <c r="Y180" s="386">
        <v>6.58</v>
      </c>
      <c r="Z180" s="386">
        <v>57.26</v>
      </c>
      <c r="AA180" s="386">
        <v>8.06</v>
      </c>
      <c r="AB180" s="2"/>
      <c r="AC180" s="2"/>
    </row>
    <row r="181" spans="1:29" customFormat="1" ht="18">
      <c r="A181" s="103" t="s">
        <v>273</v>
      </c>
      <c r="B181" s="103" t="s">
        <v>77</v>
      </c>
      <c r="C181" s="396" t="s">
        <v>1605</v>
      </c>
      <c r="D181" s="396" t="s">
        <v>1610</v>
      </c>
      <c r="E181" s="103">
        <v>15697</v>
      </c>
      <c r="F181" s="103" t="s">
        <v>1573</v>
      </c>
      <c r="G181" s="103">
        <v>914</v>
      </c>
      <c r="H181" s="397">
        <v>1077</v>
      </c>
      <c r="I181" s="103">
        <v>1077</v>
      </c>
      <c r="J181" s="386">
        <v>62.97</v>
      </c>
      <c r="K181" s="386">
        <v>8.49</v>
      </c>
      <c r="L181" s="386">
        <v>2.75</v>
      </c>
      <c r="M181" s="386"/>
      <c r="N181" s="386">
        <v>4.88</v>
      </c>
      <c r="O181" s="386">
        <v>2.86</v>
      </c>
      <c r="P181" s="386"/>
      <c r="Q181" s="386"/>
      <c r="R181" s="386"/>
      <c r="S181" s="386"/>
      <c r="T181" s="386"/>
      <c r="U181" s="386"/>
      <c r="V181" s="386"/>
      <c r="W181" s="386"/>
      <c r="X181" s="386"/>
      <c r="Y181" s="386"/>
      <c r="Z181" s="386"/>
      <c r="AA181" s="386"/>
      <c r="AB181" s="2"/>
      <c r="AC181" s="2"/>
    </row>
    <row r="182" spans="1:29" customFormat="1" ht="18">
      <c r="A182" s="103" t="s">
        <v>273</v>
      </c>
      <c r="B182" s="103" t="s">
        <v>77</v>
      </c>
      <c r="C182" s="396" t="s">
        <v>1614</v>
      </c>
      <c r="D182" s="396" t="s">
        <v>195</v>
      </c>
      <c r="E182" s="103">
        <v>15695</v>
      </c>
      <c r="F182" s="103" t="s">
        <v>1573</v>
      </c>
      <c r="G182" s="103">
        <v>710</v>
      </c>
      <c r="H182" s="397">
        <v>1134</v>
      </c>
      <c r="I182" s="103">
        <v>1134</v>
      </c>
      <c r="J182" s="386">
        <v>75.739999999999995</v>
      </c>
      <c r="K182" s="386">
        <v>8.8800000000000008</v>
      </c>
      <c r="L182" s="386">
        <v>3.18</v>
      </c>
      <c r="M182" s="386"/>
      <c r="N182" s="386">
        <v>5.73</v>
      </c>
      <c r="O182" s="386">
        <v>4.59</v>
      </c>
      <c r="P182" s="386"/>
      <c r="Q182" s="386"/>
      <c r="R182" s="386"/>
      <c r="S182" s="386"/>
      <c r="T182" s="386">
        <v>12.91</v>
      </c>
      <c r="U182" s="386">
        <v>4.4800000000000004</v>
      </c>
      <c r="V182" s="386"/>
      <c r="W182" s="386">
        <v>4.24</v>
      </c>
      <c r="X182" s="386">
        <v>12.44</v>
      </c>
      <c r="Y182" s="386">
        <v>6.22</v>
      </c>
      <c r="Z182" s="386">
        <v>71.05</v>
      </c>
      <c r="AA182" s="386">
        <v>7.32</v>
      </c>
      <c r="AB182" s="2"/>
      <c r="AC182" s="2"/>
    </row>
    <row r="183" spans="1:29" customFormat="1" ht="18">
      <c r="A183" s="103" t="s">
        <v>273</v>
      </c>
      <c r="B183" s="103" t="s">
        <v>77</v>
      </c>
      <c r="C183" s="396" t="s">
        <v>1614</v>
      </c>
      <c r="D183" s="396" t="s">
        <v>1617</v>
      </c>
      <c r="E183" s="103">
        <v>4376</v>
      </c>
      <c r="F183" s="103" t="s">
        <v>1572</v>
      </c>
      <c r="G183" s="103">
        <v>884</v>
      </c>
      <c r="H183" s="397">
        <v>2126</v>
      </c>
      <c r="I183" s="103">
        <v>2126</v>
      </c>
      <c r="J183" s="386">
        <v>94.28</v>
      </c>
      <c r="K183" s="386">
        <v>12.02</v>
      </c>
      <c r="L183" s="386">
        <v>4.0599999999999996</v>
      </c>
      <c r="M183" s="386"/>
      <c r="N183" s="386">
        <v>7.71</v>
      </c>
      <c r="O183" s="386">
        <v>4.78</v>
      </c>
      <c r="P183" s="386"/>
      <c r="Q183" s="386">
        <v>15.82</v>
      </c>
      <c r="R183" s="386">
        <v>7.63</v>
      </c>
      <c r="S183" s="386">
        <v>23.16</v>
      </c>
      <c r="T183" s="386">
        <v>18.48</v>
      </c>
      <c r="U183" s="386">
        <v>7.59</v>
      </c>
      <c r="V183" s="386">
        <v>98.99</v>
      </c>
      <c r="W183" s="386">
        <v>6.09</v>
      </c>
      <c r="X183" s="386">
        <v>16.48</v>
      </c>
      <c r="Y183" s="386">
        <v>9.19</v>
      </c>
      <c r="Z183" s="386">
        <v>93.06</v>
      </c>
      <c r="AA183" s="386">
        <v>8.61</v>
      </c>
      <c r="AB183" s="2"/>
      <c r="AC183" s="2"/>
    </row>
    <row r="184" spans="1:29" customFormat="1" ht="18">
      <c r="A184" s="103" t="s">
        <v>273</v>
      </c>
      <c r="B184" s="103" t="s">
        <v>77</v>
      </c>
      <c r="C184" s="396" t="s">
        <v>1614</v>
      </c>
      <c r="D184" s="396" t="s">
        <v>1617</v>
      </c>
      <c r="E184" s="103">
        <v>5677</v>
      </c>
      <c r="F184" s="103" t="s">
        <v>1572</v>
      </c>
      <c r="G184" s="103">
        <v>921</v>
      </c>
      <c r="H184" s="397">
        <v>2155</v>
      </c>
      <c r="I184" s="103">
        <v>2155</v>
      </c>
      <c r="J184" s="386">
        <v>93.86</v>
      </c>
      <c r="K184" s="386">
        <v>12.46</v>
      </c>
      <c r="L184" s="386">
        <v>4.74</v>
      </c>
      <c r="M184" s="386"/>
      <c r="N184" s="386">
        <v>7.83</v>
      </c>
      <c r="O184" s="386">
        <v>4.75</v>
      </c>
      <c r="P184" s="386"/>
      <c r="Q184" s="386">
        <v>16.05</v>
      </c>
      <c r="R184" s="386">
        <v>7.24</v>
      </c>
      <c r="S184" s="386">
        <v>23.38</v>
      </c>
      <c r="T184" s="386">
        <v>18.98</v>
      </c>
      <c r="U184" s="386">
        <v>6.95</v>
      </c>
      <c r="V184" s="386">
        <v>99.41</v>
      </c>
      <c r="W184" s="386">
        <v>6.76</v>
      </c>
      <c r="X184" s="386">
        <v>17.07</v>
      </c>
      <c r="Y184" s="386">
        <v>9.57</v>
      </c>
      <c r="Z184" s="386">
        <v>95.24</v>
      </c>
      <c r="AA184" s="386">
        <v>8.52</v>
      </c>
      <c r="AB184" s="2"/>
      <c r="AC184" s="2"/>
    </row>
    <row r="185" spans="1:29" customFormat="1" ht="18">
      <c r="A185" s="103" t="s">
        <v>273</v>
      </c>
      <c r="B185" s="103" t="s">
        <v>77</v>
      </c>
      <c r="C185" s="396" t="s">
        <v>1614</v>
      </c>
      <c r="D185" s="396" t="s">
        <v>1617</v>
      </c>
      <c r="E185" s="103">
        <v>5024</v>
      </c>
      <c r="F185" s="103" t="s">
        <v>1573</v>
      </c>
      <c r="G185" s="103">
        <v>978</v>
      </c>
      <c r="H185" s="397">
        <v>2948</v>
      </c>
      <c r="I185" s="103">
        <v>2948</v>
      </c>
      <c r="J185" s="386">
        <v>110.02</v>
      </c>
      <c r="K185" s="386">
        <v>13.66</v>
      </c>
      <c r="L185" s="386">
        <v>4.75</v>
      </c>
      <c r="M185" s="386"/>
      <c r="N185" s="386">
        <v>8.4700000000000006</v>
      </c>
      <c r="O185" s="386">
        <v>6.39</v>
      </c>
      <c r="P185" s="386"/>
      <c r="Q185" s="386">
        <v>17.600000000000001</v>
      </c>
      <c r="R185" s="386">
        <v>8.6199999999999992</v>
      </c>
      <c r="S185" s="386">
        <v>26.51</v>
      </c>
      <c r="T185" s="386">
        <v>22.57</v>
      </c>
      <c r="U185" s="386">
        <v>7.43</v>
      </c>
      <c r="V185" s="386">
        <v>99.64</v>
      </c>
      <c r="W185" s="386">
        <v>7.64</v>
      </c>
      <c r="X185" s="386">
        <v>19.489999999999998</v>
      </c>
      <c r="Y185" s="386">
        <v>10.6</v>
      </c>
      <c r="Z185" s="386">
        <v>102.61</v>
      </c>
      <c r="AA185" s="386">
        <v>10.54</v>
      </c>
      <c r="AB185" s="2"/>
      <c r="AC185" s="2"/>
    </row>
    <row r="186" spans="1:29" customFormat="1" ht="18">
      <c r="A186" s="103" t="s">
        <v>273</v>
      </c>
      <c r="B186" s="103" t="s">
        <v>77</v>
      </c>
      <c r="C186" s="396" t="s">
        <v>1615</v>
      </c>
      <c r="D186" s="396" t="s">
        <v>1618</v>
      </c>
      <c r="E186" s="103">
        <v>8012</v>
      </c>
      <c r="F186" s="103" t="s">
        <v>1573</v>
      </c>
      <c r="G186" s="103">
        <v>736</v>
      </c>
      <c r="H186" s="397">
        <v>3005</v>
      </c>
      <c r="I186" s="103">
        <v>3005</v>
      </c>
      <c r="J186" s="386">
        <v>89.02</v>
      </c>
      <c r="K186" s="386">
        <v>10.47</v>
      </c>
      <c r="L186" s="386">
        <v>3.95</v>
      </c>
      <c r="M186" s="386"/>
      <c r="N186" s="386">
        <v>6.5</v>
      </c>
      <c r="O186" s="386">
        <v>10.119999999999999</v>
      </c>
      <c r="P186" s="386">
        <v>3.92</v>
      </c>
      <c r="Q186" s="386">
        <v>15.31</v>
      </c>
      <c r="R186" s="386">
        <v>7.7</v>
      </c>
      <c r="S186" s="386">
        <v>21.82</v>
      </c>
      <c r="T186" s="386">
        <v>18.989999999999998</v>
      </c>
      <c r="U186" s="386">
        <v>8.49</v>
      </c>
      <c r="V186" s="386">
        <v>80.56</v>
      </c>
      <c r="W186" s="386">
        <v>6.16</v>
      </c>
      <c r="X186" s="386">
        <v>16.39</v>
      </c>
      <c r="Y186" s="386">
        <v>10.71</v>
      </c>
      <c r="Z186" s="386">
        <v>87.27</v>
      </c>
      <c r="AA186" s="386">
        <v>8.73</v>
      </c>
      <c r="AB186" s="2"/>
      <c r="AC186" s="2"/>
    </row>
    <row r="187" spans="1:29" customFormat="1" ht="18">
      <c r="A187" s="103" t="s">
        <v>273</v>
      </c>
      <c r="B187" s="103" t="s">
        <v>77</v>
      </c>
      <c r="C187" s="396" t="s">
        <v>1619</v>
      </c>
      <c r="D187" s="396" t="s">
        <v>1620</v>
      </c>
      <c r="E187" s="103">
        <v>14049</v>
      </c>
      <c r="F187" s="103" t="s">
        <v>1572</v>
      </c>
      <c r="G187" s="103">
        <v>970</v>
      </c>
      <c r="H187" s="397">
        <v>3849</v>
      </c>
      <c r="I187" s="103">
        <v>3849</v>
      </c>
      <c r="J187" s="386">
        <v>98.06</v>
      </c>
      <c r="K187" s="386">
        <v>11.45</v>
      </c>
      <c r="L187" s="386">
        <v>3.05</v>
      </c>
      <c r="M187" s="386"/>
      <c r="N187" s="386">
        <v>7.91</v>
      </c>
      <c r="O187" s="386">
        <v>10.11</v>
      </c>
      <c r="P187" s="386">
        <v>3.38</v>
      </c>
      <c r="Q187" s="386"/>
      <c r="R187" s="386"/>
      <c r="S187" s="386"/>
      <c r="T187" s="386"/>
      <c r="U187" s="386"/>
      <c r="V187" s="386"/>
      <c r="W187" s="386"/>
      <c r="X187" s="386"/>
      <c r="Y187" s="386"/>
      <c r="Z187" s="386"/>
      <c r="AA187" s="386"/>
      <c r="AB187" s="2"/>
      <c r="AC187" s="2"/>
    </row>
    <row r="188" spans="1:29" customFormat="1" ht="18">
      <c r="A188" s="103" t="s">
        <v>273</v>
      </c>
      <c r="B188" s="103" t="s">
        <v>77</v>
      </c>
      <c r="C188" s="396" t="s">
        <v>1614</v>
      </c>
      <c r="D188" s="396" t="s">
        <v>1617</v>
      </c>
      <c r="E188" s="103">
        <v>5643</v>
      </c>
      <c r="F188" s="103" t="s">
        <v>1573</v>
      </c>
      <c r="G188" s="103">
        <v>981</v>
      </c>
      <c r="H188" s="397">
        <v>3856</v>
      </c>
      <c r="I188" s="103">
        <v>3856</v>
      </c>
      <c r="J188" s="386">
        <v>111.79</v>
      </c>
      <c r="K188" s="386">
        <v>13.63</v>
      </c>
      <c r="L188" s="386">
        <v>3.81</v>
      </c>
      <c r="M188" s="386"/>
      <c r="N188" s="386">
        <v>7.63</v>
      </c>
      <c r="O188" s="386">
        <v>6.48</v>
      </c>
      <c r="P188" s="386"/>
      <c r="Q188" s="386">
        <v>19.059999999999999</v>
      </c>
      <c r="R188" s="386">
        <v>8.69</v>
      </c>
      <c r="S188" s="386">
        <v>26.86</v>
      </c>
      <c r="T188" s="386">
        <v>22.45</v>
      </c>
      <c r="U188" s="386">
        <v>9.3000000000000007</v>
      </c>
      <c r="V188" s="386">
        <v>107.36</v>
      </c>
      <c r="W188" s="386">
        <v>7.65</v>
      </c>
      <c r="X188" s="386">
        <v>19.489999999999998</v>
      </c>
      <c r="Y188" s="386">
        <v>10.79</v>
      </c>
      <c r="Z188" s="386">
        <v>102.72</v>
      </c>
      <c r="AA188" s="386">
        <v>11.77</v>
      </c>
      <c r="AB188" s="2"/>
      <c r="AC188" s="2"/>
    </row>
    <row r="189" spans="1:29" customFormat="1" ht="18">
      <c r="A189" s="103" t="s">
        <v>273</v>
      </c>
      <c r="B189" s="103" t="s">
        <v>77</v>
      </c>
      <c r="C189" s="396" t="s">
        <v>1614</v>
      </c>
      <c r="D189" s="396" t="s">
        <v>1617</v>
      </c>
      <c r="E189" s="103">
        <v>5678</v>
      </c>
      <c r="F189" s="103" t="s">
        <v>1573</v>
      </c>
      <c r="G189" s="103">
        <v>1055</v>
      </c>
      <c r="H189" s="397">
        <v>3912</v>
      </c>
      <c r="I189" s="103">
        <v>3912</v>
      </c>
      <c r="J189" s="386">
        <v>113.42</v>
      </c>
      <c r="K189" s="386">
        <v>15.07</v>
      </c>
      <c r="L189" s="386">
        <v>5.61</v>
      </c>
      <c r="M189" s="386"/>
      <c r="N189" s="386">
        <v>9.35</v>
      </c>
      <c r="O189" s="386">
        <v>6.15</v>
      </c>
      <c r="P189" s="386"/>
      <c r="Q189" s="386">
        <v>19.59</v>
      </c>
      <c r="R189" s="386">
        <v>9.2100000000000009</v>
      </c>
      <c r="S189" s="386">
        <v>27.56</v>
      </c>
      <c r="T189" s="386">
        <v>23.39</v>
      </c>
      <c r="U189" s="386">
        <v>9.59</v>
      </c>
      <c r="V189" s="386">
        <v>113.51</v>
      </c>
      <c r="W189" s="386">
        <v>7.9</v>
      </c>
      <c r="X189" s="386">
        <v>19.98</v>
      </c>
      <c r="Y189" s="386">
        <v>8.15</v>
      </c>
      <c r="Z189" s="386">
        <v>110.86</v>
      </c>
      <c r="AA189" s="386">
        <v>11.96</v>
      </c>
      <c r="AB189" s="2"/>
      <c r="AC189" s="2"/>
    </row>
    <row r="190" spans="1:29" customFormat="1" ht="18">
      <c r="A190" s="103" t="s">
        <v>273</v>
      </c>
      <c r="B190" s="103" t="s">
        <v>77</v>
      </c>
      <c r="C190" s="396" t="s">
        <v>1614</v>
      </c>
      <c r="D190" s="396" t="s">
        <v>1617</v>
      </c>
      <c r="E190" s="103">
        <v>3104</v>
      </c>
      <c r="F190" s="103" t="s">
        <v>1573</v>
      </c>
      <c r="G190" s="103"/>
      <c r="H190" s="397">
        <v>5670</v>
      </c>
      <c r="I190" s="103">
        <v>5670</v>
      </c>
      <c r="J190" s="386">
        <v>110.59</v>
      </c>
      <c r="K190" s="386">
        <v>14.83</v>
      </c>
      <c r="L190" s="386">
        <v>5.6</v>
      </c>
      <c r="M190" s="386"/>
      <c r="N190" s="386">
        <v>8.84</v>
      </c>
      <c r="O190" s="386">
        <v>5.45</v>
      </c>
      <c r="P190" s="386"/>
      <c r="Q190" s="386">
        <v>19.829999999999998</v>
      </c>
      <c r="R190" s="386">
        <v>9.2799999999999994</v>
      </c>
      <c r="S190" s="386">
        <v>27.7</v>
      </c>
      <c r="T190" s="386">
        <v>25.16</v>
      </c>
      <c r="U190" s="386">
        <v>8.43</v>
      </c>
      <c r="V190" s="386">
        <v>111.46</v>
      </c>
      <c r="W190" s="386">
        <v>7.78</v>
      </c>
      <c r="X190" s="386">
        <v>20.420000000000002</v>
      </c>
      <c r="Y190" s="386">
        <v>11.55</v>
      </c>
      <c r="Z190" s="386">
        <v>107.18</v>
      </c>
      <c r="AA190" s="386">
        <v>13.68</v>
      </c>
      <c r="AB190" s="2"/>
      <c r="AC190" s="2"/>
    </row>
    <row r="191" spans="1:29" customFormat="1" ht="18">
      <c r="A191" s="103" t="s">
        <v>273</v>
      </c>
      <c r="B191" s="103" t="s">
        <v>77</v>
      </c>
      <c r="C191" s="396" t="s">
        <v>1304</v>
      </c>
      <c r="D191" s="396" t="s">
        <v>549</v>
      </c>
      <c r="E191" s="103">
        <v>2472</v>
      </c>
      <c r="F191" s="103" t="s">
        <v>1573</v>
      </c>
      <c r="G191" s="103">
        <v>679</v>
      </c>
      <c r="H191" s="397">
        <v>6917</v>
      </c>
      <c r="I191" s="103">
        <v>6917</v>
      </c>
      <c r="J191" s="386">
        <v>111.63</v>
      </c>
      <c r="K191" s="386">
        <v>14.06</v>
      </c>
      <c r="L191" s="386">
        <v>4.5199999999999996</v>
      </c>
      <c r="M191" s="386"/>
      <c r="N191" s="386">
        <v>8.8000000000000007</v>
      </c>
      <c r="O191" s="386">
        <v>12.08</v>
      </c>
      <c r="P191" s="386"/>
      <c r="Q191" s="386">
        <v>18.7</v>
      </c>
      <c r="R191" s="386">
        <v>11.01</v>
      </c>
      <c r="S191" s="386">
        <v>27.31</v>
      </c>
      <c r="T191" s="386">
        <v>31.81</v>
      </c>
      <c r="U191" s="386">
        <v>11.44</v>
      </c>
      <c r="V191" s="386">
        <v>84.94</v>
      </c>
      <c r="W191" s="386">
        <v>7.07</v>
      </c>
      <c r="X191" s="386">
        <v>23.77</v>
      </c>
      <c r="Y191" s="386">
        <v>12.03</v>
      </c>
      <c r="Z191" s="386">
        <v>97.51</v>
      </c>
      <c r="AA191" s="386">
        <v>24.53</v>
      </c>
      <c r="AB191" s="2"/>
      <c r="AC191" s="2"/>
    </row>
    <row r="192" spans="1:29" customFormat="1" ht="18">
      <c r="A192" s="103" t="s">
        <v>273</v>
      </c>
      <c r="B192" s="103" t="s">
        <v>77</v>
      </c>
      <c r="C192" s="396" t="s">
        <v>1304</v>
      </c>
      <c r="D192" s="396" t="s">
        <v>549</v>
      </c>
      <c r="E192" s="103">
        <v>6142</v>
      </c>
      <c r="F192" s="103" t="s">
        <v>1572</v>
      </c>
      <c r="G192" s="103">
        <v>730</v>
      </c>
      <c r="H192" s="397">
        <v>7343</v>
      </c>
      <c r="I192" s="103">
        <v>7343</v>
      </c>
      <c r="J192" s="386">
        <v>116.7</v>
      </c>
      <c r="K192" s="386">
        <v>13.73</v>
      </c>
      <c r="L192" s="386">
        <v>4.21</v>
      </c>
      <c r="M192" s="386"/>
      <c r="N192" s="386">
        <v>8.59</v>
      </c>
      <c r="O192" s="386">
        <v>10.62</v>
      </c>
      <c r="P192" s="386"/>
      <c r="Q192" s="386">
        <v>17.36</v>
      </c>
      <c r="R192" s="386">
        <v>11.73</v>
      </c>
      <c r="S192" s="386">
        <v>26.93</v>
      </c>
      <c r="T192" s="386">
        <v>32.909999999999997</v>
      </c>
      <c r="U192" s="386">
        <v>12.44</v>
      </c>
      <c r="V192" s="386">
        <v>81.28</v>
      </c>
      <c r="W192" s="386">
        <v>8.06</v>
      </c>
      <c r="X192" s="386">
        <v>22.42</v>
      </c>
      <c r="Y192" s="386">
        <v>13.14</v>
      </c>
      <c r="Z192" s="386">
        <v>97.36</v>
      </c>
      <c r="AA192" s="386">
        <v>21.3</v>
      </c>
      <c r="AB192" s="2"/>
      <c r="AC192" s="2"/>
    </row>
    <row r="193" spans="1:29" customFormat="1" ht="18">
      <c r="A193" s="103" t="s">
        <v>273</v>
      </c>
      <c r="B193" s="103" t="s">
        <v>77</v>
      </c>
      <c r="C193" s="396" t="s">
        <v>1304</v>
      </c>
      <c r="D193" s="396" t="s">
        <v>549</v>
      </c>
      <c r="E193" s="103">
        <v>5649</v>
      </c>
      <c r="F193" s="103" t="s">
        <v>1572</v>
      </c>
      <c r="G193" s="103">
        <v>743</v>
      </c>
      <c r="H193" s="397">
        <v>7711</v>
      </c>
      <c r="I193" s="103">
        <v>7711</v>
      </c>
      <c r="J193" s="386">
        <v>113.74</v>
      </c>
      <c r="K193" s="386">
        <v>12.62</v>
      </c>
      <c r="L193" s="386">
        <v>4.08</v>
      </c>
      <c r="M193" s="386"/>
      <c r="N193" s="386">
        <v>7.95</v>
      </c>
      <c r="O193" s="386">
        <v>10.68</v>
      </c>
      <c r="P193" s="386"/>
      <c r="Q193" s="386">
        <v>17.989999999999998</v>
      </c>
      <c r="R193" s="386">
        <v>11</v>
      </c>
      <c r="S193" s="386">
        <v>27.38</v>
      </c>
      <c r="T193" s="386">
        <v>31.57</v>
      </c>
      <c r="U193" s="386">
        <v>13.28</v>
      </c>
      <c r="V193" s="386">
        <v>78.61</v>
      </c>
      <c r="W193" s="386">
        <v>8.2799999999999994</v>
      </c>
      <c r="X193" s="386">
        <v>22.19</v>
      </c>
      <c r="Y193" s="386">
        <v>12.31</v>
      </c>
      <c r="Z193" s="386">
        <v>95.96</v>
      </c>
      <c r="AA193" s="386">
        <v>20.94</v>
      </c>
      <c r="AB193" s="2"/>
      <c r="AC193" s="2"/>
    </row>
    <row r="194" spans="1:29" customFormat="1" ht="18">
      <c r="A194" s="103" t="s">
        <v>273</v>
      </c>
      <c r="B194" s="103" t="s">
        <v>77</v>
      </c>
      <c r="C194" s="396" t="s">
        <v>1304</v>
      </c>
      <c r="D194" s="396" t="s">
        <v>549</v>
      </c>
      <c r="E194" s="103">
        <v>5642</v>
      </c>
      <c r="F194" s="103" t="s">
        <v>1573</v>
      </c>
      <c r="G194" s="103">
        <v>787</v>
      </c>
      <c r="H194" s="397">
        <v>7711</v>
      </c>
      <c r="I194" s="103">
        <v>7711</v>
      </c>
      <c r="J194" s="386">
        <v>123.7</v>
      </c>
      <c r="K194" s="386">
        <v>13.66</v>
      </c>
      <c r="L194" s="386">
        <v>5.73</v>
      </c>
      <c r="M194" s="386"/>
      <c r="N194" s="386">
        <v>8.85</v>
      </c>
      <c r="O194" s="386">
        <v>10.78</v>
      </c>
      <c r="P194" s="386"/>
      <c r="Q194" s="386">
        <v>19.61</v>
      </c>
      <c r="R194" s="386">
        <v>12.36</v>
      </c>
      <c r="S194" s="386">
        <v>30.31</v>
      </c>
      <c r="T194" s="386">
        <v>36.71</v>
      </c>
      <c r="U194" s="386">
        <v>13.51</v>
      </c>
      <c r="V194" s="386">
        <v>93.33</v>
      </c>
      <c r="W194" s="386">
        <v>7.93</v>
      </c>
      <c r="X194" s="386">
        <v>26.82</v>
      </c>
      <c r="Y194" s="386">
        <v>15.73</v>
      </c>
      <c r="Z194" s="386">
        <v>113.3</v>
      </c>
      <c r="AA194" s="386">
        <v>28.33</v>
      </c>
      <c r="AB194" s="2"/>
      <c r="AC194" s="2"/>
    </row>
    <row r="195" spans="1:29" customFormat="1" ht="18">
      <c r="A195" s="103" t="s">
        <v>273</v>
      </c>
      <c r="B195" s="103" t="s">
        <v>77</v>
      </c>
      <c r="C195" s="396" t="s">
        <v>1304</v>
      </c>
      <c r="D195" s="396" t="s">
        <v>549</v>
      </c>
      <c r="E195" s="103">
        <v>2446</v>
      </c>
      <c r="F195" s="103" t="s">
        <v>1573</v>
      </c>
      <c r="G195" s="103">
        <v>737</v>
      </c>
      <c r="H195" s="397">
        <v>7824</v>
      </c>
      <c r="I195" s="103">
        <v>7824</v>
      </c>
      <c r="J195" s="386">
        <v>114.89</v>
      </c>
      <c r="K195" s="386">
        <v>14.11</v>
      </c>
      <c r="L195" s="386">
        <v>4.17</v>
      </c>
      <c r="M195" s="386"/>
      <c r="N195" s="386">
        <v>8.59</v>
      </c>
      <c r="O195" s="386">
        <v>10.88</v>
      </c>
      <c r="P195" s="386"/>
      <c r="Q195" s="386"/>
      <c r="R195" s="386"/>
      <c r="S195" s="386"/>
      <c r="T195" s="386"/>
      <c r="U195" s="386"/>
      <c r="V195" s="386"/>
      <c r="W195" s="386"/>
      <c r="X195" s="386"/>
      <c r="Y195" s="386"/>
      <c r="Z195" s="386"/>
      <c r="AA195" s="386"/>
      <c r="AB195" s="2"/>
      <c r="AC195" s="2"/>
    </row>
    <row r="196" spans="1:29" customFormat="1" ht="18">
      <c r="A196" s="103" t="s">
        <v>273</v>
      </c>
      <c r="B196" s="103" t="s">
        <v>77</v>
      </c>
      <c r="C196" s="396" t="s">
        <v>1304</v>
      </c>
      <c r="D196" s="396" t="s">
        <v>549</v>
      </c>
      <c r="E196" s="103">
        <v>2447</v>
      </c>
      <c r="F196" s="103" t="s">
        <v>1573</v>
      </c>
      <c r="G196" s="103">
        <v>743</v>
      </c>
      <c r="H196" s="397">
        <v>8278</v>
      </c>
      <c r="I196" s="103">
        <v>8278</v>
      </c>
      <c r="J196" s="386">
        <v>113.44</v>
      </c>
      <c r="K196" s="386">
        <v>12.94</v>
      </c>
      <c r="L196" s="386">
        <v>4.05</v>
      </c>
      <c r="M196" s="386"/>
      <c r="N196" s="386">
        <v>9.09</v>
      </c>
      <c r="O196" s="386">
        <v>11.11</v>
      </c>
      <c r="P196" s="386"/>
      <c r="Q196" s="386"/>
      <c r="R196" s="386"/>
      <c r="S196" s="386"/>
      <c r="T196" s="386"/>
      <c r="U196" s="386"/>
      <c r="V196" s="386"/>
      <c r="W196" s="386"/>
      <c r="X196" s="386"/>
      <c r="Y196" s="386"/>
      <c r="Z196" s="386"/>
      <c r="AA196" s="386"/>
      <c r="AB196" s="2"/>
      <c r="AC196" s="2"/>
    </row>
    <row r="197" spans="1:29" customFormat="1" ht="18">
      <c r="A197" s="103" t="s">
        <v>273</v>
      </c>
      <c r="B197" s="103" t="s">
        <v>77</v>
      </c>
      <c r="C197" s="396" t="s">
        <v>1304</v>
      </c>
      <c r="D197" s="396" t="s">
        <v>549</v>
      </c>
      <c r="E197" s="103">
        <v>5011</v>
      </c>
      <c r="F197" s="103" t="s">
        <v>1573</v>
      </c>
      <c r="G197" s="103">
        <v>770</v>
      </c>
      <c r="H197" s="397">
        <v>9866</v>
      </c>
      <c r="I197" s="103">
        <v>9866</v>
      </c>
      <c r="J197" s="386">
        <v>118</v>
      </c>
      <c r="K197" s="386">
        <v>14.97</v>
      </c>
      <c r="L197" s="386">
        <v>4.7</v>
      </c>
      <c r="M197" s="386"/>
      <c r="N197" s="386">
        <v>8.9600000000000009</v>
      </c>
      <c r="O197" s="386">
        <v>12.49</v>
      </c>
      <c r="P197" s="386"/>
      <c r="Q197" s="386">
        <v>19.059999999999999</v>
      </c>
      <c r="R197" s="386">
        <v>12.06</v>
      </c>
      <c r="S197" s="386">
        <v>29.75</v>
      </c>
      <c r="T197" s="386">
        <v>32.82</v>
      </c>
      <c r="U197" s="386">
        <v>13.65</v>
      </c>
      <c r="V197" s="386">
        <v>83.98</v>
      </c>
      <c r="W197" s="386">
        <v>8.3699999999999992</v>
      </c>
      <c r="X197" s="386">
        <v>25.03</v>
      </c>
      <c r="Y197" s="386">
        <v>14.11</v>
      </c>
      <c r="Z197" s="386">
        <v>104.01</v>
      </c>
      <c r="AA197" s="386">
        <v>23.48</v>
      </c>
      <c r="AB197" s="2"/>
      <c r="AC197" s="2"/>
    </row>
    <row r="198" spans="1:29" customFormat="1" ht="18">
      <c r="A198" s="103" t="s">
        <v>273</v>
      </c>
      <c r="B198" s="103" t="s">
        <v>77</v>
      </c>
      <c r="C198" s="396" t="s">
        <v>1621</v>
      </c>
      <c r="D198" s="396" t="s">
        <v>1622</v>
      </c>
      <c r="E198" s="103">
        <v>7643</v>
      </c>
      <c r="F198" s="103" t="s">
        <v>1573</v>
      </c>
      <c r="G198" s="103">
        <v>1219</v>
      </c>
      <c r="H198" s="397">
        <v>18144</v>
      </c>
      <c r="I198" s="103">
        <v>18144</v>
      </c>
      <c r="J198" s="386">
        <v>138.41</v>
      </c>
      <c r="K198" s="386">
        <v>21.43</v>
      </c>
      <c r="L198" s="386">
        <v>7.19</v>
      </c>
      <c r="M198" s="386"/>
      <c r="N198" s="386">
        <v>12.78</v>
      </c>
      <c r="O198" s="386">
        <v>7.75</v>
      </c>
      <c r="P198" s="386"/>
      <c r="Q198" s="386"/>
      <c r="R198" s="386"/>
      <c r="S198" s="386"/>
      <c r="T198" s="386">
        <v>34.08</v>
      </c>
      <c r="U198" s="386">
        <v>11.86</v>
      </c>
      <c r="V198" s="386">
        <v>141.4</v>
      </c>
      <c r="W198" s="386">
        <v>10.66</v>
      </c>
      <c r="X198" s="386">
        <v>31.77</v>
      </c>
      <c r="Y198" s="386">
        <v>18.32</v>
      </c>
      <c r="Z198" s="386">
        <v>147.88</v>
      </c>
      <c r="AA198" s="386">
        <v>18.32</v>
      </c>
      <c r="AB198" s="2"/>
      <c r="AC198" s="2"/>
    </row>
    <row r="199" spans="1:29" customFormat="1" ht="18">
      <c r="A199" s="103" t="s">
        <v>273</v>
      </c>
      <c r="B199" s="103" t="s">
        <v>77</v>
      </c>
      <c r="C199" s="396" t="s">
        <v>1605</v>
      </c>
      <c r="D199" s="396" t="s">
        <v>1606</v>
      </c>
      <c r="E199" s="103">
        <v>3710</v>
      </c>
      <c r="F199" s="103" t="s">
        <v>1573</v>
      </c>
      <c r="G199" s="103"/>
      <c r="H199" s="397">
        <f t="shared" ref="H199:H211" si="2">10^((LOG(J199)*3.526)+-3.484)</f>
        <v>32.615157982878166</v>
      </c>
      <c r="I199" s="103"/>
      <c r="J199" s="386">
        <v>26.14</v>
      </c>
      <c r="K199" s="386">
        <v>3.16</v>
      </c>
      <c r="L199" s="386">
        <v>0.32</v>
      </c>
      <c r="M199" s="386"/>
      <c r="N199" s="386">
        <v>1.25</v>
      </c>
      <c r="O199" s="386">
        <v>0.79</v>
      </c>
      <c r="P199" s="386"/>
      <c r="Q199" s="386"/>
      <c r="R199" s="386"/>
      <c r="S199" s="386"/>
      <c r="T199" s="386"/>
      <c r="U199" s="386"/>
      <c r="V199" s="386"/>
      <c r="W199" s="386"/>
      <c r="X199" s="386"/>
      <c r="Y199" s="386"/>
      <c r="Z199" s="386"/>
      <c r="AA199" s="386"/>
      <c r="AB199" s="2"/>
      <c r="AC199" s="2"/>
    </row>
    <row r="200" spans="1:29" customFormat="1" ht="18">
      <c r="A200" s="103" t="s">
        <v>273</v>
      </c>
      <c r="B200" s="103" t="s">
        <v>77</v>
      </c>
      <c r="C200" s="396" t="s">
        <v>539</v>
      </c>
      <c r="D200" s="396" t="s">
        <v>540</v>
      </c>
      <c r="E200" s="103">
        <v>2096</v>
      </c>
      <c r="F200" s="103" t="s">
        <v>1573</v>
      </c>
      <c r="G200" s="103"/>
      <c r="H200" s="397">
        <f t="shared" si="2"/>
        <v>578.22805040370577</v>
      </c>
      <c r="I200" s="103"/>
      <c r="J200" s="386">
        <v>59.08</v>
      </c>
      <c r="K200" s="386">
        <v>9.5</v>
      </c>
      <c r="L200" s="386">
        <v>4.24</v>
      </c>
      <c r="M200" s="386"/>
      <c r="N200" s="386">
        <v>3.94</v>
      </c>
      <c r="O200" s="386">
        <v>5.81</v>
      </c>
      <c r="P200" s="386"/>
      <c r="Q200" s="386"/>
      <c r="R200" s="386"/>
      <c r="S200" s="386"/>
      <c r="T200" s="386"/>
      <c r="U200" s="386"/>
      <c r="V200" s="386"/>
      <c r="W200" s="386"/>
      <c r="X200" s="386"/>
      <c r="Y200" s="386"/>
      <c r="Z200" s="386"/>
      <c r="AA200" s="386"/>
      <c r="AB200" s="2"/>
      <c r="AC200" s="2"/>
    </row>
    <row r="201" spans="1:29" customFormat="1" ht="18">
      <c r="A201" s="103" t="s">
        <v>273</v>
      </c>
      <c r="B201" s="103" t="s">
        <v>77</v>
      </c>
      <c r="C201" s="396" t="s">
        <v>1605</v>
      </c>
      <c r="D201" s="396" t="s">
        <v>1610</v>
      </c>
      <c r="E201" s="103">
        <v>3980</v>
      </c>
      <c r="F201" s="103" t="s">
        <v>1573</v>
      </c>
      <c r="G201" s="103">
        <v>557</v>
      </c>
      <c r="H201" s="397">
        <f t="shared" si="2"/>
        <v>578.91853922240659</v>
      </c>
      <c r="I201" s="103"/>
      <c r="J201" s="386">
        <v>59.1</v>
      </c>
      <c r="K201" s="386">
        <v>7.17</v>
      </c>
      <c r="L201" s="386">
        <v>1.79</v>
      </c>
      <c r="M201" s="386"/>
      <c r="N201" s="386">
        <v>4.3899999999999997</v>
      </c>
      <c r="O201" s="386">
        <v>2.87</v>
      </c>
      <c r="P201" s="386"/>
      <c r="Q201" s="386">
        <v>8.68</v>
      </c>
      <c r="R201" s="386">
        <v>4.0999999999999996</v>
      </c>
      <c r="S201" s="386">
        <v>12.53</v>
      </c>
      <c r="T201" s="386">
        <v>11.85</v>
      </c>
      <c r="U201" s="386">
        <v>3.98</v>
      </c>
      <c r="V201" s="386">
        <v>51.97</v>
      </c>
      <c r="W201" s="386">
        <v>3.55</v>
      </c>
      <c r="X201" s="386">
        <v>9.61</v>
      </c>
      <c r="Y201" s="386">
        <v>5.27</v>
      </c>
      <c r="Z201" s="386">
        <v>47.2</v>
      </c>
      <c r="AA201" s="386">
        <v>5.9</v>
      </c>
      <c r="AB201" s="2"/>
      <c r="AC201" s="2"/>
    </row>
    <row r="202" spans="1:29" customFormat="1" ht="18">
      <c r="A202" s="103" t="s">
        <v>273</v>
      </c>
      <c r="B202" s="103" t="s">
        <v>77</v>
      </c>
      <c r="C202" s="396" t="s">
        <v>539</v>
      </c>
      <c r="D202" s="396" t="s">
        <v>540</v>
      </c>
      <c r="E202" s="103">
        <v>16642</v>
      </c>
      <c r="F202" s="103" t="s">
        <v>1571</v>
      </c>
      <c r="G202" s="103">
        <v>711</v>
      </c>
      <c r="H202" s="397">
        <f t="shared" si="2"/>
        <v>605.59746462122814</v>
      </c>
      <c r="I202" s="103"/>
      <c r="J202" s="386">
        <v>59.86</v>
      </c>
      <c r="K202" s="386">
        <v>8.81</v>
      </c>
      <c r="L202" s="386">
        <v>3.67</v>
      </c>
      <c r="M202" s="386"/>
      <c r="N202" s="386">
        <v>4.3600000000000003</v>
      </c>
      <c r="O202" s="386">
        <v>5.67</v>
      </c>
      <c r="P202" s="386"/>
      <c r="Q202" s="386"/>
      <c r="R202" s="386"/>
      <c r="S202" s="386"/>
      <c r="T202" s="386"/>
      <c r="U202" s="386"/>
      <c r="V202" s="386"/>
      <c r="W202" s="386"/>
      <c r="X202" s="386"/>
      <c r="Y202" s="386"/>
      <c r="Z202" s="386"/>
      <c r="AA202" s="386"/>
      <c r="AB202" s="2"/>
      <c r="AC202" s="2"/>
    </row>
    <row r="203" spans="1:29" customFormat="1" ht="18">
      <c r="A203" s="103" t="s">
        <v>273</v>
      </c>
      <c r="B203" s="103" t="s">
        <v>77</v>
      </c>
      <c r="C203" s="396" t="s">
        <v>535</v>
      </c>
      <c r="D203" s="396" t="s">
        <v>1623</v>
      </c>
      <c r="E203" s="103">
        <v>14050</v>
      </c>
      <c r="F203" s="103" t="s">
        <v>1573</v>
      </c>
      <c r="G203" s="103">
        <v>441</v>
      </c>
      <c r="H203" s="397">
        <f t="shared" si="2"/>
        <v>628.37126810890823</v>
      </c>
      <c r="I203" s="103"/>
      <c r="J203" s="386">
        <v>60.49</v>
      </c>
      <c r="K203" s="386">
        <v>10.11</v>
      </c>
      <c r="L203" s="386">
        <v>4.34</v>
      </c>
      <c r="M203" s="386"/>
      <c r="N203" s="386">
        <v>4.51</v>
      </c>
      <c r="O203" s="386">
        <v>8.2799999999999994</v>
      </c>
      <c r="P203" s="386"/>
      <c r="Q203" s="386"/>
      <c r="R203" s="386"/>
      <c r="S203" s="386"/>
      <c r="T203" s="386"/>
      <c r="U203" s="386"/>
      <c r="V203" s="386"/>
      <c r="W203" s="386"/>
      <c r="X203" s="386"/>
      <c r="Y203" s="386"/>
      <c r="Z203" s="386"/>
      <c r="AA203" s="386"/>
      <c r="AB203" s="2"/>
      <c r="AC203" s="2"/>
    </row>
    <row r="204" spans="1:29" customFormat="1" ht="18">
      <c r="A204" s="103" t="s">
        <v>273</v>
      </c>
      <c r="B204" s="103" t="s">
        <v>77</v>
      </c>
      <c r="C204" s="396" t="s">
        <v>1605</v>
      </c>
      <c r="D204" s="396" t="s">
        <v>1610</v>
      </c>
      <c r="E204" s="103">
        <v>12257</v>
      </c>
      <c r="F204" s="103" t="s">
        <v>1573</v>
      </c>
      <c r="G204" s="103"/>
      <c r="H204" s="397">
        <f t="shared" si="2"/>
        <v>628.73762614227689</v>
      </c>
      <c r="I204" s="103"/>
      <c r="J204" s="386">
        <v>60.5</v>
      </c>
      <c r="K204" s="386">
        <v>8.02</v>
      </c>
      <c r="L204" s="386">
        <v>1.96</v>
      </c>
      <c r="M204" s="386"/>
      <c r="N204" s="386">
        <v>4.6900000000000004</v>
      </c>
      <c r="O204" s="386">
        <v>2.85</v>
      </c>
      <c r="P204" s="386"/>
      <c r="Q204" s="386">
        <v>9.6999999999999993</v>
      </c>
      <c r="R204" s="386">
        <v>4.95</v>
      </c>
      <c r="S204" s="386">
        <v>13.2</v>
      </c>
      <c r="T204" s="386">
        <v>12.13</v>
      </c>
      <c r="U204" s="386">
        <v>4.0599999999999996</v>
      </c>
      <c r="V204" s="386">
        <v>52.12</v>
      </c>
      <c r="W204" s="386">
        <v>3.62</v>
      </c>
      <c r="X204" s="386">
        <v>10.97</v>
      </c>
      <c r="Y204" s="386">
        <v>5.82</v>
      </c>
      <c r="Z204" s="386">
        <v>48.77</v>
      </c>
      <c r="AA204" s="386">
        <v>6.68</v>
      </c>
      <c r="AB204" s="2"/>
      <c r="AC204" s="2"/>
    </row>
    <row r="205" spans="1:29" customFormat="1" ht="18">
      <c r="A205" s="103" t="s">
        <v>273</v>
      </c>
      <c r="B205" s="103" t="s">
        <v>77</v>
      </c>
      <c r="C205" s="396" t="s">
        <v>539</v>
      </c>
      <c r="D205" s="396" t="s">
        <v>540</v>
      </c>
      <c r="E205" s="103">
        <v>3081</v>
      </c>
      <c r="F205" s="103" t="s">
        <v>1572</v>
      </c>
      <c r="G205" s="103"/>
      <c r="H205" s="397">
        <f t="shared" si="2"/>
        <v>881.27247606745891</v>
      </c>
      <c r="I205" s="103"/>
      <c r="J205" s="386">
        <v>66.58</v>
      </c>
      <c r="K205" s="386">
        <v>10.46</v>
      </c>
      <c r="L205" s="386">
        <v>4.07</v>
      </c>
      <c r="M205" s="386"/>
      <c r="N205" s="386">
        <v>5.45</v>
      </c>
      <c r="O205" s="386">
        <v>5.91</v>
      </c>
      <c r="P205" s="386"/>
      <c r="Q205" s="386"/>
      <c r="R205" s="386"/>
      <c r="S205" s="386"/>
      <c r="T205" s="386"/>
      <c r="U205" s="386"/>
      <c r="V205" s="386"/>
      <c r="W205" s="386"/>
      <c r="X205" s="386"/>
      <c r="Y205" s="386"/>
      <c r="Z205" s="386"/>
      <c r="AA205" s="386"/>
      <c r="AB205" s="2"/>
      <c r="AC205" s="2"/>
    </row>
    <row r="206" spans="1:29" customFormat="1" ht="18">
      <c r="A206" s="103" t="s">
        <v>273</v>
      </c>
      <c r="B206" s="103" t="s">
        <v>77</v>
      </c>
      <c r="C206" s="396" t="s">
        <v>539</v>
      </c>
      <c r="D206" s="396" t="s">
        <v>540</v>
      </c>
      <c r="E206" s="103">
        <v>616</v>
      </c>
      <c r="F206" s="103" t="s">
        <v>1573</v>
      </c>
      <c r="G206" s="103"/>
      <c r="H206" s="397">
        <f t="shared" si="2"/>
        <v>1110.9441136153812</v>
      </c>
      <c r="I206" s="103"/>
      <c r="J206" s="386">
        <v>71.099999999999994</v>
      </c>
      <c r="K206" s="386">
        <v>10.01</v>
      </c>
      <c r="L206" s="386">
        <v>3.9</v>
      </c>
      <c r="M206" s="386"/>
      <c r="N206" s="386">
        <v>4.57</v>
      </c>
      <c r="O206" s="386">
        <v>7.08</v>
      </c>
      <c r="P206" s="386"/>
      <c r="Q206" s="386"/>
      <c r="R206" s="386"/>
      <c r="S206" s="386"/>
      <c r="T206" s="386"/>
      <c r="U206" s="386"/>
      <c r="V206" s="386"/>
      <c r="W206" s="386"/>
      <c r="X206" s="386"/>
      <c r="Y206" s="386"/>
      <c r="Z206" s="386"/>
      <c r="AA206" s="386"/>
      <c r="AB206" s="2"/>
      <c r="AC206" s="2"/>
    </row>
    <row r="207" spans="1:29" customFormat="1" ht="18">
      <c r="A207" s="103" t="s">
        <v>273</v>
      </c>
      <c r="B207" s="103" t="s">
        <v>77</v>
      </c>
      <c r="C207" s="396" t="s">
        <v>535</v>
      </c>
      <c r="D207" s="396" t="s">
        <v>536</v>
      </c>
      <c r="E207" s="103">
        <v>3224</v>
      </c>
      <c r="F207" s="103" t="s">
        <v>1571</v>
      </c>
      <c r="G207" s="103"/>
      <c r="H207" s="397">
        <f t="shared" si="2"/>
        <v>1125.3348554683434</v>
      </c>
      <c r="I207" s="103"/>
      <c r="J207" s="386">
        <v>71.36</v>
      </c>
      <c r="K207" s="386">
        <v>10.7</v>
      </c>
      <c r="L207" s="386">
        <v>4.3899999999999997</v>
      </c>
      <c r="M207" s="386"/>
      <c r="N207" s="386">
        <v>4.59</v>
      </c>
      <c r="O207" s="386">
        <v>8.66</v>
      </c>
      <c r="P207" s="386"/>
      <c r="Q207" s="386"/>
      <c r="R207" s="386"/>
      <c r="S207" s="386"/>
      <c r="T207" s="386"/>
      <c r="U207" s="386"/>
      <c r="V207" s="386"/>
      <c r="W207" s="386"/>
      <c r="X207" s="386"/>
      <c r="Y207" s="386"/>
      <c r="Z207" s="386"/>
      <c r="AA207" s="386"/>
      <c r="AB207" s="2"/>
      <c r="AC207" s="2"/>
    </row>
    <row r="208" spans="1:29" customFormat="1" ht="18">
      <c r="A208" s="103" t="s">
        <v>273</v>
      </c>
      <c r="B208" s="103" t="s">
        <v>77</v>
      </c>
      <c r="C208" s="396" t="s">
        <v>1614</v>
      </c>
      <c r="D208" s="396" t="s">
        <v>195</v>
      </c>
      <c r="E208" s="103">
        <v>15696</v>
      </c>
      <c r="F208" s="103" t="s">
        <v>1573</v>
      </c>
      <c r="G208" s="103">
        <v>600</v>
      </c>
      <c r="H208" s="397">
        <f t="shared" si="2"/>
        <v>1129.7895103722512</v>
      </c>
      <c r="I208" s="103"/>
      <c r="J208" s="386">
        <v>71.44</v>
      </c>
      <c r="K208" s="386">
        <v>9.27</v>
      </c>
      <c r="L208" s="386">
        <v>3.29</v>
      </c>
      <c r="M208" s="386"/>
      <c r="N208" s="386">
        <v>5.75</v>
      </c>
      <c r="O208" s="386">
        <v>3.78</v>
      </c>
      <c r="P208" s="386"/>
      <c r="Q208" s="386"/>
      <c r="R208" s="386"/>
      <c r="S208" s="386"/>
      <c r="T208" s="386">
        <v>12.06</v>
      </c>
      <c r="U208" s="386">
        <v>4.38</v>
      </c>
      <c r="V208" s="386"/>
      <c r="W208" s="386">
        <v>4.16</v>
      </c>
      <c r="X208" s="386">
        <v>11.78</v>
      </c>
      <c r="Y208" s="386">
        <v>6.56</v>
      </c>
      <c r="Z208" s="386">
        <v>66.45</v>
      </c>
      <c r="AA208" s="386">
        <v>6.59</v>
      </c>
      <c r="AB208" s="2"/>
      <c r="AC208" s="2"/>
    </row>
    <row r="209" spans="1:29" customFormat="1" ht="18">
      <c r="A209" s="103" t="s">
        <v>273</v>
      </c>
      <c r="B209" s="103" t="s">
        <v>77</v>
      </c>
      <c r="C209" s="396" t="s">
        <v>1614</v>
      </c>
      <c r="D209" s="396" t="s">
        <v>1617</v>
      </c>
      <c r="E209" s="103">
        <v>5668</v>
      </c>
      <c r="F209" s="103" t="s">
        <v>1572</v>
      </c>
      <c r="G209" s="103">
        <v>895</v>
      </c>
      <c r="H209" s="397">
        <f t="shared" si="2"/>
        <v>2974.4844972341657</v>
      </c>
      <c r="I209" s="103"/>
      <c r="J209" s="386">
        <v>94.01</v>
      </c>
      <c r="K209" s="386">
        <v>11.96</v>
      </c>
      <c r="L209" s="386">
        <v>3.38</v>
      </c>
      <c r="M209" s="386"/>
      <c r="N209" s="386">
        <v>7.09</v>
      </c>
      <c r="O209" s="386">
        <v>5.09</v>
      </c>
      <c r="P209" s="386"/>
      <c r="Q209" s="386">
        <v>15.52</v>
      </c>
      <c r="R209" s="386">
        <v>7.15</v>
      </c>
      <c r="S209" s="386">
        <v>22.99</v>
      </c>
      <c r="T209" s="386">
        <v>19.66</v>
      </c>
      <c r="U209" s="386">
        <v>6.49</v>
      </c>
      <c r="V209" s="386">
        <v>96.95</v>
      </c>
      <c r="W209" s="386">
        <v>6.36</v>
      </c>
      <c r="X209" s="386">
        <v>16.68</v>
      </c>
      <c r="Y209" s="386">
        <v>8.9499999999999993</v>
      </c>
      <c r="Z209" s="386">
        <v>93</v>
      </c>
      <c r="AA209" s="386">
        <v>9.73</v>
      </c>
      <c r="AB209" s="2"/>
      <c r="AC209" s="2"/>
    </row>
    <row r="210" spans="1:29" customFormat="1" ht="18">
      <c r="A210" s="103" t="s">
        <v>273</v>
      </c>
      <c r="B210" s="103" t="s">
        <v>77</v>
      </c>
      <c r="C210" s="396" t="s">
        <v>1624</v>
      </c>
      <c r="D210" s="396" t="s">
        <v>1625</v>
      </c>
      <c r="E210" s="103">
        <v>8016</v>
      </c>
      <c r="F210" s="103" t="s">
        <v>1572</v>
      </c>
      <c r="G210" s="103">
        <v>903</v>
      </c>
      <c r="H210" s="397">
        <f t="shared" si="2"/>
        <v>10475.289330254785</v>
      </c>
      <c r="I210" s="103"/>
      <c r="J210" s="386">
        <v>134.35</v>
      </c>
      <c r="K210" s="386">
        <v>18.54</v>
      </c>
      <c r="L210" s="386">
        <v>7.18</v>
      </c>
      <c r="M210" s="386"/>
      <c r="N210" s="386">
        <v>7.78</v>
      </c>
      <c r="O210" s="386">
        <v>15.46</v>
      </c>
      <c r="P210" s="386"/>
      <c r="Q210" s="386">
        <v>20.239999999999998</v>
      </c>
      <c r="R210" s="386">
        <v>11.87</v>
      </c>
      <c r="S210" s="386">
        <v>32.83</v>
      </c>
      <c r="T210" s="386">
        <v>34.54</v>
      </c>
      <c r="U210" s="386">
        <v>11.33</v>
      </c>
      <c r="V210" s="386">
        <v>101.72</v>
      </c>
      <c r="W210" s="386">
        <v>8.7799999999999994</v>
      </c>
      <c r="X210" s="386">
        <v>27.29</v>
      </c>
      <c r="Y210" s="386">
        <v>15.53</v>
      </c>
      <c r="Z210" s="386">
        <v>119.31</v>
      </c>
      <c r="AA210" s="386">
        <v>22.7</v>
      </c>
      <c r="AB210" s="2"/>
      <c r="AC210" s="2"/>
    </row>
    <row r="211" spans="1:29" customFormat="1" ht="18">
      <c r="A211" s="103" t="s">
        <v>273</v>
      </c>
      <c r="B211" s="103" t="s">
        <v>77</v>
      </c>
      <c r="C211" s="396" t="s">
        <v>1605</v>
      </c>
      <c r="D211" s="396" t="s">
        <v>267</v>
      </c>
      <c r="E211" s="103">
        <v>5406</v>
      </c>
      <c r="F211" s="103" t="s">
        <v>1572</v>
      </c>
      <c r="G211" s="103">
        <v>1250</v>
      </c>
      <c r="H211" s="397">
        <f t="shared" si="2"/>
        <v>21805.005040068798</v>
      </c>
      <c r="I211" s="103"/>
      <c r="J211" s="386">
        <v>165.4</v>
      </c>
      <c r="K211" s="386">
        <v>20.04</v>
      </c>
      <c r="L211" s="386">
        <v>9.39</v>
      </c>
      <c r="M211" s="386">
        <v>3.49</v>
      </c>
      <c r="N211" s="386">
        <v>11.78</v>
      </c>
      <c r="O211" s="386">
        <v>12.38</v>
      </c>
      <c r="P211" s="386">
        <v>6.79</v>
      </c>
      <c r="Q211" s="386"/>
      <c r="R211" s="386"/>
      <c r="S211" s="386"/>
      <c r="T211" s="386"/>
      <c r="U211" s="386"/>
      <c r="V211" s="386"/>
      <c r="W211" s="386"/>
      <c r="X211" s="386"/>
      <c r="Y211" s="386"/>
      <c r="Z211" s="386"/>
      <c r="AA211" s="386"/>
      <c r="AB211" s="2"/>
      <c r="AC211" s="2"/>
    </row>
    <row r="212" spans="1:29" customFormat="1" ht="18">
      <c r="A212" s="103" t="s">
        <v>273</v>
      </c>
      <c r="B212" s="103" t="s">
        <v>77</v>
      </c>
      <c r="C212" s="396" t="s">
        <v>1605</v>
      </c>
      <c r="D212" s="396" t="s">
        <v>1610</v>
      </c>
      <c r="E212" s="103">
        <v>5400</v>
      </c>
      <c r="F212" s="103" t="s">
        <v>1571</v>
      </c>
      <c r="G212" s="103"/>
      <c r="H212" s="397"/>
      <c r="I212" s="103"/>
      <c r="J212" s="386"/>
      <c r="K212" s="386"/>
      <c r="L212" s="386"/>
      <c r="M212" s="386"/>
      <c r="N212" s="386"/>
      <c r="O212" s="386"/>
      <c r="P212" s="386"/>
      <c r="Q212" s="386">
        <v>68.16</v>
      </c>
      <c r="R212" s="386">
        <v>38.04</v>
      </c>
      <c r="S212" s="386"/>
      <c r="T212" s="386">
        <v>67.45</v>
      </c>
      <c r="U212" s="386">
        <v>45.69</v>
      </c>
      <c r="V212" s="386">
        <v>400</v>
      </c>
      <c r="W212" s="386"/>
      <c r="X212" s="386"/>
      <c r="Y212" s="386"/>
      <c r="Z212" s="386"/>
      <c r="AA212" s="386"/>
      <c r="AB212" s="2"/>
      <c r="AC212" s="2"/>
    </row>
    <row r="213" spans="1:29" customFormat="1" ht="18">
      <c r="A213" s="103" t="s">
        <v>579</v>
      </c>
      <c r="B213" s="103" t="s">
        <v>1626</v>
      </c>
      <c r="C213" s="396" t="s">
        <v>1627</v>
      </c>
      <c r="D213" s="396" t="s">
        <v>1628</v>
      </c>
      <c r="E213" s="103">
        <v>6349</v>
      </c>
      <c r="F213" s="103" t="s">
        <v>1572</v>
      </c>
      <c r="G213" s="103">
        <v>180</v>
      </c>
      <c r="H213" s="397">
        <v>595</v>
      </c>
      <c r="I213" s="103">
        <v>595</v>
      </c>
      <c r="J213" s="386"/>
      <c r="K213" s="386">
        <v>1.67</v>
      </c>
      <c r="L213" s="386"/>
      <c r="M213" s="386"/>
      <c r="N213" s="386"/>
      <c r="O213" s="386"/>
      <c r="P213" s="386"/>
      <c r="Q213" s="386"/>
      <c r="R213" s="386"/>
      <c r="S213" s="386"/>
      <c r="T213" s="386"/>
      <c r="U213" s="386"/>
      <c r="V213" s="386"/>
      <c r="W213" s="386"/>
      <c r="X213" s="386"/>
      <c r="Y213" s="386"/>
      <c r="Z213" s="386"/>
      <c r="AA213" s="386"/>
      <c r="AB213" s="2"/>
      <c r="AC213" s="2"/>
    </row>
    <row r="214" spans="1:29" customFormat="1" ht="18">
      <c r="A214" s="103" t="s">
        <v>579</v>
      </c>
      <c r="B214" s="103" t="s">
        <v>1626</v>
      </c>
      <c r="C214" s="396" t="s">
        <v>1627</v>
      </c>
      <c r="D214" s="396" t="s">
        <v>1628</v>
      </c>
      <c r="E214" s="103">
        <v>13562</v>
      </c>
      <c r="F214" s="103" t="s">
        <v>1573</v>
      </c>
      <c r="G214" s="103">
        <v>195</v>
      </c>
      <c r="H214" s="397">
        <v>765</v>
      </c>
      <c r="I214" s="103">
        <v>765</v>
      </c>
      <c r="J214" s="386"/>
      <c r="K214" s="386">
        <v>1.796</v>
      </c>
      <c r="L214" s="386"/>
      <c r="M214" s="386"/>
      <c r="N214" s="386"/>
      <c r="O214" s="386"/>
      <c r="P214" s="386"/>
      <c r="Q214" s="386"/>
      <c r="R214" s="386"/>
      <c r="S214" s="386"/>
      <c r="T214" s="386"/>
      <c r="U214" s="386"/>
      <c r="V214" s="386"/>
      <c r="W214" s="386"/>
      <c r="X214" s="386"/>
      <c r="Y214" s="386"/>
      <c r="Z214" s="386"/>
      <c r="AA214" s="386"/>
      <c r="AB214" s="2"/>
      <c r="AC214" s="2"/>
    </row>
    <row r="215" spans="1:29" customFormat="1" ht="18">
      <c r="A215" s="103" t="s">
        <v>579</v>
      </c>
      <c r="B215" s="103" t="s">
        <v>1626</v>
      </c>
      <c r="C215" s="396" t="s">
        <v>1627</v>
      </c>
      <c r="D215" s="396" t="s">
        <v>1628</v>
      </c>
      <c r="E215" s="103">
        <v>140</v>
      </c>
      <c r="F215" s="103" t="s">
        <v>1573</v>
      </c>
      <c r="G215" s="103">
        <v>200</v>
      </c>
      <c r="H215" s="397">
        <v>850</v>
      </c>
      <c r="I215" s="103">
        <v>850</v>
      </c>
      <c r="J215" s="386"/>
      <c r="K215" s="386">
        <v>1.833</v>
      </c>
      <c r="L215" s="386"/>
      <c r="M215" s="386"/>
      <c r="N215" s="386"/>
      <c r="O215" s="386"/>
      <c r="P215" s="386"/>
      <c r="Q215" s="386"/>
      <c r="R215" s="386"/>
      <c r="S215" s="386"/>
      <c r="T215" s="386"/>
      <c r="U215" s="386"/>
      <c r="V215" s="386"/>
      <c r="W215" s="386"/>
      <c r="X215" s="386"/>
      <c r="Y215" s="386"/>
      <c r="Z215" s="386"/>
      <c r="AA215" s="386"/>
      <c r="AB215" s="2"/>
      <c r="AC215" s="2"/>
    </row>
    <row r="216" spans="1:29" customFormat="1" ht="18">
      <c r="A216" s="103" t="s">
        <v>579</v>
      </c>
      <c r="B216" s="103" t="s">
        <v>1626</v>
      </c>
      <c r="C216" s="396" t="s">
        <v>1627</v>
      </c>
      <c r="D216" s="396" t="s">
        <v>1628</v>
      </c>
      <c r="E216" s="103">
        <v>139</v>
      </c>
      <c r="F216" s="103" t="s">
        <v>1573</v>
      </c>
      <c r="G216" s="103">
        <v>210</v>
      </c>
      <c r="H216" s="397">
        <v>879</v>
      </c>
      <c r="I216" s="103">
        <v>879</v>
      </c>
      <c r="J216" s="386"/>
      <c r="K216" s="386">
        <v>1.7749999999999999</v>
      </c>
      <c r="L216" s="386"/>
      <c r="M216" s="386"/>
      <c r="N216" s="386"/>
      <c r="O216" s="386"/>
      <c r="P216" s="386"/>
      <c r="Q216" s="386"/>
      <c r="R216" s="386"/>
      <c r="S216" s="386"/>
      <c r="T216" s="386"/>
      <c r="U216" s="386"/>
      <c r="V216" s="386"/>
      <c r="W216" s="386"/>
      <c r="X216" s="386"/>
      <c r="Y216" s="386"/>
      <c r="Z216" s="386"/>
      <c r="AA216" s="386"/>
      <c r="AB216" s="2"/>
      <c r="AC216" s="2"/>
    </row>
    <row r="217" spans="1:29" customFormat="1" ht="18">
      <c r="A217" s="103" t="s">
        <v>273</v>
      </c>
      <c r="B217" s="103" t="s">
        <v>551</v>
      </c>
      <c r="C217" s="396" t="s">
        <v>117</v>
      </c>
      <c r="D217" s="396" t="s">
        <v>118</v>
      </c>
      <c r="E217" s="103">
        <v>13042</v>
      </c>
      <c r="F217" s="103" t="s">
        <v>1573</v>
      </c>
      <c r="G217" s="103">
        <v>610</v>
      </c>
      <c r="H217" s="397">
        <v>2355</v>
      </c>
      <c r="I217" s="103">
        <v>2355</v>
      </c>
      <c r="J217" s="386">
        <v>91.52</v>
      </c>
      <c r="K217" s="386">
        <v>10.51</v>
      </c>
      <c r="L217" s="386">
        <v>10.02</v>
      </c>
      <c r="M217" s="386"/>
      <c r="N217" s="386">
        <v>7.51</v>
      </c>
      <c r="O217" s="386">
        <v>9.08</v>
      </c>
      <c r="P217" s="386">
        <v>7.04</v>
      </c>
      <c r="Q217" s="386"/>
      <c r="R217" s="386"/>
      <c r="S217" s="386"/>
      <c r="T217" s="386"/>
      <c r="U217" s="386"/>
      <c r="V217" s="386"/>
      <c r="W217" s="386"/>
      <c r="X217" s="386"/>
      <c r="Y217" s="386"/>
      <c r="Z217" s="386"/>
      <c r="AA217" s="386"/>
      <c r="AB217" s="2"/>
      <c r="AC217" s="2"/>
    </row>
    <row r="218" spans="1:29" customFormat="1" ht="18">
      <c r="A218" s="103" t="s">
        <v>273</v>
      </c>
      <c r="B218" s="103" t="s">
        <v>551</v>
      </c>
      <c r="C218" s="396" t="s">
        <v>1629</v>
      </c>
      <c r="D218" s="396" t="s">
        <v>1630</v>
      </c>
      <c r="E218" s="103">
        <v>8018</v>
      </c>
      <c r="F218" s="103" t="s">
        <v>1572</v>
      </c>
      <c r="G218" s="103">
        <v>858</v>
      </c>
      <c r="H218" s="397">
        <v>2381</v>
      </c>
      <c r="I218" s="103">
        <v>2381</v>
      </c>
      <c r="J218" s="386">
        <v>74.290000000000006</v>
      </c>
      <c r="K218" s="386">
        <v>5.13</v>
      </c>
      <c r="L218" s="386">
        <v>4.45</v>
      </c>
      <c r="M218" s="386"/>
      <c r="N218" s="386">
        <v>4.33</v>
      </c>
      <c r="O218" s="386">
        <v>3.14</v>
      </c>
      <c r="P218" s="386">
        <v>4.12</v>
      </c>
      <c r="Q218" s="386">
        <v>15.32</v>
      </c>
      <c r="R218" s="386">
        <v>7.58</v>
      </c>
      <c r="S218" s="386">
        <v>21.23</v>
      </c>
      <c r="T218" s="386">
        <v>21.37</v>
      </c>
      <c r="U218" s="386">
        <v>6.66</v>
      </c>
      <c r="V218" s="386">
        <v>79.42</v>
      </c>
      <c r="W218" s="386">
        <v>6.74</v>
      </c>
      <c r="X218" s="386">
        <v>17.48</v>
      </c>
      <c r="Y218" s="386">
        <v>8.8699999999999992</v>
      </c>
      <c r="Z218" s="386">
        <v>85.47</v>
      </c>
      <c r="AA218" s="386">
        <v>8.5</v>
      </c>
      <c r="AB218" s="2"/>
      <c r="AC218" s="2"/>
    </row>
    <row r="219" spans="1:29" customFormat="1" ht="18">
      <c r="A219" s="103" t="s">
        <v>273</v>
      </c>
      <c r="B219" s="103" t="s">
        <v>551</v>
      </c>
      <c r="C219" s="396" t="s">
        <v>1631</v>
      </c>
      <c r="D219" s="396" t="s">
        <v>1632</v>
      </c>
      <c r="E219" s="103">
        <v>14877</v>
      </c>
      <c r="F219" s="103" t="s">
        <v>1572</v>
      </c>
      <c r="G219" s="103">
        <v>880</v>
      </c>
      <c r="H219" s="397">
        <v>2438</v>
      </c>
      <c r="I219" s="103">
        <v>2438</v>
      </c>
      <c r="J219" s="386">
        <v>106.23</v>
      </c>
      <c r="K219" s="386">
        <v>7.77</v>
      </c>
      <c r="L219" s="386">
        <v>7.91</v>
      </c>
      <c r="M219" s="386"/>
      <c r="N219" s="386">
        <v>7.17</v>
      </c>
      <c r="O219" s="386">
        <v>6.78</v>
      </c>
      <c r="P219" s="386">
        <v>7.5</v>
      </c>
      <c r="Q219" s="386">
        <v>15.05</v>
      </c>
      <c r="R219" s="386">
        <v>8.9</v>
      </c>
      <c r="S219" s="386">
        <v>23.26</v>
      </c>
      <c r="T219" s="386">
        <v>22.84</v>
      </c>
      <c r="U219" s="386">
        <v>8.98</v>
      </c>
      <c r="V219" s="386">
        <v>90.75</v>
      </c>
      <c r="W219" s="386">
        <v>7.05</v>
      </c>
      <c r="X219" s="386">
        <v>19.09</v>
      </c>
      <c r="Y219" s="386">
        <v>11.23</v>
      </c>
      <c r="Z219" s="386">
        <v>98</v>
      </c>
      <c r="AA219" s="386">
        <v>12.89</v>
      </c>
      <c r="AB219" s="2"/>
      <c r="AC219" s="2"/>
    </row>
    <row r="220" spans="1:29" customFormat="1" ht="18">
      <c r="A220" s="103" t="s">
        <v>273</v>
      </c>
      <c r="B220" s="103" t="s">
        <v>551</v>
      </c>
      <c r="C220" s="396" t="s">
        <v>1633</v>
      </c>
      <c r="D220" s="396" t="s">
        <v>1634</v>
      </c>
      <c r="E220" s="103">
        <v>7644</v>
      </c>
      <c r="F220" s="103" t="s">
        <v>1573</v>
      </c>
      <c r="G220" s="103">
        <v>970</v>
      </c>
      <c r="H220" s="397">
        <v>3402</v>
      </c>
      <c r="I220" s="103">
        <v>3402</v>
      </c>
      <c r="J220" s="386">
        <v>80.8</v>
      </c>
      <c r="K220" s="386">
        <v>5.96</v>
      </c>
      <c r="L220" s="386">
        <v>6.29</v>
      </c>
      <c r="M220" s="386"/>
      <c r="N220" s="386">
        <v>4.83</v>
      </c>
      <c r="O220" s="386">
        <v>4.95</v>
      </c>
      <c r="P220" s="386">
        <v>5.51</v>
      </c>
      <c r="Q220" s="386"/>
      <c r="R220" s="386"/>
      <c r="S220" s="386"/>
      <c r="T220" s="386">
        <v>21.41</v>
      </c>
      <c r="U220" s="386">
        <v>7.26</v>
      </c>
      <c r="V220" s="386">
        <v>86.27</v>
      </c>
      <c r="W220" s="386">
        <v>6.47</v>
      </c>
      <c r="X220" s="386">
        <v>16.28</v>
      </c>
      <c r="Y220" s="386">
        <v>9.39</v>
      </c>
      <c r="Z220" s="386">
        <v>84.58</v>
      </c>
      <c r="AA220" s="386">
        <v>9.23</v>
      </c>
      <c r="AB220" s="2"/>
      <c r="AC220" s="2"/>
    </row>
    <row r="221" spans="1:29" customFormat="1" ht="18">
      <c r="A221" s="103" t="s">
        <v>273</v>
      </c>
      <c r="B221" s="103" t="s">
        <v>551</v>
      </c>
      <c r="C221" s="396" t="s">
        <v>117</v>
      </c>
      <c r="D221" s="396" t="s">
        <v>118</v>
      </c>
      <c r="E221" s="103">
        <v>2731</v>
      </c>
      <c r="F221" s="103" t="s">
        <v>1572</v>
      </c>
      <c r="G221" s="103">
        <v>672</v>
      </c>
      <c r="H221" s="397">
        <v>3856</v>
      </c>
      <c r="I221" s="103">
        <v>3856</v>
      </c>
      <c r="J221" s="386">
        <v>92.14</v>
      </c>
      <c r="K221" s="386">
        <v>10.23</v>
      </c>
      <c r="L221" s="386">
        <v>9.61</v>
      </c>
      <c r="M221" s="386"/>
      <c r="N221" s="386">
        <v>8.34</v>
      </c>
      <c r="O221" s="386">
        <v>9.1199999999999992</v>
      </c>
      <c r="P221" s="386">
        <v>6.44</v>
      </c>
      <c r="Q221" s="386"/>
      <c r="R221" s="386"/>
      <c r="S221" s="386"/>
      <c r="T221" s="386"/>
      <c r="U221" s="386"/>
      <c r="V221" s="386"/>
      <c r="W221" s="386"/>
      <c r="X221" s="386"/>
      <c r="Y221" s="386"/>
      <c r="Z221" s="386"/>
      <c r="AA221" s="386"/>
      <c r="AB221" s="2"/>
      <c r="AC221" s="2"/>
    </row>
    <row r="222" spans="1:29" customFormat="1" ht="18">
      <c r="A222" s="103" t="s">
        <v>273</v>
      </c>
      <c r="B222" s="103" t="s">
        <v>551</v>
      </c>
      <c r="C222" s="396" t="s">
        <v>1631</v>
      </c>
      <c r="D222" s="396" t="s">
        <v>1632</v>
      </c>
      <c r="E222" s="103">
        <v>14878</v>
      </c>
      <c r="F222" s="103" t="s">
        <v>1573</v>
      </c>
      <c r="G222" s="103">
        <v>802</v>
      </c>
      <c r="H222" s="397">
        <v>4139</v>
      </c>
      <c r="I222" s="103">
        <v>4139</v>
      </c>
      <c r="J222" s="386">
        <v>96.29</v>
      </c>
      <c r="K222" s="386">
        <v>7.41</v>
      </c>
      <c r="L222" s="386">
        <v>6.57</v>
      </c>
      <c r="M222" s="386"/>
      <c r="N222" s="386">
        <v>6.83</v>
      </c>
      <c r="O222" s="386">
        <v>6.05</v>
      </c>
      <c r="P222" s="386">
        <v>6.9</v>
      </c>
      <c r="Q222" s="386">
        <v>12.85</v>
      </c>
      <c r="R222" s="386">
        <v>8.73</v>
      </c>
      <c r="S222" s="386">
        <v>23.2</v>
      </c>
      <c r="T222" s="386">
        <v>26.28</v>
      </c>
      <c r="U222" s="386">
        <v>7.89</v>
      </c>
      <c r="V222" s="386">
        <v>88.83</v>
      </c>
      <c r="W222" s="386">
        <v>5.88</v>
      </c>
      <c r="X222" s="386">
        <v>20.170000000000002</v>
      </c>
      <c r="Y222" s="386">
        <v>9.89</v>
      </c>
      <c r="Z222" s="386">
        <v>91.87</v>
      </c>
      <c r="AA222" s="386">
        <v>15.29</v>
      </c>
      <c r="AB222" s="2"/>
      <c r="AC222" s="2"/>
    </row>
    <row r="223" spans="1:29" customFormat="1" ht="18">
      <c r="A223" s="103" t="s">
        <v>273</v>
      </c>
      <c r="B223" s="103" t="s">
        <v>551</v>
      </c>
      <c r="C223" s="396" t="s">
        <v>1631</v>
      </c>
      <c r="D223" s="396" t="s">
        <v>1632</v>
      </c>
      <c r="E223" s="103">
        <v>4237</v>
      </c>
      <c r="F223" s="103" t="s">
        <v>1573</v>
      </c>
      <c r="G223" s="103">
        <v>944</v>
      </c>
      <c r="H223" s="397">
        <v>4167</v>
      </c>
      <c r="I223" s="103">
        <v>4167</v>
      </c>
      <c r="J223" s="386">
        <v>106.41</v>
      </c>
      <c r="K223" s="386">
        <v>8.59</v>
      </c>
      <c r="L223" s="386">
        <v>7.21</v>
      </c>
      <c r="M223" s="386"/>
      <c r="N223" s="386">
        <v>6.5</v>
      </c>
      <c r="O223" s="386">
        <v>6.6</v>
      </c>
      <c r="P223" s="386">
        <v>8.01</v>
      </c>
      <c r="Q223" s="386">
        <v>12.99</v>
      </c>
      <c r="R223" s="386">
        <v>8.3800000000000008</v>
      </c>
      <c r="S223" s="386">
        <v>24.15</v>
      </c>
      <c r="T223" s="386">
        <v>28.73</v>
      </c>
      <c r="U223" s="386">
        <v>11.15</v>
      </c>
      <c r="V223" s="386">
        <v>98.68</v>
      </c>
      <c r="W223" s="386">
        <v>8.1</v>
      </c>
      <c r="X223" s="386">
        <v>20.75</v>
      </c>
      <c r="Y223" s="386">
        <v>11.27</v>
      </c>
      <c r="Z223" s="386">
        <v>104.58</v>
      </c>
      <c r="AA223" s="386">
        <v>15.6</v>
      </c>
      <c r="AB223" s="2"/>
      <c r="AC223" s="2"/>
    </row>
    <row r="224" spans="1:29" customFormat="1" ht="18">
      <c r="A224" s="103" t="s">
        <v>273</v>
      </c>
      <c r="B224" s="103" t="s">
        <v>551</v>
      </c>
      <c r="C224" s="396" t="s">
        <v>117</v>
      </c>
      <c r="D224" s="396" t="s">
        <v>118</v>
      </c>
      <c r="E224" s="103">
        <v>5651</v>
      </c>
      <c r="F224" s="103" t="s">
        <v>1572</v>
      </c>
      <c r="G224" s="103">
        <v>850</v>
      </c>
      <c r="H224" s="397">
        <v>4309</v>
      </c>
      <c r="I224" s="103">
        <v>4309</v>
      </c>
      <c r="J224" s="386">
        <v>105.27</v>
      </c>
      <c r="K224" s="386">
        <v>10.44</v>
      </c>
      <c r="L224" s="386">
        <v>8.8699999999999992</v>
      </c>
      <c r="M224" s="386"/>
      <c r="N224" s="386">
        <v>7.96</v>
      </c>
      <c r="O224" s="386">
        <v>8.5500000000000007</v>
      </c>
      <c r="P224" s="386">
        <v>6.49</v>
      </c>
      <c r="Q224" s="386">
        <v>17.940000000000001</v>
      </c>
      <c r="R224" s="386">
        <v>10.220000000000001</v>
      </c>
      <c r="S224" s="386">
        <v>29.23</v>
      </c>
      <c r="T224" s="386">
        <v>22.49</v>
      </c>
      <c r="U224" s="386">
        <v>9.9600000000000009</v>
      </c>
      <c r="V224" s="386">
        <v>131.37</v>
      </c>
      <c r="W224" s="386">
        <v>9.0299999999999994</v>
      </c>
      <c r="X224" s="386">
        <v>23.49</v>
      </c>
      <c r="Y224" s="386">
        <v>12.84</v>
      </c>
      <c r="Z224" s="386">
        <v>126.83</v>
      </c>
      <c r="AA224" s="386">
        <v>12.01</v>
      </c>
      <c r="AB224" s="2"/>
      <c r="AC224" s="2"/>
    </row>
    <row r="225" spans="1:29" customFormat="1" ht="18">
      <c r="A225" s="103" t="s">
        <v>273</v>
      </c>
      <c r="B225" s="103" t="s">
        <v>551</v>
      </c>
      <c r="C225" s="396" t="s">
        <v>117</v>
      </c>
      <c r="D225" s="396" t="s">
        <v>118</v>
      </c>
      <c r="E225" s="103">
        <v>3674</v>
      </c>
      <c r="F225" s="103" t="s">
        <v>1572</v>
      </c>
      <c r="G225" s="103">
        <v>787</v>
      </c>
      <c r="H225" s="397">
        <v>5160</v>
      </c>
      <c r="I225" s="103">
        <v>5160</v>
      </c>
      <c r="J225" s="386">
        <v>104.94</v>
      </c>
      <c r="K225" s="386">
        <v>11.17</v>
      </c>
      <c r="L225" s="386">
        <v>10.61</v>
      </c>
      <c r="M225" s="386"/>
      <c r="N225" s="386">
        <v>7.69</v>
      </c>
      <c r="O225" s="386">
        <v>9.2100000000000009</v>
      </c>
      <c r="P225" s="386">
        <v>6.85</v>
      </c>
      <c r="Q225" s="386"/>
      <c r="R225" s="386"/>
      <c r="S225" s="386"/>
      <c r="T225" s="386"/>
      <c r="U225" s="386"/>
      <c r="V225" s="386"/>
      <c r="W225" s="386"/>
      <c r="X225" s="386"/>
      <c r="Y225" s="386"/>
      <c r="Z225" s="386"/>
      <c r="AA225" s="386"/>
      <c r="AB225" s="2"/>
      <c r="AC225" s="2"/>
    </row>
    <row r="226" spans="1:29" customFormat="1" ht="18">
      <c r="A226" s="103" t="s">
        <v>273</v>
      </c>
      <c r="B226" s="103" t="s">
        <v>551</v>
      </c>
      <c r="C226" s="396" t="s">
        <v>117</v>
      </c>
      <c r="D226" s="396" t="s">
        <v>118</v>
      </c>
      <c r="E226" s="103">
        <v>5622</v>
      </c>
      <c r="F226" s="103" t="s">
        <v>1573</v>
      </c>
      <c r="G226" s="103">
        <v>753</v>
      </c>
      <c r="H226" s="397">
        <v>5216</v>
      </c>
      <c r="I226" s="103">
        <v>5216</v>
      </c>
      <c r="J226" s="386">
        <v>105.44</v>
      </c>
      <c r="K226" s="386">
        <v>10.79</v>
      </c>
      <c r="L226" s="386">
        <v>11.22</v>
      </c>
      <c r="M226" s="386"/>
      <c r="N226" s="386">
        <v>7.09</v>
      </c>
      <c r="O226" s="386">
        <v>9.9</v>
      </c>
      <c r="P226" s="386">
        <v>7.21</v>
      </c>
      <c r="Q226" s="386"/>
      <c r="R226" s="386"/>
      <c r="S226" s="386"/>
      <c r="T226" s="386"/>
      <c r="U226" s="386"/>
      <c r="V226" s="386"/>
      <c r="W226" s="386"/>
      <c r="X226" s="386"/>
      <c r="Y226" s="386"/>
      <c r="Z226" s="386"/>
      <c r="AA226" s="386"/>
      <c r="AB226" s="2"/>
      <c r="AC226" s="2"/>
    </row>
    <row r="227" spans="1:29" customFormat="1" ht="18">
      <c r="A227" s="103" t="s">
        <v>273</v>
      </c>
      <c r="B227" s="103" t="s">
        <v>551</v>
      </c>
      <c r="C227" s="396" t="s">
        <v>1631</v>
      </c>
      <c r="D227" s="396" t="s">
        <v>1632</v>
      </c>
      <c r="E227" s="103">
        <v>4058</v>
      </c>
      <c r="F227" s="103" t="s">
        <v>1573</v>
      </c>
      <c r="G227" s="103">
        <v>646</v>
      </c>
      <c r="H227" s="397">
        <v>5443</v>
      </c>
      <c r="I227" s="103">
        <v>5443</v>
      </c>
      <c r="J227" s="386">
        <v>114.18</v>
      </c>
      <c r="K227" s="386">
        <v>9.08</v>
      </c>
      <c r="L227" s="386">
        <v>9.66</v>
      </c>
      <c r="M227" s="386"/>
      <c r="N227" s="386">
        <v>6.8</v>
      </c>
      <c r="O227" s="386">
        <v>7.2</v>
      </c>
      <c r="P227" s="386">
        <v>8.32</v>
      </c>
      <c r="Q227" s="386"/>
      <c r="R227" s="386"/>
      <c r="S227" s="386"/>
      <c r="T227" s="386">
        <v>27.87</v>
      </c>
      <c r="U227" s="386">
        <v>11.38</v>
      </c>
      <c r="V227" s="386"/>
      <c r="W227" s="386">
        <v>8.52</v>
      </c>
      <c r="X227" s="386">
        <v>16.55</v>
      </c>
      <c r="Y227" s="386">
        <v>7.67</v>
      </c>
      <c r="Z227" s="386">
        <v>110.62</v>
      </c>
      <c r="AA227" s="386"/>
      <c r="AB227" s="2"/>
      <c r="AC227" s="2"/>
    </row>
    <row r="228" spans="1:29" customFormat="1" ht="18">
      <c r="A228" s="103" t="s">
        <v>273</v>
      </c>
      <c r="B228" s="103" t="s">
        <v>551</v>
      </c>
      <c r="C228" s="396" t="s">
        <v>117</v>
      </c>
      <c r="D228" s="396" t="s">
        <v>118</v>
      </c>
      <c r="E228" s="103">
        <v>5012</v>
      </c>
      <c r="F228" s="103" t="s">
        <v>1572</v>
      </c>
      <c r="G228" s="103">
        <v>780</v>
      </c>
      <c r="H228" s="397">
        <v>5897</v>
      </c>
      <c r="I228" s="103">
        <v>5897</v>
      </c>
      <c r="J228" s="386">
        <v>105.51</v>
      </c>
      <c r="K228" s="386">
        <v>11.49</v>
      </c>
      <c r="L228" s="386">
        <v>9.9700000000000006</v>
      </c>
      <c r="M228" s="386"/>
      <c r="N228" s="386">
        <v>9.14</v>
      </c>
      <c r="O228" s="386">
        <v>8.6300000000000008</v>
      </c>
      <c r="P228" s="386">
        <v>6.71</v>
      </c>
      <c r="Q228" s="386">
        <v>17.98</v>
      </c>
      <c r="R228" s="386">
        <v>10.31</v>
      </c>
      <c r="S228" s="386"/>
      <c r="T228" s="386">
        <v>24.04</v>
      </c>
      <c r="U228" s="386">
        <v>10.38</v>
      </c>
      <c r="V228" s="386">
        <v>129.16999999999999</v>
      </c>
      <c r="W228" s="386">
        <v>9.17</v>
      </c>
      <c r="X228" s="386">
        <v>27.28</v>
      </c>
      <c r="Y228" s="386">
        <v>14.24</v>
      </c>
      <c r="Z228" s="386">
        <v>126.48</v>
      </c>
      <c r="AA228" s="386">
        <v>12.74</v>
      </c>
      <c r="AB228" s="2"/>
      <c r="AC228" s="2"/>
    </row>
    <row r="229" spans="1:29" customFormat="1" ht="18">
      <c r="A229" s="103" t="s">
        <v>273</v>
      </c>
      <c r="B229" s="103" t="s">
        <v>551</v>
      </c>
      <c r="C229" s="396" t="s">
        <v>1631</v>
      </c>
      <c r="D229" s="396" t="s">
        <v>1632</v>
      </c>
      <c r="E229" s="103">
        <v>14876</v>
      </c>
      <c r="F229" s="103" t="s">
        <v>1573</v>
      </c>
      <c r="G229" s="103">
        <v>1160</v>
      </c>
      <c r="H229" s="397">
        <v>6010</v>
      </c>
      <c r="I229" s="103">
        <v>6010</v>
      </c>
      <c r="J229" s="386">
        <v>118.19</v>
      </c>
      <c r="K229" s="386">
        <v>9.35</v>
      </c>
      <c r="L229" s="386">
        <v>8.9499999999999993</v>
      </c>
      <c r="M229" s="386"/>
      <c r="N229" s="386">
        <v>7.13</v>
      </c>
      <c r="O229" s="386">
        <v>8.4700000000000006</v>
      </c>
      <c r="P229" s="386">
        <v>7.04</v>
      </c>
      <c r="Q229" s="386">
        <v>16.489999999999998</v>
      </c>
      <c r="R229" s="386">
        <v>9.27</v>
      </c>
      <c r="S229" s="386">
        <v>28.22</v>
      </c>
      <c r="T229" s="386">
        <v>27.4</v>
      </c>
      <c r="U229" s="386">
        <v>13.61</v>
      </c>
      <c r="V229" s="386">
        <v>114.3</v>
      </c>
      <c r="W229" s="386">
        <v>8.8699999999999992</v>
      </c>
      <c r="X229" s="386">
        <v>22.36</v>
      </c>
      <c r="Y229" s="386">
        <v>12.74</v>
      </c>
      <c r="Z229" s="386">
        <v>116.5</v>
      </c>
      <c r="AA229" s="386">
        <v>15.26</v>
      </c>
      <c r="AB229" s="2"/>
      <c r="AC229" s="2"/>
    </row>
    <row r="230" spans="1:29" customFormat="1" ht="18">
      <c r="A230" s="103" t="s">
        <v>273</v>
      </c>
      <c r="B230" s="103" t="s">
        <v>551</v>
      </c>
      <c r="C230" s="396" t="s">
        <v>117</v>
      </c>
      <c r="D230" s="396" t="s">
        <v>118</v>
      </c>
      <c r="E230" s="103">
        <v>6248</v>
      </c>
      <c r="F230" s="103" t="s">
        <v>1572</v>
      </c>
      <c r="G230" s="103">
        <v>902</v>
      </c>
      <c r="H230" s="397">
        <v>6237</v>
      </c>
      <c r="I230" s="103">
        <v>6237</v>
      </c>
      <c r="J230" s="386">
        <v>110.18</v>
      </c>
      <c r="K230" s="386">
        <v>11.46</v>
      </c>
      <c r="L230" s="386">
        <v>9.34</v>
      </c>
      <c r="M230" s="386"/>
      <c r="N230" s="386">
        <v>7.27</v>
      </c>
      <c r="O230" s="386">
        <v>9.0500000000000007</v>
      </c>
      <c r="P230" s="386">
        <v>6.76</v>
      </c>
      <c r="Q230" s="386"/>
      <c r="R230" s="386"/>
      <c r="S230" s="386"/>
      <c r="T230" s="386"/>
      <c r="U230" s="386"/>
      <c r="V230" s="386"/>
      <c r="W230" s="386"/>
      <c r="X230" s="386"/>
      <c r="Y230" s="386"/>
      <c r="Z230" s="386"/>
      <c r="AA230" s="386"/>
      <c r="AB230" s="2"/>
      <c r="AC230" s="2"/>
    </row>
    <row r="231" spans="1:29" customFormat="1" ht="18">
      <c r="A231" s="103" t="s">
        <v>273</v>
      </c>
      <c r="B231" s="103" t="s">
        <v>551</v>
      </c>
      <c r="C231" s="396" t="s">
        <v>117</v>
      </c>
      <c r="D231" s="396" t="s">
        <v>118</v>
      </c>
      <c r="E231" s="103">
        <v>5621</v>
      </c>
      <c r="F231" s="103" t="s">
        <v>1573</v>
      </c>
      <c r="G231" s="103">
        <v>820</v>
      </c>
      <c r="H231" s="397">
        <v>6237</v>
      </c>
      <c r="I231" s="103">
        <v>6237</v>
      </c>
      <c r="J231" s="386">
        <v>110.2</v>
      </c>
      <c r="K231" s="386">
        <v>10.130000000000001</v>
      </c>
      <c r="L231" s="386">
        <v>9.74</v>
      </c>
      <c r="M231" s="386"/>
      <c r="N231" s="386">
        <v>8.61</v>
      </c>
      <c r="O231" s="386">
        <v>9.08</v>
      </c>
      <c r="P231" s="386">
        <v>7.12</v>
      </c>
      <c r="Q231" s="386"/>
      <c r="R231" s="386"/>
      <c r="S231" s="386"/>
      <c r="T231" s="386"/>
      <c r="U231" s="386"/>
      <c r="V231" s="386"/>
      <c r="W231" s="386"/>
      <c r="X231" s="386"/>
      <c r="Y231" s="386"/>
      <c r="Z231" s="386"/>
      <c r="AA231" s="386"/>
      <c r="AB231" s="2"/>
      <c r="AC231" s="2"/>
    </row>
    <row r="232" spans="1:29" customFormat="1" ht="18">
      <c r="A232" s="103" t="s">
        <v>273</v>
      </c>
      <c r="B232" s="103" t="s">
        <v>551</v>
      </c>
      <c r="C232" s="396" t="s">
        <v>117</v>
      </c>
      <c r="D232" s="396" t="s">
        <v>118</v>
      </c>
      <c r="E232" s="103">
        <v>8077</v>
      </c>
      <c r="F232" s="103" t="s">
        <v>1573</v>
      </c>
      <c r="G232" s="103">
        <v>890</v>
      </c>
      <c r="H232" s="397">
        <v>7484</v>
      </c>
      <c r="I232" s="103">
        <v>7484</v>
      </c>
      <c r="J232" s="386">
        <v>117.43</v>
      </c>
      <c r="K232" s="386">
        <v>11.94</v>
      </c>
      <c r="L232" s="386">
        <v>10.68</v>
      </c>
      <c r="M232" s="386"/>
      <c r="N232" s="386">
        <v>8.09</v>
      </c>
      <c r="O232" s="386">
        <v>10.01</v>
      </c>
      <c r="P232" s="386">
        <v>8.4600000000000009</v>
      </c>
      <c r="Q232" s="386"/>
      <c r="R232" s="386"/>
      <c r="S232" s="386"/>
      <c r="T232" s="386"/>
      <c r="U232" s="386"/>
      <c r="V232" s="386"/>
      <c r="W232" s="386"/>
      <c r="X232" s="386"/>
      <c r="Y232" s="386"/>
      <c r="Z232" s="386"/>
      <c r="AA232" s="386"/>
      <c r="AB232" s="2"/>
      <c r="AC232" s="2"/>
    </row>
    <row r="233" spans="1:29" customFormat="1" ht="18">
      <c r="A233" s="103" t="s">
        <v>273</v>
      </c>
      <c r="B233" s="103" t="s">
        <v>551</v>
      </c>
      <c r="C233" s="396" t="s">
        <v>117</v>
      </c>
      <c r="D233" s="396" t="s">
        <v>118</v>
      </c>
      <c r="E233" s="103">
        <v>2733</v>
      </c>
      <c r="F233" s="103" t="s">
        <v>1573</v>
      </c>
      <c r="G233" s="103">
        <v>818</v>
      </c>
      <c r="H233" s="397">
        <v>8505</v>
      </c>
      <c r="I233" s="103">
        <v>8505</v>
      </c>
      <c r="J233" s="386">
        <v>111.06</v>
      </c>
      <c r="K233" s="386">
        <v>11.17</v>
      </c>
      <c r="L233" s="386">
        <v>11.01</v>
      </c>
      <c r="M233" s="386"/>
      <c r="N233" s="386">
        <v>7.81</v>
      </c>
      <c r="O233" s="386">
        <v>9.6199999999999992</v>
      </c>
      <c r="P233" s="386">
        <v>7.59</v>
      </c>
      <c r="Q233" s="386"/>
      <c r="R233" s="386"/>
      <c r="S233" s="386"/>
      <c r="T233" s="386"/>
      <c r="U233" s="386"/>
      <c r="V233" s="386"/>
      <c r="W233" s="386"/>
      <c r="X233" s="386"/>
      <c r="Y233" s="386"/>
      <c r="Z233" s="386"/>
      <c r="AA233" s="386"/>
      <c r="AB233" s="2"/>
      <c r="AC233" s="2"/>
    </row>
    <row r="234" spans="1:29" customFormat="1" ht="18">
      <c r="A234" s="103" t="s">
        <v>273</v>
      </c>
      <c r="B234" s="103" t="s">
        <v>551</v>
      </c>
      <c r="C234" s="396" t="s">
        <v>117</v>
      </c>
      <c r="D234" s="396" t="s">
        <v>118</v>
      </c>
      <c r="E234" s="103">
        <v>8080</v>
      </c>
      <c r="F234" s="103" t="s">
        <v>1572</v>
      </c>
      <c r="G234" s="103"/>
      <c r="H234" s="397">
        <v>8618</v>
      </c>
      <c r="I234" s="103">
        <v>8618</v>
      </c>
      <c r="J234" s="386">
        <v>105.21</v>
      </c>
      <c r="K234" s="386">
        <v>10.58</v>
      </c>
      <c r="L234" s="386">
        <v>9.5399999999999991</v>
      </c>
      <c r="M234" s="386"/>
      <c r="N234" s="386">
        <v>8.59</v>
      </c>
      <c r="O234" s="386">
        <v>9.07</v>
      </c>
      <c r="P234" s="386">
        <v>6.98</v>
      </c>
      <c r="Q234" s="386"/>
      <c r="R234" s="386"/>
      <c r="S234" s="386"/>
      <c r="T234" s="386"/>
      <c r="U234" s="386"/>
      <c r="V234" s="386"/>
      <c r="W234" s="386"/>
      <c r="X234" s="386"/>
      <c r="Y234" s="386"/>
      <c r="Z234" s="386"/>
      <c r="AA234" s="386"/>
      <c r="AB234" s="2"/>
      <c r="AC234" s="2"/>
    </row>
    <row r="235" spans="1:29" customFormat="1" ht="18">
      <c r="A235" s="103" t="s">
        <v>273</v>
      </c>
      <c r="B235" s="103" t="s">
        <v>551</v>
      </c>
      <c r="C235" s="396" t="s">
        <v>552</v>
      </c>
      <c r="D235" s="396" t="s">
        <v>553</v>
      </c>
      <c r="E235" s="103">
        <v>12566</v>
      </c>
      <c r="F235" s="103" t="s">
        <v>1572</v>
      </c>
      <c r="G235" s="103">
        <v>700</v>
      </c>
      <c r="H235" s="397">
        <v>9683</v>
      </c>
      <c r="I235" s="103">
        <v>9683</v>
      </c>
      <c r="J235" s="386">
        <v>69.040000000000006</v>
      </c>
      <c r="K235" s="386">
        <v>7.1</v>
      </c>
      <c r="L235" s="386">
        <v>5.5</v>
      </c>
      <c r="M235" s="386"/>
      <c r="N235" s="386">
        <v>5.0199999999999996</v>
      </c>
      <c r="O235" s="386">
        <v>7.21</v>
      </c>
      <c r="P235" s="386">
        <v>6.15</v>
      </c>
      <c r="Q235" s="386">
        <v>9.3800000000000008</v>
      </c>
      <c r="R235" s="386">
        <v>5.4</v>
      </c>
      <c r="S235" s="386">
        <v>14.69</v>
      </c>
      <c r="T235" s="386">
        <v>9.07</v>
      </c>
      <c r="U235" s="386">
        <v>5.25</v>
      </c>
      <c r="V235" s="386">
        <v>61.26</v>
      </c>
      <c r="W235" s="386">
        <v>4.6900000000000004</v>
      </c>
      <c r="X235" s="386">
        <v>11.72</v>
      </c>
      <c r="Y235" s="386">
        <v>6.29</v>
      </c>
      <c r="Z235" s="386">
        <v>62.37</v>
      </c>
      <c r="AA235" s="386">
        <v>5.62</v>
      </c>
      <c r="AB235" s="2"/>
      <c r="AC235" s="2"/>
    </row>
    <row r="236" spans="1:29" customFormat="1" ht="18">
      <c r="A236" s="103" t="s">
        <v>273</v>
      </c>
      <c r="B236" s="103" t="str">
        <f>B237</f>
        <v>Procyonidae</v>
      </c>
      <c r="C236" s="396" t="s">
        <v>552</v>
      </c>
      <c r="D236" s="396" t="s">
        <v>553</v>
      </c>
      <c r="E236" s="103">
        <v>13585</v>
      </c>
      <c r="F236" s="103" t="s">
        <v>1573</v>
      </c>
      <c r="G236" s="103"/>
      <c r="H236" s="397">
        <f t="shared" ref="H236:H248" si="3">10^((LOG(J236)*3.526)+-3.484)</f>
        <v>1116.4633151706173</v>
      </c>
      <c r="I236" s="103"/>
      <c r="J236" s="386">
        <v>71.2</v>
      </c>
      <c r="K236" s="386">
        <v>8.23</v>
      </c>
      <c r="L236" s="386">
        <v>5.49</v>
      </c>
      <c r="M236" s="386"/>
      <c r="N236" s="386">
        <v>5.73</v>
      </c>
      <c r="O236" s="386">
        <v>6.79</v>
      </c>
      <c r="P236" s="386">
        <v>5.82</v>
      </c>
      <c r="Q236" s="386"/>
      <c r="R236" s="386"/>
      <c r="S236" s="386"/>
      <c r="T236" s="386"/>
      <c r="U236" s="386"/>
      <c r="V236" s="386"/>
      <c r="W236" s="386"/>
      <c r="X236" s="386"/>
      <c r="Y236" s="386"/>
      <c r="Z236" s="386"/>
      <c r="AA236" s="386"/>
      <c r="AB236" s="2"/>
      <c r="AC236" s="2"/>
    </row>
    <row r="237" spans="1:29" customFormat="1" ht="18">
      <c r="A237" s="103" t="s">
        <v>273</v>
      </c>
      <c r="B237" s="103" t="s">
        <v>551</v>
      </c>
      <c r="C237" s="396" t="s">
        <v>552</v>
      </c>
      <c r="D237" s="396" t="s">
        <v>553</v>
      </c>
      <c r="E237" s="103">
        <v>5701</v>
      </c>
      <c r="F237" s="103" t="s">
        <v>1571</v>
      </c>
      <c r="G237" s="103"/>
      <c r="H237" s="397">
        <f t="shared" si="3"/>
        <v>1365.227806808487</v>
      </c>
      <c r="I237" s="103"/>
      <c r="J237" s="386">
        <v>75.38</v>
      </c>
      <c r="K237" s="386">
        <v>8</v>
      </c>
      <c r="L237" s="386">
        <v>5.14</v>
      </c>
      <c r="M237" s="386"/>
      <c r="N237" s="386">
        <v>4.92</v>
      </c>
      <c r="O237" s="386">
        <v>7.75</v>
      </c>
      <c r="P237" s="386">
        <v>5.82</v>
      </c>
      <c r="Q237" s="386">
        <v>11.17</v>
      </c>
      <c r="R237" s="386">
        <v>5.63</v>
      </c>
      <c r="S237" s="386">
        <v>17.559999999999999</v>
      </c>
      <c r="T237" s="386">
        <v>13.18</v>
      </c>
      <c r="U237" s="386">
        <v>3.37</v>
      </c>
      <c r="V237" s="386">
        <v>68.56</v>
      </c>
      <c r="W237" s="386">
        <v>5.69</v>
      </c>
      <c r="X237" s="386">
        <v>12.53</v>
      </c>
      <c r="Y237" s="386">
        <v>7.48</v>
      </c>
      <c r="Z237" s="386">
        <v>69.39</v>
      </c>
      <c r="AA237" s="386">
        <v>6.94</v>
      </c>
      <c r="AB237" s="2"/>
      <c r="AC237" s="2"/>
    </row>
    <row r="238" spans="1:29" customFormat="1" ht="18">
      <c r="A238" s="103" t="s">
        <v>273</v>
      </c>
      <c r="B238" s="103" t="s">
        <v>551</v>
      </c>
      <c r="C238" s="396" t="s">
        <v>1633</v>
      </c>
      <c r="D238" s="396" t="s">
        <v>1634</v>
      </c>
      <c r="E238" s="103">
        <v>14048</v>
      </c>
      <c r="F238" s="103" t="s">
        <v>1573</v>
      </c>
      <c r="G238" s="103">
        <v>890</v>
      </c>
      <c r="H238" s="397">
        <f t="shared" si="3"/>
        <v>1639.7101747198437</v>
      </c>
      <c r="I238" s="103"/>
      <c r="J238" s="386">
        <v>79.400000000000006</v>
      </c>
      <c r="K238" s="386">
        <v>6.67</v>
      </c>
      <c r="L238" s="386">
        <v>6.35</v>
      </c>
      <c r="M238" s="386"/>
      <c r="N238" s="386">
        <v>5.56</v>
      </c>
      <c r="O238" s="386">
        <v>5.0999999999999996</v>
      </c>
      <c r="P238" s="386">
        <v>5.09</v>
      </c>
      <c r="Q238" s="386"/>
      <c r="R238" s="386"/>
      <c r="S238" s="386"/>
      <c r="T238" s="386"/>
      <c r="U238" s="386"/>
      <c r="V238" s="386"/>
      <c r="W238" s="386"/>
      <c r="X238" s="386"/>
      <c r="Y238" s="386"/>
      <c r="Z238" s="386"/>
      <c r="AA238" s="386"/>
      <c r="AB238" s="2"/>
      <c r="AC238" s="2"/>
    </row>
    <row r="239" spans="1:29" customFormat="1" ht="18">
      <c r="A239" s="103" t="s">
        <v>273</v>
      </c>
      <c r="B239" s="103" t="s">
        <v>551</v>
      </c>
      <c r="C239" s="396" t="s">
        <v>552</v>
      </c>
      <c r="D239" s="396" t="s">
        <v>1635</v>
      </c>
      <c r="E239" s="103">
        <v>14043</v>
      </c>
      <c r="F239" s="103" t="s">
        <v>1573</v>
      </c>
      <c r="G239" s="103"/>
      <c r="H239" s="397">
        <f t="shared" si="3"/>
        <v>1694.9771002709494</v>
      </c>
      <c r="I239" s="103"/>
      <c r="J239" s="386">
        <v>80.150000000000006</v>
      </c>
      <c r="K239" s="386">
        <v>12.51</v>
      </c>
      <c r="L239" s="386">
        <v>11.66</v>
      </c>
      <c r="M239" s="386"/>
      <c r="N239" s="386">
        <v>9.58</v>
      </c>
      <c r="O239" s="386">
        <v>11.16</v>
      </c>
      <c r="P239" s="386">
        <v>10.06</v>
      </c>
      <c r="Q239" s="386"/>
      <c r="R239" s="386"/>
      <c r="S239" s="386"/>
      <c r="T239" s="386"/>
      <c r="U239" s="386"/>
      <c r="V239" s="386"/>
      <c r="W239" s="386"/>
      <c r="X239" s="386"/>
      <c r="Y239" s="386"/>
      <c r="Z239" s="386"/>
      <c r="AA239" s="386"/>
      <c r="AB239" s="2"/>
      <c r="AC239" s="2"/>
    </row>
    <row r="240" spans="1:29" customFormat="1" ht="18">
      <c r="A240" s="103" t="s">
        <v>273</v>
      </c>
      <c r="B240" s="103" t="s">
        <v>551</v>
      </c>
      <c r="C240" s="396" t="s">
        <v>1633</v>
      </c>
      <c r="D240" s="396" t="s">
        <v>1634</v>
      </c>
      <c r="E240" s="103">
        <v>14047</v>
      </c>
      <c r="F240" s="103" t="s">
        <v>1573</v>
      </c>
      <c r="G240" s="103">
        <v>930</v>
      </c>
      <c r="H240" s="397">
        <f t="shared" si="3"/>
        <v>2126.058058868311</v>
      </c>
      <c r="I240" s="103"/>
      <c r="J240" s="386">
        <v>85.47</v>
      </c>
      <c r="K240" s="386">
        <v>6.26</v>
      </c>
      <c r="L240" s="386">
        <v>6.1</v>
      </c>
      <c r="M240" s="386"/>
      <c r="N240" s="386">
        <v>5.43</v>
      </c>
      <c r="O240" s="386">
        <v>5.07</v>
      </c>
      <c r="P240" s="386">
        <v>5.04</v>
      </c>
      <c r="Q240" s="386"/>
      <c r="R240" s="386"/>
      <c r="S240" s="386"/>
      <c r="T240" s="386"/>
      <c r="U240" s="386"/>
      <c r="V240" s="386"/>
      <c r="W240" s="386"/>
      <c r="X240" s="386"/>
      <c r="Y240" s="386"/>
      <c r="Z240" s="386"/>
      <c r="AA240" s="386"/>
      <c r="AB240" s="2"/>
      <c r="AC240" s="2"/>
    </row>
    <row r="241" spans="1:29" customFormat="1" ht="18">
      <c r="A241" s="103" t="s">
        <v>273</v>
      </c>
      <c r="B241" s="103" t="s">
        <v>551</v>
      </c>
      <c r="C241" s="396" t="s">
        <v>117</v>
      </c>
      <c r="D241" s="396" t="s">
        <v>118</v>
      </c>
      <c r="E241" s="103">
        <v>6351</v>
      </c>
      <c r="F241" s="103" t="s">
        <v>1571</v>
      </c>
      <c r="G241" s="103"/>
      <c r="H241" s="397">
        <f t="shared" si="3"/>
        <v>3905.7479429285499</v>
      </c>
      <c r="I241" s="103"/>
      <c r="J241" s="386">
        <v>101.56</v>
      </c>
      <c r="K241" s="386">
        <v>10.53</v>
      </c>
      <c r="L241" s="386">
        <v>8.31</v>
      </c>
      <c r="M241" s="386"/>
      <c r="N241" s="386">
        <v>7.6</v>
      </c>
      <c r="O241" s="386">
        <v>8.6199999999999992</v>
      </c>
      <c r="P241" s="386">
        <v>5.69</v>
      </c>
      <c r="Q241" s="386">
        <v>16.760000000000002</v>
      </c>
      <c r="R241" s="386">
        <v>9.17</v>
      </c>
      <c r="S241" s="386">
        <v>26.81</v>
      </c>
      <c r="T241" s="386">
        <v>23.03</v>
      </c>
      <c r="U241" s="386">
        <v>9.25</v>
      </c>
      <c r="V241" s="386">
        <v>129.9</v>
      </c>
      <c r="W241" s="386">
        <v>8.98</v>
      </c>
      <c r="X241" s="386">
        <v>22.06</v>
      </c>
      <c r="Y241" s="386">
        <v>13.54</v>
      </c>
      <c r="Z241" s="386">
        <v>125.04</v>
      </c>
      <c r="AA241" s="386">
        <v>11.4</v>
      </c>
      <c r="AB241" s="2"/>
      <c r="AC241" s="2"/>
    </row>
    <row r="242" spans="1:29" customFormat="1" ht="18">
      <c r="A242" s="103" t="s">
        <v>273</v>
      </c>
      <c r="B242" s="103" t="s">
        <v>551</v>
      </c>
      <c r="C242" s="396" t="s">
        <v>117</v>
      </c>
      <c r="D242" s="396" t="s">
        <v>118</v>
      </c>
      <c r="E242" s="103">
        <v>4498</v>
      </c>
      <c r="F242" s="103" t="s">
        <v>1573</v>
      </c>
      <c r="G242" s="103">
        <v>819</v>
      </c>
      <c r="H242" s="397">
        <f t="shared" si="3"/>
        <v>4176.6455455582891</v>
      </c>
      <c r="I242" s="103"/>
      <c r="J242" s="386">
        <v>103.51</v>
      </c>
      <c r="K242" s="386">
        <v>9.92</v>
      </c>
      <c r="L242" s="386">
        <v>10.39</v>
      </c>
      <c r="M242" s="386"/>
      <c r="N242" s="386">
        <v>7.55</v>
      </c>
      <c r="O242" s="386">
        <v>9.2100000000000009</v>
      </c>
      <c r="P242" s="386">
        <v>7.32</v>
      </c>
      <c r="Q242" s="386"/>
      <c r="R242" s="386"/>
      <c r="S242" s="386"/>
      <c r="T242" s="386"/>
      <c r="U242" s="386"/>
      <c r="V242" s="386"/>
      <c r="W242" s="386"/>
      <c r="X242" s="386"/>
      <c r="Y242" s="386"/>
      <c r="Z242" s="386"/>
      <c r="AA242" s="386"/>
      <c r="AB242" s="2"/>
      <c r="AC242" s="2"/>
    </row>
    <row r="243" spans="1:29" customFormat="1" ht="18">
      <c r="A243" s="103" t="s">
        <v>273</v>
      </c>
      <c r="B243" s="103" t="s">
        <v>551</v>
      </c>
      <c r="C243" s="396" t="s">
        <v>1631</v>
      </c>
      <c r="D243" s="396" t="s">
        <v>1632</v>
      </c>
      <c r="E243" s="103">
        <v>3768</v>
      </c>
      <c r="F243" s="103" t="s">
        <v>1573</v>
      </c>
      <c r="G243" s="103">
        <v>1100</v>
      </c>
      <c r="H243" s="397">
        <f t="shared" si="3"/>
        <v>5228.7622693840312</v>
      </c>
      <c r="I243" s="103"/>
      <c r="J243" s="386">
        <v>110.32</v>
      </c>
      <c r="K243" s="386">
        <v>8.48</v>
      </c>
      <c r="L243" s="386">
        <v>6.2</v>
      </c>
      <c r="M243" s="386"/>
      <c r="N243" s="386">
        <v>6.68</v>
      </c>
      <c r="O243" s="386">
        <v>6.85</v>
      </c>
      <c r="P243" s="386">
        <v>7.4</v>
      </c>
      <c r="Q243" s="386"/>
      <c r="R243" s="386"/>
      <c r="S243" s="386"/>
      <c r="T243" s="386"/>
      <c r="U243" s="386"/>
      <c r="V243" s="386"/>
      <c r="W243" s="386"/>
      <c r="X243" s="386"/>
      <c r="Y243" s="386"/>
      <c r="Z243" s="386"/>
      <c r="AA243" s="386"/>
      <c r="AB243" s="2"/>
      <c r="AC243" s="2"/>
    </row>
    <row r="244" spans="1:29" customFormat="1" ht="18">
      <c r="A244" s="103" t="s">
        <v>273</v>
      </c>
      <c r="B244" s="103" t="s">
        <v>551</v>
      </c>
      <c r="C244" s="396" t="s">
        <v>1631</v>
      </c>
      <c r="D244" s="396" t="s">
        <v>1632</v>
      </c>
      <c r="E244" s="103">
        <v>2636</v>
      </c>
      <c r="F244" s="103" t="s">
        <v>1572</v>
      </c>
      <c r="G244" s="103">
        <v>1140</v>
      </c>
      <c r="H244" s="397">
        <f t="shared" si="3"/>
        <v>5365.3889980753474</v>
      </c>
      <c r="I244" s="103"/>
      <c r="J244" s="386">
        <v>111.13</v>
      </c>
      <c r="K244" s="386">
        <v>9.0299999999999994</v>
      </c>
      <c r="L244" s="386">
        <v>10.31</v>
      </c>
      <c r="M244" s="386"/>
      <c r="N244" s="386">
        <v>7.98</v>
      </c>
      <c r="O244" s="386">
        <v>8.17</v>
      </c>
      <c r="P244" s="386">
        <v>8.81</v>
      </c>
      <c r="Q244" s="386"/>
      <c r="R244" s="386"/>
      <c r="S244" s="386"/>
      <c r="T244" s="386"/>
      <c r="U244" s="386"/>
      <c r="V244" s="386"/>
      <c r="W244" s="386"/>
      <c r="X244" s="386"/>
      <c r="Y244" s="386"/>
      <c r="Z244" s="386"/>
      <c r="AA244" s="386"/>
      <c r="AB244" s="2"/>
      <c r="AC244" s="2"/>
    </row>
    <row r="245" spans="1:29" customFormat="1" ht="18">
      <c r="A245" s="103" t="s">
        <v>273</v>
      </c>
      <c r="B245" s="103" t="s">
        <v>551</v>
      </c>
      <c r="C245" s="396" t="s">
        <v>117</v>
      </c>
      <c r="D245" s="396" t="s">
        <v>118</v>
      </c>
      <c r="E245" s="103">
        <v>1871</v>
      </c>
      <c r="F245" s="103" t="s">
        <v>1573</v>
      </c>
      <c r="G245" s="103">
        <v>864</v>
      </c>
      <c r="H245" s="397">
        <f t="shared" si="3"/>
        <v>5593.4924363565979</v>
      </c>
      <c r="I245" s="103"/>
      <c r="J245" s="386">
        <v>112.45</v>
      </c>
      <c r="K245" s="386">
        <v>12.09</v>
      </c>
      <c r="L245" s="386">
        <v>10.99</v>
      </c>
      <c r="M245" s="386"/>
      <c r="N245" s="386">
        <v>7.82</v>
      </c>
      <c r="O245" s="386">
        <v>10.220000000000001</v>
      </c>
      <c r="P245" s="386">
        <v>7.69</v>
      </c>
      <c r="Q245" s="386"/>
      <c r="R245" s="386"/>
      <c r="S245" s="386"/>
      <c r="T245" s="386"/>
      <c r="U245" s="386"/>
      <c r="V245" s="386"/>
      <c r="W245" s="386"/>
      <c r="X245" s="386"/>
      <c r="Y245" s="386"/>
      <c r="Z245" s="386"/>
      <c r="AA245" s="386"/>
      <c r="AB245" s="2"/>
      <c r="AC245" s="2"/>
    </row>
    <row r="246" spans="1:29" customFormat="1" ht="18">
      <c r="A246" s="103" t="s">
        <v>273</v>
      </c>
      <c r="B246" s="103" t="s">
        <v>551</v>
      </c>
      <c r="C246" s="396" t="s">
        <v>1631</v>
      </c>
      <c r="D246" s="396" t="s">
        <v>1632</v>
      </c>
      <c r="E246" s="103">
        <v>4285</v>
      </c>
      <c r="F246" s="103" t="s">
        <v>1573</v>
      </c>
      <c r="G246" s="103"/>
      <c r="H246" s="397">
        <f t="shared" si="3"/>
        <v>5888.2898811283203</v>
      </c>
      <c r="I246" s="103"/>
      <c r="J246" s="386">
        <v>114.1</v>
      </c>
      <c r="K246" s="386">
        <v>8.8699999999999992</v>
      </c>
      <c r="L246" s="386">
        <v>8.9</v>
      </c>
      <c r="M246" s="386"/>
      <c r="N246" s="386">
        <v>6.94</v>
      </c>
      <c r="O246" s="386">
        <v>7</v>
      </c>
      <c r="P246" s="386">
        <v>6.96</v>
      </c>
      <c r="Q246" s="386"/>
      <c r="R246" s="386"/>
      <c r="S246" s="386"/>
      <c r="T246" s="386"/>
      <c r="U246" s="386"/>
      <c r="V246" s="386"/>
      <c r="W246" s="386"/>
      <c r="X246" s="386"/>
      <c r="Y246" s="386"/>
      <c r="Z246" s="386"/>
      <c r="AA246" s="386"/>
      <c r="AB246" s="2"/>
      <c r="AC246" s="2"/>
    </row>
    <row r="247" spans="1:29" customFormat="1" ht="18">
      <c r="A247" s="103" t="s">
        <v>273</v>
      </c>
      <c r="B247" s="103" t="s">
        <v>551</v>
      </c>
      <c r="C247" s="396" t="s">
        <v>1631</v>
      </c>
      <c r="D247" s="396" t="s">
        <v>1632</v>
      </c>
      <c r="E247" s="103">
        <v>14880</v>
      </c>
      <c r="F247" s="103" t="s">
        <v>1572</v>
      </c>
      <c r="G247" s="103">
        <v>815</v>
      </c>
      <c r="H247" s="397">
        <f t="shared" si="3"/>
        <v>6357.8520051111482</v>
      </c>
      <c r="I247" s="103"/>
      <c r="J247" s="386">
        <v>116.61</v>
      </c>
      <c r="K247" s="386">
        <v>8.65</v>
      </c>
      <c r="L247" s="386">
        <v>10.119999999999999</v>
      </c>
      <c r="M247" s="386"/>
      <c r="N247" s="386">
        <v>7.59</v>
      </c>
      <c r="O247" s="386">
        <v>7.98</v>
      </c>
      <c r="P247" s="386">
        <v>7.72</v>
      </c>
      <c r="Q247" s="386"/>
      <c r="R247" s="386"/>
      <c r="S247" s="386"/>
      <c r="T247" s="386">
        <v>25.65</v>
      </c>
      <c r="U247" s="386">
        <v>12.85</v>
      </c>
      <c r="V247" s="386">
        <v>110.31</v>
      </c>
      <c r="W247" s="386">
        <v>8.15</v>
      </c>
      <c r="X247" s="386">
        <v>19.88</v>
      </c>
      <c r="Y247" s="386">
        <v>12.16</v>
      </c>
      <c r="Z247" s="386">
        <v>115.04</v>
      </c>
      <c r="AA247" s="386">
        <v>14.88</v>
      </c>
      <c r="AB247" s="2"/>
      <c r="AC247" s="2"/>
    </row>
    <row r="248" spans="1:29" customFormat="1" ht="18">
      <c r="A248" s="103" t="s">
        <v>273</v>
      </c>
      <c r="B248" s="103" t="s">
        <v>551</v>
      </c>
      <c r="C248" s="396" t="s">
        <v>1631</v>
      </c>
      <c r="D248" s="396" t="s">
        <v>1632</v>
      </c>
      <c r="E248" s="103">
        <v>4292</v>
      </c>
      <c r="F248" s="103" t="s">
        <v>1573</v>
      </c>
      <c r="G248" s="103"/>
      <c r="H248" s="397">
        <f t="shared" si="3"/>
        <v>6413.778631082896</v>
      </c>
      <c r="I248" s="103"/>
      <c r="J248" s="386">
        <v>116.9</v>
      </c>
      <c r="K248" s="386">
        <v>9.26</v>
      </c>
      <c r="L248" s="386">
        <v>9.01</v>
      </c>
      <c r="M248" s="386"/>
      <c r="N248" s="386">
        <v>7.51</v>
      </c>
      <c r="O248" s="386">
        <v>7.95</v>
      </c>
      <c r="P248" s="386">
        <v>7.53</v>
      </c>
      <c r="Q248" s="386"/>
      <c r="R248" s="386"/>
      <c r="S248" s="386"/>
      <c r="T248" s="386"/>
      <c r="U248" s="386"/>
      <c r="V248" s="386"/>
      <c r="W248" s="386"/>
      <c r="X248" s="386"/>
      <c r="Y248" s="386"/>
      <c r="Z248" s="386"/>
      <c r="AA248" s="386"/>
      <c r="AB248" s="2"/>
      <c r="AC248" s="2"/>
    </row>
    <row r="249" spans="1:29" customFormat="1" ht="18">
      <c r="A249" s="103" t="s">
        <v>273</v>
      </c>
      <c r="B249" s="103" t="s">
        <v>80</v>
      </c>
      <c r="C249" s="396" t="s">
        <v>132</v>
      </c>
      <c r="D249" s="396" t="s">
        <v>133</v>
      </c>
      <c r="E249" s="103">
        <v>3107</v>
      </c>
      <c r="F249" s="103" t="s">
        <v>1572</v>
      </c>
      <c r="G249" s="103"/>
      <c r="H249" s="397">
        <f>(10^((LOG((J249))*2.02)+-2.8)*1000)</f>
        <v>96761.714209160506</v>
      </c>
      <c r="I249" s="103"/>
      <c r="J249" s="386">
        <v>233.97</v>
      </c>
      <c r="K249" s="386">
        <v>16.64</v>
      </c>
      <c r="L249" s="386">
        <v>17.71</v>
      </c>
      <c r="M249" s="386">
        <v>13.17</v>
      </c>
      <c r="N249" s="386">
        <v>8.49</v>
      </c>
      <c r="O249" s="386">
        <v>15.07</v>
      </c>
      <c r="P249" s="386">
        <v>22.74</v>
      </c>
      <c r="Q249" s="386"/>
      <c r="R249" s="386"/>
      <c r="S249" s="386"/>
      <c r="T249" s="386"/>
      <c r="U249" s="386"/>
      <c r="V249" s="386"/>
      <c r="W249" s="386"/>
      <c r="X249" s="386"/>
      <c r="Y249" s="386"/>
      <c r="Z249" s="386"/>
      <c r="AA249" s="386"/>
      <c r="AB249" s="2"/>
      <c r="AC249" s="2"/>
    </row>
    <row r="250" spans="1:29" customFormat="1" ht="18">
      <c r="A250" s="103" t="s">
        <v>273</v>
      </c>
      <c r="B250" s="103" t="s">
        <v>80</v>
      </c>
      <c r="C250" s="396" t="s">
        <v>132</v>
      </c>
      <c r="D250" s="396" t="s">
        <v>133</v>
      </c>
      <c r="E250" s="103">
        <v>5026</v>
      </c>
      <c r="F250" s="103" t="s">
        <v>1571</v>
      </c>
      <c r="G250" s="103"/>
      <c r="H250" s="397">
        <f>(10^((LOG((J250))*2.02)+-2.8)*1000)</f>
        <v>100617.53052144797</v>
      </c>
      <c r="I250" s="103"/>
      <c r="J250" s="386">
        <v>238.54</v>
      </c>
      <c r="K250" s="386">
        <v>16.649999999999999</v>
      </c>
      <c r="L250" s="386">
        <v>18.07</v>
      </c>
      <c r="M250" s="386">
        <v>13.18</v>
      </c>
      <c r="N250" s="386">
        <v>10.39</v>
      </c>
      <c r="O250" s="386">
        <v>16.89</v>
      </c>
      <c r="P250" s="386">
        <v>23.73</v>
      </c>
      <c r="Q250" s="386">
        <v>34.54</v>
      </c>
      <c r="R250" s="386">
        <v>25.96</v>
      </c>
      <c r="S250" s="386">
        <v>58.77</v>
      </c>
      <c r="T250" s="386">
        <v>68.28</v>
      </c>
      <c r="U250" s="386">
        <v>31.29</v>
      </c>
      <c r="V250" s="386">
        <v>232.34</v>
      </c>
      <c r="W250" s="386">
        <v>21.26</v>
      </c>
      <c r="X250" s="386">
        <v>56.58</v>
      </c>
      <c r="Y250" s="386">
        <v>33.33</v>
      </c>
      <c r="Z250" s="386">
        <v>312</v>
      </c>
      <c r="AA250" s="386">
        <v>32.51</v>
      </c>
      <c r="AB250" s="2"/>
      <c r="AC250" s="2"/>
    </row>
    <row r="251" spans="1:29" customFormat="1" ht="18">
      <c r="A251" s="103" t="s">
        <v>273</v>
      </c>
      <c r="B251" s="103" t="s">
        <v>80</v>
      </c>
      <c r="C251" s="396" t="s">
        <v>132</v>
      </c>
      <c r="D251" s="396" t="s">
        <v>133</v>
      </c>
      <c r="E251" s="103">
        <v>11847</v>
      </c>
      <c r="F251" s="103" t="s">
        <v>1572</v>
      </c>
      <c r="G251" s="103"/>
      <c r="H251" s="397">
        <f>(10^((LOG((J251))*2.02)+-2.8)*1000)</f>
        <v>101291.78498711903</v>
      </c>
      <c r="I251" s="103"/>
      <c r="J251" s="386">
        <v>239.33</v>
      </c>
      <c r="K251" s="386">
        <v>17.22</v>
      </c>
      <c r="L251" s="386">
        <v>18.89</v>
      </c>
      <c r="M251" s="386">
        <v>14.51</v>
      </c>
      <c r="N251" s="386">
        <v>10.4</v>
      </c>
      <c r="O251" s="386">
        <v>16.5</v>
      </c>
      <c r="P251" s="386">
        <v>24.06</v>
      </c>
      <c r="Q251" s="386"/>
      <c r="R251" s="386"/>
      <c r="S251" s="386"/>
      <c r="T251" s="386"/>
      <c r="U251" s="386"/>
      <c r="V251" s="386"/>
      <c r="W251" s="386"/>
      <c r="X251" s="386"/>
      <c r="Y251" s="386"/>
      <c r="Z251" s="386"/>
      <c r="AA251" s="386"/>
      <c r="AB251" s="2"/>
      <c r="AC251" s="2"/>
    </row>
    <row r="252" spans="1:29" customFormat="1" ht="18">
      <c r="A252" s="103" t="s">
        <v>273</v>
      </c>
      <c r="B252" s="103" t="s">
        <v>80</v>
      </c>
      <c r="C252" s="396" t="s">
        <v>132</v>
      </c>
      <c r="D252" s="396" t="s">
        <v>1636</v>
      </c>
      <c r="E252" s="103">
        <v>5020</v>
      </c>
      <c r="F252" s="103" t="s">
        <v>1572</v>
      </c>
      <c r="G252" s="103"/>
      <c r="H252" s="397">
        <f>(10^((LOG((J252))*2.02)+-2.8)*1000)</f>
        <v>144140.69681236078</v>
      </c>
      <c r="I252" s="103"/>
      <c r="J252" s="386">
        <v>285</v>
      </c>
      <c r="K252" s="386">
        <v>17.489999999999998</v>
      </c>
      <c r="L252" s="386">
        <v>20.57</v>
      </c>
      <c r="M252" s="386">
        <v>13.95</v>
      </c>
      <c r="N252" s="386">
        <v>8.15</v>
      </c>
      <c r="O252" s="386" t="s">
        <v>1637</v>
      </c>
      <c r="P252" s="386">
        <v>25.67</v>
      </c>
      <c r="Q252" s="386"/>
      <c r="R252" s="386"/>
      <c r="S252" s="386"/>
      <c r="T252" s="386"/>
      <c r="U252" s="386"/>
      <c r="V252" s="386"/>
      <c r="W252" s="386"/>
      <c r="X252" s="386"/>
      <c r="Y252" s="386"/>
      <c r="Z252" s="386"/>
      <c r="AA252" s="386"/>
      <c r="AB252" s="2"/>
      <c r="AC252" s="2"/>
    </row>
    <row r="253" spans="1:29" customFormat="1" ht="18">
      <c r="A253" s="103" t="s">
        <v>273</v>
      </c>
      <c r="B253" s="103" t="s">
        <v>80</v>
      </c>
      <c r="C253" s="396" t="s">
        <v>132</v>
      </c>
      <c r="D253" s="396" t="s">
        <v>133</v>
      </c>
      <c r="E253" s="103">
        <v>3175</v>
      </c>
      <c r="F253" s="103" t="s">
        <v>1573</v>
      </c>
      <c r="G253" s="103"/>
      <c r="H253" s="397">
        <v>136078</v>
      </c>
      <c r="I253" s="103">
        <v>136078</v>
      </c>
      <c r="J253" s="386"/>
      <c r="K253" s="386">
        <v>18.100000000000001</v>
      </c>
      <c r="L253" s="386">
        <v>19.2</v>
      </c>
      <c r="M253" s="386">
        <v>14.89</v>
      </c>
      <c r="N253" s="386">
        <v>10.08</v>
      </c>
      <c r="O253" s="386">
        <v>16.91</v>
      </c>
      <c r="P253" s="386">
        <v>26.19</v>
      </c>
      <c r="Q253" s="386"/>
      <c r="R253" s="386"/>
      <c r="S253" s="386"/>
      <c r="T253" s="386"/>
      <c r="U253" s="386"/>
      <c r="V253" s="386"/>
      <c r="W253" s="386"/>
      <c r="X253" s="386"/>
      <c r="Y253" s="386"/>
      <c r="Z253" s="386"/>
      <c r="AA253" s="386"/>
      <c r="AB253" s="2"/>
      <c r="AC253" s="2"/>
    </row>
    <row r="254" spans="1:29" customFormat="1" ht="18">
      <c r="A254" s="103" t="s">
        <v>273</v>
      </c>
      <c r="B254" s="103" t="s">
        <v>80</v>
      </c>
      <c r="C254" s="396" t="s">
        <v>132</v>
      </c>
      <c r="D254" s="396" t="s">
        <v>133</v>
      </c>
      <c r="E254" s="103">
        <v>15631</v>
      </c>
      <c r="F254" s="103" t="s">
        <v>1573</v>
      </c>
      <c r="G254" s="103"/>
      <c r="H254" s="397">
        <f>(10^((LOG((J254))*2.02)+-2.8)*1000)</f>
        <v>122681.04823696167</v>
      </c>
      <c r="I254" s="103"/>
      <c r="J254" s="386">
        <v>263.14</v>
      </c>
      <c r="K254" s="386">
        <v>18.27</v>
      </c>
      <c r="L254" s="386">
        <v>19.239999999999998</v>
      </c>
      <c r="M254" s="386">
        <v>13.79</v>
      </c>
      <c r="N254" s="386">
        <v>9.3800000000000008</v>
      </c>
      <c r="O254" s="386">
        <v>17.010000000000002</v>
      </c>
      <c r="P254" s="386">
        <v>24.45</v>
      </c>
      <c r="Q254" s="386"/>
      <c r="R254" s="386"/>
      <c r="S254" s="386"/>
      <c r="T254" s="386"/>
      <c r="U254" s="386"/>
      <c r="V254" s="386"/>
      <c r="W254" s="386"/>
      <c r="X254" s="386"/>
      <c r="Y254" s="386"/>
      <c r="Z254" s="386"/>
      <c r="AA254" s="386"/>
      <c r="AB254" s="2"/>
      <c r="AC254" s="2"/>
    </row>
    <row r="255" spans="1:29" customFormat="1" ht="18">
      <c r="A255" s="103" t="s">
        <v>273</v>
      </c>
      <c r="B255" s="103" t="s">
        <v>80</v>
      </c>
      <c r="C255" s="396" t="s">
        <v>132</v>
      </c>
      <c r="D255" s="396" t="s">
        <v>133</v>
      </c>
      <c r="E255" s="103">
        <v>5493</v>
      </c>
      <c r="F255" s="103" t="s">
        <v>1573</v>
      </c>
      <c r="G255" s="103"/>
      <c r="H255" s="397"/>
      <c r="I255" s="103"/>
      <c r="J255" s="386" t="s">
        <v>17</v>
      </c>
      <c r="K255" s="386">
        <v>18.510000000000002</v>
      </c>
      <c r="L255" s="386">
        <v>21.2</v>
      </c>
      <c r="M255" s="386">
        <v>14.77</v>
      </c>
      <c r="N255" s="386">
        <v>11.15</v>
      </c>
      <c r="O255" s="386">
        <v>18.03</v>
      </c>
      <c r="P255" s="386">
        <v>26.7</v>
      </c>
      <c r="Q255" s="386"/>
      <c r="R255" s="386"/>
      <c r="S255" s="386"/>
      <c r="T255" s="386"/>
      <c r="U255" s="386"/>
      <c r="V255" s="386"/>
      <c r="W255" s="386"/>
      <c r="X255" s="386"/>
      <c r="Y255" s="386"/>
      <c r="Z255" s="386"/>
      <c r="AA255" s="386"/>
      <c r="AB255" s="2"/>
      <c r="AC255" s="2"/>
    </row>
    <row r="256" spans="1:29" customFormat="1" ht="18">
      <c r="A256" s="103" t="s">
        <v>273</v>
      </c>
      <c r="B256" s="103" t="s">
        <v>80</v>
      </c>
      <c r="C256" s="396" t="s">
        <v>132</v>
      </c>
      <c r="D256" s="396" t="s">
        <v>133</v>
      </c>
      <c r="E256" s="103">
        <v>15632</v>
      </c>
      <c r="F256" s="103" t="s">
        <v>1573</v>
      </c>
      <c r="G256" s="103"/>
      <c r="H256" s="397">
        <f>(10^((LOG((J256))*2.02)+-2.8)*1000)</f>
        <v>127493.11214266927</v>
      </c>
      <c r="I256" s="103"/>
      <c r="J256" s="386">
        <v>268.2</v>
      </c>
      <c r="K256" s="386">
        <v>18.52</v>
      </c>
      <c r="L256" s="386">
        <v>20.84</v>
      </c>
      <c r="M256" s="386">
        <v>15.03</v>
      </c>
      <c r="N256" s="386">
        <v>9.49</v>
      </c>
      <c r="O256" s="386">
        <v>17.93</v>
      </c>
      <c r="P256" s="386">
        <v>25.02</v>
      </c>
      <c r="Q256" s="386"/>
      <c r="R256" s="386"/>
      <c r="S256" s="386"/>
      <c r="T256" s="386"/>
      <c r="U256" s="386"/>
      <c r="V256" s="386"/>
      <c r="W256" s="386"/>
      <c r="X256" s="386"/>
      <c r="Y256" s="386"/>
      <c r="Z256" s="386"/>
      <c r="AA256" s="386"/>
      <c r="AB256" s="2"/>
      <c r="AC256" s="2"/>
    </row>
    <row r="257" spans="1:29" customFormat="1" ht="18">
      <c r="A257" s="103" t="s">
        <v>273</v>
      </c>
      <c r="B257" s="103" t="s">
        <v>80</v>
      </c>
      <c r="C257" s="396" t="s">
        <v>132</v>
      </c>
      <c r="D257" s="396" t="s">
        <v>133</v>
      </c>
      <c r="E257" s="103">
        <v>7600</v>
      </c>
      <c r="F257" s="103" t="s">
        <v>1571</v>
      </c>
      <c r="G257" s="103"/>
      <c r="H257" s="397">
        <f>(10^((LOG((J257))*2.02)+-2.8)*1000)</f>
        <v>108504.35081583021</v>
      </c>
      <c r="I257" s="103"/>
      <c r="J257" s="386">
        <v>247.62</v>
      </c>
      <c r="K257" s="386">
        <v>18.579999999999998</v>
      </c>
      <c r="L257" s="386">
        <v>21.25</v>
      </c>
      <c r="M257" s="386">
        <v>13.76</v>
      </c>
      <c r="N257" s="386">
        <v>9.1199999999999992</v>
      </c>
      <c r="O257" s="386">
        <v>18.28</v>
      </c>
      <c r="P257" s="386">
        <v>27.01</v>
      </c>
      <c r="Q257" s="386"/>
      <c r="R257" s="386"/>
      <c r="S257" s="386"/>
      <c r="T257" s="386"/>
      <c r="U257" s="386"/>
      <c r="V257" s="386"/>
      <c r="W257" s="386"/>
      <c r="X257" s="386"/>
      <c r="Y257" s="386"/>
      <c r="Z257" s="386"/>
      <c r="AA257" s="386"/>
      <c r="AB257" s="2"/>
      <c r="AC257" s="2"/>
    </row>
    <row r="258" spans="1:29" customFormat="1" ht="18">
      <c r="A258" s="103" t="s">
        <v>273</v>
      </c>
      <c r="B258" s="103" t="s">
        <v>80</v>
      </c>
      <c r="C258" s="396" t="s">
        <v>132</v>
      </c>
      <c r="D258" s="396" t="s">
        <v>133</v>
      </c>
      <c r="E258" s="103">
        <v>19170</v>
      </c>
      <c r="F258" s="103" t="s">
        <v>1573</v>
      </c>
      <c r="G258" s="103"/>
      <c r="H258" s="397">
        <f>(10^((LOG((J258))*2.02)+-2.8)*1000)</f>
        <v>77887.475992957887</v>
      </c>
      <c r="I258" s="103"/>
      <c r="J258" s="386">
        <v>210.14</v>
      </c>
      <c r="K258" s="386">
        <v>18.72</v>
      </c>
      <c r="L258" s="386">
        <v>19.95</v>
      </c>
      <c r="M258" s="386">
        <v>14.26</v>
      </c>
      <c r="N258" s="386">
        <v>9.8800000000000008</v>
      </c>
      <c r="O258" s="386">
        <v>17.86</v>
      </c>
      <c r="P258" s="386">
        <v>26.49</v>
      </c>
      <c r="Q258" s="386">
        <v>35.979999999999997</v>
      </c>
      <c r="R258" s="386">
        <v>30.93</v>
      </c>
      <c r="S258" s="386">
        <v>60.68</v>
      </c>
      <c r="T258" s="386">
        <v>65.459999999999994</v>
      </c>
      <c r="U258" s="386">
        <v>21.44</v>
      </c>
      <c r="V258" s="386">
        <v>211.25</v>
      </c>
      <c r="W258" s="386">
        <v>16.670000000000002</v>
      </c>
      <c r="X258" s="386">
        <v>58.35</v>
      </c>
      <c r="Y258" s="386">
        <v>33.200000000000003</v>
      </c>
      <c r="Z258" s="386">
        <v>258.66000000000003</v>
      </c>
      <c r="AA258" s="386">
        <v>31.4</v>
      </c>
      <c r="AB258" s="2"/>
      <c r="AC258" s="2"/>
    </row>
    <row r="259" spans="1:29" customFormat="1" ht="18">
      <c r="A259" s="103" t="s">
        <v>273</v>
      </c>
      <c r="B259" s="103" t="s">
        <v>80</v>
      </c>
      <c r="C259" s="396" t="s">
        <v>132</v>
      </c>
      <c r="D259" s="396" t="s">
        <v>133</v>
      </c>
      <c r="E259" s="103">
        <v>15629</v>
      </c>
      <c r="F259" s="103" t="s">
        <v>1573</v>
      </c>
      <c r="G259" s="103"/>
      <c r="H259" s="397">
        <f>(10^((LOG((J259))*2.02)+-2.8)*1000)</f>
        <v>133831.50479963189</v>
      </c>
      <c r="I259" s="103"/>
      <c r="J259" s="386">
        <v>274.72000000000003</v>
      </c>
      <c r="K259" s="386">
        <v>18.760000000000002</v>
      </c>
      <c r="L259" s="386">
        <v>19.87</v>
      </c>
      <c r="M259" s="386">
        <v>15.38</v>
      </c>
      <c r="N259" s="386">
        <v>9.48</v>
      </c>
      <c r="O259" s="386">
        <v>17.23</v>
      </c>
      <c r="P259" s="386">
        <v>26.82</v>
      </c>
      <c r="Q259" s="386"/>
      <c r="R259" s="386"/>
      <c r="S259" s="386"/>
      <c r="T259" s="386"/>
      <c r="U259" s="386"/>
      <c r="V259" s="386"/>
      <c r="W259" s="386"/>
      <c r="X259" s="386"/>
      <c r="Y259" s="386"/>
      <c r="Z259" s="386"/>
      <c r="AA259" s="386"/>
      <c r="AB259" s="2"/>
      <c r="AC259" s="2"/>
    </row>
    <row r="260" spans="1:29" customFormat="1" ht="18">
      <c r="A260" s="103" t="s">
        <v>273</v>
      </c>
      <c r="B260" s="103" t="s">
        <v>80</v>
      </c>
      <c r="C260" s="396" t="s">
        <v>132</v>
      </c>
      <c r="D260" s="396" t="s">
        <v>133</v>
      </c>
      <c r="E260" s="103">
        <v>7445</v>
      </c>
      <c r="F260" s="103" t="s">
        <v>1571</v>
      </c>
      <c r="G260" s="103"/>
      <c r="H260" s="397"/>
      <c r="I260" s="103"/>
      <c r="J260" s="386"/>
      <c r="K260" s="386">
        <v>18.899999999999999</v>
      </c>
      <c r="L260" s="386">
        <v>20.03</v>
      </c>
      <c r="M260" s="386">
        <v>17.59</v>
      </c>
      <c r="N260" s="386">
        <v>9.6199999999999992</v>
      </c>
      <c r="O260" s="386"/>
      <c r="P260" s="386"/>
      <c r="Q260" s="386">
        <v>38.200000000000003</v>
      </c>
      <c r="R260" s="386">
        <v>32.33</v>
      </c>
      <c r="S260" s="386">
        <v>61.83</v>
      </c>
      <c r="T260" s="386">
        <v>74.13</v>
      </c>
      <c r="U260" s="386">
        <v>24.61</v>
      </c>
      <c r="V260" s="386">
        <v>222.02</v>
      </c>
      <c r="W260" s="386">
        <v>20.07</v>
      </c>
      <c r="X260" s="386">
        <v>59.57</v>
      </c>
      <c r="Y260" s="386">
        <v>35.96</v>
      </c>
      <c r="Z260" s="386">
        <v>285.66000000000003</v>
      </c>
      <c r="AA260" s="386">
        <v>27.78</v>
      </c>
      <c r="AB260" s="2"/>
      <c r="AC260" s="2"/>
    </row>
    <row r="261" spans="1:29" customFormat="1" ht="18">
      <c r="A261" s="103" t="s">
        <v>273</v>
      </c>
      <c r="B261" s="103" t="s">
        <v>80</v>
      </c>
      <c r="C261" s="396" t="s">
        <v>132</v>
      </c>
      <c r="D261" s="396" t="s">
        <v>133</v>
      </c>
      <c r="E261" s="103">
        <v>15637</v>
      </c>
      <c r="F261" s="103" t="s">
        <v>1572</v>
      </c>
      <c r="G261" s="103"/>
      <c r="H261" s="397">
        <f>(10^((LOG((J261))*2.02)+-2.8)*1000)</f>
        <v>97918.034951747642</v>
      </c>
      <c r="I261" s="103"/>
      <c r="J261" s="386">
        <v>235.35</v>
      </c>
      <c r="K261" s="386">
        <v>18.97</v>
      </c>
      <c r="L261" s="386">
        <v>20.2</v>
      </c>
      <c r="M261" s="386">
        <v>15.09</v>
      </c>
      <c r="N261" s="386">
        <v>8.91</v>
      </c>
      <c r="O261" s="386">
        <v>17.03</v>
      </c>
      <c r="P261" s="386">
        <v>26.01</v>
      </c>
      <c r="Q261" s="386"/>
      <c r="R261" s="386"/>
      <c r="S261" s="386"/>
      <c r="T261" s="386"/>
      <c r="U261" s="386"/>
      <c r="V261" s="386"/>
      <c r="W261" s="386"/>
      <c r="X261" s="386"/>
      <c r="Y261" s="386"/>
      <c r="Z261" s="386"/>
      <c r="AA261" s="386"/>
      <c r="AB261" s="2"/>
      <c r="AC261" s="2"/>
    </row>
    <row r="262" spans="1:29" customFormat="1" ht="18">
      <c r="A262" s="103" t="s">
        <v>273</v>
      </c>
      <c r="B262" s="103" t="s">
        <v>80</v>
      </c>
      <c r="C262" s="396" t="s">
        <v>132</v>
      </c>
      <c r="D262" s="396" t="s">
        <v>133</v>
      </c>
      <c r="E262" s="103">
        <v>15630</v>
      </c>
      <c r="F262" s="103" t="s">
        <v>1573</v>
      </c>
      <c r="G262" s="103"/>
      <c r="H262" s="397">
        <f>(10^((LOG((J262))*2.02)+-2.8)*1000)</f>
        <v>117621.08122136972</v>
      </c>
      <c r="I262" s="103"/>
      <c r="J262" s="386">
        <v>257.70999999999998</v>
      </c>
      <c r="K262" s="386">
        <v>19.39</v>
      </c>
      <c r="L262" s="386">
        <v>20.11</v>
      </c>
      <c r="M262" s="386">
        <v>15.3</v>
      </c>
      <c r="N262" s="386">
        <v>10.43</v>
      </c>
      <c r="O262" s="386">
        <v>18.87</v>
      </c>
      <c r="P262" s="386">
        <v>26.83</v>
      </c>
      <c r="Q262" s="386"/>
      <c r="R262" s="386"/>
      <c r="S262" s="386"/>
      <c r="T262" s="386"/>
      <c r="U262" s="386"/>
      <c r="V262" s="386"/>
      <c r="W262" s="386"/>
      <c r="X262" s="386"/>
      <c r="Y262" s="386"/>
      <c r="Z262" s="386"/>
      <c r="AA262" s="386"/>
      <c r="AB262" s="2"/>
      <c r="AC262" s="2"/>
    </row>
    <row r="263" spans="1:29" customFormat="1" ht="18">
      <c r="A263" s="103" t="s">
        <v>273</v>
      </c>
      <c r="B263" s="103" t="s">
        <v>80</v>
      </c>
      <c r="C263" s="396" t="s">
        <v>132</v>
      </c>
      <c r="D263" s="396" t="s">
        <v>133</v>
      </c>
      <c r="E263" s="103">
        <v>15635</v>
      </c>
      <c r="F263" s="103" t="s">
        <v>1573</v>
      </c>
      <c r="G263" s="103"/>
      <c r="H263" s="397">
        <f>(10^((LOG((J263))*2.02)+-2.8)*1000)</f>
        <v>128426.26200969056</v>
      </c>
      <c r="I263" s="103"/>
      <c r="J263" s="386">
        <v>269.17</v>
      </c>
      <c r="K263" s="386">
        <v>19.41</v>
      </c>
      <c r="L263" s="386">
        <v>21.25</v>
      </c>
      <c r="M263" s="386">
        <v>16.079999999999998</v>
      </c>
      <c r="N263" s="386">
        <v>10.74</v>
      </c>
      <c r="O263" s="386">
        <v>18.59</v>
      </c>
      <c r="P263" s="386">
        <v>27.56</v>
      </c>
      <c r="Q263" s="386"/>
      <c r="R263" s="386"/>
      <c r="S263" s="386"/>
      <c r="T263" s="386"/>
      <c r="U263" s="386"/>
      <c r="V263" s="386"/>
      <c r="W263" s="386"/>
      <c r="X263" s="386"/>
      <c r="Y263" s="386"/>
      <c r="Z263" s="386"/>
      <c r="AA263" s="386"/>
      <c r="AB263" s="2"/>
      <c r="AC263" s="2"/>
    </row>
    <row r="264" spans="1:29" customFormat="1" ht="18">
      <c r="A264" s="103" t="s">
        <v>273</v>
      </c>
      <c r="B264" s="103" t="s">
        <v>80</v>
      </c>
      <c r="C264" s="396" t="s">
        <v>132</v>
      </c>
      <c r="D264" s="396" t="s">
        <v>1638</v>
      </c>
      <c r="E264" s="103">
        <v>16355</v>
      </c>
      <c r="F264" s="103" t="s">
        <v>1573</v>
      </c>
      <c r="G264" s="103"/>
      <c r="H264" s="397">
        <f>(10^((LOG((J264))*2.02)+-2.8)*1000)</f>
        <v>240229.00903402764</v>
      </c>
      <c r="I264" s="103"/>
      <c r="J264" s="386">
        <v>367</v>
      </c>
      <c r="K264" s="386">
        <v>19.86</v>
      </c>
      <c r="L264" s="386">
        <v>20.74</v>
      </c>
      <c r="M264" s="386">
        <v>16.36</v>
      </c>
      <c r="N264" s="386">
        <v>12.5</v>
      </c>
      <c r="O264" s="386">
        <v>18.97</v>
      </c>
      <c r="P264" s="386">
        <v>26.55</v>
      </c>
      <c r="Q264" s="386"/>
      <c r="R264" s="386"/>
      <c r="S264" s="386"/>
      <c r="T264" s="386"/>
      <c r="U264" s="386"/>
      <c r="V264" s="386"/>
      <c r="W264" s="386"/>
      <c r="X264" s="386"/>
      <c r="Y264" s="386"/>
      <c r="Z264" s="386"/>
      <c r="AA264" s="386"/>
      <c r="AB264" s="2"/>
      <c r="AC264" s="2"/>
    </row>
    <row r="265" spans="1:29" customFormat="1" ht="18">
      <c r="A265" s="103" t="s">
        <v>273</v>
      </c>
      <c r="B265" s="103" t="s">
        <v>80</v>
      </c>
      <c r="C265" s="396" t="s">
        <v>132</v>
      </c>
      <c r="D265" s="396" t="s">
        <v>1638</v>
      </c>
      <c r="E265" s="103">
        <v>3607</v>
      </c>
      <c r="F265" s="103" t="s">
        <v>1571</v>
      </c>
      <c r="G265" s="103"/>
      <c r="H265" s="397">
        <f>(10^((LOG((J265))*2.02)+-2.8)*1000)</f>
        <v>173058.23891807886</v>
      </c>
      <c r="I265" s="103"/>
      <c r="J265" s="386">
        <v>312</v>
      </c>
      <c r="K265" s="386">
        <v>19.97</v>
      </c>
      <c r="L265" s="386">
        <v>18.73</v>
      </c>
      <c r="M265" s="386">
        <v>15.77</v>
      </c>
      <c r="N265" s="386">
        <v>11.74</v>
      </c>
      <c r="O265" s="386">
        <v>18.13</v>
      </c>
      <c r="P265" s="386">
        <v>26.57</v>
      </c>
      <c r="Q265" s="386">
        <v>54.81</v>
      </c>
      <c r="R265" s="386">
        <v>47.91</v>
      </c>
      <c r="S265" s="386">
        <v>93.95</v>
      </c>
      <c r="T265" s="386">
        <v>113.35</v>
      </c>
      <c r="U265" s="386">
        <v>46.21</v>
      </c>
      <c r="V265" s="386">
        <v>300.89999999999998</v>
      </c>
      <c r="W265" s="386">
        <v>26.31</v>
      </c>
      <c r="X265" s="386">
        <v>86.35</v>
      </c>
      <c r="Y265" s="386">
        <v>51.28</v>
      </c>
      <c r="Z265" s="386">
        <v>398</v>
      </c>
      <c r="AA265" s="386">
        <v>48.53</v>
      </c>
      <c r="AB265" s="2"/>
      <c r="AC265" s="2"/>
    </row>
    <row r="266" spans="1:29" customFormat="1" ht="18">
      <c r="A266" s="103" t="s">
        <v>273</v>
      </c>
      <c r="B266" s="103" t="s">
        <v>80</v>
      </c>
      <c r="C266" s="396" t="s">
        <v>132</v>
      </c>
      <c r="D266" s="396" t="s">
        <v>133</v>
      </c>
      <c r="E266" s="103">
        <v>15633</v>
      </c>
      <c r="F266" s="103" t="s">
        <v>1573</v>
      </c>
      <c r="G266" s="103"/>
      <c r="H266" s="397" t="s">
        <v>1577</v>
      </c>
      <c r="I266" s="103"/>
      <c r="J266" s="386" t="s">
        <v>1577</v>
      </c>
      <c r="K266" s="386">
        <v>20.100000000000001</v>
      </c>
      <c r="L266" s="386">
        <v>19.66</v>
      </c>
      <c r="M266" s="386">
        <v>15.51</v>
      </c>
      <c r="N266" s="386">
        <v>11.64</v>
      </c>
      <c r="O266" s="386">
        <v>18.91</v>
      </c>
      <c r="P266" s="386">
        <v>27.51</v>
      </c>
      <c r="Q266" s="386"/>
      <c r="R266" s="386"/>
      <c r="S266" s="386"/>
      <c r="T266" s="386"/>
      <c r="U266" s="386"/>
      <c r="V266" s="386"/>
      <c r="W266" s="386"/>
      <c r="X266" s="386"/>
      <c r="Y266" s="386"/>
      <c r="Z266" s="386"/>
      <c r="AA266" s="386"/>
      <c r="AB266" s="2"/>
      <c r="AC266" s="2"/>
    </row>
    <row r="267" spans="1:29" customFormat="1" ht="18">
      <c r="A267" s="103" t="s">
        <v>273</v>
      </c>
      <c r="B267" s="103" t="s">
        <v>80</v>
      </c>
      <c r="C267" s="396" t="s">
        <v>132</v>
      </c>
      <c r="D267" s="396" t="s">
        <v>1638</v>
      </c>
      <c r="E267" s="103">
        <v>16346</v>
      </c>
      <c r="F267" s="103" t="s">
        <v>1573</v>
      </c>
      <c r="G267" s="103"/>
      <c r="H267" s="397">
        <f t="shared" ref="H267:H290" si="4">(10^((LOG((J267))*2.02)+-2.8)*1000)</f>
        <v>201004.29635725383</v>
      </c>
      <c r="I267" s="103"/>
      <c r="J267" s="386">
        <v>336</v>
      </c>
      <c r="K267" s="386">
        <v>20.100000000000001</v>
      </c>
      <c r="L267" s="386">
        <v>20.260000000000002</v>
      </c>
      <c r="M267" s="386">
        <v>15.52</v>
      </c>
      <c r="N267" s="386">
        <v>12.78</v>
      </c>
      <c r="O267" s="386">
        <v>19.239999999999998</v>
      </c>
      <c r="P267" s="386">
        <v>26.58</v>
      </c>
      <c r="Q267" s="386"/>
      <c r="R267" s="386"/>
      <c r="S267" s="386"/>
      <c r="T267" s="386"/>
      <c r="U267" s="386"/>
      <c r="V267" s="386"/>
      <c r="W267" s="386"/>
      <c r="X267" s="386"/>
      <c r="Y267" s="386"/>
      <c r="Z267" s="386"/>
      <c r="AA267" s="386"/>
      <c r="AB267" s="2"/>
      <c r="AC267" s="2"/>
    </row>
    <row r="268" spans="1:29" customFormat="1" ht="18">
      <c r="A268" s="103" t="s">
        <v>273</v>
      </c>
      <c r="B268" s="103" t="s">
        <v>80</v>
      </c>
      <c r="C268" s="396" t="s">
        <v>132</v>
      </c>
      <c r="D268" s="396" t="s">
        <v>1638</v>
      </c>
      <c r="E268" s="103">
        <v>16357</v>
      </c>
      <c r="F268" s="103" t="s">
        <v>1572</v>
      </c>
      <c r="G268" s="103"/>
      <c r="H268" s="397">
        <f t="shared" si="4"/>
        <v>168605.77560244678</v>
      </c>
      <c r="I268" s="103"/>
      <c r="J268" s="386">
        <v>308</v>
      </c>
      <c r="K268" s="386">
        <v>20.149999999999999</v>
      </c>
      <c r="L268" s="386">
        <v>20.260000000000002</v>
      </c>
      <c r="M268" s="386">
        <v>11.73</v>
      </c>
      <c r="N268" s="386">
        <v>11.86</v>
      </c>
      <c r="O268" s="386">
        <v>18.62</v>
      </c>
      <c r="P268" s="386">
        <v>24.83</v>
      </c>
      <c r="Q268" s="386"/>
      <c r="R268" s="386"/>
      <c r="S268" s="386"/>
      <c r="T268" s="386"/>
      <c r="U268" s="386"/>
      <c r="V268" s="386"/>
      <c r="W268" s="386"/>
      <c r="X268" s="386"/>
      <c r="Y268" s="386"/>
      <c r="Z268" s="386"/>
      <c r="AA268" s="386"/>
      <c r="AB268" s="2"/>
      <c r="AC268" s="2"/>
    </row>
    <row r="269" spans="1:29" customFormat="1" ht="18">
      <c r="A269" s="103" t="s">
        <v>273</v>
      </c>
      <c r="B269" s="103" t="s">
        <v>80</v>
      </c>
      <c r="C269" s="396" t="s">
        <v>132</v>
      </c>
      <c r="D269" s="396" t="s">
        <v>133</v>
      </c>
      <c r="E269" s="103">
        <v>15634</v>
      </c>
      <c r="F269" s="103" t="s">
        <v>1573</v>
      </c>
      <c r="G269" s="103"/>
      <c r="H269" s="397">
        <f t="shared" si="4"/>
        <v>121581.68315791756</v>
      </c>
      <c r="I269" s="103"/>
      <c r="J269" s="386">
        <v>261.97000000000003</v>
      </c>
      <c r="K269" s="386">
        <v>20.18</v>
      </c>
      <c r="L269" s="386">
        <v>21.09</v>
      </c>
      <c r="M269" s="386">
        <v>16.32</v>
      </c>
      <c r="N269" s="386">
        <v>10.37</v>
      </c>
      <c r="O269" s="386">
        <v>18.260000000000002</v>
      </c>
      <c r="P269" s="386">
        <v>28.19</v>
      </c>
      <c r="Q269" s="386"/>
      <c r="R269" s="386"/>
      <c r="S269" s="386"/>
      <c r="T269" s="386"/>
      <c r="U269" s="386"/>
      <c r="V269" s="386"/>
      <c r="W269" s="386"/>
      <c r="X269" s="386"/>
      <c r="Y269" s="386"/>
      <c r="Z269" s="386"/>
      <c r="AA269" s="386"/>
      <c r="AB269" s="2"/>
      <c r="AC269" s="2"/>
    </row>
    <row r="270" spans="1:29" customFormat="1" ht="18">
      <c r="A270" s="103" t="s">
        <v>273</v>
      </c>
      <c r="B270" s="103" t="s">
        <v>80</v>
      </c>
      <c r="C270" s="396" t="s">
        <v>132</v>
      </c>
      <c r="D270" s="396" t="s">
        <v>133</v>
      </c>
      <c r="E270" s="103">
        <v>1324</v>
      </c>
      <c r="F270" s="103" t="s">
        <v>1573</v>
      </c>
      <c r="G270" s="103"/>
      <c r="H270" s="397">
        <f t="shared" si="4"/>
        <v>131246.33061062376</v>
      </c>
      <c r="I270" s="103"/>
      <c r="J270" s="386">
        <v>272.08</v>
      </c>
      <c r="K270" s="386">
        <v>20.25</v>
      </c>
      <c r="L270" s="386">
        <v>21.47</v>
      </c>
      <c r="M270" s="386">
        <v>15.96</v>
      </c>
      <c r="N270" s="386">
        <v>12.1</v>
      </c>
      <c r="O270" s="386">
        <v>19.440000000000001</v>
      </c>
      <c r="P270" s="386">
        <v>27.97</v>
      </c>
      <c r="Q270" s="386"/>
      <c r="R270" s="386"/>
      <c r="S270" s="386"/>
      <c r="T270" s="386"/>
      <c r="U270" s="386"/>
      <c r="V270" s="386"/>
      <c r="W270" s="386"/>
      <c r="X270" s="386"/>
      <c r="Y270" s="386"/>
      <c r="Z270" s="386"/>
      <c r="AA270" s="386"/>
      <c r="AB270" s="2"/>
      <c r="AC270" s="2"/>
    </row>
    <row r="271" spans="1:29" customFormat="1" ht="18">
      <c r="A271" s="103" t="s">
        <v>273</v>
      </c>
      <c r="B271" s="103" t="s">
        <v>80</v>
      </c>
      <c r="C271" s="396" t="s">
        <v>132</v>
      </c>
      <c r="D271" s="396" t="s">
        <v>1638</v>
      </c>
      <c r="E271" s="103">
        <v>16351</v>
      </c>
      <c r="F271" s="103" t="s">
        <v>1572</v>
      </c>
      <c r="G271" s="103"/>
      <c r="H271" s="397">
        <f t="shared" si="4"/>
        <v>168605.77560244678</v>
      </c>
      <c r="I271" s="103"/>
      <c r="J271" s="386">
        <v>308</v>
      </c>
      <c r="K271" s="386">
        <v>20.54</v>
      </c>
      <c r="L271" s="386">
        <v>21.24</v>
      </c>
      <c r="M271" s="386">
        <v>14.32</v>
      </c>
      <c r="N271" s="386">
        <v>12.98</v>
      </c>
      <c r="O271" s="386">
        <v>20.079999999999998</v>
      </c>
      <c r="P271" s="386">
        <v>23.13</v>
      </c>
      <c r="Q271" s="386"/>
      <c r="R271" s="386"/>
      <c r="S271" s="386"/>
      <c r="T271" s="386"/>
      <c r="U271" s="386"/>
      <c r="V271" s="386"/>
      <c r="W271" s="386"/>
      <c r="X271" s="386"/>
      <c r="Y271" s="386"/>
      <c r="Z271" s="386"/>
      <c r="AA271" s="386"/>
      <c r="AB271" s="2"/>
      <c r="AC271" s="2"/>
    </row>
    <row r="272" spans="1:29" customFormat="1" ht="18">
      <c r="A272" s="103" t="s">
        <v>273</v>
      </c>
      <c r="B272" s="103" t="s">
        <v>80</v>
      </c>
      <c r="C272" s="396" t="s">
        <v>132</v>
      </c>
      <c r="D272" s="396" t="s">
        <v>1638</v>
      </c>
      <c r="E272" s="103">
        <v>16343</v>
      </c>
      <c r="F272" s="103" t="s">
        <v>1573</v>
      </c>
      <c r="G272" s="103"/>
      <c r="H272" s="397">
        <f t="shared" si="4"/>
        <v>195008.05353264717</v>
      </c>
      <c r="I272" s="103"/>
      <c r="J272" s="386">
        <v>331</v>
      </c>
      <c r="K272" s="386">
        <v>20.55</v>
      </c>
      <c r="L272" s="386">
        <v>20.12</v>
      </c>
      <c r="M272" s="386">
        <v>15.31</v>
      </c>
      <c r="N272" s="386">
        <v>13.7</v>
      </c>
      <c r="O272" s="386">
        <v>18.66</v>
      </c>
      <c r="P272" s="386">
        <v>26.43</v>
      </c>
      <c r="Q272" s="386"/>
      <c r="R272" s="386"/>
      <c r="S272" s="386"/>
      <c r="T272" s="386"/>
      <c r="U272" s="386"/>
      <c r="V272" s="386"/>
      <c r="W272" s="386"/>
      <c r="X272" s="386"/>
      <c r="Y272" s="386"/>
      <c r="Z272" s="386"/>
      <c r="AA272" s="386"/>
      <c r="AB272" s="2"/>
      <c r="AC272" s="2"/>
    </row>
    <row r="273" spans="1:29" customFormat="1" ht="18">
      <c r="A273" s="103" t="s">
        <v>273</v>
      </c>
      <c r="B273" s="103" t="s">
        <v>80</v>
      </c>
      <c r="C273" s="396" t="s">
        <v>132</v>
      </c>
      <c r="D273" s="396" t="s">
        <v>1638</v>
      </c>
      <c r="E273" s="103">
        <v>16352</v>
      </c>
      <c r="F273" s="103" t="s">
        <v>1573</v>
      </c>
      <c r="G273" s="103"/>
      <c r="H273" s="397">
        <f t="shared" si="4"/>
        <v>220808.69967413542</v>
      </c>
      <c r="I273" s="103"/>
      <c r="J273" s="386">
        <v>352</v>
      </c>
      <c r="K273" s="386">
        <v>20.58</v>
      </c>
      <c r="L273" s="386">
        <v>20.350000000000001</v>
      </c>
      <c r="M273" s="386">
        <v>13.59</v>
      </c>
      <c r="N273" s="386">
        <v>12.17</v>
      </c>
      <c r="O273" s="386">
        <v>19.489999999999998</v>
      </c>
      <c r="P273" s="386">
        <v>24.36</v>
      </c>
      <c r="Q273" s="386"/>
      <c r="R273" s="386"/>
      <c r="S273" s="386"/>
      <c r="T273" s="386"/>
      <c r="U273" s="386"/>
      <c r="V273" s="386"/>
      <c r="W273" s="386"/>
      <c r="X273" s="386"/>
      <c r="Y273" s="386"/>
      <c r="Z273" s="386"/>
      <c r="AA273" s="386"/>
      <c r="AB273" s="2"/>
      <c r="AC273" s="2"/>
    </row>
    <row r="274" spans="1:29" customFormat="1" ht="18">
      <c r="A274" s="103" t="s">
        <v>273</v>
      </c>
      <c r="B274" s="103" t="s">
        <v>80</v>
      </c>
      <c r="C274" s="396" t="s">
        <v>132</v>
      </c>
      <c r="D274" s="396" t="s">
        <v>1638</v>
      </c>
      <c r="E274" s="103">
        <v>16348</v>
      </c>
      <c r="F274" s="103" t="s">
        <v>1572</v>
      </c>
      <c r="G274" s="103"/>
      <c r="H274" s="397">
        <f t="shared" si="4"/>
        <v>182139.00351121972</v>
      </c>
      <c r="I274" s="103"/>
      <c r="J274" s="386">
        <v>320</v>
      </c>
      <c r="K274" s="386">
        <v>21.11</v>
      </c>
      <c r="L274" s="386">
        <v>21.06</v>
      </c>
      <c r="M274" s="386">
        <v>12.98</v>
      </c>
      <c r="N274" s="386">
        <v>11.11</v>
      </c>
      <c r="O274" s="386">
        <v>20.07</v>
      </c>
      <c r="P274" s="386">
        <v>26.36</v>
      </c>
      <c r="Q274" s="386"/>
      <c r="R274" s="386"/>
      <c r="S274" s="386"/>
      <c r="T274" s="386"/>
      <c r="U274" s="386"/>
      <c r="V274" s="386"/>
      <c r="W274" s="386"/>
      <c r="X274" s="386"/>
      <c r="Y274" s="386"/>
      <c r="Z274" s="386"/>
      <c r="AA274" s="386"/>
      <c r="AB274" s="2"/>
      <c r="AC274" s="2"/>
    </row>
    <row r="275" spans="1:29" customFormat="1" ht="18">
      <c r="A275" s="103" t="s">
        <v>273</v>
      </c>
      <c r="B275" s="103" t="s">
        <v>80</v>
      </c>
      <c r="C275" s="396" t="s">
        <v>132</v>
      </c>
      <c r="D275" s="396" t="s">
        <v>1638</v>
      </c>
      <c r="E275" s="103">
        <v>16349</v>
      </c>
      <c r="F275" s="103" t="s">
        <v>1573</v>
      </c>
      <c r="G275" s="103"/>
      <c r="H275" s="397">
        <f t="shared" si="4"/>
        <v>207092.24949542622</v>
      </c>
      <c r="I275" s="103"/>
      <c r="J275" s="386">
        <v>341</v>
      </c>
      <c r="K275" s="386">
        <v>21.16</v>
      </c>
      <c r="L275" s="386">
        <v>20.82</v>
      </c>
      <c r="M275" s="386">
        <v>14.6</v>
      </c>
      <c r="N275" s="386">
        <v>12.9</v>
      </c>
      <c r="O275" s="386">
        <v>18.29</v>
      </c>
      <c r="P275" s="386">
        <v>26.41</v>
      </c>
      <c r="Q275" s="386"/>
      <c r="R275" s="386"/>
      <c r="S275" s="386"/>
      <c r="T275" s="386"/>
      <c r="U275" s="386"/>
      <c r="V275" s="386"/>
      <c r="W275" s="386"/>
      <c r="X275" s="386"/>
      <c r="Y275" s="386"/>
      <c r="Z275" s="386"/>
      <c r="AA275" s="386"/>
      <c r="AB275" s="2"/>
      <c r="AC275" s="2"/>
    </row>
    <row r="276" spans="1:29" customFormat="1" ht="18">
      <c r="A276" s="103" t="s">
        <v>273</v>
      </c>
      <c r="B276" s="103" t="s">
        <v>80</v>
      </c>
      <c r="C276" s="396" t="s">
        <v>132</v>
      </c>
      <c r="D276" s="396" t="s">
        <v>1638</v>
      </c>
      <c r="E276" s="103">
        <v>16353</v>
      </c>
      <c r="F276" s="103" t="s">
        <v>1573</v>
      </c>
      <c r="G276" s="103"/>
      <c r="H276" s="397">
        <f t="shared" si="4"/>
        <v>204646.06125943604</v>
      </c>
      <c r="I276" s="103"/>
      <c r="J276" s="386">
        <v>339</v>
      </c>
      <c r="K276" s="386">
        <v>21.17</v>
      </c>
      <c r="L276" s="386">
        <v>20.05</v>
      </c>
      <c r="M276" s="386">
        <v>14.9</v>
      </c>
      <c r="N276" s="386">
        <v>13.01</v>
      </c>
      <c r="O276" s="386">
        <v>17.62</v>
      </c>
      <c r="P276" s="386">
        <v>24.91</v>
      </c>
      <c r="Q276" s="386"/>
      <c r="R276" s="386"/>
      <c r="S276" s="386"/>
      <c r="T276" s="386"/>
      <c r="U276" s="386"/>
      <c r="V276" s="386"/>
      <c r="W276" s="386"/>
      <c r="X276" s="386"/>
      <c r="Y276" s="386"/>
      <c r="Z276" s="386"/>
      <c r="AA276" s="386"/>
      <c r="AB276" s="2"/>
      <c r="AC276" s="2"/>
    </row>
    <row r="277" spans="1:29" customFormat="1" ht="18">
      <c r="A277" s="103" t="s">
        <v>273</v>
      </c>
      <c r="B277" s="103" t="s">
        <v>80</v>
      </c>
      <c r="C277" s="396" t="s">
        <v>132</v>
      </c>
      <c r="D277" s="396" t="s">
        <v>1638</v>
      </c>
      <c r="E277" s="103">
        <v>16342</v>
      </c>
      <c r="F277" s="103" t="s">
        <v>1572</v>
      </c>
      <c r="G277" s="103"/>
      <c r="H277" s="397">
        <f t="shared" si="4"/>
        <v>186767.33447337776</v>
      </c>
      <c r="I277" s="103"/>
      <c r="J277" s="386">
        <v>324</v>
      </c>
      <c r="K277" s="386">
        <v>21.18</v>
      </c>
      <c r="L277" s="386">
        <v>19.64</v>
      </c>
      <c r="M277" s="386">
        <v>14.1</v>
      </c>
      <c r="N277" s="386">
        <v>12.14</v>
      </c>
      <c r="O277" s="386">
        <v>17.47</v>
      </c>
      <c r="P277" s="386">
        <v>22.48</v>
      </c>
      <c r="Q277" s="386"/>
      <c r="R277" s="386"/>
      <c r="S277" s="386"/>
      <c r="T277" s="386"/>
      <c r="U277" s="386"/>
      <c r="V277" s="386"/>
      <c r="W277" s="386"/>
      <c r="X277" s="386"/>
      <c r="Y277" s="386"/>
      <c r="Z277" s="386"/>
      <c r="AA277" s="386"/>
      <c r="AB277" s="2"/>
      <c r="AC277" s="2"/>
    </row>
    <row r="278" spans="1:29" customFormat="1" ht="18">
      <c r="A278" s="103" t="s">
        <v>273</v>
      </c>
      <c r="B278" s="103" t="s">
        <v>80</v>
      </c>
      <c r="C278" s="396" t="s">
        <v>132</v>
      </c>
      <c r="D278" s="396" t="s">
        <v>1638</v>
      </c>
      <c r="E278" s="103">
        <v>16358</v>
      </c>
      <c r="F278" s="103" t="s">
        <v>1573</v>
      </c>
      <c r="G278" s="103"/>
      <c r="H278" s="397">
        <f t="shared" si="4"/>
        <v>179846.82795794908</v>
      </c>
      <c r="I278" s="103"/>
      <c r="J278" s="386">
        <v>318</v>
      </c>
      <c r="K278" s="386">
        <v>21.26</v>
      </c>
      <c r="L278" s="386">
        <v>21.34</v>
      </c>
      <c r="M278" s="386">
        <v>15.15</v>
      </c>
      <c r="N278" s="386">
        <v>12.27</v>
      </c>
      <c r="O278" s="386">
        <v>20.29</v>
      </c>
      <c r="P278" s="386">
        <v>26.11</v>
      </c>
      <c r="Q278" s="386"/>
      <c r="R278" s="386"/>
      <c r="S278" s="386"/>
      <c r="T278" s="386"/>
      <c r="U278" s="386"/>
      <c r="V278" s="386"/>
      <c r="W278" s="386"/>
      <c r="X278" s="386"/>
      <c r="Y278" s="386"/>
      <c r="Z278" s="386"/>
      <c r="AA278" s="386"/>
      <c r="AB278" s="2"/>
      <c r="AC278" s="2"/>
    </row>
    <row r="279" spans="1:29" customFormat="1" ht="18">
      <c r="A279" s="103" t="s">
        <v>273</v>
      </c>
      <c r="B279" s="103" t="s">
        <v>80</v>
      </c>
      <c r="C279" s="396" t="s">
        <v>132</v>
      </c>
      <c r="D279" s="396" t="s">
        <v>1638</v>
      </c>
      <c r="E279" s="103">
        <v>16350</v>
      </c>
      <c r="F279" s="103" t="s">
        <v>1573</v>
      </c>
      <c r="G279" s="103"/>
      <c r="H279" s="397">
        <f t="shared" si="4"/>
        <v>196199.96658649851</v>
      </c>
      <c r="I279" s="103"/>
      <c r="J279" s="386">
        <v>332</v>
      </c>
      <c r="K279" s="386">
        <v>21.34</v>
      </c>
      <c r="L279" s="386">
        <v>20.6</v>
      </c>
      <c r="M279" s="386">
        <v>15.89</v>
      </c>
      <c r="N279" s="386">
        <v>12.41</v>
      </c>
      <c r="O279" s="386">
        <v>19.86</v>
      </c>
      <c r="P279" s="386">
        <v>26.15</v>
      </c>
      <c r="Q279" s="386"/>
      <c r="R279" s="386"/>
      <c r="S279" s="386"/>
      <c r="T279" s="386"/>
      <c r="U279" s="386"/>
      <c r="V279" s="386"/>
      <c r="W279" s="386"/>
      <c r="X279" s="386"/>
      <c r="Y279" s="386"/>
      <c r="Z279" s="386"/>
      <c r="AA279" s="386"/>
      <c r="AB279" s="2"/>
      <c r="AC279" s="2"/>
    </row>
    <row r="280" spans="1:29" customFormat="1" ht="18">
      <c r="A280" s="103" t="s">
        <v>273</v>
      </c>
      <c r="B280" s="103" t="s">
        <v>80</v>
      </c>
      <c r="C280" s="396" t="s">
        <v>132</v>
      </c>
      <c r="D280" s="396" t="s">
        <v>1638</v>
      </c>
      <c r="E280" s="103">
        <v>16345</v>
      </c>
      <c r="F280" s="103" t="s">
        <v>1572</v>
      </c>
      <c r="G280" s="103"/>
      <c r="H280" s="397">
        <f t="shared" si="4"/>
        <v>199797.71184133555</v>
      </c>
      <c r="I280" s="103"/>
      <c r="J280" s="386">
        <v>335</v>
      </c>
      <c r="K280" s="386">
        <v>21.36</v>
      </c>
      <c r="L280" s="386">
        <v>21.58</v>
      </c>
      <c r="M280" s="386">
        <v>13.74</v>
      </c>
      <c r="N280" s="386">
        <v>12.74</v>
      </c>
      <c r="O280" s="386">
        <v>20.54</v>
      </c>
      <c r="P280" s="386">
        <v>26.26</v>
      </c>
      <c r="Q280" s="386"/>
      <c r="R280" s="386"/>
      <c r="S280" s="386"/>
      <c r="T280" s="386"/>
      <c r="U280" s="386"/>
      <c r="V280" s="386"/>
      <c r="W280" s="386"/>
      <c r="X280" s="386"/>
      <c r="Y280" s="386"/>
      <c r="Z280" s="386"/>
      <c r="AA280" s="386"/>
      <c r="AB280" s="2"/>
      <c r="AC280" s="2"/>
    </row>
    <row r="281" spans="1:29" customFormat="1" ht="18">
      <c r="A281" s="103" t="s">
        <v>273</v>
      </c>
      <c r="B281" s="103" t="s">
        <v>80</v>
      </c>
      <c r="C281" s="396" t="s">
        <v>132</v>
      </c>
      <c r="D281" s="396" t="s">
        <v>1638</v>
      </c>
      <c r="E281" s="103">
        <v>16344</v>
      </c>
      <c r="F281" s="103" t="s">
        <v>1573</v>
      </c>
      <c r="G281" s="103"/>
      <c r="H281" s="397">
        <f t="shared" si="4"/>
        <v>203428.47084857995</v>
      </c>
      <c r="I281" s="103"/>
      <c r="J281" s="386">
        <v>338</v>
      </c>
      <c r="K281" s="386">
        <v>21.69</v>
      </c>
      <c r="L281" s="386">
        <v>21.47</v>
      </c>
      <c r="M281" s="386">
        <v>16.86</v>
      </c>
      <c r="N281" s="386">
        <v>11.65</v>
      </c>
      <c r="O281" s="386">
        <v>20.420000000000002</v>
      </c>
      <c r="P281" s="386">
        <v>28.68</v>
      </c>
      <c r="Q281" s="386"/>
      <c r="R281" s="386"/>
      <c r="S281" s="386"/>
      <c r="T281" s="386"/>
      <c r="U281" s="386"/>
      <c r="V281" s="386"/>
      <c r="W281" s="386"/>
      <c r="X281" s="386"/>
      <c r="Y281" s="386"/>
      <c r="Z281" s="386"/>
      <c r="AA281" s="386"/>
      <c r="AB281" s="2"/>
      <c r="AC281" s="2"/>
    </row>
    <row r="282" spans="1:29" customFormat="1" ht="18">
      <c r="A282" s="103" t="s">
        <v>273</v>
      </c>
      <c r="B282" s="103" t="s">
        <v>80</v>
      </c>
      <c r="C282" s="396" t="s">
        <v>132</v>
      </c>
      <c r="D282" s="396" t="s">
        <v>1636</v>
      </c>
      <c r="E282" s="103">
        <v>17529</v>
      </c>
      <c r="F282" s="103" t="s">
        <v>1573</v>
      </c>
      <c r="G282" s="103"/>
      <c r="H282" s="397">
        <f t="shared" si="4"/>
        <v>217023.79946175695</v>
      </c>
      <c r="I282" s="103"/>
      <c r="J282" s="386">
        <v>349</v>
      </c>
      <c r="K282" s="386">
        <v>21.97</v>
      </c>
      <c r="L282" s="386">
        <v>23.74</v>
      </c>
      <c r="M282" s="386">
        <v>19.399999999999999</v>
      </c>
      <c r="N282" s="386">
        <v>10.86</v>
      </c>
      <c r="O282" s="386">
        <v>20.51</v>
      </c>
      <c r="P282" s="386">
        <v>34.090000000000003</v>
      </c>
      <c r="Q282" s="386"/>
      <c r="R282" s="386"/>
      <c r="S282" s="386"/>
      <c r="T282" s="386"/>
      <c r="U282" s="386"/>
      <c r="V282" s="386"/>
      <c r="W282" s="386"/>
      <c r="X282" s="386"/>
      <c r="Y282" s="386"/>
      <c r="Z282" s="386"/>
      <c r="AA282" s="386"/>
      <c r="AB282" s="2"/>
      <c r="AC282" s="2"/>
    </row>
    <row r="283" spans="1:29" customFormat="1" ht="18">
      <c r="A283" s="103" t="s">
        <v>273</v>
      </c>
      <c r="B283" s="103" t="s">
        <v>80</v>
      </c>
      <c r="C283" s="396" t="s">
        <v>132</v>
      </c>
      <c r="D283" s="396" t="s">
        <v>1638</v>
      </c>
      <c r="E283" s="103">
        <v>16354</v>
      </c>
      <c r="F283" s="103" t="s">
        <v>1573</v>
      </c>
      <c r="G283" s="103"/>
      <c r="H283" s="397">
        <f t="shared" si="4"/>
        <v>202214.54928698816</v>
      </c>
      <c r="I283" s="103"/>
      <c r="J283" s="386">
        <v>337</v>
      </c>
      <c r="K283" s="386">
        <v>22.03</v>
      </c>
      <c r="L283" s="386">
        <v>20.73</v>
      </c>
      <c r="M283" s="386">
        <v>19.829999999999998</v>
      </c>
      <c r="N283" s="386">
        <v>12.82</v>
      </c>
      <c r="O283" s="386">
        <v>24.26</v>
      </c>
      <c r="P283" s="386">
        <v>33.78</v>
      </c>
      <c r="Q283" s="386"/>
      <c r="R283" s="386"/>
      <c r="S283" s="386"/>
      <c r="T283" s="386"/>
      <c r="U283" s="386"/>
      <c r="V283" s="386"/>
      <c r="W283" s="386"/>
      <c r="X283" s="386"/>
      <c r="Y283" s="386"/>
      <c r="Z283" s="386"/>
      <c r="AA283" s="386"/>
      <c r="AB283" s="2"/>
      <c r="AC283" s="2"/>
    </row>
    <row r="284" spans="1:29" customFormat="1" ht="18">
      <c r="A284" s="103" t="s">
        <v>273</v>
      </c>
      <c r="B284" s="103" t="s">
        <v>80</v>
      </c>
      <c r="C284" s="396" t="s">
        <v>132</v>
      </c>
      <c r="D284" s="396" t="s">
        <v>1638</v>
      </c>
      <c r="E284" s="103">
        <v>16516</v>
      </c>
      <c r="F284" s="103" t="s">
        <v>1573</v>
      </c>
      <c r="G284" s="103"/>
      <c r="H284" s="397">
        <f t="shared" si="4"/>
        <v>190277.072234597</v>
      </c>
      <c r="I284" s="103"/>
      <c r="J284" s="386">
        <v>327</v>
      </c>
      <c r="K284" s="386">
        <v>22.5</v>
      </c>
      <c r="L284" s="386">
        <v>20.95</v>
      </c>
      <c r="M284" s="386">
        <v>16.54</v>
      </c>
      <c r="N284" s="386">
        <v>12.89</v>
      </c>
      <c r="O284" s="386">
        <v>25.27</v>
      </c>
      <c r="P284" s="386">
        <v>28.2</v>
      </c>
      <c r="Q284" s="386"/>
      <c r="R284" s="386"/>
      <c r="S284" s="386"/>
      <c r="T284" s="386"/>
      <c r="U284" s="386"/>
      <c r="V284" s="386"/>
      <c r="W284" s="386"/>
      <c r="X284" s="386"/>
      <c r="Y284" s="386"/>
      <c r="Z284" s="386"/>
      <c r="AA284" s="386"/>
      <c r="AB284" s="2"/>
      <c r="AC284" s="2"/>
    </row>
    <row r="285" spans="1:29" customFormat="1" ht="18">
      <c r="A285" s="103" t="s">
        <v>273</v>
      </c>
      <c r="B285" s="103" t="s">
        <v>80</v>
      </c>
      <c r="C285" s="396" t="s">
        <v>132</v>
      </c>
      <c r="D285" s="396" t="s">
        <v>1636</v>
      </c>
      <c r="E285" s="103">
        <v>4968</v>
      </c>
      <c r="F285" s="103" t="s">
        <v>1571</v>
      </c>
      <c r="G285" s="103">
        <v>2794</v>
      </c>
      <c r="H285" s="397">
        <f t="shared" si="4"/>
        <v>238908.6050356997</v>
      </c>
      <c r="I285" s="103"/>
      <c r="J285" s="386">
        <v>366</v>
      </c>
      <c r="K285" s="386">
        <v>24.56</v>
      </c>
      <c r="L285" s="386">
        <v>25.81</v>
      </c>
      <c r="M285" s="386">
        <v>19.72</v>
      </c>
      <c r="N285" s="386">
        <v>14.86</v>
      </c>
      <c r="O285" s="386">
        <v>17.920000000000002</v>
      </c>
      <c r="P285" s="386">
        <v>31.9</v>
      </c>
      <c r="Q285" s="386"/>
      <c r="R285" s="386"/>
      <c r="S285" s="386"/>
      <c r="T285" s="386"/>
      <c r="U285" s="386"/>
      <c r="V285" s="386"/>
      <c r="W285" s="386"/>
      <c r="X285" s="386"/>
      <c r="Y285" s="386"/>
      <c r="Z285" s="386"/>
      <c r="AA285" s="386"/>
      <c r="AB285" s="2"/>
      <c r="AC285" s="2"/>
    </row>
    <row r="286" spans="1:29" customFormat="1" ht="18">
      <c r="A286" s="103" t="s">
        <v>273</v>
      </c>
      <c r="B286" s="103" t="s">
        <v>80</v>
      </c>
      <c r="C286" s="396" t="s">
        <v>132</v>
      </c>
      <c r="D286" s="396" t="s">
        <v>1636</v>
      </c>
      <c r="E286" s="103">
        <v>18613</v>
      </c>
      <c r="F286" s="103" t="s">
        <v>1573</v>
      </c>
      <c r="G286" s="103"/>
      <c r="H286" s="397">
        <f t="shared" si="4"/>
        <v>220808.69967413542</v>
      </c>
      <c r="I286" s="103"/>
      <c r="J286" s="386">
        <v>352</v>
      </c>
      <c r="K286" s="386">
        <v>24.64</v>
      </c>
      <c r="L286" s="386">
        <v>25.25</v>
      </c>
      <c r="M286" s="386">
        <v>21.08</v>
      </c>
      <c r="N286" s="386">
        <v>12.37</v>
      </c>
      <c r="O286" s="386">
        <v>22.97</v>
      </c>
      <c r="P286" s="386">
        <v>37.020000000000003</v>
      </c>
      <c r="Q286" s="386"/>
      <c r="R286" s="386"/>
      <c r="S286" s="386"/>
      <c r="T286" s="386"/>
      <c r="U286" s="386"/>
      <c r="V286" s="386"/>
      <c r="W286" s="386"/>
      <c r="X286" s="386"/>
      <c r="Y286" s="386"/>
      <c r="Z286" s="386"/>
      <c r="AA286" s="386"/>
      <c r="AB286" s="2"/>
      <c r="AC286" s="2"/>
    </row>
    <row r="287" spans="1:29" customFormat="1" ht="18">
      <c r="A287" s="103" t="s">
        <v>273</v>
      </c>
      <c r="B287" s="103" t="s">
        <v>80</v>
      </c>
      <c r="C287" s="396" t="s">
        <v>132</v>
      </c>
      <c r="D287" s="396" t="s">
        <v>1636</v>
      </c>
      <c r="E287" s="103">
        <v>5880</v>
      </c>
      <c r="F287" s="103" t="s">
        <v>1573</v>
      </c>
      <c r="G287" s="103"/>
      <c r="H287" s="397">
        <f t="shared" si="4"/>
        <v>223350.32527573459</v>
      </c>
      <c r="I287" s="103"/>
      <c r="J287" s="386">
        <v>354</v>
      </c>
      <c r="K287" s="386">
        <v>25.29</v>
      </c>
      <c r="L287" s="386">
        <v>25.67</v>
      </c>
      <c r="M287" s="386">
        <v>18.03</v>
      </c>
      <c r="N287" s="386">
        <v>13.83</v>
      </c>
      <c r="O287" s="386">
        <v>22.07</v>
      </c>
      <c r="P287" s="386">
        <v>34.340000000000003</v>
      </c>
      <c r="Q287" s="386"/>
      <c r="R287" s="386"/>
      <c r="S287" s="386"/>
      <c r="T287" s="386"/>
      <c r="U287" s="386"/>
      <c r="V287" s="386"/>
      <c r="W287" s="386"/>
      <c r="X287" s="386"/>
      <c r="Y287" s="386"/>
      <c r="Z287" s="386"/>
      <c r="AA287" s="386"/>
      <c r="AB287" s="2"/>
      <c r="AC287" s="2"/>
    </row>
    <row r="288" spans="1:29" customFormat="1" ht="18">
      <c r="A288" s="103" t="s">
        <v>273</v>
      </c>
      <c r="B288" s="103" t="s">
        <v>80</v>
      </c>
      <c r="C288" s="396" t="s">
        <v>132</v>
      </c>
      <c r="D288" s="396" t="s">
        <v>1636</v>
      </c>
      <c r="E288" s="103">
        <v>7032</v>
      </c>
      <c r="F288" s="103" t="s">
        <v>1571</v>
      </c>
      <c r="G288" s="103">
        <v>2388</v>
      </c>
      <c r="H288" s="397">
        <f t="shared" si="4"/>
        <v>240229.00903402764</v>
      </c>
      <c r="I288" s="103"/>
      <c r="J288" s="386">
        <v>367</v>
      </c>
      <c r="K288" s="386">
        <v>25.8</v>
      </c>
      <c r="L288" s="386">
        <v>27.41</v>
      </c>
      <c r="M288" s="386">
        <v>19.55</v>
      </c>
      <c r="N288" s="386">
        <v>15.09</v>
      </c>
      <c r="O288" s="386">
        <v>23.07</v>
      </c>
      <c r="P288" s="386">
        <v>39</v>
      </c>
      <c r="Q288" s="386"/>
      <c r="R288" s="386"/>
      <c r="S288" s="386"/>
      <c r="T288" s="386"/>
      <c r="U288" s="386"/>
      <c r="V288" s="386"/>
      <c r="W288" s="386"/>
      <c r="X288" s="386"/>
      <c r="Y288" s="386"/>
      <c r="Z288" s="386"/>
      <c r="AA288" s="386"/>
      <c r="AB288" s="2"/>
      <c r="AC288" s="2"/>
    </row>
    <row r="289" spans="1:29" customFormat="1" ht="18">
      <c r="A289" s="103" t="s">
        <v>273</v>
      </c>
      <c r="B289" s="103" t="s">
        <v>80</v>
      </c>
      <c r="C289" s="396" t="s">
        <v>132</v>
      </c>
      <c r="D289" s="396" t="s">
        <v>1636</v>
      </c>
      <c r="E289" s="103">
        <v>5882</v>
      </c>
      <c r="F289" s="103" t="s">
        <v>1573</v>
      </c>
      <c r="G289" s="103"/>
      <c r="H289" s="397">
        <f t="shared" si="4"/>
        <v>210789.05361807873</v>
      </c>
      <c r="I289" s="103"/>
      <c r="J289" s="386">
        <v>344</v>
      </c>
      <c r="K289" s="386">
        <v>26.05</v>
      </c>
      <c r="L289" s="386">
        <v>28.09</v>
      </c>
      <c r="M289" s="386">
        <v>20.010000000000002</v>
      </c>
      <c r="N289" s="386">
        <v>14.23</v>
      </c>
      <c r="O289" s="386">
        <v>23.71</v>
      </c>
      <c r="P289" s="386">
        <v>38.79</v>
      </c>
      <c r="Q289" s="386"/>
      <c r="R289" s="386"/>
      <c r="S289" s="386"/>
      <c r="T289" s="386"/>
      <c r="U289" s="386"/>
      <c r="V289" s="386"/>
      <c r="W289" s="386"/>
      <c r="X289" s="386"/>
      <c r="Y289" s="386"/>
      <c r="Z289" s="386"/>
      <c r="AA289" s="386"/>
      <c r="AB289" s="2"/>
      <c r="AC289" s="2"/>
    </row>
    <row r="290" spans="1:29" customFormat="1" ht="18">
      <c r="A290" s="103" t="s">
        <v>273</v>
      </c>
      <c r="B290" s="103" t="s">
        <v>80</v>
      </c>
      <c r="C290" s="396" t="s">
        <v>132</v>
      </c>
      <c r="D290" s="396" t="s">
        <v>1636</v>
      </c>
      <c r="E290" s="103">
        <v>7441</v>
      </c>
      <c r="F290" s="103" t="s">
        <v>1573</v>
      </c>
      <c r="G290" s="103"/>
      <c r="H290" s="397">
        <f t="shared" si="4"/>
        <v>189103.49352486047</v>
      </c>
      <c r="I290" s="103"/>
      <c r="J290" s="386">
        <v>326</v>
      </c>
      <c r="K290" s="386">
        <v>27.14</v>
      </c>
      <c r="L290" s="386">
        <v>26.46</v>
      </c>
      <c r="M290" s="386">
        <v>20.54</v>
      </c>
      <c r="N290" s="386">
        <v>13.98</v>
      </c>
      <c r="O290" s="386">
        <v>23.82</v>
      </c>
      <c r="P290" s="386">
        <v>34.880000000000003</v>
      </c>
      <c r="Q290" s="386">
        <v>46.72</v>
      </c>
      <c r="R290" s="386">
        <v>40.1</v>
      </c>
      <c r="S290" s="386">
        <v>75.67</v>
      </c>
      <c r="T290" s="386">
        <v>92.5</v>
      </c>
      <c r="U290" s="386">
        <v>35.9</v>
      </c>
      <c r="V290" s="386">
        <v>284.70999999999998</v>
      </c>
      <c r="W290" s="386">
        <v>21.6</v>
      </c>
      <c r="X290" s="386">
        <v>74.180000000000007</v>
      </c>
      <c r="Y290" s="386">
        <v>42.28</v>
      </c>
      <c r="Z290" s="386">
        <v>386</v>
      </c>
      <c r="AA290" s="386">
        <v>34.81</v>
      </c>
      <c r="AB290" s="2"/>
      <c r="AC290" s="2"/>
    </row>
    <row r="291" spans="1:29" customFormat="1" ht="18">
      <c r="A291" s="103" t="s">
        <v>273</v>
      </c>
      <c r="B291" s="103" t="s">
        <v>80</v>
      </c>
      <c r="C291" s="396" t="s">
        <v>132</v>
      </c>
      <c r="D291" s="396" t="s">
        <v>1636</v>
      </c>
      <c r="E291" s="103">
        <v>5612</v>
      </c>
      <c r="F291" s="103" t="s">
        <v>1573</v>
      </c>
      <c r="G291" s="103">
        <v>1396</v>
      </c>
      <c r="H291" s="397" t="s">
        <v>1577</v>
      </c>
      <c r="I291" s="103" t="s">
        <v>1577</v>
      </c>
      <c r="J291" s="386" t="s">
        <v>1577</v>
      </c>
      <c r="K291" s="386">
        <v>29.47</v>
      </c>
      <c r="L291" s="386">
        <v>30.1</v>
      </c>
      <c r="M291" s="386">
        <v>25.61</v>
      </c>
      <c r="N291" s="386">
        <v>18.600000000000001</v>
      </c>
      <c r="O291" s="386">
        <v>27.83</v>
      </c>
      <c r="P291" s="386">
        <v>40.14</v>
      </c>
      <c r="Q291" s="386"/>
      <c r="R291" s="386"/>
      <c r="S291" s="386"/>
      <c r="T291" s="386"/>
      <c r="U291" s="386"/>
      <c r="V291" s="386"/>
      <c r="W291" s="386"/>
      <c r="X291" s="386"/>
      <c r="Y291" s="386"/>
      <c r="Z291" s="386"/>
      <c r="AA291" s="386"/>
      <c r="AB291" s="2"/>
      <c r="AC291" s="2"/>
    </row>
    <row r="292" spans="1:29" customFormat="1" ht="18">
      <c r="A292" s="103" t="s">
        <v>273</v>
      </c>
      <c r="B292" s="103" t="s">
        <v>80</v>
      </c>
      <c r="C292" s="396" t="s">
        <v>132</v>
      </c>
      <c r="D292" s="396" t="s">
        <v>133</v>
      </c>
      <c r="E292" s="103">
        <v>1875</v>
      </c>
      <c r="F292" s="103" t="s">
        <v>1573</v>
      </c>
      <c r="G292" s="103"/>
      <c r="H292" s="397">
        <f>(10^((LOG((J292))*2.02)+-2.8)*1000)</f>
        <v>149190.57748512644</v>
      </c>
      <c r="I292" s="103"/>
      <c r="J292" s="386">
        <v>289.89999999999998</v>
      </c>
      <c r="K292" s="386"/>
      <c r="L292" s="386"/>
      <c r="M292" s="386"/>
      <c r="N292" s="386"/>
      <c r="O292" s="386">
        <v>19.43</v>
      </c>
      <c r="P292" s="386">
        <v>24.57</v>
      </c>
      <c r="Q292" s="386">
        <v>39.270000000000003</v>
      </c>
      <c r="R292" s="386">
        <v>27.39</v>
      </c>
      <c r="S292" s="386">
        <v>63.77</v>
      </c>
      <c r="T292" s="386">
        <v>81.900000000000006</v>
      </c>
      <c r="U292" s="386">
        <v>33.369999999999997</v>
      </c>
      <c r="V292" s="386">
        <v>267.5</v>
      </c>
      <c r="W292" s="386">
        <v>21.99</v>
      </c>
      <c r="X292" s="386">
        <v>60.69</v>
      </c>
      <c r="Y292" s="386">
        <v>38.81</v>
      </c>
      <c r="Z292" s="386">
        <v>350</v>
      </c>
      <c r="AA292" s="386">
        <v>41.44</v>
      </c>
      <c r="AB292" s="2"/>
      <c r="AC292" s="2"/>
    </row>
    <row r="293" spans="1:29" customFormat="1" ht="18">
      <c r="A293" s="103" t="s">
        <v>273</v>
      </c>
      <c r="B293" s="103" t="s">
        <v>80</v>
      </c>
      <c r="C293" s="396" t="s">
        <v>132</v>
      </c>
      <c r="D293" s="396" t="s">
        <v>1638</v>
      </c>
      <c r="E293" s="103">
        <v>16356</v>
      </c>
      <c r="F293" s="103" t="s">
        <v>1573</v>
      </c>
      <c r="G293" s="103"/>
      <c r="H293" s="397">
        <f>(10^((LOG((J293))*2.02)+-2.8)*1000)</f>
        <v>249574.74522686697</v>
      </c>
      <c r="I293" s="103"/>
      <c r="J293" s="386">
        <v>374</v>
      </c>
      <c r="K293" s="386"/>
      <c r="L293" s="386"/>
      <c r="M293" s="386"/>
      <c r="N293" s="386"/>
      <c r="O293" s="386">
        <v>21.23</v>
      </c>
      <c r="P293" s="386">
        <v>28.7</v>
      </c>
      <c r="Q293" s="386"/>
      <c r="R293" s="386"/>
      <c r="S293" s="386"/>
      <c r="T293" s="386"/>
      <c r="U293" s="386"/>
      <c r="V293" s="386"/>
      <c r="W293" s="386"/>
      <c r="X293" s="386"/>
      <c r="Y293" s="386"/>
      <c r="Z293" s="386"/>
      <c r="AA293" s="386"/>
      <c r="AB293" s="2"/>
      <c r="AC293" s="2"/>
    </row>
    <row r="294" spans="1:29" customFormat="1" ht="16">
      <c r="A294" s="2"/>
      <c r="B294" s="2"/>
      <c r="C294" s="124"/>
      <c r="D294" s="124"/>
      <c r="E294" s="2"/>
      <c r="F294" s="2"/>
      <c r="G294" s="2"/>
      <c r="H294" s="139"/>
      <c r="I294" s="2"/>
      <c r="J294" s="483"/>
      <c r="K294" s="483"/>
      <c r="L294" s="483"/>
      <c r="M294" s="483"/>
      <c r="N294" s="483"/>
      <c r="O294" s="484"/>
      <c r="P294" s="483"/>
      <c r="Q294" s="483"/>
      <c r="R294" s="483"/>
      <c r="S294" s="483"/>
      <c r="T294" s="483"/>
      <c r="U294" s="483"/>
      <c r="V294" s="483"/>
      <c r="W294" s="483"/>
      <c r="X294" s="483"/>
      <c r="Y294" s="483"/>
      <c r="Z294" s="483"/>
      <c r="AA294" s="483"/>
      <c r="AB294" s="2"/>
      <c r="AC294" s="2"/>
    </row>
    <row r="295" spans="1:29" customFormat="1" ht="16">
      <c r="A295" s="2"/>
      <c r="B295" s="2"/>
      <c r="C295" s="124"/>
      <c r="D295" s="124"/>
      <c r="E295" s="2"/>
      <c r="F295" s="2"/>
      <c r="G295" s="2"/>
      <c r="H295" s="139" t="s">
        <v>1639</v>
      </c>
      <c r="I295" s="2"/>
      <c r="J295" s="483"/>
      <c r="K295" s="483"/>
      <c r="L295" s="483"/>
      <c r="M295" s="483"/>
      <c r="N295" s="483"/>
      <c r="O295" s="484"/>
      <c r="P295" s="483"/>
      <c r="Q295" s="483"/>
      <c r="R295" s="483"/>
      <c r="S295" s="483"/>
      <c r="T295" s="483"/>
      <c r="U295" s="483"/>
      <c r="V295" s="483"/>
      <c r="W295" s="483"/>
      <c r="X295" s="483"/>
      <c r="Y295" s="483"/>
      <c r="Z295" s="483"/>
      <c r="AA295" s="483"/>
      <c r="AB295" s="2"/>
      <c r="AC295" s="2"/>
    </row>
    <row r="296" spans="1:29" customFormat="1" ht="16">
      <c r="A296" s="2"/>
      <c r="B296" s="2"/>
      <c r="C296" s="124"/>
      <c r="D296" s="124"/>
      <c r="E296" s="2"/>
      <c r="F296" s="2"/>
      <c r="G296" s="2"/>
      <c r="H296" s="139"/>
      <c r="I296" s="2"/>
      <c r="J296" s="483"/>
      <c r="K296" s="483"/>
      <c r="L296" s="483"/>
      <c r="M296" s="483"/>
      <c r="N296" s="483"/>
      <c r="O296" s="484"/>
      <c r="P296" s="483"/>
      <c r="Q296" s="483"/>
      <c r="R296" s="483"/>
      <c r="S296" s="483"/>
      <c r="T296" s="483"/>
      <c r="U296" s="483"/>
      <c r="V296" s="483"/>
      <c r="W296" s="483"/>
      <c r="X296" s="483"/>
      <c r="Y296" s="483"/>
      <c r="Z296" s="483"/>
      <c r="AA296" s="483"/>
      <c r="AB296" s="2"/>
      <c r="AC296" s="2"/>
    </row>
    <row r="297" spans="1:29" customFormat="1" ht="16">
      <c r="A297" s="2"/>
      <c r="B297" s="2"/>
      <c r="C297" s="124"/>
      <c r="D297" s="124"/>
      <c r="E297" s="2"/>
      <c r="F297" s="2"/>
      <c r="G297" s="2"/>
      <c r="H297" s="139"/>
      <c r="I297" s="2"/>
      <c r="J297" s="483"/>
      <c r="K297" s="483"/>
      <c r="L297" s="483"/>
      <c r="M297" s="483"/>
      <c r="N297" s="483"/>
      <c r="O297" s="484"/>
      <c r="P297" s="483"/>
      <c r="Q297" s="483"/>
      <c r="R297" s="483"/>
      <c r="S297" s="483"/>
      <c r="T297" s="483"/>
      <c r="U297" s="483"/>
      <c r="V297" s="483"/>
      <c r="W297" s="483"/>
      <c r="X297" s="483"/>
      <c r="Y297" s="483"/>
      <c r="Z297" s="483"/>
      <c r="AA297" s="483"/>
      <c r="AB297" s="2"/>
      <c r="AC297" s="2"/>
    </row>
    <row r="298" spans="1:29" customFormat="1" ht="16">
      <c r="A298" s="2"/>
      <c r="B298" s="2"/>
      <c r="C298" s="124"/>
      <c r="D298" s="124"/>
      <c r="E298" s="2"/>
      <c r="F298" s="2"/>
      <c r="G298" s="2"/>
      <c r="H298" s="139"/>
      <c r="I298" s="2"/>
      <c r="J298" s="483"/>
      <c r="K298" s="483"/>
      <c r="L298" s="483"/>
      <c r="M298" s="483"/>
      <c r="N298" s="483"/>
      <c r="O298" s="484"/>
      <c r="P298" s="483"/>
      <c r="Q298" s="483"/>
      <c r="R298" s="483"/>
      <c r="S298" s="483"/>
      <c r="T298" s="483"/>
      <c r="U298" s="483"/>
      <c r="V298" s="483"/>
      <c r="W298" s="483"/>
      <c r="X298" s="483"/>
      <c r="Y298" s="483"/>
      <c r="Z298" s="483"/>
      <c r="AA298" s="483"/>
      <c r="AB298" s="2"/>
      <c r="AC298" s="2"/>
    </row>
    <row r="299" spans="1:29" customFormat="1" ht="16">
      <c r="A299" s="2"/>
      <c r="B299" s="2"/>
      <c r="C299" s="124"/>
      <c r="D299" s="124"/>
      <c r="E299" s="2"/>
      <c r="F299" s="2"/>
      <c r="G299" s="2"/>
      <c r="H299" s="139"/>
      <c r="I299" s="2"/>
      <c r="J299" s="483"/>
      <c r="K299" s="483"/>
      <c r="L299" s="483"/>
      <c r="M299" s="483"/>
      <c r="N299" s="483"/>
      <c r="O299" s="484"/>
      <c r="P299" s="483"/>
      <c r="Q299" s="483"/>
      <c r="R299" s="483"/>
      <c r="S299" s="483"/>
      <c r="T299" s="483"/>
      <c r="U299" s="483"/>
      <c r="V299" s="483"/>
      <c r="W299" s="483"/>
      <c r="X299" s="483"/>
      <c r="Y299" s="483"/>
      <c r="Z299" s="483"/>
      <c r="AA299" s="483"/>
      <c r="AB299" s="2"/>
      <c r="AC299" s="2"/>
    </row>
    <row r="300" spans="1:29" customFormat="1" ht="16">
      <c r="A300" s="2"/>
      <c r="B300" s="2"/>
      <c r="C300" s="124"/>
      <c r="D300" s="124"/>
      <c r="E300" s="2"/>
      <c r="F300" s="2"/>
      <c r="G300" s="2"/>
      <c r="H300" s="139"/>
      <c r="I300" s="2"/>
      <c r="J300" s="483"/>
      <c r="K300" s="483"/>
      <c r="L300" s="483"/>
      <c r="M300" s="483"/>
      <c r="N300" s="483"/>
      <c r="O300" s="484"/>
      <c r="P300" s="483"/>
      <c r="Q300" s="483"/>
      <c r="R300" s="483"/>
      <c r="S300" s="483"/>
      <c r="T300" s="483"/>
      <c r="U300" s="483"/>
      <c r="V300" s="483"/>
      <c r="W300" s="483"/>
      <c r="X300" s="483"/>
      <c r="Y300" s="483"/>
      <c r="Z300" s="483"/>
      <c r="AA300" s="483"/>
      <c r="AB300" s="2"/>
      <c r="AC300" s="2"/>
    </row>
    <row r="301" spans="1:29" customFormat="1" ht="16">
      <c r="A301" s="2"/>
      <c r="B301" s="2"/>
      <c r="C301" s="124"/>
      <c r="D301" s="124"/>
      <c r="E301" s="2"/>
      <c r="F301" s="2"/>
      <c r="G301" s="2"/>
      <c r="H301" s="139"/>
      <c r="I301" s="2"/>
      <c r="J301" s="483"/>
      <c r="K301" s="483"/>
      <c r="L301" s="483"/>
      <c r="M301" s="483"/>
      <c r="N301" s="483"/>
      <c r="O301" s="484"/>
      <c r="P301" s="483"/>
      <c r="Q301" s="483"/>
      <c r="R301" s="483"/>
      <c r="S301" s="483"/>
      <c r="T301" s="483"/>
      <c r="U301" s="483"/>
      <c r="V301" s="483"/>
      <c r="W301" s="483"/>
      <c r="X301" s="483"/>
      <c r="Y301" s="483"/>
      <c r="Z301" s="483"/>
      <c r="AA301" s="483"/>
      <c r="AB301" s="2"/>
      <c r="AC301" s="2"/>
    </row>
    <row r="302" spans="1:29" customFormat="1" ht="16">
      <c r="A302" s="2"/>
      <c r="B302" s="2"/>
      <c r="C302" s="124"/>
      <c r="D302" s="124"/>
      <c r="E302" s="2"/>
      <c r="F302" s="2"/>
      <c r="G302" s="2"/>
      <c r="H302" s="139"/>
      <c r="I302" s="2"/>
      <c r="J302" s="483"/>
      <c r="K302" s="483"/>
      <c r="L302" s="483"/>
      <c r="M302" s="483"/>
      <c r="N302" s="483"/>
      <c r="O302" s="484"/>
      <c r="P302" s="483"/>
      <c r="Q302" s="483"/>
      <c r="R302" s="483"/>
      <c r="S302" s="483"/>
      <c r="T302" s="483"/>
      <c r="U302" s="483"/>
      <c r="V302" s="483"/>
      <c r="W302" s="483"/>
      <c r="X302" s="483"/>
      <c r="Y302" s="483"/>
      <c r="Z302" s="483"/>
      <c r="AA302" s="483"/>
      <c r="AB302" s="2"/>
      <c r="AC302" s="2"/>
    </row>
    <row r="303" spans="1:29" customFormat="1" ht="16">
      <c r="A303" s="2"/>
      <c r="B303" s="2"/>
      <c r="C303" s="124"/>
      <c r="D303" s="124"/>
      <c r="E303" s="2"/>
      <c r="F303" s="2"/>
      <c r="G303" s="2"/>
      <c r="H303" s="139"/>
      <c r="I303" s="2"/>
      <c r="J303" s="483"/>
      <c r="K303" s="483"/>
      <c r="L303" s="483"/>
      <c r="M303" s="483"/>
      <c r="N303" s="483"/>
      <c r="O303" s="484"/>
      <c r="P303" s="483"/>
      <c r="Q303" s="483"/>
      <c r="R303" s="483"/>
      <c r="S303" s="483"/>
      <c r="T303" s="483"/>
      <c r="U303" s="483"/>
      <c r="V303" s="483"/>
      <c r="W303" s="483"/>
      <c r="X303" s="483"/>
      <c r="Y303" s="483"/>
      <c r="Z303" s="483"/>
      <c r="AA303" s="483"/>
      <c r="AB303" s="2"/>
      <c r="AC303" s="2"/>
    </row>
    <row r="304" spans="1:29" customFormat="1" ht="16">
      <c r="A304" s="2"/>
      <c r="B304" s="2"/>
      <c r="C304" s="124"/>
      <c r="D304" s="124"/>
      <c r="E304" s="2"/>
      <c r="F304" s="2"/>
      <c r="G304" s="2"/>
      <c r="H304" s="139"/>
      <c r="I304" s="2"/>
      <c r="J304" s="483"/>
      <c r="K304" s="483"/>
      <c r="L304" s="483"/>
      <c r="M304" s="483"/>
      <c r="N304" s="483"/>
      <c r="O304" s="484"/>
      <c r="P304" s="483"/>
      <c r="Q304" s="483"/>
      <c r="R304" s="483"/>
      <c r="S304" s="483"/>
      <c r="T304" s="483"/>
      <c r="U304" s="483"/>
      <c r="V304" s="483"/>
      <c r="W304" s="483"/>
      <c r="X304" s="483"/>
      <c r="Y304" s="483"/>
      <c r="Z304" s="483"/>
      <c r="AA304" s="483"/>
      <c r="AB304" s="2"/>
      <c r="AC304" s="2"/>
    </row>
    <row r="305" spans="1:29" customFormat="1" ht="16">
      <c r="A305" s="2"/>
      <c r="B305" s="2"/>
      <c r="C305" s="124"/>
      <c r="D305" s="124"/>
      <c r="E305" s="2"/>
      <c r="F305" s="2"/>
      <c r="G305" s="2"/>
      <c r="H305" s="139"/>
      <c r="I305" s="2"/>
      <c r="J305" s="483"/>
      <c r="K305" s="483"/>
      <c r="L305" s="483"/>
      <c r="M305" s="483"/>
      <c r="N305" s="483"/>
      <c r="O305" s="484"/>
      <c r="P305" s="483"/>
      <c r="Q305" s="483"/>
      <c r="R305" s="483"/>
      <c r="S305" s="483"/>
      <c r="T305" s="483"/>
      <c r="U305" s="483"/>
      <c r="V305" s="483"/>
      <c r="W305" s="483"/>
      <c r="X305" s="483"/>
      <c r="Y305" s="483"/>
      <c r="Z305" s="483"/>
      <c r="AA305" s="483"/>
      <c r="AB305" s="2"/>
      <c r="AC305" s="2"/>
    </row>
    <row r="306" spans="1:29" customFormat="1" ht="16">
      <c r="A306" s="2"/>
      <c r="B306" s="2"/>
      <c r="C306" s="124"/>
      <c r="D306" s="124"/>
      <c r="E306" s="2"/>
      <c r="F306" s="2"/>
      <c r="G306" s="2"/>
      <c r="H306" s="139"/>
      <c r="I306" s="2"/>
      <c r="J306" s="483"/>
      <c r="K306" s="483"/>
      <c r="L306" s="483"/>
      <c r="M306" s="483"/>
      <c r="N306" s="483"/>
      <c r="O306" s="484"/>
      <c r="P306" s="483"/>
      <c r="Q306" s="483"/>
      <c r="R306" s="483"/>
      <c r="S306" s="483"/>
      <c r="T306" s="483"/>
      <c r="U306" s="483"/>
      <c r="V306" s="483"/>
      <c r="W306" s="483"/>
      <c r="X306" s="483"/>
      <c r="Y306" s="483"/>
      <c r="Z306" s="483"/>
      <c r="AA306" s="483"/>
      <c r="AB306" s="2"/>
      <c r="AC306" s="2"/>
    </row>
    <row r="307" spans="1:29" customFormat="1" ht="16">
      <c r="A307" s="2"/>
      <c r="B307" s="2"/>
      <c r="C307" s="124"/>
      <c r="D307" s="124"/>
      <c r="E307" s="2"/>
      <c r="F307" s="2"/>
      <c r="G307" s="2"/>
      <c r="H307" s="139"/>
      <c r="I307" s="2"/>
      <c r="J307" s="483"/>
      <c r="K307" s="483"/>
      <c r="L307" s="483"/>
      <c r="M307" s="483"/>
      <c r="N307" s="483"/>
      <c r="O307" s="484"/>
      <c r="P307" s="483"/>
      <c r="Q307" s="483"/>
      <c r="R307" s="483"/>
      <c r="S307" s="483"/>
      <c r="T307" s="483"/>
      <c r="U307" s="483"/>
      <c r="V307" s="483"/>
      <c r="W307" s="483"/>
      <c r="X307" s="483"/>
      <c r="Y307" s="483"/>
      <c r="Z307" s="483"/>
      <c r="AA307" s="483"/>
      <c r="AB307" s="2"/>
      <c r="AC307" s="2"/>
    </row>
    <row r="308" spans="1:29" customFormat="1" ht="16">
      <c r="A308" s="2"/>
      <c r="B308" s="2"/>
      <c r="C308" s="124"/>
      <c r="D308" s="124"/>
      <c r="E308" s="2"/>
      <c r="F308" s="2"/>
      <c r="G308" s="2"/>
      <c r="H308" s="139"/>
      <c r="I308" s="2"/>
      <c r="J308" s="483"/>
      <c r="K308" s="483"/>
      <c r="L308" s="483"/>
      <c r="M308" s="483"/>
      <c r="N308" s="483"/>
      <c r="O308" s="484"/>
      <c r="P308" s="483"/>
      <c r="Q308" s="483"/>
      <c r="R308" s="483"/>
      <c r="S308" s="483"/>
      <c r="T308" s="483"/>
      <c r="U308" s="483"/>
      <c r="V308" s="483"/>
      <c r="W308" s="483"/>
      <c r="X308" s="483"/>
      <c r="Y308" s="483"/>
      <c r="Z308" s="483"/>
      <c r="AA308" s="483"/>
      <c r="AB308" s="2"/>
      <c r="AC308" s="2"/>
    </row>
    <row r="309" spans="1:29" customFormat="1" ht="16">
      <c r="A309" s="2"/>
      <c r="B309" s="2"/>
      <c r="C309" s="124"/>
      <c r="D309" s="124"/>
      <c r="E309" s="2"/>
      <c r="F309" s="2"/>
      <c r="G309" s="2"/>
      <c r="H309" s="139"/>
      <c r="I309" s="2"/>
      <c r="J309" s="483"/>
      <c r="K309" s="483"/>
      <c r="L309" s="483"/>
      <c r="M309" s="483"/>
      <c r="N309" s="483"/>
      <c r="O309" s="484"/>
      <c r="P309" s="483"/>
      <c r="Q309" s="483"/>
      <c r="R309" s="483"/>
      <c r="S309" s="483"/>
      <c r="T309" s="483"/>
      <c r="U309" s="483"/>
      <c r="V309" s="483"/>
      <c r="W309" s="483"/>
      <c r="X309" s="483"/>
      <c r="Y309" s="483"/>
      <c r="Z309" s="483"/>
      <c r="AA309" s="483"/>
      <c r="AB309" s="2"/>
      <c r="AC309" s="2"/>
    </row>
    <row r="310" spans="1:29" customFormat="1" ht="16">
      <c r="A310" s="2"/>
      <c r="B310" s="2"/>
      <c r="C310" s="124"/>
      <c r="D310" s="124"/>
      <c r="E310" s="2"/>
      <c r="F310" s="2"/>
      <c r="G310" s="2"/>
      <c r="H310" s="139"/>
      <c r="I310" s="2"/>
      <c r="J310" s="483"/>
      <c r="K310" s="483"/>
      <c r="L310" s="483"/>
      <c r="M310" s="483"/>
      <c r="N310" s="483"/>
      <c r="O310" s="484"/>
      <c r="P310" s="483"/>
      <c r="Q310" s="483"/>
      <c r="R310" s="483"/>
      <c r="S310" s="483"/>
      <c r="T310" s="483"/>
      <c r="U310" s="483"/>
      <c r="V310" s="483"/>
      <c r="W310" s="483"/>
      <c r="X310" s="483"/>
      <c r="Y310" s="483"/>
      <c r="Z310" s="483"/>
      <c r="AA310" s="483"/>
      <c r="AB310" s="2"/>
      <c r="AC310" s="2"/>
    </row>
    <row r="311" spans="1:29" customFormat="1" ht="16">
      <c r="A311" s="2"/>
      <c r="B311" s="2"/>
      <c r="C311" s="124"/>
      <c r="D311" s="124"/>
      <c r="E311" s="2"/>
      <c r="F311" s="2"/>
      <c r="G311" s="2"/>
      <c r="H311" s="139"/>
      <c r="I311" s="2"/>
      <c r="J311" s="483"/>
      <c r="K311" s="483"/>
      <c r="L311" s="483"/>
      <c r="M311" s="483"/>
      <c r="N311" s="483"/>
      <c r="O311" s="484"/>
      <c r="P311" s="483"/>
      <c r="Q311" s="483"/>
      <c r="R311" s="483"/>
      <c r="S311" s="483"/>
      <c r="T311" s="483"/>
      <c r="U311" s="483"/>
      <c r="V311" s="483"/>
      <c r="W311" s="483"/>
      <c r="X311" s="483"/>
      <c r="Y311" s="483"/>
      <c r="Z311" s="483"/>
      <c r="AA311" s="483"/>
      <c r="AB311" s="2"/>
      <c r="AC311" s="2"/>
    </row>
    <row r="312" spans="1:29" customFormat="1" ht="16">
      <c r="A312" s="2"/>
      <c r="B312" s="2"/>
      <c r="C312" s="124"/>
      <c r="D312" s="124"/>
      <c r="E312" s="2"/>
      <c r="F312" s="2"/>
      <c r="G312" s="2"/>
      <c r="H312" s="139"/>
      <c r="I312" s="2"/>
      <c r="J312" s="483"/>
      <c r="K312" s="483"/>
      <c r="L312" s="483"/>
      <c r="M312" s="483"/>
      <c r="N312" s="483"/>
      <c r="O312" s="484"/>
      <c r="P312" s="483"/>
      <c r="Q312" s="483"/>
      <c r="R312" s="483"/>
      <c r="S312" s="483"/>
      <c r="T312" s="483"/>
      <c r="U312" s="483"/>
      <c r="V312" s="483"/>
      <c r="W312" s="483"/>
      <c r="X312" s="483"/>
      <c r="Y312" s="483"/>
      <c r="Z312" s="483"/>
      <c r="AA312" s="483"/>
      <c r="AB312" s="2"/>
      <c r="AC312" s="2"/>
    </row>
    <row r="313" spans="1:29" customFormat="1" ht="16">
      <c r="A313" s="2"/>
      <c r="B313" s="2"/>
      <c r="C313" s="124"/>
      <c r="D313" s="124"/>
      <c r="E313" s="2"/>
      <c r="F313" s="2"/>
      <c r="G313" s="2"/>
      <c r="H313" s="139"/>
      <c r="I313" s="2"/>
      <c r="J313" s="483"/>
      <c r="K313" s="483"/>
      <c r="L313" s="483"/>
      <c r="M313" s="483"/>
      <c r="N313" s="483"/>
      <c r="O313" s="484"/>
      <c r="P313" s="483"/>
      <c r="Q313" s="483"/>
      <c r="R313" s="483"/>
      <c r="S313" s="483"/>
      <c r="T313" s="483"/>
      <c r="U313" s="483"/>
      <c r="V313" s="483"/>
      <c r="W313" s="483"/>
      <c r="X313" s="483"/>
      <c r="Y313" s="483"/>
      <c r="Z313" s="483"/>
      <c r="AA313" s="483"/>
      <c r="AB313" s="2"/>
      <c r="AC313" s="2"/>
    </row>
    <row r="314" spans="1:29" customFormat="1" ht="16">
      <c r="A314" s="2"/>
      <c r="B314" s="2"/>
      <c r="C314" s="124"/>
      <c r="D314" s="124"/>
      <c r="E314" s="2"/>
      <c r="F314" s="2"/>
      <c r="G314" s="2"/>
      <c r="H314" s="139"/>
      <c r="I314" s="2"/>
      <c r="J314" s="483"/>
      <c r="K314" s="483"/>
      <c r="L314" s="483"/>
      <c r="M314" s="483"/>
      <c r="N314" s="483"/>
      <c r="O314" s="484"/>
      <c r="P314" s="483"/>
      <c r="Q314" s="483"/>
      <c r="R314" s="483"/>
      <c r="S314" s="483"/>
      <c r="T314" s="483"/>
      <c r="U314" s="483"/>
      <c r="V314" s="483"/>
      <c r="W314" s="483"/>
      <c r="X314" s="483"/>
      <c r="Y314" s="483"/>
      <c r="Z314" s="483"/>
      <c r="AA314" s="483"/>
      <c r="AB314" s="2"/>
      <c r="AC314" s="2"/>
    </row>
    <row r="315" spans="1:29" customFormat="1" ht="16">
      <c r="A315" s="2"/>
      <c r="B315" s="2"/>
      <c r="C315" s="124"/>
      <c r="D315" s="124"/>
      <c r="E315" s="2"/>
      <c r="F315" s="2"/>
      <c r="G315" s="2"/>
      <c r="H315" s="139"/>
      <c r="I315" s="2"/>
      <c r="J315" s="483"/>
      <c r="K315" s="483"/>
      <c r="L315" s="483"/>
      <c r="M315" s="483"/>
      <c r="N315" s="483"/>
      <c r="O315" s="484"/>
      <c r="P315" s="483"/>
      <c r="Q315" s="483"/>
      <c r="R315" s="483"/>
      <c r="S315" s="483"/>
      <c r="T315" s="483"/>
      <c r="U315" s="483"/>
      <c r="V315" s="483"/>
      <c r="W315" s="483"/>
      <c r="X315" s="483"/>
      <c r="Y315" s="483"/>
      <c r="Z315" s="483"/>
      <c r="AA315" s="483"/>
      <c r="AB315" s="2"/>
      <c r="AC315" s="2"/>
    </row>
    <row r="316" spans="1:29" customFormat="1" ht="16">
      <c r="A316" s="2"/>
      <c r="B316" s="2"/>
      <c r="C316" s="124"/>
      <c r="D316" s="124"/>
      <c r="E316" s="2"/>
      <c r="F316" s="2"/>
      <c r="G316" s="2"/>
      <c r="H316" s="139"/>
      <c r="I316" s="2"/>
      <c r="J316" s="483"/>
      <c r="K316" s="483"/>
      <c r="L316" s="483"/>
      <c r="M316" s="483"/>
      <c r="N316" s="483"/>
      <c r="O316" s="484"/>
      <c r="P316" s="483"/>
      <c r="Q316" s="483"/>
      <c r="R316" s="483"/>
      <c r="S316" s="483"/>
      <c r="T316" s="483"/>
      <c r="U316" s="483"/>
      <c r="V316" s="483"/>
      <c r="W316" s="483"/>
      <c r="X316" s="483"/>
      <c r="Y316" s="483"/>
      <c r="Z316" s="483"/>
      <c r="AA316" s="483"/>
      <c r="AB316" s="2"/>
      <c r="AC316" s="2"/>
    </row>
    <row r="317" spans="1:29" customFormat="1" ht="16">
      <c r="A317" s="2"/>
      <c r="B317" s="2"/>
      <c r="C317" s="124"/>
      <c r="D317" s="124"/>
      <c r="E317" s="2"/>
      <c r="F317" s="2"/>
      <c r="G317" s="2"/>
      <c r="H317" s="139"/>
      <c r="I317" s="2"/>
      <c r="J317" s="483"/>
      <c r="K317" s="483"/>
      <c r="L317" s="483"/>
      <c r="M317" s="483"/>
      <c r="N317" s="483"/>
      <c r="O317" s="484"/>
      <c r="P317" s="483"/>
      <c r="Q317" s="483"/>
      <c r="R317" s="483"/>
      <c r="S317" s="483"/>
      <c r="T317" s="483"/>
      <c r="U317" s="483"/>
      <c r="V317" s="483"/>
      <c r="W317" s="483"/>
      <c r="X317" s="483"/>
      <c r="Y317" s="483"/>
      <c r="Z317" s="483"/>
      <c r="AA317" s="483"/>
      <c r="AB317" s="2"/>
      <c r="AC317" s="2"/>
    </row>
    <row r="318" spans="1:29" customFormat="1" ht="16">
      <c r="A318" s="2"/>
      <c r="B318" s="2"/>
      <c r="C318" s="124"/>
      <c r="D318" s="124"/>
      <c r="E318" s="2"/>
      <c r="F318" s="2"/>
      <c r="G318" s="2"/>
      <c r="H318" s="139"/>
      <c r="I318" s="2"/>
      <c r="J318" s="483"/>
      <c r="K318" s="483"/>
      <c r="L318" s="483"/>
      <c r="M318" s="483"/>
      <c r="N318" s="483"/>
      <c r="O318" s="484"/>
      <c r="P318" s="483"/>
      <c r="Q318" s="483"/>
      <c r="R318" s="483"/>
      <c r="S318" s="483"/>
      <c r="T318" s="483"/>
      <c r="U318" s="483"/>
      <c r="V318" s="483"/>
      <c r="W318" s="483"/>
      <c r="X318" s="483"/>
      <c r="Y318" s="483"/>
      <c r="Z318" s="483"/>
      <c r="AA318" s="483"/>
      <c r="AB318" s="2"/>
      <c r="AC318" s="2"/>
    </row>
    <row r="319" spans="1:29" customFormat="1" ht="16">
      <c r="A319" s="2"/>
      <c r="B319" s="2"/>
      <c r="C319" s="124"/>
      <c r="D319" s="124"/>
      <c r="E319" s="2"/>
      <c r="F319" s="2"/>
      <c r="G319" s="2"/>
      <c r="H319" s="139"/>
      <c r="I319" s="2"/>
      <c r="J319" s="483"/>
      <c r="K319" s="483"/>
      <c r="L319" s="483"/>
      <c r="M319" s="483"/>
      <c r="N319" s="483"/>
      <c r="O319" s="484"/>
      <c r="P319" s="483"/>
      <c r="Q319" s="483"/>
      <c r="R319" s="483"/>
      <c r="S319" s="483"/>
      <c r="T319" s="483"/>
      <c r="U319" s="483"/>
      <c r="V319" s="483"/>
      <c r="W319" s="483"/>
      <c r="X319" s="483"/>
      <c r="Y319" s="483"/>
      <c r="Z319" s="483"/>
      <c r="AA319" s="483"/>
      <c r="AB319" s="2"/>
      <c r="AC319" s="2"/>
    </row>
    <row r="320" spans="1:29" customFormat="1" ht="16">
      <c r="A320" s="2"/>
      <c r="B320" s="2"/>
      <c r="C320" s="124"/>
      <c r="D320" s="124"/>
      <c r="E320" s="2"/>
      <c r="F320" s="2"/>
      <c r="G320" s="2"/>
      <c r="H320" s="139"/>
      <c r="I320" s="2"/>
      <c r="J320" s="483"/>
      <c r="K320" s="483"/>
      <c r="L320" s="483"/>
      <c r="M320" s="483"/>
      <c r="N320" s="483"/>
      <c r="O320" s="484"/>
      <c r="P320" s="483"/>
      <c r="Q320" s="483"/>
      <c r="R320" s="483"/>
      <c r="S320" s="483"/>
      <c r="T320" s="483"/>
      <c r="U320" s="483"/>
      <c r="V320" s="483"/>
      <c r="W320" s="483"/>
      <c r="X320" s="483"/>
      <c r="Y320" s="483"/>
      <c r="Z320" s="483"/>
      <c r="AA320" s="483"/>
      <c r="AB320" s="2"/>
      <c r="AC320" s="2"/>
    </row>
    <row r="321" spans="1:29" customFormat="1" ht="16">
      <c r="A321" s="2"/>
      <c r="B321" s="2"/>
      <c r="C321" s="124"/>
      <c r="D321" s="124"/>
      <c r="E321" s="2"/>
      <c r="F321" s="2"/>
      <c r="G321" s="2"/>
      <c r="H321" s="139"/>
      <c r="I321" s="2"/>
      <c r="J321" s="483"/>
      <c r="K321" s="483"/>
      <c r="L321" s="483"/>
      <c r="M321" s="483"/>
      <c r="N321" s="483"/>
      <c r="O321" s="484"/>
      <c r="P321" s="483"/>
      <c r="Q321" s="483"/>
      <c r="R321" s="483"/>
      <c r="S321" s="483"/>
      <c r="T321" s="483"/>
      <c r="U321" s="483"/>
      <c r="V321" s="483"/>
      <c r="W321" s="483"/>
      <c r="X321" s="483"/>
      <c r="Y321" s="483"/>
      <c r="Z321" s="483"/>
      <c r="AA321" s="483"/>
      <c r="AB321" s="2"/>
      <c r="AC321" s="2"/>
    </row>
    <row r="322" spans="1:29" customFormat="1" ht="16">
      <c r="A322" s="2"/>
      <c r="B322" s="2"/>
      <c r="C322" s="124"/>
      <c r="D322" s="124"/>
      <c r="E322" s="2"/>
      <c r="F322" s="2"/>
      <c r="G322" s="2"/>
      <c r="H322" s="139"/>
      <c r="I322" s="2"/>
      <c r="J322" s="483"/>
      <c r="K322" s="483"/>
      <c r="L322" s="483"/>
      <c r="M322" s="483"/>
      <c r="N322" s="483"/>
      <c r="O322" s="484"/>
      <c r="P322" s="483"/>
      <c r="Q322" s="483"/>
      <c r="R322" s="483"/>
      <c r="S322" s="483"/>
      <c r="T322" s="483"/>
      <c r="U322" s="483"/>
      <c r="V322" s="483"/>
      <c r="W322" s="483"/>
      <c r="X322" s="483"/>
      <c r="Y322" s="483"/>
      <c r="Z322" s="483"/>
      <c r="AA322" s="483"/>
      <c r="AB322" s="2"/>
      <c r="AC322" s="2"/>
    </row>
    <row r="323" spans="1:29" customFormat="1" ht="16">
      <c r="A323" s="2"/>
      <c r="B323" s="2"/>
      <c r="C323" s="124"/>
      <c r="D323" s="124"/>
      <c r="E323" s="2"/>
      <c r="F323" s="2"/>
      <c r="G323" s="2"/>
      <c r="H323" s="139"/>
      <c r="I323" s="2"/>
      <c r="J323" s="483"/>
      <c r="K323" s="483"/>
      <c r="L323" s="483"/>
      <c r="M323" s="483"/>
      <c r="N323" s="483"/>
      <c r="O323" s="484"/>
      <c r="P323" s="483"/>
      <c r="Q323" s="483"/>
      <c r="R323" s="483"/>
      <c r="S323" s="483"/>
      <c r="T323" s="483"/>
      <c r="U323" s="483"/>
      <c r="V323" s="483"/>
      <c r="W323" s="483"/>
      <c r="X323" s="483"/>
      <c r="Y323" s="483"/>
      <c r="Z323" s="483"/>
      <c r="AA323" s="483"/>
      <c r="AB323" s="2"/>
      <c r="AC323" s="2"/>
    </row>
    <row r="324" spans="1:29" customFormat="1" ht="16">
      <c r="A324" s="2"/>
      <c r="B324" s="2"/>
      <c r="C324" s="124"/>
      <c r="D324" s="124"/>
      <c r="E324" s="2"/>
      <c r="F324" s="2"/>
      <c r="G324" s="2"/>
      <c r="H324" s="139"/>
      <c r="I324" s="2"/>
      <c r="J324" s="483"/>
      <c r="K324" s="483"/>
      <c r="L324" s="483"/>
      <c r="M324" s="483"/>
      <c r="N324" s="483"/>
      <c r="O324" s="484"/>
      <c r="P324" s="483"/>
      <c r="Q324" s="483"/>
      <c r="R324" s="483"/>
      <c r="S324" s="483"/>
      <c r="T324" s="483"/>
      <c r="U324" s="483"/>
      <c r="V324" s="483"/>
      <c r="W324" s="483"/>
      <c r="X324" s="483"/>
      <c r="Y324" s="483"/>
      <c r="Z324" s="483"/>
      <c r="AA324" s="483"/>
      <c r="AB324" s="2"/>
      <c r="AC324" s="2"/>
    </row>
    <row r="325" spans="1:29" customFormat="1" ht="16">
      <c r="A325" s="2"/>
      <c r="B325" s="2"/>
      <c r="C325" s="124"/>
      <c r="D325" s="124"/>
      <c r="E325" s="2"/>
      <c r="F325" s="2"/>
      <c r="G325" s="2"/>
      <c r="H325" s="139"/>
      <c r="I325" s="2"/>
      <c r="J325" s="483"/>
      <c r="K325" s="483"/>
      <c r="L325" s="483"/>
      <c r="M325" s="483"/>
      <c r="N325" s="483"/>
      <c r="O325" s="484"/>
      <c r="P325" s="483"/>
      <c r="Q325" s="483"/>
      <c r="R325" s="483"/>
      <c r="S325" s="483"/>
      <c r="T325" s="483"/>
      <c r="U325" s="483"/>
      <c r="V325" s="483"/>
      <c r="W325" s="483"/>
      <c r="X325" s="483"/>
      <c r="Y325" s="483"/>
      <c r="Z325" s="483"/>
      <c r="AA325" s="483"/>
      <c r="AB325" s="2"/>
      <c r="AC325" s="2"/>
    </row>
    <row r="326" spans="1:29" customFormat="1" ht="16">
      <c r="A326" s="2"/>
      <c r="B326" s="2"/>
      <c r="C326" s="124"/>
      <c r="D326" s="124"/>
      <c r="E326" s="2"/>
      <c r="F326" s="2"/>
      <c r="G326" s="2"/>
      <c r="H326" s="139"/>
      <c r="I326" s="2"/>
      <c r="J326" s="483"/>
      <c r="K326" s="483"/>
      <c r="L326" s="483"/>
      <c r="M326" s="483"/>
      <c r="N326" s="483"/>
      <c r="O326" s="484"/>
      <c r="P326" s="483"/>
      <c r="Q326" s="483"/>
      <c r="R326" s="483"/>
      <c r="S326" s="483"/>
      <c r="T326" s="483"/>
      <c r="U326" s="483"/>
      <c r="V326" s="483"/>
      <c r="W326" s="483"/>
      <c r="X326" s="483"/>
      <c r="Y326" s="483"/>
      <c r="Z326" s="483"/>
      <c r="AA326" s="483"/>
      <c r="AB326" s="2"/>
      <c r="AC326" s="2"/>
    </row>
    <row r="327" spans="1:29" customFormat="1" ht="16">
      <c r="A327" s="2"/>
      <c r="B327" s="2"/>
      <c r="C327" s="124"/>
      <c r="D327" s="124"/>
      <c r="E327" s="2"/>
      <c r="F327" s="2"/>
      <c r="G327" s="2"/>
      <c r="H327" s="139"/>
      <c r="I327" s="2"/>
      <c r="J327" s="483"/>
      <c r="K327" s="483"/>
      <c r="L327" s="483"/>
      <c r="M327" s="483"/>
      <c r="N327" s="483"/>
      <c r="O327" s="484"/>
      <c r="P327" s="483"/>
      <c r="Q327" s="483"/>
      <c r="R327" s="483"/>
      <c r="S327" s="483"/>
      <c r="T327" s="483"/>
      <c r="U327" s="483"/>
      <c r="V327" s="483"/>
      <c r="W327" s="483"/>
      <c r="X327" s="483"/>
      <c r="Y327" s="483"/>
      <c r="Z327" s="483"/>
      <c r="AA327" s="483"/>
      <c r="AB327" s="2"/>
      <c r="AC327" s="2"/>
    </row>
    <row r="328" spans="1:29" customFormat="1" ht="16">
      <c r="A328" s="2"/>
      <c r="B328" s="2"/>
      <c r="C328" s="124"/>
      <c r="D328" s="124"/>
      <c r="E328" s="2"/>
      <c r="F328" s="2"/>
      <c r="G328" s="2"/>
      <c r="H328" s="139"/>
      <c r="I328" s="2"/>
      <c r="J328" s="483"/>
      <c r="K328" s="483"/>
      <c r="L328" s="483"/>
      <c r="M328" s="483"/>
      <c r="N328" s="483"/>
      <c r="O328" s="484"/>
      <c r="P328" s="483"/>
      <c r="Q328" s="483"/>
      <c r="R328" s="483"/>
      <c r="S328" s="483"/>
      <c r="T328" s="483"/>
      <c r="U328" s="483"/>
      <c r="V328" s="483"/>
      <c r="W328" s="483"/>
      <c r="X328" s="483"/>
      <c r="Y328" s="483"/>
      <c r="Z328" s="483"/>
      <c r="AA328" s="483"/>
      <c r="AB328" s="2"/>
      <c r="AC328" s="2"/>
    </row>
    <row r="329" spans="1:29" customFormat="1" ht="16">
      <c r="A329" s="2"/>
      <c r="B329" s="2"/>
      <c r="C329" s="124"/>
      <c r="D329" s="124"/>
      <c r="E329" s="2"/>
      <c r="F329" s="2"/>
      <c r="G329" s="2"/>
      <c r="H329" s="139"/>
      <c r="I329" s="2"/>
      <c r="J329" s="483"/>
      <c r="K329" s="483"/>
      <c r="L329" s="483"/>
      <c r="M329" s="483"/>
      <c r="N329" s="483"/>
      <c r="O329" s="484"/>
      <c r="P329" s="483"/>
      <c r="Q329" s="483"/>
      <c r="R329" s="483"/>
      <c r="S329" s="483"/>
      <c r="T329" s="483"/>
      <c r="U329" s="483"/>
      <c r="V329" s="483"/>
      <c r="W329" s="483"/>
      <c r="X329" s="483"/>
      <c r="Y329" s="483"/>
      <c r="Z329" s="483"/>
      <c r="AA329" s="483"/>
      <c r="AB329" s="2"/>
      <c r="AC329" s="2"/>
    </row>
    <row r="330" spans="1:29" customFormat="1" ht="16">
      <c r="A330" s="2"/>
      <c r="B330" s="2"/>
      <c r="C330" s="124"/>
      <c r="D330" s="124"/>
      <c r="E330" s="2"/>
      <c r="F330" s="2"/>
      <c r="G330" s="2"/>
      <c r="H330" s="139"/>
      <c r="I330" s="2"/>
      <c r="J330" s="483"/>
      <c r="K330" s="483"/>
      <c r="L330" s="483"/>
      <c r="M330" s="483"/>
      <c r="N330" s="483"/>
      <c r="O330" s="484"/>
      <c r="P330" s="483"/>
      <c r="Q330" s="483"/>
      <c r="R330" s="483"/>
      <c r="S330" s="483"/>
      <c r="T330" s="483"/>
      <c r="U330" s="483"/>
      <c r="V330" s="483"/>
      <c r="W330" s="483"/>
      <c r="X330" s="483"/>
      <c r="Y330" s="483"/>
      <c r="Z330" s="483"/>
      <c r="AA330" s="483"/>
      <c r="AB330" s="2"/>
      <c r="AC330" s="2"/>
    </row>
    <row r="331" spans="1:29" customFormat="1" ht="16">
      <c r="A331" s="2"/>
      <c r="B331" s="2"/>
      <c r="C331" s="124"/>
      <c r="D331" s="124"/>
      <c r="E331" s="2"/>
      <c r="F331" s="2"/>
      <c r="G331" s="2"/>
      <c r="H331" s="139"/>
      <c r="I331" s="2"/>
      <c r="J331" s="483"/>
      <c r="K331" s="483"/>
      <c r="L331" s="483"/>
      <c r="M331" s="483"/>
      <c r="N331" s="483"/>
      <c r="O331" s="484"/>
      <c r="P331" s="483"/>
      <c r="Q331" s="483"/>
      <c r="R331" s="483"/>
      <c r="S331" s="483"/>
      <c r="T331" s="483"/>
      <c r="U331" s="483"/>
      <c r="V331" s="483"/>
      <c r="W331" s="483"/>
      <c r="X331" s="483"/>
      <c r="Y331" s="483"/>
      <c r="Z331" s="483"/>
      <c r="AA331" s="483"/>
      <c r="AB331" s="2"/>
      <c r="AC331" s="2"/>
    </row>
    <row r="332" spans="1:29" customFormat="1" ht="16">
      <c r="A332" s="2"/>
      <c r="B332" s="2"/>
      <c r="C332" s="124"/>
      <c r="D332" s="124"/>
      <c r="E332" s="2"/>
      <c r="F332" s="2"/>
      <c r="G332" s="2"/>
      <c r="H332" s="139"/>
      <c r="I332" s="2"/>
      <c r="J332" s="483"/>
      <c r="K332" s="483"/>
      <c r="L332" s="483"/>
      <c r="M332" s="483"/>
      <c r="N332" s="483"/>
      <c r="O332" s="484"/>
      <c r="P332" s="483"/>
      <c r="Q332" s="483"/>
      <c r="R332" s="483"/>
      <c r="S332" s="483"/>
      <c r="T332" s="483"/>
      <c r="U332" s="483"/>
      <c r="V332" s="483"/>
      <c r="W332" s="483"/>
      <c r="X332" s="483"/>
      <c r="Y332" s="483"/>
      <c r="Z332" s="483"/>
      <c r="AA332" s="483"/>
      <c r="AB332" s="2"/>
      <c r="AC332" s="2"/>
    </row>
    <row r="333" spans="1:29" customFormat="1" ht="16">
      <c r="A333" s="2"/>
      <c r="B333" s="2"/>
      <c r="C333" s="124"/>
      <c r="D333" s="124"/>
      <c r="E333" s="2"/>
      <c r="F333" s="2"/>
      <c r="G333" s="2"/>
      <c r="H333" s="139"/>
      <c r="I333" s="2"/>
      <c r="J333" s="483"/>
      <c r="K333" s="483"/>
      <c r="L333" s="483"/>
      <c r="M333" s="483"/>
      <c r="N333" s="483"/>
      <c r="O333" s="484"/>
      <c r="P333" s="483"/>
      <c r="Q333" s="483"/>
      <c r="R333" s="483"/>
      <c r="S333" s="483"/>
      <c r="T333" s="483"/>
      <c r="U333" s="483"/>
      <c r="V333" s="483"/>
      <c r="W333" s="483"/>
      <c r="X333" s="483"/>
      <c r="Y333" s="483"/>
      <c r="Z333" s="483"/>
      <c r="AA333" s="483"/>
      <c r="AB333" s="2"/>
      <c r="AC333" s="2"/>
    </row>
    <row r="334" spans="1:29" customFormat="1" ht="16">
      <c r="A334" s="2"/>
      <c r="B334" s="2"/>
      <c r="C334" s="124"/>
      <c r="D334" s="124"/>
      <c r="E334" s="2"/>
      <c r="F334" s="2"/>
      <c r="G334" s="2"/>
      <c r="H334" s="139"/>
      <c r="I334" s="2"/>
      <c r="J334" s="483"/>
      <c r="K334" s="483"/>
      <c r="L334" s="483"/>
      <c r="M334" s="483"/>
      <c r="N334" s="483"/>
      <c r="O334" s="484"/>
      <c r="P334" s="483"/>
      <c r="Q334" s="483"/>
      <c r="R334" s="483"/>
      <c r="S334" s="483"/>
      <c r="T334" s="483"/>
      <c r="U334" s="483"/>
      <c r="V334" s="483"/>
      <c r="W334" s="483"/>
      <c r="X334" s="483"/>
      <c r="Y334" s="483"/>
      <c r="Z334" s="483"/>
      <c r="AA334" s="483"/>
      <c r="AB334" s="2"/>
      <c r="AC334" s="2"/>
    </row>
    <row r="335" spans="1:29" customFormat="1" ht="16">
      <c r="A335" s="2"/>
      <c r="B335" s="2"/>
      <c r="C335" s="124"/>
      <c r="D335" s="124"/>
      <c r="E335" s="2"/>
      <c r="F335" s="2"/>
      <c r="G335" s="2"/>
      <c r="H335" s="139"/>
      <c r="I335" s="2"/>
      <c r="J335" s="483"/>
      <c r="K335" s="483"/>
      <c r="L335" s="483"/>
      <c r="M335" s="483"/>
      <c r="N335" s="483"/>
      <c r="O335" s="484"/>
      <c r="P335" s="483"/>
      <c r="Q335" s="483"/>
      <c r="R335" s="483"/>
      <c r="S335" s="483"/>
      <c r="T335" s="483"/>
      <c r="U335" s="483"/>
      <c r="V335" s="483"/>
      <c r="W335" s="483"/>
      <c r="X335" s="483"/>
      <c r="Y335" s="483"/>
      <c r="Z335" s="483"/>
      <c r="AA335" s="483"/>
      <c r="AB335" s="2"/>
      <c r="AC335" s="2"/>
    </row>
    <row r="336" spans="1:29" customFormat="1" ht="16">
      <c r="A336" s="2"/>
      <c r="B336" s="2"/>
      <c r="C336" s="124"/>
      <c r="D336" s="124"/>
      <c r="E336" s="2"/>
      <c r="F336" s="2"/>
      <c r="G336" s="2"/>
      <c r="H336" s="139"/>
      <c r="I336" s="2"/>
      <c r="J336" s="483"/>
      <c r="K336" s="483"/>
      <c r="L336" s="483"/>
      <c r="M336" s="483"/>
      <c r="N336" s="483"/>
      <c r="O336" s="484"/>
      <c r="P336" s="483"/>
      <c r="Q336" s="483"/>
      <c r="R336" s="483"/>
      <c r="S336" s="483"/>
      <c r="T336" s="483"/>
      <c r="U336" s="483"/>
      <c r="V336" s="483"/>
      <c r="W336" s="483"/>
      <c r="X336" s="483"/>
      <c r="Y336" s="483"/>
      <c r="Z336" s="483"/>
      <c r="AA336" s="483"/>
      <c r="AB336" s="2"/>
      <c r="AC336" s="2"/>
    </row>
    <row r="337" spans="1:29" customFormat="1" ht="16">
      <c r="A337" s="2"/>
      <c r="B337" s="2"/>
      <c r="C337" s="124"/>
      <c r="D337" s="124"/>
      <c r="E337" s="2"/>
      <c r="F337" s="2"/>
      <c r="G337" s="2"/>
      <c r="H337" s="139"/>
      <c r="I337" s="2"/>
      <c r="J337" s="483"/>
      <c r="K337" s="483"/>
      <c r="L337" s="483"/>
      <c r="M337" s="483"/>
      <c r="N337" s="483"/>
      <c r="O337" s="484"/>
      <c r="P337" s="483"/>
      <c r="Q337" s="483"/>
      <c r="R337" s="483"/>
      <c r="S337" s="483"/>
      <c r="T337" s="483"/>
      <c r="U337" s="483"/>
      <c r="V337" s="483"/>
      <c r="W337" s="483"/>
      <c r="X337" s="483"/>
      <c r="Y337" s="483"/>
      <c r="Z337" s="483"/>
      <c r="AA337" s="483"/>
      <c r="AB337" s="2"/>
      <c r="AC337" s="2"/>
    </row>
    <row r="338" spans="1:29" customFormat="1" ht="16">
      <c r="A338" s="2"/>
      <c r="B338" s="2"/>
      <c r="C338" s="124"/>
      <c r="D338" s="124"/>
      <c r="E338" s="2"/>
      <c r="F338" s="2"/>
      <c r="G338" s="2"/>
      <c r="H338" s="139"/>
      <c r="I338" s="2"/>
      <c r="J338" s="483"/>
      <c r="K338" s="483"/>
      <c r="L338" s="483"/>
      <c r="M338" s="483"/>
      <c r="N338" s="483"/>
      <c r="O338" s="484"/>
      <c r="P338" s="483"/>
      <c r="Q338" s="483"/>
      <c r="R338" s="483"/>
      <c r="S338" s="483"/>
      <c r="T338" s="483"/>
      <c r="U338" s="483"/>
      <c r="V338" s="483"/>
      <c r="W338" s="483"/>
      <c r="X338" s="483"/>
      <c r="Y338" s="483"/>
      <c r="Z338" s="483"/>
      <c r="AA338" s="483"/>
      <c r="AB338" s="2"/>
      <c r="AC338" s="2"/>
    </row>
    <row r="339" spans="1:29" customFormat="1" ht="16">
      <c r="A339" s="2"/>
      <c r="B339" s="2"/>
      <c r="C339" s="124"/>
      <c r="D339" s="124"/>
      <c r="E339" s="2"/>
      <c r="F339" s="2"/>
      <c r="G339" s="2"/>
      <c r="H339" s="139"/>
      <c r="I339" s="2"/>
      <c r="J339" s="483"/>
      <c r="K339" s="483"/>
      <c r="L339" s="483"/>
      <c r="M339" s="483"/>
      <c r="N339" s="483"/>
      <c r="O339" s="484"/>
      <c r="P339" s="483"/>
      <c r="Q339" s="483"/>
      <c r="R339" s="483"/>
      <c r="S339" s="483"/>
      <c r="T339" s="483"/>
      <c r="U339" s="483"/>
      <c r="V339" s="483"/>
      <c r="W339" s="483"/>
      <c r="X339" s="483"/>
      <c r="Y339" s="483"/>
      <c r="Z339" s="483"/>
      <c r="AA339" s="483"/>
      <c r="AB339" s="2"/>
      <c r="AC339" s="2"/>
    </row>
    <row r="340" spans="1:29" customFormat="1" ht="16">
      <c r="A340" s="2"/>
      <c r="B340" s="2"/>
      <c r="C340" s="124"/>
      <c r="D340" s="124"/>
      <c r="E340" s="2"/>
      <c r="F340" s="2"/>
      <c r="G340" s="2"/>
      <c r="H340" s="139"/>
      <c r="I340" s="2"/>
      <c r="J340" s="483"/>
      <c r="K340" s="483"/>
      <c r="L340" s="483"/>
      <c r="M340" s="483"/>
      <c r="N340" s="483"/>
      <c r="O340" s="484"/>
      <c r="P340" s="483"/>
      <c r="Q340" s="483"/>
      <c r="R340" s="483"/>
      <c r="S340" s="483"/>
      <c r="T340" s="483"/>
      <c r="U340" s="483"/>
      <c r="V340" s="483"/>
      <c r="W340" s="483"/>
      <c r="X340" s="483"/>
      <c r="Y340" s="483"/>
      <c r="Z340" s="483"/>
      <c r="AA340" s="483"/>
      <c r="AB340" s="2"/>
      <c r="AC340" s="2"/>
    </row>
    <row r="341" spans="1:29" customFormat="1" ht="16">
      <c r="A341" s="2"/>
      <c r="B341" s="2"/>
      <c r="C341" s="124"/>
      <c r="D341" s="124"/>
      <c r="E341" s="2"/>
      <c r="F341" s="2"/>
      <c r="G341" s="2"/>
      <c r="H341" s="139"/>
      <c r="I341" s="2"/>
      <c r="J341" s="483"/>
      <c r="K341" s="483"/>
      <c r="L341" s="483"/>
      <c r="M341" s="483"/>
      <c r="N341" s="483"/>
      <c r="O341" s="484"/>
      <c r="P341" s="483"/>
      <c r="Q341" s="483"/>
      <c r="R341" s="483"/>
      <c r="S341" s="483"/>
      <c r="T341" s="483"/>
      <c r="U341" s="483"/>
      <c r="V341" s="483"/>
      <c r="W341" s="483"/>
      <c r="X341" s="483"/>
      <c r="Y341" s="483"/>
      <c r="Z341" s="483"/>
      <c r="AA341" s="483"/>
      <c r="AB341" s="2"/>
      <c r="AC341" s="2"/>
    </row>
    <row r="342" spans="1:29" customFormat="1" ht="16">
      <c r="A342" s="2"/>
      <c r="B342" s="2"/>
      <c r="C342" s="124"/>
      <c r="D342" s="124"/>
      <c r="E342" s="2"/>
      <c r="F342" s="2"/>
      <c r="G342" s="2"/>
      <c r="H342" s="139"/>
      <c r="I342" s="2"/>
      <c r="J342" s="483"/>
      <c r="K342" s="483"/>
      <c r="L342" s="483"/>
      <c r="M342" s="483"/>
      <c r="N342" s="483"/>
      <c r="O342" s="484"/>
      <c r="P342" s="483"/>
      <c r="Q342" s="483"/>
      <c r="R342" s="483"/>
      <c r="S342" s="483"/>
      <c r="T342" s="483"/>
      <c r="U342" s="483"/>
      <c r="V342" s="483"/>
      <c r="W342" s="483"/>
      <c r="X342" s="483"/>
      <c r="Y342" s="483"/>
      <c r="Z342" s="483"/>
      <c r="AA342" s="483"/>
      <c r="AB342" s="2"/>
      <c r="AC342" s="2"/>
    </row>
    <row r="343" spans="1:29" customFormat="1" ht="16">
      <c r="A343" s="2"/>
      <c r="B343" s="2"/>
      <c r="C343" s="124"/>
      <c r="D343" s="124"/>
      <c r="E343" s="2"/>
      <c r="F343" s="2"/>
      <c r="G343" s="2"/>
      <c r="H343" s="139"/>
      <c r="I343" s="2"/>
      <c r="J343" s="483"/>
      <c r="K343" s="483"/>
      <c r="L343" s="483"/>
      <c r="M343" s="483"/>
      <c r="N343" s="483"/>
      <c r="O343" s="484"/>
      <c r="P343" s="483"/>
      <c r="Q343" s="483"/>
      <c r="R343" s="483"/>
      <c r="S343" s="483"/>
      <c r="T343" s="483"/>
      <c r="U343" s="483"/>
      <c r="V343" s="483"/>
      <c r="W343" s="483"/>
      <c r="X343" s="483"/>
      <c r="Y343" s="483"/>
      <c r="Z343" s="483"/>
      <c r="AA343" s="483"/>
      <c r="AB343" s="2"/>
      <c r="AC343" s="2"/>
    </row>
    <row r="344" spans="1:29" customFormat="1" ht="16">
      <c r="A344" s="2"/>
      <c r="B344" s="2"/>
      <c r="C344" s="124"/>
      <c r="D344" s="124"/>
      <c r="E344" s="2"/>
      <c r="F344" s="2"/>
      <c r="G344" s="2"/>
      <c r="H344" s="139"/>
      <c r="I344" s="2"/>
      <c r="J344" s="483"/>
      <c r="K344" s="483"/>
      <c r="L344" s="483"/>
      <c r="M344" s="483"/>
      <c r="N344" s="483"/>
      <c r="O344" s="484"/>
      <c r="P344" s="483"/>
      <c r="Q344" s="483"/>
      <c r="R344" s="483"/>
      <c r="S344" s="483"/>
      <c r="T344" s="483"/>
      <c r="U344" s="483"/>
      <c r="V344" s="483"/>
      <c r="W344" s="483"/>
      <c r="X344" s="483"/>
      <c r="Y344" s="483"/>
      <c r="Z344" s="483"/>
      <c r="AA344" s="483"/>
      <c r="AB344" s="2"/>
      <c r="AC344" s="2"/>
    </row>
    <row r="345" spans="1:29" customFormat="1" ht="16">
      <c r="A345" s="2"/>
      <c r="B345" s="2"/>
      <c r="C345" s="124"/>
      <c r="D345" s="124"/>
      <c r="E345" s="2"/>
      <c r="F345" s="2"/>
      <c r="G345" s="2"/>
      <c r="H345" s="139"/>
      <c r="I345" s="2"/>
      <c r="J345" s="483"/>
      <c r="K345" s="483"/>
      <c r="L345" s="483"/>
      <c r="M345" s="483"/>
      <c r="N345" s="483"/>
      <c r="O345" s="484"/>
      <c r="P345" s="483"/>
      <c r="Q345" s="483"/>
      <c r="R345" s="483"/>
      <c r="S345" s="483"/>
      <c r="T345" s="483"/>
      <c r="U345" s="483"/>
      <c r="V345" s="483"/>
      <c r="W345" s="483"/>
      <c r="X345" s="483"/>
      <c r="Y345" s="483"/>
      <c r="Z345" s="483"/>
      <c r="AA345" s="483"/>
      <c r="AB345" s="2"/>
      <c r="AC345" s="2"/>
    </row>
    <row r="346" spans="1:29" customFormat="1" ht="16">
      <c r="A346" s="2"/>
      <c r="B346" s="2"/>
      <c r="C346" s="124"/>
      <c r="D346" s="124"/>
      <c r="E346" s="2"/>
      <c r="F346" s="2"/>
      <c r="G346" s="2"/>
      <c r="H346" s="139"/>
      <c r="I346" s="2"/>
      <c r="J346" s="483"/>
      <c r="K346" s="483"/>
      <c r="L346" s="483"/>
      <c r="M346" s="483"/>
      <c r="N346" s="483"/>
      <c r="O346" s="484"/>
      <c r="P346" s="483"/>
      <c r="Q346" s="483"/>
      <c r="R346" s="483"/>
      <c r="S346" s="483"/>
      <c r="T346" s="483"/>
      <c r="U346" s="483"/>
      <c r="V346" s="483"/>
      <c r="W346" s="483"/>
      <c r="X346" s="483"/>
      <c r="Y346" s="483"/>
      <c r="Z346" s="483"/>
      <c r="AA346" s="483"/>
      <c r="AB346" s="2"/>
      <c r="AC346" s="2"/>
    </row>
    <row r="347" spans="1:29" customFormat="1" ht="16">
      <c r="A347" s="2"/>
      <c r="B347" s="2"/>
      <c r="C347" s="124"/>
      <c r="D347" s="124"/>
      <c r="E347" s="2"/>
      <c r="F347" s="2"/>
      <c r="G347" s="2"/>
      <c r="H347" s="139"/>
      <c r="I347" s="2"/>
      <c r="J347" s="483"/>
      <c r="K347" s="483"/>
      <c r="L347" s="483"/>
      <c r="M347" s="483"/>
      <c r="N347" s="483"/>
      <c r="O347" s="484"/>
      <c r="P347" s="483"/>
      <c r="Q347" s="483"/>
      <c r="R347" s="483"/>
      <c r="S347" s="483"/>
      <c r="T347" s="483"/>
      <c r="U347" s="483"/>
      <c r="V347" s="483"/>
      <c r="W347" s="483"/>
      <c r="X347" s="483"/>
      <c r="Y347" s="483"/>
      <c r="Z347" s="483"/>
      <c r="AA347" s="483"/>
      <c r="AB347" s="2"/>
      <c r="AC347" s="2"/>
    </row>
    <row r="348" spans="1:29" customFormat="1" ht="16">
      <c r="A348" s="2"/>
      <c r="B348" s="2"/>
      <c r="C348" s="124"/>
      <c r="D348" s="124"/>
      <c r="E348" s="2"/>
      <c r="F348" s="2"/>
      <c r="G348" s="2"/>
      <c r="H348" s="139"/>
      <c r="I348" s="2"/>
      <c r="J348" s="483"/>
      <c r="K348" s="483"/>
      <c r="L348" s="483"/>
      <c r="M348" s="483"/>
      <c r="N348" s="483"/>
      <c r="O348" s="484"/>
      <c r="P348" s="483"/>
      <c r="Q348" s="483"/>
      <c r="R348" s="483"/>
      <c r="S348" s="483"/>
      <c r="T348" s="483"/>
      <c r="U348" s="483"/>
      <c r="V348" s="483"/>
      <c r="W348" s="483"/>
      <c r="X348" s="483"/>
      <c r="Y348" s="483"/>
      <c r="Z348" s="483"/>
      <c r="AA348" s="483"/>
      <c r="AB348" s="2"/>
      <c r="AC348" s="2"/>
    </row>
    <row r="349" spans="1:29" customFormat="1" ht="16">
      <c r="A349" s="2"/>
      <c r="B349" s="2"/>
      <c r="C349" s="124"/>
      <c r="D349" s="124"/>
      <c r="E349" s="2"/>
      <c r="F349" s="2"/>
      <c r="G349" s="2"/>
      <c r="H349" s="139"/>
      <c r="I349" s="2"/>
      <c r="J349" s="483"/>
      <c r="K349" s="483"/>
      <c r="L349" s="483"/>
      <c r="M349" s="483"/>
      <c r="N349" s="483"/>
      <c r="O349" s="484"/>
      <c r="P349" s="483"/>
      <c r="Q349" s="483"/>
      <c r="R349" s="483"/>
      <c r="S349" s="483"/>
      <c r="T349" s="483"/>
      <c r="U349" s="483"/>
      <c r="V349" s="483"/>
      <c r="W349" s="483"/>
      <c r="X349" s="483"/>
      <c r="Y349" s="483"/>
      <c r="Z349" s="483"/>
      <c r="AA349" s="483"/>
      <c r="AB349" s="2"/>
      <c r="AC349" s="2"/>
    </row>
    <row r="350" spans="1:29" customFormat="1" ht="16">
      <c r="A350" s="2"/>
      <c r="B350" s="2"/>
      <c r="C350" s="124"/>
      <c r="D350" s="124"/>
      <c r="E350" s="2"/>
      <c r="F350" s="2"/>
      <c r="G350" s="2"/>
      <c r="H350" s="139"/>
      <c r="I350" s="2"/>
      <c r="J350" s="483"/>
      <c r="K350" s="483"/>
      <c r="L350" s="483"/>
      <c r="M350" s="483"/>
      <c r="N350" s="483"/>
      <c r="O350" s="484"/>
      <c r="P350" s="483"/>
      <c r="Q350" s="483"/>
      <c r="R350" s="483"/>
      <c r="S350" s="483"/>
      <c r="T350" s="483"/>
      <c r="U350" s="483"/>
      <c r="V350" s="483"/>
      <c r="W350" s="483"/>
      <c r="X350" s="483"/>
      <c r="Y350" s="483"/>
      <c r="Z350" s="483"/>
      <c r="AA350" s="483"/>
      <c r="AB350" s="2"/>
      <c r="AC350" s="2"/>
    </row>
    <row r="351" spans="1:29" customFormat="1" ht="16">
      <c r="A351" s="2"/>
      <c r="B351" s="2"/>
      <c r="C351" s="124"/>
      <c r="D351" s="124"/>
      <c r="E351" s="2"/>
      <c r="F351" s="2"/>
      <c r="G351" s="2"/>
      <c r="H351" s="139"/>
      <c r="I351" s="2"/>
      <c r="J351" s="483"/>
      <c r="K351" s="483"/>
      <c r="L351" s="483"/>
      <c r="M351" s="483"/>
      <c r="N351" s="483"/>
      <c r="O351" s="484"/>
      <c r="P351" s="483"/>
      <c r="Q351" s="483"/>
      <c r="R351" s="483"/>
      <c r="S351" s="483"/>
      <c r="T351" s="483"/>
      <c r="U351" s="483"/>
      <c r="V351" s="483"/>
      <c r="W351" s="483"/>
      <c r="X351" s="483"/>
      <c r="Y351" s="483"/>
      <c r="Z351" s="483"/>
      <c r="AA351" s="483"/>
      <c r="AB351" s="2"/>
      <c r="AC351" s="2"/>
    </row>
    <row r="352" spans="1:29" customFormat="1" ht="16">
      <c r="A352" s="2"/>
      <c r="B352" s="2"/>
      <c r="C352" s="124"/>
      <c r="D352" s="124"/>
      <c r="E352" s="2"/>
      <c r="F352" s="2"/>
      <c r="G352" s="2"/>
      <c r="H352" s="139"/>
      <c r="I352" s="2"/>
      <c r="J352" s="483"/>
      <c r="K352" s="483"/>
      <c r="L352" s="483"/>
      <c r="M352" s="483"/>
      <c r="N352" s="483"/>
      <c r="O352" s="484"/>
      <c r="P352" s="483"/>
      <c r="Q352" s="483"/>
      <c r="R352" s="483"/>
      <c r="S352" s="483"/>
      <c r="T352" s="483"/>
      <c r="U352" s="483"/>
      <c r="V352" s="483"/>
      <c r="W352" s="483"/>
      <c r="X352" s="483"/>
      <c r="Y352" s="483"/>
      <c r="Z352" s="483"/>
      <c r="AA352" s="483"/>
      <c r="AB352" s="2"/>
      <c r="AC352" s="2"/>
    </row>
    <row r="353" spans="1:29" customFormat="1" ht="16">
      <c r="A353" s="2"/>
      <c r="B353" s="2"/>
      <c r="C353" s="124"/>
      <c r="D353" s="124"/>
      <c r="E353" s="2"/>
      <c r="F353" s="2"/>
      <c r="G353" s="2"/>
      <c r="H353" s="139"/>
      <c r="I353" s="2"/>
      <c r="J353" s="483"/>
      <c r="K353" s="483"/>
      <c r="L353" s="483"/>
      <c r="M353" s="483"/>
      <c r="N353" s="483"/>
      <c r="O353" s="484"/>
      <c r="P353" s="483"/>
      <c r="Q353" s="483"/>
      <c r="R353" s="483"/>
      <c r="S353" s="483"/>
      <c r="T353" s="483"/>
      <c r="U353" s="483"/>
      <c r="V353" s="483"/>
      <c r="W353" s="483"/>
      <c r="X353" s="483"/>
      <c r="Y353" s="483"/>
      <c r="Z353" s="483"/>
      <c r="AA353" s="483"/>
      <c r="AB353" s="2"/>
      <c r="AC353" s="2"/>
    </row>
    <row r="354" spans="1:29" customFormat="1" ht="16">
      <c r="A354" s="2"/>
      <c r="B354" s="2"/>
      <c r="C354" s="124"/>
      <c r="D354" s="124"/>
      <c r="E354" s="2"/>
      <c r="F354" s="2"/>
      <c r="G354" s="2"/>
      <c r="H354" s="139"/>
      <c r="I354" s="2"/>
      <c r="J354" s="483"/>
      <c r="K354" s="483"/>
      <c r="L354" s="483"/>
      <c r="M354" s="483"/>
      <c r="N354" s="483"/>
      <c r="O354" s="484"/>
      <c r="P354" s="483"/>
      <c r="Q354" s="483"/>
      <c r="R354" s="483"/>
      <c r="S354" s="483"/>
      <c r="T354" s="483"/>
      <c r="U354" s="483"/>
      <c r="V354" s="483"/>
      <c r="W354" s="483"/>
      <c r="X354" s="483"/>
      <c r="Y354" s="483"/>
      <c r="Z354" s="483"/>
      <c r="AA354" s="483"/>
      <c r="AB354" s="2"/>
      <c r="AC354" s="2"/>
    </row>
    <row r="355" spans="1:29" customFormat="1" ht="16">
      <c r="A355" s="2"/>
      <c r="B355" s="2"/>
      <c r="C355" s="124"/>
      <c r="D355" s="124"/>
      <c r="E355" s="2"/>
      <c r="F355" s="2"/>
      <c r="G355" s="2"/>
      <c r="H355" s="139"/>
      <c r="I355" s="2"/>
      <c r="J355" s="483"/>
      <c r="K355" s="483"/>
      <c r="L355" s="483"/>
      <c r="M355" s="483"/>
      <c r="N355" s="483"/>
      <c r="O355" s="484"/>
      <c r="P355" s="483"/>
      <c r="Q355" s="483"/>
      <c r="R355" s="483"/>
      <c r="S355" s="483"/>
      <c r="T355" s="483"/>
      <c r="U355" s="483"/>
      <c r="V355" s="483"/>
      <c r="W355" s="483"/>
      <c r="X355" s="483"/>
      <c r="Y355" s="483"/>
      <c r="Z355" s="483"/>
      <c r="AA355" s="483"/>
      <c r="AB355" s="2"/>
      <c r="AC355" s="2"/>
    </row>
    <row r="356" spans="1:29" customFormat="1" ht="16">
      <c r="A356" s="2"/>
      <c r="B356" s="2"/>
      <c r="C356" s="124"/>
      <c r="D356" s="124"/>
      <c r="E356" s="2"/>
      <c r="F356" s="2"/>
      <c r="G356" s="2"/>
      <c r="H356" s="139"/>
      <c r="I356" s="2"/>
      <c r="J356" s="483"/>
      <c r="K356" s="483"/>
      <c r="L356" s="483"/>
      <c r="M356" s="483"/>
      <c r="N356" s="483"/>
      <c r="O356" s="484"/>
      <c r="P356" s="483"/>
      <c r="Q356" s="483"/>
      <c r="R356" s="483"/>
      <c r="S356" s="483"/>
      <c r="T356" s="483"/>
      <c r="U356" s="483"/>
      <c r="V356" s="483"/>
      <c r="W356" s="483"/>
      <c r="X356" s="483"/>
      <c r="Y356" s="483"/>
      <c r="Z356" s="483"/>
      <c r="AA356" s="483"/>
      <c r="AB356" s="2"/>
      <c r="AC356" s="2"/>
    </row>
    <row r="357" spans="1:29" customFormat="1" ht="16">
      <c r="A357" s="2"/>
      <c r="B357" s="2"/>
      <c r="C357" s="124"/>
      <c r="D357" s="124"/>
      <c r="E357" s="2"/>
      <c r="F357" s="2"/>
      <c r="G357" s="2"/>
      <c r="H357" s="139"/>
      <c r="I357" s="2"/>
      <c r="J357" s="483"/>
      <c r="K357" s="483"/>
      <c r="L357" s="483"/>
      <c r="M357" s="483"/>
      <c r="N357" s="483"/>
      <c r="O357" s="484"/>
      <c r="P357" s="483"/>
      <c r="Q357" s="483"/>
      <c r="R357" s="483"/>
      <c r="S357" s="483"/>
      <c r="T357" s="483"/>
      <c r="U357" s="483"/>
      <c r="V357" s="483"/>
      <c r="W357" s="483"/>
      <c r="X357" s="483"/>
      <c r="Y357" s="483"/>
      <c r="Z357" s="483"/>
      <c r="AA357" s="483"/>
      <c r="AB357" s="2"/>
      <c r="AC357" s="2"/>
    </row>
    <row r="358" spans="1:29" customFormat="1" ht="16">
      <c r="A358" s="2"/>
      <c r="B358" s="2"/>
      <c r="C358" s="124"/>
      <c r="D358" s="124"/>
      <c r="E358" s="2"/>
      <c r="F358" s="2"/>
      <c r="G358" s="2"/>
      <c r="H358" s="139"/>
      <c r="I358" s="2"/>
      <c r="J358" s="483"/>
      <c r="K358" s="483"/>
      <c r="L358" s="483"/>
      <c r="M358" s="483"/>
      <c r="N358" s="483"/>
      <c r="O358" s="484"/>
      <c r="P358" s="483"/>
      <c r="Q358" s="483"/>
      <c r="R358" s="483"/>
      <c r="S358" s="483"/>
      <c r="T358" s="483"/>
      <c r="U358" s="483"/>
      <c r="V358" s="483"/>
      <c r="W358" s="483"/>
      <c r="X358" s="483"/>
      <c r="Y358" s="483"/>
      <c r="Z358" s="483"/>
      <c r="AA358" s="483"/>
      <c r="AB358" s="2"/>
      <c r="AC358" s="2"/>
    </row>
    <row r="359" spans="1:29" customFormat="1" ht="16">
      <c r="A359" s="2"/>
      <c r="B359" s="2"/>
      <c r="C359" s="124"/>
      <c r="D359" s="124"/>
      <c r="E359" s="2"/>
      <c r="F359" s="2"/>
      <c r="G359" s="2"/>
      <c r="H359" s="139"/>
      <c r="I359" s="2"/>
      <c r="J359" s="483"/>
      <c r="K359" s="483"/>
      <c r="L359" s="483"/>
      <c r="M359" s="483"/>
      <c r="N359" s="483"/>
      <c r="O359" s="484"/>
      <c r="P359" s="483"/>
      <c r="Q359" s="483"/>
      <c r="R359" s="483"/>
      <c r="S359" s="483"/>
      <c r="T359" s="483"/>
      <c r="U359" s="483"/>
      <c r="V359" s="483"/>
      <c r="W359" s="483"/>
      <c r="X359" s="483"/>
      <c r="Y359" s="483"/>
      <c r="Z359" s="483"/>
      <c r="AA359" s="483"/>
      <c r="AB359" s="2"/>
      <c r="AC359" s="2"/>
    </row>
    <row r="360" spans="1:29" customFormat="1" ht="16">
      <c r="A360" s="2"/>
      <c r="B360" s="2"/>
      <c r="C360" s="124"/>
      <c r="D360" s="124"/>
      <c r="E360" s="2"/>
      <c r="F360" s="2"/>
      <c r="G360" s="2"/>
      <c r="H360" s="139"/>
      <c r="I360" s="2"/>
      <c r="J360" s="483"/>
      <c r="K360" s="483"/>
      <c r="L360" s="483"/>
      <c r="M360" s="483"/>
      <c r="N360" s="483"/>
      <c r="O360" s="484"/>
      <c r="P360" s="483"/>
      <c r="Q360" s="483"/>
      <c r="R360" s="483"/>
      <c r="S360" s="483"/>
      <c r="T360" s="483"/>
      <c r="U360" s="483"/>
      <c r="V360" s="483"/>
      <c r="W360" s="483"/>
      <c r="X360" s="483"/>
      <c r="Y360" s="483"/>
      <c r="Z360" s="483"/>
      <c r="AA360" s="483"/>
      <c r="AB360" s="2"/>
      <c r="AC360" s="2"/>
    </row>
    <row r="361" spans="1:29" customFormat="1" ht="16">
      <c r="A361" s="2"/>
      <c r="B361" s="2"/>
      <c r="C361" s="124"/>
      <c r="D361" s="124"/>
      <c r="E361" s="2"/>
      <c r="F361" s="2"/>
      <c r="G361" s="2"/>
      <c r="H361" s="139"/>
      <c r="I361" s="2"/>
      <c r="J361" s="483"/>
      <c r="K361" s="483"/>
      <c r="L361" s="483"/>
      <c r="M361" s="483"/>
      <c r="N361" s="483"/>
      <c r="O361" s="484"/>
      <c r="P361" s="483"/>
      <c r="Q361" s="483"/>
      <c r="R361" s="483"/>
      <c r="S361" s="483"/>
      <c r="T361" s="483"/>
      <c r="U361" s="483"/>
      <c r="V361" s="483"/>
      <c r="W361" s="483"/>
      <c r="X361" s="483"/>
      <c r="Y361" s="483"/>
      <c r="Z361" s="483"/>
      <c r="AA361" s="483"/>
      <c r="AB361" s="2"/>
      <c r="AC361" s="2"/>
    </row>
    <row r="362" spans="1:29" customFormat="1" ht="16">
      <c r="A362" s="2"/>
      <c r="B362" s="2"/>
      <c r="C362" s="124"/>
      <c r="D362" s="124"/>
      <c r="E362" s="2"/>
      <c r="F362" s="2"/>
      <c r="G362" s="2"/>
      <c r="H362" s="139"/>
      <c r="I362" s="2"/>
      <c r="J362" s="483"/>
      <c r="K362" s="483"/>
      <c r="L362" s="483"/>
      <c r="M362" s="483"/>
      <c r="N362" s="483"/>
      <c r="O362" s="484"/>
      <c r="P362" s="483"/>
      <c r="Q362" s="483"/>
      <c r="R362" s="483"/>
      <c r="S362" s="483"/>
      <c r="T362" s="483"/>
      <c r="U362" s="483"/>
      <c r="V362" s="483"/>
      <c r="W362" s="483"/>
      <c r="X362" s="483"/>
      <c r="Y362" s="483"/>
      <c r="Z362" s="483"/>
      <c r="AA362" s="483"/>
      <c r="AB362" s="2"/>
      <c r="AC362" s="2"/>
    </row>
    <row r="363" spans="1:29" customFormat="1" ht="16">
      <c r="A363" s="2"/>
      <c r="B363" s="2"/>
      <c r="C363" s="124"/>
      <c r="D363" s="124"/>
      <c r="E363" s="2"/>
      <c r="F363" s="2"/>
      <c r="G363" s="2"/>
      <c r="H363" s="139"/>
      <c r="I363" s="2"/>
      <c r="J363" s="483"/>
      <c r="K363" s="483"/>
      <c r="L363" s="483"/>
      <c r="M363" s="483"/>
      <c r="N363" s="483"/>
      <c r="O363" s="484"/>
      <c r="P363" s="483"/>
      <c r="Q363" s="483"/>
      <c r="R363" s="483"/>
      <c r="S363" s="483"/>
      <c r="T363" s="483"/>
      <c r="U363" s="483"/>
      <c r="V363" s="483"/>
      <c r="W363" s="483"/>
      <c r="X363" s="483"/>
      <c r="Y363" s="483"/>
      <c r="Z363" s="483"/>
      <c r="AA363" s="483"/>
      <c r="AB363" s="2"/>
      <c r="AC363" s="2"/>
    </row>
    <row r="364" spans="1:29" customFormat="1" ht="16">
      <c r="A364" s="2"/>
      <c r="B364" s="2"/>
      <c r="C364" s="124"/>
      <c r="D364" s="124"/>
      <c r="E364" s="2"/>
      <c r="F364" s="2"/>
      <c r="G364" s="2"/>
      <c r="H364" s="139"/>
      <c r="I364" s="2"/>
      <c r="J364" s="483"/>
      <c r="K364" s="483"/>
      <c r="L364" s="483"/>
      <c r="M364" s="483"/>
      <c r="N364" s="483"/>
      <c r="O364" s="484"/>
      <c r="P364" s="483"/>
      <c r="Q364" s="483"/>
      <c r="R364" s="483"/>
      <c r="S364" s="483"/>
      <c r="T364" s="483"/>
      <c r="U364" s="483"/>
      <c r="V364" s="483"/>
      <c r="W364" s="483"/>
      <c r="X364" s="483"/>
      <c r="Y364" s="483"/>
      <c r="Z364" s="483"/>
      <c r="AA364" s="483"/>
      <c r="AB364" s="2"/>
      <c r="AC364" s="2"/>
    </row>
    <row r="365" spans="1:29" customFormat="1" ht="16">
      <c r="A365" s="2"/>
      <c r="B365" s="2"/>
      <c r="C365" s="124"/>
      <c r="D365" s="124"/>
      <c r="E365" s="2"/>
      <c r="F365" s="2"/>
      <c r="G365" s="2"/>
      <c r="H365" s="139"/>
      <c r="I365" s="2"/>
      <c r="J365" s="483"/>
      <c r="K365" s="483"/>
      <c r="L365" s="483"/>
      <c r="M365" s="483"/>
      <c r="N365" s="483"/>
      <c r="O365" s="484"/>
      <c r="P365" s="483"/>
      <c r="Q365" s="483"/>
      <c r="R365" s="483"/>
      <c r="S365" s="483"/>
      <c r="T365" s="483"/>
      <c r="U365" s="483"/>
      <c r="V365" s="483"/>
      <c r="W365" s="483"/>
      <c r="X365" s="483"/>
      <c r="Y365" s="483"/>
      <c r="Z365" s="483"/>
      <c r="AA365" s="483"/>
      <c r="AB365" s="2"/>
      <c r="AC365" s="2"/>
    </row>
    <row r="366" spans="1:29" customFormat="1" ht="16">
      <c r="A366" s="2"/>
      <c r="B366" s="2"/>
      <c r="C366" s="124"/>
      <c r="D366" s="124"/>
      <c r="E366" s="2"/>
      <c r="F366" s="2"/>
      <c r="G366" s="2"/>
      <c r="H366" s="139"/>
      <c r="I366" s="2"/>
      <c r="J366" s="483"/>
      <c r="K366" s="483"/>
      <c r="L366" s="483"/>
      <c r="M366" s="483"/>
      <c r="N366" s="483"/>
      <c r="O366" s="484"/>
      <c r="P366" s="483"/>
      <c r="Q366" s="483"/>
      <c r="R366" s="483"/>
      <c r="S366" s="483"/>
      <c r="T366" s="483"/>
      <c r="U366" s="483"/>
      <c r="V366" s="483"/>
      <c r="W366" s="483"/>
      <c r="X366" s="483"/>
      <c r="Y366" s="483"/>
      <c r="Z366" s="483"/>
      <c r="AA366" s="483"/>
      <c r="AB366" s="2"/>
      <c r="AC366" s="2"/>
    </row>
    <row r="367" spans="1:29" customFormat="1" ht="16">
      <c r="A367" s="2"/>
      <c r="B367" s="2"/>
      <c r="C367" s="124"/>
      <c r="D367" s="124"/>
      <c r="E367" s="2"/>
      <c r="F367" s="2"/>
      <c r="G367" s="2"/>
      <c r="H367" s="139"/>
      <c r="I367" s="2"/>
      <c r="J367" s="483"/>
      <c r="K367" s="483"/>
      <c r="L367" s="483"/>
      <c r="M367" s="483"/>
      <c r="N367" s="483"/>
      <c r="O367" s="484"/>
      <c r="P367" s="483"/>
      <c r="Q367" s="483"/>
      <c r="R367" s="483"/>
      <c r="S367" s="483"/>
      <c r="T367" s="483"/>
      <c r="U367" s="483"/>
      <c r="V367" s="483"/>
      <c r="W367" s="483"/>
      <c r="X367" s="483"/>
      <c r="Y367" s="483"/>
      <c r="Z367" s="483"/>
      <c r="AA367" s="483"/>
      <c r="AB367" s="2"/>
      <c r="AC367" s="2"/>
    </row>
    <row r="368" spans="1:29" customFormat="1" ht="16">
      <c r="A368" s="2"/>
      <c r="B368" s="2"/>
      <c r="C368" s="124"/>
      <c r="D368" s="124"/>
      <c r="E368" s="2"/>
      <c r="F368" s="2"/>
      <c r="G368" s="2"/>
      <c r="H368" s="139"/>
      <c r="I368" s="2"/>
      <c r="J368" s="483"/>
      <c r="K368" s="483"/>
      <c r="L368" s="483"/>
      <c r="M368" s="483"/>
      <c r="N368" s="483"/>
      <c r="O368" s="484"/>
      <c r="P368" s="483"/>
      <c r="Q368" s="483"/>
      <c r="R368" s="483"/>
      <c r="S368" s="483"/>
      <c r="T368" s="483"/>
      <c r="U368" s="483"/>
      <c r="V368" s="483"/>
      <c r="W368" s="483"/>
      <c r="X368" s="483"/>
      <c r="Y368" s="483"/>
      <c r="Z368" s="483"/>
      <c r="AA368" s="483"/>
      <c r="AB368" s="2"/>
      <c r="AC368" s="2"/>
    </row>
    <row r="369" spans="1:29" customFormat="1" ht="16">
      <c r="A369" s="2"/>
      <c r="B369" s="2"/>
      <c r="C369" s="124"/>
      <c r="D369" s="124"/>
      <c r="E369" s="2"/>
      <c r="F369" s="2"/>
      <c r="G369" s="2"/>
      <c r="H369" s="139"/>
      <c r="I369" s="2"/>
      <c r="J369" s="483"/>
      <c r="K369" s="483"/>
      <c r="L369" s="483"/>
      <c r="M369" s="483"/>
      <c r="N369" s="483"/>
      <c r="O369" s="484"/>
      <c r="P369" s="483"/>
      <c r="Q369" s="483"/>
      <c r="R369" s="483"/>
      <c r="S369" s="483"/>
      <c r="T369" s="483"/>
      <c r="U369" s="483"/>
      <c r="V369" s="483"/>
      <c r="W369" s="483"/>
      <c r="X369" s="483"/>
      <c r="Y369" s="483"/>
      <c r="Z369" s="483"/>
      <c r="AA369" s="483"/>
      <c r="AB369" s="2"/>
      <c r="AC369" s="2"/>
    </row>
    <row r="370" spans="1:29" customFormat="1" ht="16">
      <c r="A370" s="2"/>
      <c r="B370" s="2"/>
      <c r="C370" s="124"/>
      <c r="D370" s="124"/>
      <c r="E370" s="2"/>
      <c r="F370" s="2"/>
      <c r="G370" s="2"/>
      <c r="H370" s="139"/>
      <c r="I370" s="2"/>
      <c r="J370" s="483"/>
      <c r="K370" s="483"/>
      <c r="L370" s="483"/>
      <c r="M370" s="483"/>
      <c r="N370" s="483"/>
      <c r="O370" s="484"/>
      <c r="P370" s="483"/>
      <c r="Q370" s="483"/>
      <c r="R370" s="483"/>
      <c r="S370" s="483"/>
      <c r="T370" s="483"/>
      <c r="U370" s="483"/>
      <c r="V370" s="483"/>
      <c r="W370" s="483"/>
      <c r="X370" s="483"/>
      <c r="Y370" s="483"/>
      <c r="Z370" s="483"/>
      <c r="AA370" s="483"/>
      <c r="AB370" s="2"/>
      <c r="AC370" s="2"/>
    </row>
    <row r="371" spans="1:29" customFormat="1" ht="16">
      <c r="A371" s="2"/>
      <c r="B371" s="2"/>
      <c r="C371" s="124"/>
      <c r="D371" s="124"/>
      <c r="E371" s="2"/>
      <c r="F371" s="2"/>
      <c r="G371" s="2"/>
      <c r="H371" s="139"/>
      <c r="I371" s="2"/>
      <c r="J371" s="483"/>
      <c r="K371" s="483"/>
      <c r="L371" s="483"/>
      <c r="M371" s="483"/>
      <c r="N371" s="483"/>
      <c r="O371" s="484"/>
      <c r="P371" s="483"/>
      <c r="Q371" s="483"/>
      <c r="R371" s="483"/>
      <c r="S371" s="483"/>
      <c r="T371" s="483"/>
      <c r="U371" s="483"/>
      <c r="V371" s="483"/>
      <c r="W371" s="483"/>
      <c r="X371" s="483"/>
      <c r="Y371" s="483"/>
      <c r="Z371" s="483"/>
      <c r="AA371" s="483"/>
      <c r="AB371" s="2"/>
      <c r="AC371" s="2"/>
    </row>
    <row r="372" spans="1:29" customFormat="1" ht="16">
      <c r="A372" s="2"/>
      <c r="B372" s="2"/>
      <c r="C372" s="124"/>
      <c r="D372" s="124"/>
      <c r="E372" s="2"/>
      <c r="F372" s="2"/>
      <c r="G372" s="2"/>
      <c r="H372" s="139"/>
      <c r="I372" s="2"/>
      <c r="J372" s="483"/>
      <c r="K372" s="483"/>
      <c r="L372" s="483"/>
      <c r="M372" s="483"/>
      <c r="N372" s="483"/>
      <c r="O372" s="484"/>
      <c r="P372" s="483"/>
      <c r="Q372" s="483"/>
      <c r="R372" s="483"/>
      <c r="S372" s="483"/>
      <c r="T372" s="483"/>
      <c r="U372" s="483"/>
      <c r="V372" s="483"/>
      <c r="W372" s="483"/>
      <c r="X372" s="483"/>
      <c r="Y372" s="483"/>
      <c r="Z372" s="483"/>
      <c r="AA372" s="483"/>
      <c r="AB372" s="2"/>
      <c r="AC372" s="2"/>
    </row>
    <row r="373" spans="1:29" customFormat="1" ht="16">
      <c r="A373" s="2"/>
      <c r="B373" s="2"/>
      <c r="C373" s="124"/>
      <c r="D373" s="124"/>
      <c r="E373" s="2"/>
      <c r="F373" s="2"/>
      <c r="G373" s="2"/>
      <c r="H373" s="139"/>
      <c r="I373" s="2"/>
      <c r="J373" s="483"/>
      <c r="K373" s="483"/>
      <c r="L373" s="483"/>
      <c r="M373" s="483"/>
      <c r="N373" s="483"/>
      <c r="O373" s="484"/>
      <c r="P373" s="483"/>
      <c r="Q373" s="483"/>
      <c r="R373" s="483"/>
      <c r="S373" s="483"/>
      <c r="T373" s="483"/>
      <c r="U373" s="483"/>
      <c r="V373" s="483"/>
      <c r="W373" s="483"/>
      <c r="X373" s="483"/>
      <c r="Y373" s="483"/>
      <c r="Z373" s="483"/>
      <c r="AA373" s="483"/>
      <c r="AB373" s="2"/>
      <c r="AC373" s="2"/>
    </row>
    <row r="374" spans="1:29" customFormat="1" ht="16">
      <c r="A374" s="2"/>
      <c r="B374" s="2"/>
      <c r="C374" s="124"/>
      <c r="D374" s="124"/>
      <c r="E374" s="2"/>
      <c r="F374" s="2"/>
      <c r="G374" s="2"/>
      <c r="H374" s="139"/>
      <c r="I374" s="2"/>
      <c r="J374" s="483"/>
      <c r="K374" s="483"/>
      <c r="L374" s="483"/>
      <c r="M374" s="483"/>
      <c r="N374" s="483"/>
      <c r="O374" s="484"/>
      <c r="P374" s="483"/>
      <c r="Q374" s="483"/>
      <c r="R374" s="483"/>
      <c r="S374" s="483"/>
      <c r="T374" s="483"/>
      <c r="U374" s="483"/>
      <c r="V374" s="483"/>
      <c r="W374" s="483"/>
      <c r="X374" s="483"/>
      <c r="Y374" s="483"/>
      <c r="Z374" s="483"/>
      <c r="AA374" s="483"/>
      <c r="AB374" s="2"/>
      <c r="AC374" s="2"/>
    </row>
    <row r="375" spans="1:29" customFormat="1" ht="16">
      <c r="A375" s="2"/>
      <c r="B375" s="2"/>
      <c r="C375" s="124"/>
      <c r="D375" s="124"/>
      <c r="E375" s="2"/>
      <c r="F375" s="2"/>
      <c r="G375" s="2"/>
      <c r="H375" s="139"/>
      <c r="I375" s="2"/>
      <c r="J375" s="483"/>
      <c r="K375" s="483"/>
      <c r="L375" s="483"/>
      <c r="M375" s="483"/>
      <c r="N375" s="483"/>
      <c r="O375" s="484"/>
      <c r="P375" s="483"/>
      <c r="Q375" s="483"/>
      <c r="R375" s="483"/>
      <c r="S375" s="483"/>
      <c r="T375" s="483"/>
      <c r="U375" s="483"/>
      <c r="V375" s="483"/>
      <c r="W375" s="483"/>
      <c r="X375" s="483"/>
      <c r="Y375" s="483"/>
      <c r="Z375" s="483"/>
      <c r="AA375" s="483"/>
      <c r="AB375" s="2"/>
      <c r="AC375" s="2"/>
    </row>
    <row r="376" spans="1:29" customFormat="1" ht="16">
      <c r="A376" s="2"/>
      <c r="B376" s="2"/>
      <c r="C376" s="124"/>
      <c r="D376" s="124"/>
      <c r="E376" s="2"/>
      <c r="F376" s="2"/>
      <c r="G376" s="2"/>
      <c r="H376" s="139"/>
      <c r="I376" s="2"/>
      <c r="J376" s="483"/>
      <c r="K376" s="483"/>
      <c r="L376" s="483"/>
      <c r="M376" s="483"/>
      <c r="N376" s="483"/>
      <c r="O376" s="484"/>
      <c r="P376" s="483"/>
      <c r="Q376" s="483"/>
      <c r="R376" s="483"/>
      <c r="S376" s="483"/>
      <c r="T376" s="483"/>
      <c r="U376" s="483"/>
      <c r="V376" s="483"/>
      <c r="W376" s="483"/>
      <c r="X376" s="483"/>
      <c r="Y376" s="483"/>
      <c r="Z376" s="483"/>
      <c r="AA376" s="483"/>
      <c r="AB376" s="2"/>
      <c r="AC376" s="2"/>
    </row>
    <row r="377" spans="1:29" customFormat="1" ht="16">
      <c r="A377" s="2"/>
      <c r="B377" s="2"/>
      <c r="C377" s="124"/>
      <c r="D377" s="124"/>
      <c r="E377" s="2"/>
      <c r="F377" s="2"/>
      <c r="G377" s="2"/>
      <c r="H377" s="139"/>
      <c r="I377" s="2"/>
      <c r="J377" s="483"/>
      <c r="K377" s="483"/>
      <c r="L377" s="483"/>
      <c r="M377" s="483"/>
      <c r="N377" s="483"/>
      <c r="O377" s="484"/>
      <c r="P377" s="483"/>
      <c r="Q377" s="483"/>
      <c r="R377" s="483"/>
      <c r="S377" s="483"/>
      <c r="T377" s="483"/>
      <c r="U377" s="483"/>
      <c r="V377" s="483"/>
      <c r="W377" s="483"/>
      <c r="X377" s="483"/>
      <c r="Y377" s="483"/>
      <c r="Z377" s="483"/>
      <c r="AA377" s="483"/>
      <c r="AB377" s="2"/>
      <c r="AC377" s="2"/>
    </row>
    <row r="378" spans="1:29" customFormat="1" ht="16">
      <c r="A378" s="2"/>
      <c r="B378" s="2"/>
      <c r="C378" s="124"/>
      <c r="D378" s="124"/>
      <c r="E378" s="2"/>
      <c r="F378" s="2"/>
      <c r="G378" s="2"/>
      <c r="H378" s="139"/>
      <c r="I378" s="2"/>
      <c r="J378" s="483"/>
      <c r="K378" s="483"/>
      <c r="L378" s="483"/>
      <c r="M378" s="483"/>
      <c r="N378" s="483"/>
      <c r="O378" s="484"/>
      <c r="P378" s="483"/>
      <c r="Q378" s="483"/>
      <c r="R378" s="483"/>
      <c r="S378" s="483"/>
      <c r="T378" s="483"/>
      <c r="U378" s="483"/>
      <c r="V378" s="483"/>
      <c r="W378" s="483"/>
      <c r="X378" s="483"/>
      <c r="Y378" s="483"/>
      <c r="Z378" s="483"/>
      <c r="AA378" s="483"/>
      <c r="AB378" s="2"/>
      <c r="AC378" s="2"/>
    </row>
    <row r="379" spans="1:29" customFormat="1" ht="16">
      <c r="A379" s="2"/>
      <c r="B379" s="2"/>
      <c r="C379" s="124"/>
      <c r="D379" s="124"/>
      <c r="E379" s="2"/>
      <c r="F379" s="2"/>
      <c r="G379" s="2"/>
      <c r="H379" s="139"/>
      <c r="I379" s="2"/>
      <c r="J379" s="483"/>
      <c r="K379" s="483"/>
      <c r="L379" s="483"/>
      <c r="M379" s="483"/>
      <c r="N379" s="483"/>
      <c r="O379" s="484"/>
      <c r="P379" s="483"/>
      <c r="Q379" s="483"/>
      <c r="R379" s="483"/>
      <c r="S379" s="483"/>
      <c r="T379" s="483"/>
      <c r="U379" s="483"/>
      <c r="V379" s="483"/>
      <c r="W379" s="483"/>
      <c r="X379" s="483"/>
      <c r="Y379" s="483"/>
      <c r="Z379" s="483"/>
      <c r="AA379" s="483"/>
      <c r="AB379" s="2"/>
      <c r="AC379" s="2"/>
    </row>
    <row r="380" spans="1:29" customFormat="1" ht="16">
      <c r="A380" s="2"/>
      <c r="B380" s="2"/>
      <c r="C380" s="124"/>
      <c r="D380" s="124"/>
      <c r="E380" s="2"/>
      <c r="F380" s="2"/>
      <c r="G380" s="2"/>
      <c r="H380" s="139"/>
      <c r="I380" s="2"/>
      <c r="J380" s="483"/>
      <c r="K380" s="483"/>
      <c r="L380" s="483"/>
      <c r="M380" s="483"/>
      <c r="N380" s="483"/>
      <c r="O380" s="484"/>
      <c r="P380" s="483"/>
      <c r="Q380" s="483"/>
      <c r="R380" s="483"/>
      <c r="S380" s="483"/>
      <c r="T380" s="483"/>
      <c r="U380" s="483"/>
      <c r="V380" s="483"/>
      <c r="W380" s="483"/>
      <c r="X380" s="483"/>
      <c r="Y380" s="483"/>
      <c r="Z380" s="483"/>
      <c r="AA380" s="483"/>
      <c r="AB380" s="2"/>
      <c r="AC380" s="2"/>
    </row>
    <row r="381" spans="1:29" customFormat="1" ht="16">
      <c r="A381" s="2"/>
      <c r="B381" s="2"/>
      <c r="C381" s="124"/>
      <c r="D381" s="124"/>
      <c r="E381" s="2"/>
      <c r="F381" s="2"/>
      <c r="G381" s="2"/>
      <c r="H381" s="139"/>
      <c r="I381" s="2"/>
      <c r="J381" s="483"/>
      <c r="K381" s="483"/>
      <c r="L381" s="483"/>
      <c r="M381" s="483"/>
      <c r="N381" s="483"/>
      <c r="O381" s="484"/>
      <c r="P381" s="483"/>
      <c r="Q381" s="483"/>
      <c r="R381" s="483"/>
      <c r="S381" s="483"/>
      <c r="T381" s="483"/>
      <c r="U381" s="483"/>
      <c r="V381" s="483"/>
      <c r="W381" s="483"/>
      <c r="X381" s="483"/>
      <c r="Y381" s="483"/>
      <c r="Z381" s="483"/>
      <c r="AA381" s="483"/>
      <c r="AB381" s="2"/>
      <c r="AC381" s="2"/>
    </row>
    <row r="382" spans="1:29" customFormat="1" ht="16">
      <c r="A382" s="2"/>
      <c r="B382" s="2"/>
      <c r="C382" s="124"/>
      <c r="D382" s="124"/>
      <c r="E382" s="2"/>
      <c r="F382" s="2"/>
      <c r="G382" s="2"/>
      <c r="H382" s="139"/>
      <c r="I382" s="2"/>
      <c r="J382" s="483"/>
      <c r="K382" s="483"/>
      <c r="L382" s="483"/>
      <c r="M382" s="483"/>
      <c r="N382" s="483"/>
      <c r="O382" s="484"/>
      <c r="P382" s="483"/>
      <c r="Q382" s="483"/>
      <c r="R382" s="483"/>
      <c r="S382" s="483"/>
      <c r="T382" s="483"/>
      <c r="U382" s="483"/>
      <c r="V382" s="483"/>
      <c r="W382" s="483"/>
      <c r="X382" s="483"/>
      <c r="Y382" s="483"/>
      <c r="Z382" s="483"/>
      <c r="AA382" s="483"/>
      <c r="AB382" s="2"/>
      <c r="AC382" s="2"/>
    </row>
    <row r="383" spans="1:29" customFormat="1" ht="16">
      <c r="A383" s="2"/>
      <c r="B383" s="2"/>
      <c r="C383" s="124"/>
      <c r="D383" s="124"/>
      <c r="E383" s="2"/>
      <c r="F383" s="2"/>
      <c r="G383" s="2"/>
      <c r="H383" s="139"/>
      <c r="I383" s="2"/>
      <c r="J383" s="483"/>
      <c r="K383" s="483"/>
      <c r="L383" s="483"/>
      <c r="M383" s="483"/>
      <c r="N383" s="483"/>
      <c r="O383" s="484"/>
      <c r="P383" s="483"/>
      <c r="Q383" s="483"/>
      <c r="R383" s="483"/>
      <c r="S383" s="483"/>
      <c r="T383" s="483"/>
      <c r="U383" s="483"/>
      <c r="V383" s="483"/>
      <c r="W383" s="483"/>
      <c r="X383" s="483"/>
      <c r="Y383" s="483"/>
      <c r="Z383" s="483"/>
      <c r="AA383" s="483"/>
      <c r="AB383" s="2"/>
      <c r="AC383" s="2"/>
    </row>
    <row r="384" spans="1:29" customFormat="1" ht="16">
      <c r="A384" s="2"/>
      <c r="B384" s="2"/>
      <c r="C384" s="124"/>
      <c r="D384" s="124"/>
      <c r="E384" s="2"/>
      <c r="F384" s="2"/>
      <c r="G384" s="2"/>
      <c r="H384" s="139"/>
      <c r="I384" s="2"/>
      <c r="J384" s="483"/>
      <c r="K384" s="483"/>
      <c r="L384" s="483"/>
      <c r="M384" s="483"/>
      <c r="N384" s="483"/>
      <c r="O384" s="484"/>
      <c r="P384" s="483"/>
      <c r="Q384" s="483"/>
      <c r="R384" s="483"/>
      <c r="S384" s="483"/>
      <c r="T384" s="483"/>
      <c r="U384" s="483"/>
      <c r="V384" s="483"/>
      <c r="W384" s="483"/>
      <c r="X384" s="483"/>
      <c r="Y384" s="483"/>
      <c r="Z384" s="483"/>
      <c r="AA384" s="483"/>
      <c r="AB384" s="2"/>
      <c r="AC384" s="2"/>
    </row>
    <row r="385" spans="1:29" customFormat="1" ht="16">
      <c r="A385" s="2"/>
      <c r="B385" s="2"/>
      <c r="C385" s="124"/>
      <c r="D385" s="124"/>
      <c r="E385" s="2"/>
      <c r="F385" s="2"/>
      <c r="G385" s="2"/>
      <c r="H385" s="139"/>
      <c r="I385" s="2"/>
      <c r="J385" s="483"/>
      <c r="K385" s="483"/>
      <c r="L385" s="483"/>
      <c r="M385" s="483"/>
      <c r="N385" s="483"/>
      <c r="O385" s="484"/>
      <c r="P385" s="483"/>
      <c r="Q385" s="483"/>
      <c r="R385" s="483"/>
      <c r="S385" s="483"/>
      <c r="T385" s="483"/>
      <c r="U385" s="483"/>
      <c r="V385" s="483"/>
      <c r="W385" s="483"/>
      <c r="X385" s="483"/>
      <c r="Y385" s="483"/>
      <c r="Z385" s="483"/>
      <c r="AA385" s="483"/>
      <c r="AB385" s="2"/>
      <c r="AC385" s="2"/>
    </row>
    <row r="386" spans="1:29" customFormat="1" ht="16">
      <c r="A386" s="2"/>
      <c r="B386" s="2"/>
      <c r="C386" s="124"/>
      <c r="D386" s="124"/>
      <c r="E386" s="2"/>
      <c r="F386" s="2"/>
      <c r="G386" s="2"/>
      <c r="H386" s="139"/>
      <c r="I386" s="2"/>
      <c r="J386" s="483"/>
      <c r="K386" s="483"/>
      <c r="L386" s="483"/>
      <c r="M386" s="483"/>
      <c r="N386" s="483"/>
      <c r="O386" s="484"/>
      <c r="P386" s="483"/>
      <c r="Q386" s="483"/>
      <c r="R386" s="483"/>
      <c r="S386" s="483"/>
      <c r="T386" s="483"/>
      <c r="U386" s="483"/>
      <c r="V386" s="483"/>
      <c r="W386" s="483"/>
      <c r="X386" s="483"/>
      <c r="Y386" s="483"/>
      <c r="Z386" s="483"/>
      <c r="AA386" s="483"/>
      <c r="AB386" s="2"/>
      <c r="AC386" s="2"/>
    </row>
    <row r="387" spans="1:29" customFormat="1" ht="16">
      <c r="A387" s="2"/>
      <c r="B387" s="2"/>
      <c r="C387" s="124"/>
      <c r="D387" s="124"/>
      <c r="E387" s="2"/>
      <c r="F387" s="2"/>
      <c r="G387" s="2"/>
      <c r="H387" s="139"/>
      <c r="I387" s="2"/>
      <c r="J387" s="483"/>
      <c r="K387" s="483"/>
      <c r="L387" s="483"/>
      <c r="M387" s="483"/>
      <c r="N387" s="483"/>
      <c r="O387" s="484"/>
      <c r="P387" s="483"/>
      <c r="Q387" s="483"/>
      <c r="R387" s="483"/>
      <c r="S387" s="483"/>
      <c r="T387" s="483"/>
      <c r="U387" s="483"/>
      <c r="V387" s="483"/>
      <c r="W387" s="483"/>
      <c r="X387" s="483"/>
      <c r="Y387" s="483"/>
      <c r="Z387" s="483"/>
      <c r="AA387" s="483"/>
      <c r="AB387" s="2"/>
      <c r="AC387" s="2"/>
    </row>
    <row r="388" spans="1:29" customFormat="1" ht="16">
      <c r="A388" s="2"/>
      <c r="B388" s="2"/>
      <c r="C388" s="124"/>
      <c r="D388" s="124"/>
      <c r="E388" s="2"/>
      <c r="F388" s="2"/>
      <c r="G388" s="2"/>
      <c r="H388" s="139"/>
      <c r="I388" s="2"/>
      <c r="J388" s="483"/>
      <c r="K388" s="483"/>
      <c r="L388" s="483"/>
      <c r="M388" s="483"/>
      <c r="N388" s="483"/>
      <c r="O388" s="484"/>
      <c r="P388" s="483"/>
      <c r="Q388" s="483"/>
      <c r="R388" s="483"/>
      <c r="S388" s="483"/>
      <c r="T388" s="483"/>
      <c r="U388" s="483"/>
      <c r="V388" s="483"/>
      <c r="W388" s="483"/>
      <c r="X388" s="483"/>
      <c r="Y388" s="483"/>
      <c r="Z388" s="483"/>
      <c r="AA388" s="483"/>
      <c r="AB388" s="2"/>
      <c r="AC388" s="2"/>
    </row>
    <row r="389" spans="1:29" customFormat="1" ht="16">
      <c r="A389" s="2"/>
      <c r="B389" s="2"/>
      <c r="C389" s="124"/>
      <c r="D389" s="124"/>
      <c r="E389" s="2"/>
      <c r="F389" s="2"/>
      <c r="G389" s="2"/>
      <c r="H389" s="139"/>
      <c r="I389" s="2"/>
      <c r="J389" s="483"/>
      <c r="K389" s="483"/>
      <c r="L389" s="483"/>
      <c r="M389" s="483"/>
      <c r="N389" s="483"/>
      <c r="O389" s="484"/>
      <c r="P389" s="483"/>
      <c r="Q389" s="483"/>
      <c r="R389" s="483"/>
      <c r="S389" s="483"/>
      <c r="T389" s="483"/>
      <c r="U389" s="483"/>
      <c r="V389" s="483"/>
      <c r="W389" s="483"/>
      <c r="X389" s="483"/>
      <c r="Y389" s="483"/>
      <c r="Z389" s="483"/>
      <c r="AA389" s="483"/>
      <c r="AB389" s="2"/>
      <c r="AC389" s="2"/>
    </row>
    <row r="390" spans="1:29" customFormat="1" ht="16">
      <c r="A390" s="2"/>
      <c r="B390" s="2"/>
      <c r="C390" s="124"/>
      <c r="D390" s="124"/>
      <c r="E390" s="2"/>
      <c r="F390" s="2"/>
      <c r="G390" s="2"/>
      <c r="H390" s="139"/>
      <c r="I390" s="2"/>
      <c r="J390" s="483"/>
      <c r="K390" s="483"/>
      <c r="L390" s="483"/>
      <c r="M390" s="483"/>
      <c r="N390" s="483"/>
      <c r="O390" s="484"/>
      <c r="P390" s="483"/>
      <c r="Q390" s="483"/>
      <c r="R390" s="483"/>
      <c r="S390" s="483"/>
      <c r="T390" s="483"/>
      <c r="U390" s="483"/>
      <c r="V390" s="483"/>
      <c r="W390" s="483"/>
      <c r="X390" s="483"/>
      <c r="Y390" s="483"/>
      <c r="Z390" s="483"/>
      <c r="AA390" s="483"/>
      <c r="AB390" s="2"/>
      <c r="AC390" s="2"/>
    </row>
    <row r="391" spans="1:29" customFormat="1" ht="16">
      <c r="A391" s="2"/>
      <c r="B391" s="2"/>
      <c r="C391" s="124"/>
      <c r="D391" s="124"/>
      <c r="E391" s="2"/>
      <c r="F391" s="2"/>
      <c r="G391" s="2"/>
      <c r="H391" s="139"/>
      <c r="I391" s="2"/>
      <c r="J391" s="483"/>
      <c r="K391" s="483"/>
      <c r="L391" s="483"/>
      <c r="M391" s="483"/>
      <c r="N391" s="483"/>
      <c r="O391" s="484"/>
      <c r="P391" s="483"/>
      <c r="Q391" s="483"/>
      <c r="R391" s="483"/>
      <c r="S391" s="483"/>
      <c r="T391" s="483"/>
      <c r="U391" s="483"/>
      <c r="V391" s="483"/>
      <c r="W391" s="483"/>
      <c r="X391" s="483"/>
      <c r="Y391" s="483"/>
      <c r="Z391" s="483"/>
      <c r="AA391" s="483"/>
      <c r="AB391" s="2"/>
      <c r="AC391" s="2"/>
    </row>
    <row r="392" spans="1:29" customFormat="1" ht="16">
      <c r="A392" s="2"/>
      <c r="B392" s="2"/>
      <c r="C392" s="124"/>
      <c r="D392" s="124"/>
      <c r="E392" s="2"/>
      <c r="F392" s="2"/>
      <c r="G392" s="2"/>
      <c r="H392" s="139"/>
      <c r="I392" s="2"/>
      <c r="J392" s="483"/>
      <c r="K392" s="483"/>
      <c r="L392" s="483"/>
      <c r="M392" s="483"/>
      <c r="N392" s="483"/>
      <c r="O392" s="484"/>
      <c r="P392" s="483"/>
      <c r="Q392" s="483"/>
      <c r="R392" s="483"/>
      <c r="S392" s="483"/>
      <c r="T392" s="483"/>
      <c r="U392" s="483"/>
      <c r="V392" s="483"/>
      <c r="W392" s="483"/>
      <c r="X392" s="483"/>
      <c r="Y392" s="483"/>
      <c r="Z392" s="483"/>
      <c r="AA392" s="483"/>
      <c r="AB392" s="2"/>
      <c r="AC392" s="2"/>
    </row>
    <row r="393" spans="1:29" customFormat="1" ht="16">
      <c r="A393" s="2"/>
      <c r="B393" s="2"/>
      <c r="C393" s="124"/>
      <c r="D393" s="124"/>
      <c r="E393" s="2"/>
      <c r="F393" s="2"/>
      <c r="G393" s="2"/>
      <c r="H393" s="139"/>
      <c r="I393" s="2"/>
      <c r="J393" s="483"/>
      <c r="K393" s="483"/>
      <c r="L393" s="483"/>
      <c r="M393" s="483"/>
      <c r="N393" s="483"/>
      <c r="O393" s="484"/>
      <c r="P393" s="483"/>
      <c r="Q393" s="483"/>
      <c r="R393" s="483"/>
      <c r="S393" s="483"/>
      <c r="T393" s="483"/>
      <c r="U393" s="483"/>
      <c r="V393" s="483"/>
      <c r="W393" s="483"/>
      <c r="X393" s="483"/>
      <c r="Y393" s="483"/>
      <c r="Z393" s="483"/>
      <c r="AA393" s="483"/>
      <c r="AB393" s="2"/>
      <c r="AC393" s="2"/>
    </row>
    <row r="394" spans="1:29" customFormat="1" ht="16">
      <c r="A394" s="2"/>
      <c r="B394" s="2"/>
      <c r="C394" s="124"/>
      <c r="D394" s="124"/>
      <c r="E394" s="2"/>
      <c r="F394" s="2"/>
      <c r="G394" s="2"/>
      <c r="H394" s="139"/>
      <c r="I394" s="2"/>
      <c r="J394" s="483"/>
      <c r="K394" s="483"/>
      <c r="L394" s="483"/>
      <c r="M394" s="483"/>
      <c r="N394" s="483"/>
      <c r="O394" s="484"/>
      <c r="P394" s="483"/>
      <c r="Q394" s="483"/>
      <c r="R394" s="483"/>
      <c r="S394" s="483"/>
      <c r="T394" s="483"/>
      <c r="U394" s="483"/>
      <c r="V394" s="483"/>
      <c r="W394" s="483"/>
      <c r="X394" s="483"/>
      <c r="Y394" s="483"/>
      <c r="Z394" s="483"/>
      <c r="AA394" s="483"/>
      <c r="AB394" s="2"/>
      <c r="AC394" s="2"/>
    </row>
    <row r="395" spans="1:29" customFormat="1" ht="16">
      <c r="A395" s="2"/>
      <c r="B395" s="2"/>
      <c r="C395" s="124"/>
      <c r="D395" s="124"/>
      <c r="E395" s="2"/>
      <c r="F395" s="2"/>
      <c r="G395" s="2"/>
      <c r="H395" s="139"/>
      <c r="I395" s="2"/>
      <c r="J395" s="483"/>
      <c r="K395" s="483"/>
      <c r="L395" s="483"/>
      <c r="M395" s="483"/>
      <c r="N395" s="483"/>
      <c r="O395" s="484"/>
      <c r="P395" s="483"/>
      <c r="Q395" s="483"/>
      <c r="R395" s="483"/>
      <c r="S395" s="483"/>
      <c r="T395" s="483"/>
      <c r="U395" s="483"/>
      <c r="V395" s="483"/>
      <c r="W395" s="483"/>
      <c r="X395" s="483"/>
      <c r="Y395" s="483"/>
      <c r="Z395" s="483"/>
      <c r="AA395" s="483"/>
      <c r="AB395" s="2"/>
      <c r="AC395" s="2"/>
    </row>
    <row r="396" spans="1:29" customFormat="1" ht="16">
      <c r="A396" s="2"/>
      <c r="B396" s="2"/>
      <c r="C396" s="124"/>
      <c r="D396" s="124"/>
      <c r="E396" s="2"/>
      <c r="F396" s="2"/>
      <c r="G396" s="2"/>
      <c r="H396" s="139"/>
      <c r="I396" s="2"/>
      <c r="J396" s="483"/>
      <c r="K396" s="483"/>
      <c r="L396" s="483"/>
      <c r="M396" s="483"/>
      <c r="N396" s="483"/>
      <c r="O396" s="484"/>
      <c r="P396" s="483"/>
      <c r="Q396" s="483"/>
      <c r="R396" s="483"/>
      <c r="S396" s="483"/>
      <c r="T396" s="483"/>
      <c r="U396" s="483"/>
      <c r="V396" s="483"/>
      <c r="W396" s="483"/>
      <c r="X396" s="483"/>
      <c r="Y396" s="483"/>
      <c r="Z396" s="483"/>
      <c r="AA396" s="483"/>
      <c r="AB396" s="2"/>
      <c r="AC396" s="2"/>
    </row>
    <row r="397" spans="1:29" customFormat="1" ht="16">
      <c r="A397" s="2"/>
      <c r="B397" s="2"/>
      <c r="C397" s="124"/>
      <c r="D397" s="124"/>
      <c r="E397" s="2"/>
      <c r="F397" s="2"/>
      <c r="G397" s="2"/>
      <c r="H397" s="139"/>
      <c r="I397" s="2"/>
      <c r="J397" s="483"/>
      <c r="K397" s="483"/>
      <c r="L397" s="483"/>
      <c r="M397" s="483"/>
      <c r="N397" s="483"/>
      <c r="O397" s="484"/>
      <c r="P397" s="483"/>
      <c r="Q397" s="483"/>
      <c r="R397" s="483"/>
      <c r="S397" s="483"/>
      <c r="T397" s="483"/>
      <c r="U397" s="483"/>
      <c r="V397" s="483"/>
      <c r="W397" s="483"/>
      <c r="X397" s="483"/>
      <c r="Y397" s="483"/>
      <c r="Z397" s="483"/>
      <c r="AA397" s="483"/>
      <c r="AB397" s="2"/>
      <c r="AC397" s="2"/>
    </row>
    <row r="398" spans="1:29" customFormat="1" ht="16">
      <c r="A398" s="2"/>
      <c r="B398" s="2"/>
      <c r="C398" s="124"/>
      <c r="D398" s="124"/>
      <c r="E398" s="2"/>
      <c r="F398" s="2"/>
      <c r="G398" s="2"/>
      <c r="H398" s="139"/>
      <c r="I398" s="2"/>
      <c r="J398" s="483"/>
      <c r="K398" s="483"/>
      <c r="L398" s="483"/>
      <c r="M398" s="483"/>
      <c r="N398" s="483"/>
      <c r="O398" s="484"/>
      <c r="P398" s="483"/>
      <c r="Q398" s="483"/>
      <c r="R398" s="483"/>
      <c r="S398" s="483"/>
      <c r="T398" s="483"/>
      <c r="U398" s="483"/>
      <c r="V398" s="483"/>
      <c r="W398" s="483"/>
      <c r="X398" s="483"/>
      <c r="Y398" s="483"/>
      <c r="Z398" s="483"/>
      <c r="AA398" s="483"/>
      <c r="AB398" s="2"/>
      <c r="AC398" s="2"/>
    </row>
    <row r="399" spans="1:29" customFormat="1" ht="16">
      <c r="A399" s="2"/>
      <c r="B399" s="2"/>
      <c r="C399" s="124"/>
      <c r="D399" s="124"/>
      <c r="E399" s="2"/>
      <c r="F399" s="2"/>
      <c r="G399" s="2"/>
      <c r="H399" s="139"/>
      <c r="I399" s="2"/>
      <c r="J399" s="483"/>
      <c r="K399" s="483"/>
      <c r="L399" s="483"/>
      <c r="M399" s="483"/>
      <c r="N399" s="483"/>
      <c r="O399" s="484"/>
      <c r="P399" s="483"/>
      <c r="Q399" s="483"/>
      <c r="R399" s="483"/>
      <c r="S399" s="483"/>
      <c r="T399" s="483"/>
      <c r="U399" s="483"/>
      <c r="V399" s="483"/>
      <c r="W399" s="483"/>
      <c r="X399" s="483"/>
      <c r="Y399" s="483"/>
      <c r="Z399" s="483"/>
      <c r="AA399" s="483"/>
      <c r="AB399" s="2"/>
      <c r="AC399" s="2"/>
    </row>
    <row r="400" spans="1:29" customFormat="1" ht="16">
      <c r="A400" s="2"/>
      <c r="B400" s="2"/>
      <c r="C400" s="124"/>
      <c r="D400" s="124"/>
      <c r="E400" s="2"/>
      <c r="F400" s="2"/>
      <c r="G400" s="2"/>
      <c r="H400" s="139"/>
      <c r="I400" s="2"/>
      <c r="J400" s="483"/>
      <c r="K400" s="483"/>
      <c r="L400" s="483"/>
      <c r="M400" s="483"/>
      <c r="N400" s="483"/>
      <c r="O400" s="484"/>
      <c r="P400" s="483"/>
      <c r="Q400" s="483"/>
      <c r="R400" s="483"/>
      <c r="S400" s="483"/>
      <c r="T400" s="483"/>
      <c r="U400" s="483"/>
      <c r="V400" s="483"/>
      <c r="W400" s="483"/>
      <c r="X400" s="483"/>
      <c r="Y400" s="483"/>
      <c r="Z400" s="483"/>
      <c r="AA400" s="483"/>
      <c r="AB400" s="2"/>
      <c r="AC400" s="2"/>
    </row>
    <row r="401" spans="1:29" customFormat="1" ht="16">
      <c r="A401" s="2"/>
      <c r="B401" s="2"/>
      <c r="C401" s="124"/>
      <c r="D401" s="124"/>
      <c r="E401" s="2"/>
      <c r="F401" s="2"/>
      <c r="G401" s="2"/>
      <c r="H401" s="139"/>
      <c r="I401" s="2"/>
      <c r="J401" s="483"/>
      <c r="K401" s="483"/>
      <c r="L401" s="483"/>
      <c r="M401" s="483"/>
      <c r="N401" s="483"/>
      <c r="O401" s="484"/>
      <c r="P401" s="483"/>
      <c r="Q401" s="483"/>
      <c r="R401" s="483"/>
      <c r="S401" s="483"/>
      <c r="T401" s="483"/>
      <c r="U401" s="483"/>
      <c r="V401" s="483"/>
      <c r="W401" s="483"/>
      <c r="X401" s="483"/>
      <c r="Y401" s="483"/>
      <c r="Z401" s="483"/>
      <c r="AA401" s="483"/>
      <c r="AB401" s="2"/>
      <c r="AC401" s="2"/>
    </row>
    <row r="402" spans="1:29" customFormat="1" ht="16">
      <c r="A402" s="2"/>
      <c r="B402" s="2"/>
      <c r="C402" s="124"/>
      <c r="D402" s="124"/>
      <c r="E402" s="2"/>
      <c r="F402" s="2"/>
      <c r="G402" s="2"/>
      <c r="H402" s="139"/>
      <c r="I402" s="2"/>
      <c r="J402" s="483"/>
      <c r="K402" s="483"/>
      <c r="L402" s="483"/>
      <c r="M402" s="483"/>
      <c r="N402" s="483"/>
      <c r="O402" s="484"/>
      <c r="P402" s="483"/>
      <c r="Q402" s="483"/>
      <c r="R402" s="483"/>
      <c r="S402" s="483"/>
      <c r="T402" s="483"/>
      <c r="U402" s="483"/>
      <c r="V402" s="483"/>
      <c r="W402" s="483"/>
      <c r="X402" s="483"/>
      <c r="Y402" s="483"/>
      <c r="Z402" s="483"/>
      <c r="AA402" s="483"/>
      <c r="AB402" s="2"/>
      <c r="AC402" s="2"/>
    </row>
    <row r="403" spans="1:29" customFormat="1" ht="16">
      <c r="A403" s="2"/>
      <c r="B403" s="2"/>
      <c r="C403" s="124"/>
      <c r="D403" s="124"/>
      <c r="E403" s="2"/>
      <c r="F403" s="2"/>
      <c r="G403" s="2"/>
      <c r="H403" s="139"/>
      <c r="I403" s="2"/>
      <c r="J403" s="483"/>
      <c r="K403" s="483"/>
      <c r="L403" s="483"/>
      <c r="M403" s="483"/>
      <c r="N403" s="483"/>
      <c r="O403" s="484"/>
      <c r="P403" s="483"/>
      <c r="Q403" s="483"/>
      <c r="R403" s="483"/>
      <c r="S403" s="483"/>
      <c r="T403" s="483"/>
      <c r="U403" s="483"/>
      <c r="V403" s="483"/>
      <c r="W403" s="483"/>
      <c r="X403" s="483"/>
      <c r="Y403" s="483"/>
      <c r="Z403" s="483"/>
      <c r="AA403" s="483"/>
      <c r="AB403" s="2"/>
      <c r="AC403" s="2"/>
    </row>
    <row r="404" spans="1:29" customFormat="1" ht="16">
      <c r="A404" s="2"/>
      <c r="B404" s="2"/>
      <c r="C404" s="124"/>
      <c r="D404" s="124"/>
      <c r="E404" s="2"/>
      <c r="F404" s="2"/>
      <c r="G404" s="2"/>
      <c r="H404" s="139"/>
      <c r="I404" s="2"/>
      <c r="J404" s="483"/>
      <c r="K404" s="483"/>
      <c r="L404" s="483"/>
      <c r="M404" s="483"/>
      <c r="N404" s="483"/>
      <c r="O404" s="484"/>
      <c r="P404" s="483"/>
      <c r="Q404" s="483"/>
      <c r="R404" s="483"/>
      <c r="S404" s="483"/>
      <c r="T404" s="483"/>
      <c r="U404" s="483"/>
      <c r="V404" s="483"/>
      <c r="W404" s="483"/>
      <c r="X404" s="483"/>
      <c r="Y404" s="483"/>
      <c r="Z404" s="483"/>
      <c r="AA404" s="483"/>
      <c r="AB404" s="2"/>
      <c r="AC404" s="2"/>
    </row>
    <row r="405" spans="1:29" customFormat="1" ht="16">
      <c r="A405" s="2"/>
      <c r="B405" s="2"/>
      <c r="C405" s="124"/>
      <c r="D405" s="124"/>
      <c r="E405" s="2"/>
      <c r="F405" s="2"/>
      <c r="G405" s="2"/>
      <c r="H405" s="139"/>
      <c r="I405" s="2"/>
      <c r="J405" s="483"/>
      <c r="K405" s="483"/>
      <c r="L405" s="483"/>
      <c r="M405" s="483"/>
      <c r="N405" s="483"/>
      <c r="O405" s="484"/>
      <c r="P405" s="483"/>
      <c r="Q405" s="483"/>
      <c r="R405" s="483"/>
      <c r="S405" s="483"/>
      <c r="T405" s="483"/>
      <c r="U405" s="483"/>
      <c r="V405" s="483"/>
      <c r="W405" s="483"/>
      <c r="X405" s="483"/>
      <c r="Y405" s="483"/>
      <c r="Z405" s="483"/>
      <c r="AA405" s="483"/>
      <c r="AB405" s="2"/>
      <c r="AC405" s="2"/>
    </row>
    <row r="406" spans="1:29" customFormat="1" ht="16">
      <c r="A406" s="2"/>
      <c r="B406" s="2"/>
      <c r="C406" s="124"/>
      <c r="D406" s="124"/>
      <c r="E406" s="2"/>
      <c r="F406" s="2"/>
      <c r="G406" s="2"/>
      <c r="H406" s="139"/>
      <c r="I406" s="2"/>
      <c r="J406" s="483"/>
      <c r="K406" s="483"/>
      <c r="L406" s="483"/>
      <c r="M406" s="483"/>
      <c r="N406" s="483"/>
      <c r="O406" s="484"/>
      <c r="P406" s="483"/>
      <c r="Q406" s="483"/>
      <c r="R406" s="483"/>
      <c r="S406" s="483"/>
      <c r="T406" s="483"/>
      <c r="U406" s="483"/>
      <c r="V406" s="483"/>
      <c r="W406" s="483"/>
      <c r="X406" s="483"/>
      <c r="Y406" s="483"/>
      <c r="Z406" s="483"/>
      <c r="AA406" s="483"/>
      <c r="AB406" s="2"/>
      <c r="AC406" s="2"/>
    </row>
    <row r="407" spans="1:29" customFormat="1" ht="16">
      <c r="A407" s="2"/>
      <c r="B407" s="2"/>
      <c r="C407" s="124"/>
      <c r="D407" s="124"/>
      <c r="E407" s="2"/>
      <c r="F407" s="2"/>
      <c r="G407" s="2"/>
      <c r="H407" s="139"/>
      <c r="I407" s="2"/>
      <c r="J407" s="483"/>
      <c r="K407" s="483"/>
      <c r="L407" s="483"/>
      <c r="M407" s="483"/>
      <c r="N407" s="483"/>
      <c r="O407" s="484"/>
      <c r="P407" s="483"/>
      <c r="Q407" s="483"/>
      <c r="R407" s="483"/>
      <c r="S407" s="483"/>
      <c r="T407" s="483"/>
      <c r="U407" s="483"/>
      <c r="V407" s="483"/>
      <c r="W407" s="483"/>
      <c r="X407" s="483"/>
      <c r="Y407" s="483"/>
      <c r="Z407" s="483"/>
      <c r="AA407" s="483"/>
      <c r="AB407" s="2"/>
      <c r="AC407" s="2"/>
    </row>
    <row r="408" spans="1:29" customFormat="1" ht="16">
      <c r="A408" s="2"/>
      <c r="B408" s="2"/>
      <c r="C408" s="124"/>
      <c r="D408" s="124"/>
      <c r="E408" s="2"/>
      <c r="F408" s="2"/>
      <c r="G408" s="2"/>
      <c r="H408" s="139"/>
      <c r="I408" s="2"/>
      <c r="J408" s="483"/>
      <c r="K408" s="483"/>
      <c r="L408" s="483"/>
      <c r="M408" s="483"/>
      <c r="N408" s="483"/>
      <c r="O408" s="484"/>
      <c r="P408" s="483"/>
      <c r="Q408" s="483"/>
      <c r="R408" s="483"/>
      <c r="S408" s="483"/>
      <c r="T408" s="483"/>
      <c r="U408" s="483"/>
      <c r="V408" s="483"/>
      <c r="W408" s="483"/>
      <c r="X408" s="483"/>
      <c r="Y408" s="483"/>
      <c r="Z408" s="483"/>
      <c r="AA408" s="483"/>
      <c r="AB408" s="2"/>
      <c r="AC408" s="2"/>
    </row>
    <row r="409" spans="1:29" customFormat="1" ht="16">
      <c r="A409" s="2"/>
      <c r="B409" s="2"/>
      <c r="C409" s="124"/>
      <c r="D409" s="124"/>
      <c r="E409" s="2"/>
      <c r="F409" s="2"/>
      <c r="G409" s="2"/>
      <c r="H409" s="139"/>
      <c r="I409" s="2"/>
      <c r="J409" s="483"/>
      <c r="K409" s="483"/>
      <c r="L409" s="483"/>
      <c r="M409" s="483"/>
      <c r="N409" s="483"/>
      <c r="O409" s="484"/>
      <c r="P409" s="483"/>
      <c r="Q409" s="483"/>
      <c r="R409" s="483"/>
      <c r="S409" s="483"/>
      <c r="T409" s="483"/>
      <c r="U409" s="483"/>
      <c r="V409" s="483"/>
      <c r="W409" s="483"/>
      <c r="X409" s="483"/>
      <c r="Y409" s="483"/>
      <c r="Z409" s="483"/>
      <c r="AA409" s="483"/>
      <c r="AB409" s="2"/>
      <c r="AC409" s="2"/>
    </row>
    <row r="410" spans="1:29" customFormat="1" ht="16">
      <c r="A410" s="2"/>
      <c r="B410" s="2"/>
      <c r="C410" s="124"/>
      <c r="D410" s="124"/>
      <c r="E410" s="2"/>
      <c r="F410" s="2"/>
      <c r="G410" s="2"/>
      <c r="H410" s="139"/>
      <c r="I410" s="2"/>
      <c r="J410" s="483"/>
      <c r="K410" s="483"/>
      <c r="L410" s="483"/>
      <c r="M410" s="483"/>
      <c r="N410" s="483"/>
      <c r="O410" s="484"/>
      <c r="P410" s="483"/>
      <c r="Q410" s="483"/>
      <c r="R410" s="483"/>
      <c r="S410" s="483"/>
      <c r="T410" s="483"/>
      <c r="U410" s="483"/>
      <c r="V410" s="483"/>
      <c r="W410" s="483"/>
      <c r="X410" s="483"/>
      <c r="Y410" s="483"/>
      <c r="Z410" s="483"/>
      <c r="AA410" s="483"/>
      <c r="AB410" s="2"/>
      <c r="AC410" s="2"/>
    </row>
    <row r="411" spans="1:29" customFormat="1" ht="16">
      <c r="A411" s="2"/>
      <c r="B411" s="2"/>
      <c r="C411" s="124"/>
      <c r="D411" s="124"/>
      <c r="E411" s="2"/>
      <c r="F411" s="2"/>
      <c r="G411" s="2"/>
      <c r="H411" s="139"/>
      <c r="I411" s="2"/>
      <c r="J411" s="483"/>
      <c r="K411" s="483"/>
      <c r="L411" s="483"/>
      <c r="M411" s="483"/>
      <c r="N411" s="483"/>
      <c r="O411" s="484"/>
      <c r="P411" s="483"/>
      <c r="Q411" s="483"/>
      <c r="R411" s="483"/>
      <c r="S411" s="483"/>
      <c r="T411" s="483"/>
      <c r="U411" s="483"/>
      <c r="V411" s="483"/>
      <c r="W411" s="483"/>
      <c r="X411" s="483"/>
      <c r="Y411" s="483"/>
      <c r="Z411" s="483"/>
      <c r="AA411" s="483"/>
      <c r="AB411" s="2"/>
      <c r="AC411" s="2"/>
    </row>
    <row r="412" spans="1:29" customFormat="1" ht="16">
      <c r="A412" s="2"/>
      <c r="B412" s="2"/>
      <c r="C412" s="124"/>
      <c r="D412" s="124"/>
      <c r="E412" s="2"/>
      <c r="F412" s="2"/>
      <c r="G412" s="2"/>
      <c r="H412" s="139"/>
      <c r="I412" s="2"/>
      <c r="J412" s="483"/>
      <c r="K412" s="483"/>
      <c r="L412" s="483"/>
      <c r="M412" s="483"/>
      <c r="N412" s="483"/>
      <c r="O412" s="484"/>
      <c r="P412" s="483"/>
      <c r="Q412" s="483"/>
      <c r="R412" s="483"/>
      <c r="S412" s="483"/>
      <c r="T412" s="483"/>
      <c r="U412" s="483"/>
      <c r="V412" s="483"/>
      <c r="W412" s="483"/>
      <c r="X412" s="483"/>
      <c r="Y412" s="483"/>
      <c r="Z412" s="483"/>
      <c r="AA412" s="483"/>
      <c r="AB412" s="2"/>
      <c r="AC412" s="2"/>
    </row>
    <row r="413" spans="1:29" customFormat="1" ht="16">
      <c r="A413" s="2"/>
      <c r="B413" s="2"/>
      <c r="C413" s="124"/>
      <c r="D413" s="124"/>
      <c r="E413" s="2"/>
      <c r="F413" s="2"/>
      <c r="G413" s="2"/>
      <c r="H413" s="139"/>
      <c r="I413" s="2"/>
      <c r="J413" s="483"/>
      <c r="K413" s="483"/>
      <c r="L413" s="483"/>
      <c r="M413" s="483"/>
      <c r="N413" s="483"/>
      <c r="O413" s="484"/>
      <c r="P413" s="483"/>
      <c r="Q413" s="483"/>
      <c r="R413" s="483"/>
      <c r="S413" s="483"/>
      <c r="T413" s="483"/>
      <c r="U413" s="483"/>
      <c r="V413" s="483"/>
      <c r="W413" s="483"/>
      <c r="X413" s="483"/>
      <c r="Y413" s="483"/>
      <c r="Z413" s="483"/>
      <c r="AA413" s="483"/>
      <c r="AB413" s="2"/>
      <c r="AC413" s="2"/>
    </row>
    <row r="414" spans="1:29" customFormat="1" ht="16">
      <c r="A414" s="2"/>
      <c r="B414" s="2"/>
      <c r="C414" s="124"/>
      <c r="D414" s="124"/>
      <c r="E414" s="2"/>
      <c r="F414" s="2"/>
      <c r="G414" s="2"/>
      <c r="H414" s="139"/>
      <c r="I414" s="2"/>
      <c r="J414" s="483"/>
      <c r="K414" s="483"/>
      <c r="L414" s="483"/>
      <c r="M414" s="483"/>
      <c r="N414" s="483"/>
      <c r="O414" s="484"/>
      <c r="P414" s="483"/>
      <c r="Q414" s="483"/>
      <c r="R414" s="483"/>
      <c r="S414" s="483"/>
      <c r="T414" s="483"/>
      <c r="U414" s="483"/>
      <c r="V414" s="483"/>
      <c r="W414" s="483"/>
      <c r="X414" s="483"/>
      <c r="Y414" s="483"/>
      <c r="Z414" s="483"/>
      <c r="AA414" s="483"/>
      <c r="AB414" s="2"/>
      <c r="AC414" s="2"/>
    </row>
    <row r="415" spans="1:29" customFormat="1" ht="16">
      <c r="A415" s="2"/>
      <c r="B415" s="2"/>
      <c r="C415" s="124"/>
      <c r="D415" s="124"/>
      <c r="E415" s="2"/>
      <c r="F415" s="2"/>
      <c r="G415" s="2"/>
      <c r="H415" s="139"/>
      <c r="I415" s="2"/>
      <c r="J415" s="483"/>
      <c r="K415" s="483"/>
      <c r="L415" s="483"/>
      <c r="M415" s="483"/>
      <c r="N415" s="483"/>
      <c r="O415" s="484"/>
      <c r="P415" s="483"/>
      <c r="Q415" s="483"/>
      <c r="R415" s="483"/>
      <c r="S415" s="483"/>
      <c r="T415" s="483"/>
      <c r="U415" s="483"/>
      <c r="V415" s="483"/>
      <c r="W415" s="483"/>
      <c r="X415" s="483"/>
      <c r="Y415" s="483"/>
      <c r="Z415" s="483"/>
      <c r="AA415" s="483"/>
      <c r="AB415" s="2"/>
      <c r="AC415" s="2"/>
    </row>
    <row r="416" spans="1:29" customFormat="1" ht="16">
      <c r="A416" s="2"/>
      <c r="B416" s="2"/>
      <c r="C416" s="124"/>
      <c r="D416" s="124"/>
      <c r="E416" s="2"/>
      <c r="F416" s="2"/>
      <c r="G416" s="2"/>
      <c r="H416" s="139"/>
      <c r="I416" s="2"/>
      <c r="J416" s="483"/>
      <c r="K416" s="483"/>
      <c r="L416" s="483"/>
      <c r="M416" s="483"/>
      <c r="N416" s="483"/>
      <c r="O416" s="484"/>
      <c r="P416" s="483"/>
      <c r="Q416" s="483"/>
      <c r="R416" s="483"/>
      <c r="S416" s="483"/>
      <c r="T416" s="483"/>
      <c r="U416" s="483"/>
      <c r="V416" s="483"/>
      <c r="W416" s="483"/>
      <c r="X416" s="483"/>
      <c r="Y416" s="483"/>
      <c r="Z416" s="483"/>
      <c r="AA416" s="483"/>
      <c r="AB416" s="2"/>
      <c r="AC416" s="2"/>
    </row>
    <row r="417" spans="1:29" customFormat="1" ht="16">
      <c r="A417" s="2"/>
      <c r="B417" s="2"/>
      <c r="C417" s="124"/>
      <c r="D417" s="124"/>
      <c r="E417" s="2"/>
      <c r="F417" s="2"/>
      <c r="G417" s="2"/>
      <c r="H417" s="139"/>
      <c r="I417" s="2"/>
      <c r="J417" s="483"/>
      <c r="K417" s="483"/>
      <c r="L417" s="483"/>
      <c r="M417" s="483"/>
      <c r="N417" s="483"/>
      <c r="O417" s="484"/>
      <c r="P417" s="483"/>
      <c r="Q417" s="483"/>
      <c r="R417" s="483"/>
      <c r="S417" s="483"/>
      <c r="T417" s="483"/>
      <c r="U417" s="483"/>
      <c r="V417" s="483"/>
      <c r="W417" s="483"/>
      <c r="X417" s="483"/>
      <c r="Y417" s="483"/>
      <c r="Z417" s="483"/>
      <c r="AA417" s="483"/>
      <c r="AB417" s="2"/>
      <c r="AC417" s="2"/>
    </row>
    <row r="418" spans="1:29" customFormat="1" ht="16">
      <c r="A418" s="2"/>
      <c r="B418" s="2"/>
      <c r="C418" s="124"/>
      <c r="D418" s="124"/>
      <c r="E418" s="2"/>
      <c r="F418" s="2"/>
      <c r="G418" s="2"/>
      <c r="H418" s="139"/>
      <c r="I418" s="2"/>
      <c r="J418" s="483"/>
      <c r="K418" s="483"/>
      <c r="L418" s="483"/>
      <c r="M418" s="483"/>
      <c r="N418" s="483"/>
      <c r="O418" s="484"/>
      <c r="P418" s="483"/>
      <c r="Q418" s="483"/>
      <c r="R418" s="483"/>
      <c r="S418" s="483"/>
      <c r="T418" s="483"/>
      <c r="U418" s="483"/>
      <c r="V418" s="483"/>
      <c r="W418" s="483"/>
      <c r="X418" s="483"/>
      <c r="Y418" s="483"/>
      <c r="Z418" s="483"/>
      <c r="AA418" s="483"/>
      <c r="AB418" s="2"/>
      <c r="AC418" s="2"/>
    </row>
    <row r="419" spans="1:29" customFormat="1" ht="16">
      <c r="A419" s="2"/>
      <c r="B419" s="2"/>
      <c r="C419" s="124"/>
      <c r="D419" s="124"/>
      <c r="E419" s="2"/>
      <c r="F419" s="2"/>
      <c r="G419" s="2"/>
      <c r="H419" s="139"/>
      <c r="I419" s="2"/>
      <c r="J419" s="483"/>
      <c r="K419" s="483"/>
      <c r="L419" s="483"/>
      <c r="M419" s="483"/>
      <c r="N419" s="483"/>
      <c r="O419" s="484"/>
      <c r="P419" s="483"/>
      <c r="Q419" s="483"/>
      <c r="R419" s="483"/>
      <c r="S419" s="483"/>
      <c r="T419" s="483"/>
      <c r="U419" s="483"/>
      <c r="V419" s="483"/>
      <c r="W419" s="483"/>
      <c r="X419" s="483"/>
      <c r="Y419" s="483"/>
      <c r="Z419" s="483"/>
      <c r="AA419" s="483"/>
      <c r="AB419" s="2"/>
      <c r="AC419" s="2"/>
    </row>
    <row r="420" spans="1:29" customFormat="1" ht="16">
      <c r="A420" s="2"/>
      <c r="B420" s="2"/>
      <c r="C420" s="124"/>
      <c r="D420" s="124"/>
      <c r="E420" s="2"/>
      <c r="F420" s="2"/>
      <c r="G420" s="2"/>
      <c r="H420" s="139"/>
      <c r="I420" s="2"/>
      <c r="J420" s="483"/>
      <c r="K420" s="483"/>
      <c r="L420" s="483"/>
      <c r="M420" s="483"/>
      <c r="N420" s="483"/>
      <c r="O420" s="484"/>
      <c r="P420" s="483"/>
      <c r="Q420" s="483"/>
      <c r="R420" s="483"/>
      <c r="S420" s="483"/>
      <c r="T420" s="483"/>
      <c r="U420" s="483"/>
      <c r="V420" s="483"/>
      <c r="W420" s="483"/>
      <c r="X420" s="483"/>
      <c r="Y420" s="483"/>
      <c r="Z420" s="483"/>
      <c r="AA420" s="483"/>
      <c r="AB420" s="2"/>
      <c r="AC420" s="2"/>
    </row>
    <row r="421" spans="1:29" customFormat="1" ht="16">
      <c r="A421" s="2"/>
      <c r="B421" s="2"/>
      <c r="C421" s="124"/>
      <c r="D421" s="124"/>
      <c r="E421" s="2"/>
      <c r="F421" s="2"/>
      <c r="G421" s="2"/>
      <c r="H421" s="139"/>
      <c r="I421" s="2"/>
      <c r="J421" s="483"/>
      <c r="K421" s="483"/>
      <c r="L421" s="483"/>
      <c r="M421" s="483"/>
      <c r="N421" s="483"/>
      <c r="O421" s="484"/>
      <c r="P421" s="483"/>
      <c r="Q421" s="483"/>
      <c r="R421" s="483"/>
      <c r="S421" s="483"/>
      <c r="T421" s="483"/>
      <c r="U421" s="483"/>
      <c r="V421" s="483"/>
      <c r="W421" s="483"/>
      <c r="X421" s="483"/>
      <c r="Y421" s="483"/>
      <c r="Z421" s="483"/>
      <c r="AA421" s="483"/>
      <c r="AB421" s="2"/>
      <c r="AC421" s="2"/>
    </row>
    <row r="422" spans="1:29" customFormat="1" ht="16">
      <c r="A422" s="2"/>
      <c r="B422" s="2"/>
      <c r="C422" s="124"/>
      <c r="D422" s="124"/>
      <c r="E422" s="2"/>
      <c r="F422" s="2"/>
      <c r="G422" s="2"/>
      <c r="H422" s="139"/>
      <c r="I422" s="2"/>
      <c r="J422" s="483"/>
      <c r="K422" s="483"/>
      <c r="L422" s="483"/>
      <c r="M422" s="483"/>
      <c r="N422" s="483"/>
      <c r="O422" s="484"/>
      <c r="P422" s="483"/>
      <c r="Q422" s="483"/>
      <c r="R422" s="483"/>
      <c r="S422" s="483"/>
      <c r="T422" s="483"/>
      <c r="U422" s="483"/>
      <c r="V422" s="483"/>
      <c r="W422" s="483"/>
      <c r="X422" s="483"/>
      <c r="Y422" s="483"/>
      <c r="Z422" s="483"/>
      <c r="AA422" s="483"/>
      <c r="AB422" s="2"/>
      <c r="AC422" s="2"/>
    </row>
    <row r="423" spans="1:29" customFormat="1" ht="16">
      <c r="A423" s="2"/>
      <c r="B423" s="2"/>
      <c r="C423" s="124"/>
      <c r="D423" s="124"/>
      <c r="E423" s="2"/>
      <c r="F423" s="2"/>
      <c r="G423" s="2"/>
      <c r="H423" s="139"/>
      <c r="I423" s="2"/>
      <c r="J423" s="483"/>
      <c r="K423" s="483"/>
      <c r="L423" s="483"/>
      <c r="M423" s="483"/>
      <c r="N423" s="483"/>
      <c r="O423" s="484"/>
      <c r="P423" s="483"/>
      <c r="Q423" s="483"/>
      <c r="R423" s="483"/>
      <c r="S423" s="483"/>
      <c r="T423" s="483"/>
      <c r="U423" s="483"/>
      <c r="V423" s="483"/>
      <c r="W423" s="483"/>
      <c r="X423" s="483"/>
      <c r="Y423" s="483"/>
      <c r="Z423" s="483"/>
      <c r="AA423" s="483"/>
      <c r="AB423" s="2"/>
      <c r="AC423" s="2"/>
    </row>
    <row r="424" spans="1:29" customFormat="1" ht="16">
      <c r="A424" s="2"/>
      <c r="B424" s="2"/>
      <c r="C424" s="124"/>
      <c r="D424" s="124"/>
      <c r="E424" s="2"/>
      <c r="F424" s="2"/>
      <c r="G424" s="2"/>
      <c r="H424" s="139"/>
      <c r="I424" s="2"/>
      <c r="J424" s="483"/>
      <c r="K424" s="483"/>
      <c r="L424" s="483"/>
      <c r="M424" s="483"/>
      <c r="N424" s="483"/>
      <c r="O424" s="484"/>
      <c r="P424" s="483"/>
      <c r="Q424" s="483"/>
      <c r="R424" s="483"/>
      <c r="S424" s="483"/>
      <c r="T424" s="483"/>
      <c r="U424" s="483"/>
      <c r="V424" s="483"/>
      <c r="W424" s="483"/>
      <c r="X424" s="483"/>
      <c r="Y424" s="483"/>
      <c r="Z424" s="483"/>
      <c r="AA424" s="483"/>
      <c r="AB424" s="2"/>
      <c r="AC424" s="2"/>
    </row>
    <row r="425" spans="1:29" customFormat="1" ht="16">
      <c r="A425" s="2"/>
      <c r="B425" s="2"/>
      <c r="C425" s="124"/>
      <c r="D425" s="124"/>
      <c r="E425" s="2"/>
      <c r="F425" s="2"/>
      <c r="G425" s="2"/>
      <c r="H425" s="139"/>
      <c r="I425" s="2"/>
      <c r="J425" s="483"/>
      <c r="K425" s="483"/>
      <c r="L425" s="483"/>
      <c r="M425" s="483"/>
      <c r="N425" s="483"/>
      <c r="O425" s="484"/>
      <c r="P425" s="483"/>
      <c r="Q425" s="483"/>
      <c r="R425" s="483"/>
      <c r="S425" s="483"/>
      <c r="T425" s="483"/>
      <c r="U425" s="483"/>
      <c r="V425" s="483"/>
      <c r="W425" s="483"/>
      <c r="X425" s="483"/>
      <c r="Y425" s="483"/>
      <c r="Z425" s="483"/>
      <c r="AA425" s="483"/>
      <c r="AB425" s="2"/>
      <c r="AC425" s="2"/>
    </row>
    <row r="426" spans="1:29" customFormat="1" ht="16">
      <c r="A426" s="2"/>
      <c r="B426" s="2"/>
      <c r="C426" s="124"/>
      <c r="D426" s="124"/>
      <c r="E426" s="2"/>
      <c r="F426" s="2"/>
      <c r="G426" s="2"/>
      <c r="H426" s="139"/>
      <c r="I426" s="2"/>
      <c r="J426" s="483"/>
      <c r="K426" s="483"/>
      <c r="L426" s="483"/>
      <c r="M426" s="483"/>
      <c r="N426" s="483"/>
      <c r="O426" s="484"/>
      <c r="P426" s="483"/>
      <c r="Q426" s="483"/>
      <c r="R426" s="483"/>
      <c r="S426" s="483"/>
      <c r="T426" s="483"/>
      <c r="U426" s="483"/>
      <c r="V426" s="483"/>
      <c r="W426" s="483"/>
      <c r="X426" s="483"/>
      <c r="Y426" s="483"/>
      <c r="Z426" s="483"/>
      <c r="AA426" s="483"/>
      <c r="AB426" s="2"/>
      <c r="AC426" s="2"/>
    </row>
    <row r="427" spans="1:29" customFormat="1" ht="16">
      <c r="A427" s="2"/>
      <c r="B427" s="2"/>
      <c r="C427" s="124"/>
      <c r="D427" s="124"/>
      <c r="E427" s="2"/>
      <c r="F427" s="2"/>
      <c r="G427" s="2"/>
      <c r="H427" s="139"/>
      <c r="I427" s="2"/>
      <c r="J427" s="483"/>
      <c r="K427" s="483"/>
      <c r="L427" s="483"/>
      <c r="M427" s="483"/>
      <c r="N427" s="483"/>
      <c r="O427" s="484"/>
      <c r="P427" s="483"/>
      <c r="Q427" s="483"/>
      <c r="R427" s="483"/>
      <c r="S427" s="483"/>
      <c r="T427" s="483"/>
      <c r="U427" s="483"/>
      <c r="V427" s="483"/>
      <c r="W427" s="483"/>
      <c r="X427" s="483"/>
      <c r="Y427" s="483"/>
      <c r="Z427" s="483"/>
      <c r="AA427" s="483"/>
      <c r="AB427" s="2"/>
      <c r="AC427" s="2"/>
    </row>
    <row r="428" spans="1:29" customFormat="1" ht="16">
      <c r="A428" s="2"/>
      <c r="B428" s="2"/>
      <c r="C428" s="124"/>
      <c r="D428" s="124"/>
      <c r="E428" s="2"/>
      <c r="F428" s="2"/>
      <c r="G428" s="2"/>
      <c r="H428" s="139"/>
      <c r="I428" s="2"/>
      <c r="J428" s="483"/>
      <c r="K428" s="483"/>
      <c r="L428" s="483"/>
      <c r="M428" s="483"/>
      <c r="N428" s="483"/>
      <c r="O428" s="484"/>
      <c r="P428" s="483"/>
      <c r="Q428" s="483"/>
      <c r="R428" s="483"/>
      <c r="S428" s="483"/>
      <c r="T428" s="483"/>
      <c r="U428" s="483"/>
      <c r="V428" s="483"/>
      <c r="W428" s="483"/>
      <c r="X428" s="483"/>
      <c r="Y428" s="483"/>
      <c r="Z428" s="483"/>
      <c r="AA428" s="483"/>
      <c r="AB428" s="2"/>
      <c r="AC428" s="2"/>
    </row>
    <row r="429" spans="1:29" customFormat="1" ht="16">
      <c r="A429" s="2"/>
      <c r="B429" s="2"/>
      <c r="C429" s="124"/>
      <c r="D429" s="124"/>
      <c r="E429" s="2"/>
      <c r="F429" s="2"/>
      <c r="G429" s="2"/>
      <c r="H429" s="139"/>
      <c r="I429" s="2"/>
      <c r="J429" s="483"/>
      <c r="K429" s="483"/>
      <c r="L429" s="483"/>
      <c r="M429" s="483"/>
      <c r="N429" s="483"/>
      <c r="O429" s="484"/>
      <c r="P429" s="483"/>
      <c r="Q429" s="483"/>
      <c r="R429" s="483"/>
      <c r="S429" s="483"/>
      <c r="T429" s="483"/>
      <c r="U429" s="483"/>
      <c r="V429" s="483"/>
      <c r="W429" s="483"/>
      <c r="X429" s="483"/>
      <c r="Y429" s="483"/>
      <c r="Z429" s="483"/>
      <c r="AA429" s="483"/>
      <c r="AB429" s="2"/>
      <c r="AC429" s="2"/>
    </row>
    <row r="430" spans="1:29" customFormat="1" ht="16">
      <c r="A430" s="2"/>
      <c r="B430" s="2"/>
      <c r="C430" s="124"/>
      <c r="D430" s="124"/>
      <c r="E430" s="2"/>
      <c r="F430" s="2"/>
      <c r="G430" s="2"/>
      <c r="H430" s="139"/>
      <c r="I430" s="2"/>
      <c r="J430" s="483"/>
      <c r="K430" s="483"/>
      <c r="L430" s="483"/>
      <c r="M430" s="483"/>
      <c r="N430" s="483"/>
      <c r="O430" s="484"/>
      <c r="P430" s="483"/>
      <c r="Q430" s="483"/>
      <c r="R430" s="483"/>
      <c r="S430" s="483"/>
      <c r="T430" s="483"/>
      <c r="U430" s="483"/>
      <c r="V430" s="483"/>
      <c r="W430" s="483"/>
      <c r="X430" s="483"/>
      <c r="Y430" s="483"/>
      <c r="Z430" s="483"/>
      <c r="AA430" s="483"/>
      <c r="AB430" s="2"/>
      <c r="AC430" s="2"/>
    </row>
    <row r="431" spans="1:29" customFormat="1" ht="16">
      <c r="A431" s="2"/>
      <c r="B431" s="2"/>
      <c r="C431" s="124"/>
      <c r="D431" s="124"/>
      <c r="E431" s="2"/>
      <c r="F431" s="2"/>
      <c r="G431" s="2"/>
      <c r="H431" s="139"/>
      <c r="I431" s="2"/>
      <c r="J431" s="483"/>
      <c r="K431" s="483"/>
      <c r="L431" s="483"/>
      <c r="M431" s="483"/>
      <c r="N431" s="483"/>
      <c r="O431" s="484"/>
      <c r="P431" s="483"/>
      <c r="Q431" s="483"/>
      <c r="R431" s="483"/>
      <c r="S431" s="483"/>
      <c r="T431" s="483"/>
      <c r="U431" s="483"/>
      <c r="V431" s="483"/>
      <c r="W431" s="483"/>
      <c r="X431" s="483"/>
      <c r="Y431" s="483"/>
      <c r="Z431" s="483"/>
      <c r="AA431" s="483"/>
      <c r="AB431" s="2"/>
      <c r="AC431" s="2"/>
    </row>
    <row r="432" spans="1:29" customFormat="1" ht="16">
      <c r="A432" s="2"/>
      <c r="B432" s="2"/>
      <c r="C432" s="124"/>
      <c r="D432" s="124"/>
      <c r="E432" s="2"/>
      <c r="F432" s="2"/>
      <c r="G432" s="2"/>
      <c r="H432" s="139"/>
      <c r="I432" s="2"/>
      <c r="J432" s="483"/>
      <c r="K432" s="483"/>
      <c r="L432" s="483"/>
      <c r="M432" s="483"/>
      <c r="N432" s="483"/>
      <c r="O432" s="484"/>
      <c r="P432" s="483"/>
      <c r="Q432" s="483"/>
      <c r="R432" s="483"/>
      <c r="S432" s="483"/>
      <c r="T432" s="483"/>
      <c r="U432" s="483"/>
      <c r="V432" s="483"/>
      <c r="W432" s="483"/>
      <c r="X432" s="483"/>
      <c r="Y432" s="483"/>
      <c r="Z432" s="483"/>
      <c r="AA432" s="483"/>
      <c r="AB432" s="2"/>
      <c r="AC432" s="2"/>
    </row>
    <row r="433" spans="1:29" customFormat="1" ht="16">
      <c r="A433" s="2"/>
      <c r="B433" s="2"/>
      <c r="C433" s="124"/>
      <c r="D433" s="124"/>
      <c r="E433" s="2"/>
      <c r="F433" s="2"/>
      <c r="G433" s="2"/>
      <c r="H433" s="139"/>
      <c r="I433" s="2"/>
      <c r="J433" s="483"/>
      <c r="K433" s="483"/>
      <c r="L433" s="483"/>
      <c r="M433" s="483"/>
      <c r="N433" s="483"/>
      <c r="O433" s="484"/>
      <c r="P433" s="483"/>
      <c r="Q433" s="483"/>
      <c r="R433" s="483"/>
      <c r="S433" s="483"/>
      <c r="T433" s="483"/>
      <c r="U433" s="483"/>
      <c r="V433" s="483"/>
      <c r="W433" s="483"/>
      <c r="X433" s="483"/>
      <c r="Y433" s="483"/>
      <c r="Z433" s="483"/>
      <c r="AA433" s="483"/>
      <c r="AB433" s="2"/>
      <c r="AC433" s="2"/>
    </row>
    <row r="434" spans="1:29" customFormat="1" ht="16">
      <c r="A434" s="2"/>
      <c r="B434" s="2"/>
      <c r="C434" s="124"/>
      <c r="D434" s="124"/>
      <c r="E434" s="2"/>
      <c r="F434" s="2"/>
      <c r="G434" s="2"/>
      <c r="H434" s="139"/>
      <c r="I434" s="2"/>
      <c r="J434" s="483"/>
      <c r="K434" s="483"/>
      <c r="L434" s="483"/>
      <c r="M434" s="483"/>
      <c r="N434" s="483"/>
      <c r="O434" s="484"/>
      <c r="P434" s="483"/>
      <c r="Q434" s="483"/>
      <c r="R434" s="483"/>
      <c r="S434" s="483"/>
      <c r="T434" s="483"/>
      <c r="U434" s="483"/>
      <c r="V434" s="483"/>
      <c r="W434" s="483"/>
      <c r="X434" s="483"/>
      <c r="Y434" s="483"/>
      <c r="Z434" s="483"/>
      <c r="AA434" s="483"/>
      <c r="AB434" s="2"/>
      <c r="AC434" s="2"/>
    </row>
    <row r="435" spans="1:29" customFormat="1" ht="16">
      <c r="A435" s="2"/>
      <c r="B435" s="2"/>
      <c r="C435" s="124"/>
      <c r="D435" s="124"/>
      <c r="E435" s="2"/>
      <c r="F435" s="2"/>
      <c r="G435" s="2"/>
      <c r="H435" s="139"/>
      <c r="I435" s="2"/>
      <c r="J435" s="483"/>
      <c r="K435" s="483"/>
      <c r="L435" s="483"/>
      <c r="M435" s="483"/>
      <c r="N435" s="483"/>
      <c r="O435" s="484"/>
      <c r="P435" s="483"/>
      <c r="Q435" s="483"/>
      <c r="R435" s="483"/>
      <c r="S435" s="483"/>
      <c r="T435" s="483"/>
      <c r="U435" s="483"/>
      <c r="V435" s="483"/>
      <c r="W435" s="483"/>
      <c r="X435" s="483"/>
      <c r="Y435" s="483"/>
      <c r="Z435" s="483"/>
      <c r="AA435" s="483"/>
      <c r="AB435" s="2"/>
      <c r="AC435" s="2"/>
    </row>
    <row r="436" spans="1:29" customFormat="1" ht="16">
      <c r="A436" s="2"/>
      <c r="B436" s="2"/>
      <c r="C436" s="124"/>
      <c r="D436" s="124"/>
      <c r="E436" s="2"/>
      <c r="F436" s="2"/>
      <c r="G436" s="2"/>
      <c r="H436" s="139"/>
      <c r="I436" s="2"/>
      <c r="J436" s="483"/>
      <c r="K436" s="483"/>
      <c r="L436" s="483"/>
      <c r="M436" s="483"/>
      <c r="N436" s="483"/>
      <c r="O436" s="484"/>
      <c r="P436" s="483"/>
      <c r="Q436" s="483"/>
      <c r="R436" s="483"/>
      <c r="S436" s="483"/>
      <c r="T436" s="483"/>
      <c r="U436" s="483"/>
      <c r="V436" s="483"/>
      <c r="W436" s="483"/>
      <c r="X436" s="483"/>
      <c r="Y436" s="483"/>
      <c r="Z436" s="483"/>
      <c r="AA436" s="483"/>
      <c r="AB436" s="2"/>
      <c r="AC436" s="2"/>
    </row>
    <row r="437" spans="1:29" customFormat="1" ht="16">
      <c r="A437" s="2"/>
      <c r="B437" s="2"/>
      <c r="C437" s="124"/>
      <c r="D437" s="124"/>
      <c r="E437" s="2"/>
      <c r="F437" s="2"/>
      <c r="G437" s="2"/>
      <c r="H437" s="139"/>
      <c r="I437" s="2"/>
      <c r="J437" s="483"/>
      <c r="K437" s="483"/>
      <c r="L437" s="483"/>
      <c r="M437" s="483"/>
      <c r="N437" s="483"/>
      <c r="O437" s="484"/>
      <c r="P437" s="483"/>
      <c r="Q437" s="483"/>
      <c r="R437" s="483"/>
      <c r="S437" s="483"/>
      <c r="T437" s="483"/>
      <c r="U437" s="483"/>
      <c r="V437" s="483"/>
      <c r="W437" s="483"/>
      <c r="X437" s="483"/>
      <c r="Y437" s="483"/>
      <c r="Z437" s="483"/>
      <c r="AA437" s="483"/>
      <c r="AB437" s="2"/>
      <c r="AC437" s="2"/>
    </row>
    <row r="438" spans="1:29" customFormat="1" ht="16">
      <c r="A438" s="2"/>
      <c r="B438" s="2"/>
      <c r="C438" s="124"/>
      <c r="D438" s="124"/>
      <c r="E438" s="2"/>
      <c r="F438" s="2"/>
      <c r="G438" s="2"/>
      <c r="H438" s="139"/>
      <c r="I438" s="2"/>
      <c r="J438" s="483"/>
      <c r="K438" s="483"/>
      <c r="L438" s="483"/>
      <c r="M438" s="483"/>
      <c r="N438" s="483"/>
      <c r="O438" s="484"/>
      <c r="P438" s="483"/>
      <c r="Q438" s="483"/>
      <c r="R438" s="483"/>
      <c r="S438" s="483"/>
      <c r="T438" s="483"/>
      <c r="U438" s="483"/>
      <c r="V438" s="483"/>
      <c r="W438" s="483"/>
      <c r="X438" s="483"/>
      <c r="Y438" s="483"/>
      <c r="Z438" s="483"/>
      <c r="AA438" s="483"/>
      <c r="AB438" s="2"/>
      <c r="AC438" s="2"/>
    </row>
    <row r="439" spans="1:29" customFormat="1" ht="16">
      <c r="A439" s="2"/>
      <c r="B439" s="2"/>
      <c r="C439" s="124"/>
      <c r="D439" s="124"/>
      <c r="E439" s="2"/>
      <c r="F439" s="2"/>
      <c r="G439" s="2"/>
      <c r="H439" s="139"/>
      <c r="I439" s="2"/>
      <c r="J439" s="483"/>
      <c r="K439" s="483"/>
      <c r="L439" s="483"/>
      <c r="M439" s="483"/>
      <c r="N439" s="483"/>
      <c r="O439" s="484"/>
      <c r="P439" s="483"/>
      <c r="Q439" s="483"/>
      <c r="R439" s="483"/>
      <c r="S439" s="483"/>
      <c r="T439" s="483"/>
      <c r="U439" s="483"/>
      <c r="V439" s="483"/>
      <c r="W439" s="483"/>
      <c r="X439" s="483"/>
      <c r="Y439" s="483"/>
      <c r="Z439" s="483"/>
      <c r="AA439" s="483"/>
      <c r="AB439" s="2"/>
      <c r="AC439" s="2"/>
    </row>
    <row r="440" spans="1:29" customFormat="1" ht="16">
      <c r="A440" s="2"/>
      <c r="B440" s="2"/>
      <c r="C440" s="124"/>
      <c r="D440" s="124"/>
      <c r="E440" s="2"/>
      <c r="F440" s="2"/>
      <c r="G440" s="2"/>
      <c r="H440" s="139"/>
      <c r="I440" s="2"/>
      <c r="J440" s="483"/>
      <c r="K440" s="483"/>
      <c r="L440" s="483"/>
      <c r="M440" s="483"/>
      <c r="N440" s="483"/>
      <c r="O440" s="484"/>
      <c r="P440" s="483"/>
      <c r="Q440" s="483"/>
      <c r="R440" s="483"/>
      <c r="S440" s="483"/>
      <c r="T440" s="483"/>
      <c r="U440" s="483"/>
      <c r="V440" s="483"/>
      <c r="W440" s="483"/>
      <c r="X440" s="483"/>
      <c r="Y440" s="483"/>
      <c r="Z440" s="483"/>
      <c r="AA440" s="483"/>
      <c r="AB440" s="2"/>
      <c r="AC440" s="2"/>
    </row>
    <row r="441" spans="1:29" customFormat="1" ht="16">
      <c r="A441" s="2"/>
      <c r="B441" s="2"/>
      <c r="C441" s="124"/>
      <c r="D441" s="124"/>
      <c r="E441" s="2"/>
      <c r="F441" s="2"/>
      <c r="G441" s="2"/>
      <c r="H441" s="139"/>
      <c r="I441" s="2"/>
      <c r="J441" s="483"/>
      <c r="K441" s="483"/>
      <c r="L441" s="483"/>
      <c r="M441" s="483"/>
      <c r="N441" s="483"/>
      <c r="O441" s="484"/>
      <c r="P441" s="483"/>
      <c r="Q441" s="483"/>
      <c r="R441" s="483"/>
      <c r="S441" s="483"/>
      <c r="T441" s="483"/>
      <c r="U441" s="483"/>
      <c r="V441" s="483"/>
      <c r="W441" s="483"/>
      <c r="X441" s="483"/>
      <c r="Y441" s="483"/>
      <c r="Z441" s="483"/>
      <c r="AA441" s="483"/>
      <c r="AB441" s="2"/>
      <c r="AC441" s="2"/>
    </row>
    <row r="442" spans="1:29" customFormat="1" ht="16">
      <c r="A442" s="2"/>
      <c r="B442" s="2"/>
      <c r="C442" s="124"/>
      <c r="D442" s="124"/>
      <c r="E442" s="2"/>
      <c r="F442" s="2"/>
      <c r="G442" s="2"/>
      <c r="H442" s="139"/>
      <c r="I442" s="2"/>
      <c r="J442" s="483"/>
      <c r="K442" s="483"/>
      <c r="L442" s="483"/>
      <c r="M442" s="483"/>
      <c r="N442" s="483"/>
      <c r="O442" s="484"/>
      <c r="P442" s="483"/>
      <c r="Q442" s="483"/>
      <c r="R442" s="483"/>
      <c r="S442" s="483"/>
      <c r="T442" s="483"/>
      <c r="U442" s="483"/>
      <c r="V442" s="483"/>
      <c r="W442" s="483"/>
      <c r="X442" s="483"/>
      <c r="Y442" s="483"/>
      <c r="Z442" s="483"/>
      <c r="AA442" s="483"/>
      <c r="AB442" s="2"/>
      <c r="AC442" s="2"/>
    </row>
    <row r="443" spans="1:29" customFormat="1" ht="16">
      <c r="A443" s="2"/>
      <c r="B443" s="2"/>
      <c r="C443" s="124"/>
      <c r="D443" s="124"/>
      <c r="E443" s="2"/>
      <c r="F443" s="2"/>
      <c r="G443" s="2"/>
      <c r="H443" s="139"/>
      <c r="I443" s="2"/>
      <c r="J443" s="483"/>
      <c r="K443" s="483"/>
      <c r="L443" s="483"/>
      <c r="M443" s="483"/>
      <c r="N443" s="483"/>
      <c r="O443" s="484"/>
      <c r="P443" s="483"/>
      <c r="Q443" s="483"/>
      <c r="R443" s="483"/>
      <c r="S443" s="483"/>
      <c r="T443" s="483"/>
      <c r="U443" s="483"/>
      <c r="V443" s="483"/>
      <c r="W443" s="483"/>
      <c r="X443" s="483"/>
      <c r="Y443" s="483"/>
      <c r="Z443" s="483"/>
      <c r="AA443" s="483"/>
      <c r="AB443" s="2"/>
      <c r="AC443" s="2"/>
    </row>
    <row r="444" spans="1:29" customFormat="1" ht="16">
      <c r="A444" s="2"/>
      <c r="B444" s="2"/>
      <c r="C444" s="124"/>
      <c r="D444" s="124"/>
      <c r="E444" s="2"/>
      <c r="F444" s="2"/>
      <c r="G444" s="2"/>
      <c r="H444" s="139"/>
      <c r="I444" s="2"/>
      <c r="J444" s="483"/>
      <c r="K444" s="483"/>
      <c r="L444" s="483"/>
      <c r="M444" s="483"/>
      <c r="N444" s="483"/>
      <c r="O444" s="484"/>
      <c r="P444" s="483"/>
      <c r="Q444" s="483"/>
      <c r="R444" s="483"/>
      <c r="S444" s="483"/>
      <c r="T444" s="483"/>
      <c r="U444" s="483"/>
      <c r="V444" s="483"/>
      <c r="W444" s="483"/>
      <c r="X444" s="483"/>
      <c r="Y444" s="483"/>
      <c r="Z444" s="483"/>
      <c r="AA444" s="483"/>
      <c r="AB444" s="2"/>
      <c r="AC444" s="2"/>
    </row>
    <row r="445" spans="1:29" customFormat="1" ht="16">
      <c r="A445" s="2"/>
      <c r="B445" s="2"/>
      <c r="C445" s="124"/>
      <c r="D445" s="124"/>
      <c r="E445" s="2"/>
      <c r="F445" s="2"/>
      <c r="G445" s="2"/>
      <c r="H445" s="139"/>
      <c r="I445" s="2"/>
      <c r="J445" s="483"/>
      <c r="K445" s="483"/>
      <c r="L445" s="483"/>
      <c r="M445" s="483"/>
      <c r="N445" s="483"/>
      <c r="O445" s="484"/>
      <c r="P445" s="483"/>
      <c r="Q445" s="483"/>
      <c r="R445" s="483"/>
      <c r="S445" s="483"/>
      <c r="T445" s="483"/>
      <c r="U445" s="483"/>
      <c r="V445" s="483"/>
      <c r="W445" s="483"/>
      <c r="X445" s="483"/>
      <c r="Y445" s="483"/>
      <c r="Z445" s="483"/>
      <c r="AA445" s="483"/>
      <c r="AB445" s="2"/>
      <c r="AC445" s="2"/>
    </row>
    <row r="446" spans="1:29" customFormat="1" ht="16">
      <c r="A446" s="2"/>
      <c r="B446" s="2"/>
      <c r="C446" s="124"/>
      <c r="D446" s="124"/>
      <c r="E446" s="2"/>
      <c r="F446" s="2"/>
      <c r="G446" s="2"/>
      <c r="H446" s="139"/>
      <c r="I446" s="2"/>
      <c r="J446" s="483"/>
      <c r="K446" s="483"/>
      <c r="L446" s="483"/>
      <c r="M446" s="483"/>
      <c r="N446" s="483"/>
      <c r="O446" s="484"/>
      <c r="P446" s="483"/>
      <c r="Q446" s="483"/>
      <c r="R446" s="483"/>
      <c r="S446" s="483"/>
      <c r="T446" s="483"/>
      <c r="U446" s="483"/>
      <c r="V446" s="483"/>
      <c r="W446" s="483"/>
      <c r="X446" s="483"/>
      <c r="Y446" s="483"/>
      <c r="Z446" s="483"/>
      <c r="AA446" s="483"/>
      <c r="AB446" s="2"/>
      <c r="AC446" s="2"/>
    </row>
    <row r="447" spans="1:29" customFormat="1" ht="16">
      <c r="A447" s="2"/>
      <c r="B447" s="2"/>
      <c r="C447" s="124"/>
      <c r="D447" s="124"/>
      <c r="E447" s="2"/>
      <c r="F447" s="2"/>
      <c r="G447" s="2"/>
      <c r="H447" s="139"/>
      <c r="I447" s="2"/>
      <c r="J447" s="483"/>
      <c r="K447" s="483"/>
      <c r="L447" s="483"/>
      <c r="M447" s="483"/>
      <c r="N447" s="483"/>
      <c r="O447" s="484"/>
      <c r="P447" s="483"/>
      <c r="Q447" s="483"/>
      <c r="R447" s="483"/>
      <c r="S447" s="483"/>
      <c r="T447" s="483"/>
      <c r="U447" s="483"/>
      <c r="V447" s="483"/>
      <c r="W447" s="483"/>
      <c r="X447" s="483"/>
      <c r="Y447" s="483"/>
      <c r="Z447" s="483"/>
      <c r="AA447" s="483"/>
      <c r="AB447" s="2"/>
      <c r="AC447" s="2"/>
    </row>
    <row r="448" spans="1:29" customFormat="1" ht="16">
      <c r="A448" s="2"/>
      <c r="B448" s="2"/>
      <c r="C448" s="124"/>
      <c r="D448" s="124"/>
      <c r="E448" s="2"/>
      <c r="F448" s="2"/>
      <c r="G448" s="2"/>
      <c r="H448" s="139"/>
      <c r="I448" s="2"/>
      <c r="J448" s="483"/>
      <c r="K448" s="483"/>
      <c r="L448" s="483"/>
      <c r="M448" s="483"/>
      <c r="N448" s="483"/>
      <c r="O448" s="484"/>
      <c r="P448" s="483"/>
      <c r="Q448" s="483"/>
      <c r="R448" s="483"/>
      <c r="S448" s="483"/>
      <c r="T448" s="483"/>
      <c r="U448" s="483"/>
      <c r="V448" s="483"/>
      <c r="W448" s="483"/>
      <c r="X448" s="483"/>
      <c r="Y448" s="483"/>
      <c r="Z448" s="483"/>
      <c r="AA448" s="483"/>
      <c r="AB448" s="2"/>
      <c r="AC448" s="2"/>
    </row>
    <row r="449" spans="1:29" customFormat="1" ht="16">
      <c r="A449" s="2"/>
      <c r="B449" s="2"/>
      <c r="C449" s="124"/>
      <c r="D449" s="124"/>
      <c r="E449" s="2"/>
      <c r="F449" s="2"/>
      <c r="G449" s="2"/>
      <c r="H449" s="139"/>
      <c r="I449" s="2"/>
      <c r="J449" s="483"/>
      <c r="K449" s="483"/>
      <c r="L449" s="483"/>
      <c r="M449" s="483"/>
      <c r="N449" s="483"/>
      <c r="O449" s="484"/>
      <c r="P449" s="483"/>
      <c r="Q449" s="483"/>
      <c r="R449" s="483"/>
      <c r="S449" s="483"/>
      <c r="T449" s="483"/>
      <c r="U449" s="483"/>
      <c r="V449" s="483"/>
      <c r="W449" s="483"/>
      <c r="X449" s="483"/>
      <c r="Y449" s="483"/>
      <c r="Z449" s="483"/>
      <c r="AA449" s="483"/>
      <c r="AB449" s="2"/>
      <c r="AC449" s="2"/>
    </row>
    <row r="450" spans="1:29" customFormat="1" ht="16">
      <c r="A450" s="2"/>
      <c r="B450" s="2"/>
      <c r="C450" s="124"/>
      <c r="D450" s="124"/>
      <c r="E450" s="2"/>
      <c r="F450" s="2"/>
      <c r="G450" s="2"/>
      <c r="H450" s="139"/>
      <c r="I450" s="2"/>
      <c r="J450" s="483"/>
      <c r="K450" s="483"/>
      <c r="L450" s="483"/>
      <c r="M450" s="483"/>
      <c r="N450" s="483"/>
      <c r="O450" s="484"/>
      <c r="P450" s="483"/>
      <c r="Q450" s="483"/>
      <c r="R450" s="483"/>
      <c r="S450" s="483"/>
      <c r="T450" s="483"/>
      <c r="U450" s="483"/>
      <c r="V450" s="483"/>
      <c r="W450" s="483"/>
      <c r="X450" s="483"/>
      <c r="Y450" s="483"/>
      <c r="Z450" s="483"/>
      <c r="AA450" s="483"/>
      <c r="AB450" s="2"/>
      <c r="AC450" s="2"/>
    </row>
    <row r="451" spans="1:29" customFormat="1" ht="16">
      <c r="A451" s="2"/>
      <c r="B451" s="2"/>
      <c r="C451" s="124"/>
      <c r="D451" s="124"/>
      <c r="E451" s="2"/>
      <c r="F451" s="2"/>
      <c r="G451" s="2"/>
      <c r="H451" s="139"/>
      <c r="I451" s="2"/>
      <c r="J451" s="483"/>
      <c r="K451" s="483"/>
      <c r="L451" s="483"/>
      <c r="M451" s="483"/>
      <c r="N451" s="483"/>
      <c r="O451" s="484"/>
      <c r="P451" s="483"/>
      <c r="Q451" s="483"/>
      <c r="R451" s="483"/>
      <c r="S451" s="483"/>
      <c r="T451" s="483"/>
      <c r="U451" s="483"/>
      <c r="V451" s="483"/>
      <c r="W451" s="483"/>
      <c r="X451" s="483"/>
      <c r="Y451" s="483"/>
      <c r="Z451" s="483"/>
      <c r="AA451" s="483"/>
      <c r="AB451" s="2"/>
      <c r="AC451" s="2"/>
    </row>
    <row r="452" spans="1:29" customFormat="1" ht="16">
      <c r="A452" s="2"/>
      <c r="B452" s="2"/>
      <c r="C452" s="124"/>
      <c r="D452" s="124"/>
      <c r="E452" s="2"/>
      <c r="F452" s="2"/>
      <c r="G452" s="2"/>
      <c r="H452" s="139"/>
      <c r="I452" s="2"/>
      <c r="J452" s="483"/>
      <c r="K452" s="483"/>
      <c r="L452" s="483"/>
      <c r="M452" s="483"/>
      <c r="N452" s="483"/>
      <c r="O452" s="484"/>
      <c r="P452" s="483"/>
      <c r="Q452" s="483"/>
      <c r="R452" s="483"/>
      <c r="S452" s="483"/>
      <c r="T452" s="483"/>
      <c r="U452" s="483"/>
      <c r="V452" s="483"/>
      <c r="W452" s="483"/>
      <c r="X452" s="483"/>
      <c r="Y452" s="483"/>
      <c r="Z452" s="483"/>
      <c r="AA452" s="483"/>
      <c r="AB452" s="2"/>
      <c r="AC452" s="2"/>
    </row>
    <row r="453" spans="1:29" customFormat="1" ht="16">
      <c r="A453" s="2"/>
      <c r="B453" s="2"/>
      <c r="C453" s="124"/>
      <c r="D453" s="124"/>
      <c r="E453" s="2"/>
      <c r="F453" s="2"/>
      <c r="G453" s="2"/>
      <c r="H453" s="139"/>
      <c r="I453" s="2"/>
      <c r="J453" s="483"/>
      <c r="K453" s="483"/>
      <c r="L453" s="483"/>
      <c r="M453" s="483"/>
      <c r="N453" s="483"/>
      <c r="O453" s="484"/>
      <c r="P453" s="483"/>
      <c r="Q453" s="483"/>
      <c r="R453" s="483"/>
      <c r="S453" s="483"/>
      <c r="T453" s="483"/>
      <c r="U453" s="483"/>
      <c r="V453" s="483"/>
      <c r="W453" s="483"/>
      <c r="X453" s="483"/>
      <c r="Y453" s="483"/>
      <c r="Z453" s="483"/>
      <c r="AA453" s="483"/>
      <c r="AB453" s="2"/>
      <c r="AC453" s="2"/>
    </row>
    <row r="454" spans="1:29" customFormat="1" ht="16">
      <c r="A454" s="2"/>
      <c r="B454" s="2"/>
      <c r="C454" s="124"/>
      <c r="D454" s="124"/>
      <c r="E454" s="2"/>
      <c r="F454" s="2"/>
      <c r="G454" s="2"/>
      <c r="H454" s="139"/>
      <c r="I454" s="2"/>
      <c r="J454" s="483"/>
      <c r="K454" s="483"/>
      <c r="L454" s="483"/>
      <c r="M454" s="483"/>
      <c r="N454" s="483"/>
      <c r="O454" s="484"/>
      <c r="P454" s="483"/>
      <c r="Q454" s="483"/>
      <c r="R454" s="483"/>
      <c r="S454" s="483"/>
      <c r="T454" s="483"/>
      <c r="U454" s="483"/>
      <c r="V454" s="483"/>
      <c r="W454" s="483"/>
      <c r="X454" s="483"/>
      <c r="Y454" s="483"/>
      <c r="Z454" s="483"/>
      <c r="AA454" s="483"/>
      <c r="AB454" s="2"/>
      <c r="AC454" s="2"/>
    </row>
    <row r="455" spans="1:29" customFormat="1" ht="16">
      <c r="A455" s="2"/>
      <c r="B455" s="2"/>
      <c r="C455" s="124"/>
      <c r="D455" s="124"/>
      <c r="E455" s="2"/>
      <c r="F455" s="2"/>
      <c r="G455" s="2"/>
      <c r="H455" s="139"/>
      <c r="I455" s="2"/>
      <c r="J455" s="483"/>
      <c r="K455" s="483"/>
      <c r="L455" s="483"/>
      <c r="M455" s="483"/>
      <c r="N455" s="483"/>
      <c r="O455" s="484"/>
      <c r="P455" s="483"/>
      <c r="Q455" s="483"/>
      <c r="R455" s="483"/>
      <c r="S455" s="483"/>
      <c r="T455" s="483"/>
      <c r="U455" s="483"/>
      <c r="V455" s="483"/>
      <c r="W455" s="483"/>
      <c r="X455" s="483"/>
      <c r="Y455" s="483"/>
      <c r="Z455" s="483"/>
      <c r="AA455" s="483"/>
      <c r="AB455" s="2"/>
      <c r="AC455" s="2"/>
    </row>
    <row r="456" spans="1:29" customFormat="1" ht="16">
      <c r="A456" s="2"/>
      <c r="B456" s="2"/>
      <c r="C456" s="124"/>
      <c r="D456" s="124"/>
      <c r="E456" s="2"/>
      <c r="F456" s="2"/>
      <c r="G456" s="2"/>
      <c r="H456" s="139"/>
      <c r="I456" s="2"/>
      <c r="J456" s="483"/>
      <c r="K456" s="483"/>
      <c r="L456" s="483"/>
      <c r="M456" s="483"/>
      <c r="N456" s="483"/>
      <c r="O456" s="484"/>
      <c r="P456" s="483"/>
      <c r="Q456" s="483"/>
      <c r="R456" s="483"/>
      <c r="S456" s="483"/>
      <c r="T456" s="483"/>
      <c r="U456" s="483"/>
      <c r="V456" s="483"/>
      <c r="W456" s="483"/>
      <c r="X456" s="483"/>
      <c r="Y456" s="483"/>
      <c r="Z456" s="483"/>
      <c r="AA456" s="483"/>
      <c r="AB456" s="2"/>
      <c r="AC456" s="2"/>
    </row>
    <row r="457" spans="1:29" customFormat="1" ht="16">
      <c r="A457" s="2"/>
      <c r="B457" s="2"/>
      <c r="C457" s="124"/>
      <c r="D457" s="124"/>
      <c r="E457" s="2"/>
      <c r="F457" s="2"/>
      <c r="G457" s="2"/>
      <c r="H457" s="139"/>
      <c r="I457" s="2"/>
      <c r="J457" s="483"/>
      <c r="K457" s="483"/>
      <c r="L457" s="483"/>
      <c r="M457" s="483"/>
      <c r="N457" s="483"/>
      <c r="O457" s="484"/>
      <c r="P457" s="483"/>
      <c r="Q457" s="483"/>
      <c r="R457" s="483"/>
      <c r="S457" s="483"/>
      <c r="T457" s="483"/>
      <c r="U457" s="483"/>
      <c r="V457" s="483"/>
      <c r="W457" s="483"/>
      <c r="X457" s="483"/>
      <c r="Y457" s="483"/>
      <c r="Z457" s="483"/>
      <c r="AA457" s="483"/>
      <c r="AB457" s="2"/>
      <c r="AC457" s="2"/>
    </row>
    <row r="458" spans="1:29" customFormat="1" ht="16">
      <c r="A458" s="2"/>
      <c r="B458" s="2"/>
      <c r="C458" s="124"/>
      <c r="D458" s="124"/>
      <c r="E458" s="2"/>
      <c r="F458" s="2"/>
      <c r="G458" s="2"/>
      <c r="H458" s="139"/>
      <c r="I458" s="2"/>
      <c r="J458" s="483"/>
      <c r="K458" s="483"/>
      <c r="L458" s="483"/>
      <c r="M458" s="483"/>
      <c r="N458" s="483"/>
      <c r="O458" s="484"/>
      <c r="P458" s="483"/>
      <c r="Q458" s="483"/>
      <c r="R458" s="483"/>
      <c r="S458" s="483"/>
      <c r="T458" s="483"/>
      <c r="U458" s="483"/>
      <c r="V458" s="483"/>
      <c r="W458" s="483"/>
      <c r="X458" s="483"/>
      <c r="Y458" s="483"/>
      <c r="Z458" s="483"/>
      <c r="AA458" s="483"/>
      <c r="AB458" s="2"/>
      <c r="AC458" s="2"/>
    </row>
    <row r="459" spans="1:29" customFormat="1" ht="16">
      <c r="A459" s="2"/>
      <c r="B459" s="2"/>
      <c r="C459" s="124"/>
      <c r="D459" s="124"/>
      <c r="E459" s="2"/>
      <c r="F459" s="2"/>
      <c r="G459" s="2"/>
      <c r="H459" s="139"/>
      <c r="I459" s="2"/>
      <c r="J459" s="483"/>
      <c r="K459" s="483"/>
      <c r="L459" s="483"/>
      <c r="M459" s="483"/>
      <c r="N459" s="483"/>
      <c r="O459" s="484"/>
      <c r="P459" s="483"/>
      <c r="Q459" s="483"/>
      <c r="R459" s="483"/>
      <c r="S459" s="483"/>
      <c r="T459" s="483"/>
      <c r="U459" s="483"/>
      <c r="V459" s="483"/>
      <c r="W459" s="483"/>
      <c r="X459" s="483"/>
      <c r="Y459" s="483"/>
      <c r="Z459" s="483"/>
      <c r="AA459" s="483"/>
      <c r="AB459" s="2"/>
      <c r="AC459" s="2"/>
    </row>
    <row r="460" spans="1:29" customFormat="1" ht="16">
      <c r="A460" s="2"/>
      <c r="B460" s="2"/>
      <c r="C460" s="124"/>
      <c r="D460" s="124"/>
      <c r="E460" s="2"/>
      <c r="F460" s="2"/>
      <c r="G460" s="2"/>
      <c r="H460" s="139"/>
      <c r="I460" s="2"/>
      <c r="J460" s="483"/>
      <c r="K460" s="483"/>
      <c r="L460" s="483"/>
      <c r="M460" s="483"/>
      <c r="N460" s="483"/>
      <c r="O460" s="484"/>
      <c r="P460" s="483"/>
      <c r="Q460" s="483"/>
      <c r="R460" s="483"/>
      <c r="S460" s="483"/>
      <c r="T460" s="483"/>
      <c r="U460" s="483"/>
      <c r="V460" s="483"/>
      <c r="W460" s="483"/>
      <c r="X460" s="483"/>
      <c r="Y460" s="483"/>
      <c r="Z460" s="483"/>
      <c r="AA460" s="483"/>
      <c r="AB460" s="2"/>
      <c r="AC460" s="2"/>
    </row>
    <row r="461" spans="1:29" customFormat="1" ht="16">
      <c r="A461" s="2"/>
      <c r="B461" s="2"/>
      <c r="C461" s="124"/>
      <c r="D461" s="124"/>
      <c r="E461" s="2"/>
      <c r="F461" s="2"/>
      <c r="G461" s="2"/>
      <c r="H461" s="139"/>
      <c r="I461" s="2"/>
      <c r="J461" s="483"/>
      <c r="K461" s="483"/>
      <c r="L461" s="483"/>
      <c r="M461" s="483"/>
      <c r="N461" s="483"/>
      <c r="O461" s="484"/>
      <c r="P461" s="483"/>
      <c r="Q461" s="483"/>
      <c r="R461" s="483"/>
      <c r="S461" s="483"/>
      <c r="T461" s="483"/>
      <c r="U461" s="483"/>
      <c r="V461" s="483"/>
      <c r="W461" s="483"/>
      <c r="X461" s="483"/>
      <c r="Y461" s="483"/>
      <c r="Z461" s="483"/>
      <c r="AA461" s="483"/>
      <c r="AB461" s="2"/>
      <c r="AC461" s="2"/>
    </row>
    <row r="462" spans="1:29" customFormat="1" ht="16">
      <c r="A462" s="2"/>
      <c r="B462" s="2"/>
      <c r="C462" s="124"/>
      <c r="D462" s="124"/>
      <c r="E462" s="2"/>
      <c r="F462" s="2"/>
      <c r="G462" s="2"/>
      <c r="H462" s="139"/>
      <c r="I462" s="2"/>
      <c r="J462" s="483"/>
      <c r="K462" s="483"/>
      <c r="L462" s="483"/>
      <c r="M462" s="483"/>
      <c r="N462" s="483"/>
      <c r="O462" s="484"/>
      <c r="P462" s="483"/>
      <c r="Q462" s="483"/>
      <c r="R462" s="483"/>
      <c r="S462" s="483"/>
      <c r="T462" s="483"/>
      <c r="U462" s="483"/>
      <c r="V462" s="483"/>
      <c r="W462" s="483"/>
      <c r="X462" s="483"/>
      <c r="Y462" s="483"/>
      <c r="Z462" s="483"/>
      <c r="AA462" s="483"/>
      <c r="AB462" s="2"/>
      <c r="AC462" s="2"/>
    </row>
    <row r="463" spans="1:29" customFormat="1" ht="16">
      <c r="A463" s="2"/>
      <c r="B463" s="2"/>
      <c r="C463" s="124"/>
      <c r="D463" s="124"/>
      <c r="E463" s="2"/>
      <c r="F463" s="2"/>
      <c r="G463" s="2"/>
      <c r="H463" s="139"/>
      <c r="I463" s="2"/>
      <c r="J463" s="483"/>
      <c r="K463" s="483"/>
      <c r="L463" s="483"/>
      <c r="M463" s="483"/>
      <c r="N463" s="483"/>
      <c r="O463" s="484"/>
      <c r="P463" s="483"/>
      <c r="Q463" s="483"/>
      <c r="R463" s="483"/>
      <c r="S463" s="483"/>
      <c r="T463" s="483"/>
      <c r="U463" s="483"/>
      <c r="V463" s="483"/>
      <c r="W463" s="483"/>
      <c r="X463" s="483"/>
      <c r="Y463" s="483"/>
      <c r="Z463" s="483"/>
      <c r="AA463" s="483"/>
      <c r="AB463" s="2"/>
      <c r="AC463" s="2"/>
    </row>
    <row r="464" spans="1:29" customFormat="1" ht="16">
      <c r="A464" s="2"/>
      <c r="B464" s="2"/>
      <c r="C464" s="124"/>
      <c r="D464" s="124"/>
      <c r="E464" s="2"/>
      <c r="F464" s="2"/>
      <c r="G464" s="2"/>
      <c r="H464" s="139"/>
      <c r="I464" s="2"/>
      <c r="J464" s="483"/>
      <c r="K464" s="483"/>
      <c r="L464" s="483"/>
      <c r="M464" s="483"/>
      <c r="N464" s="483"/>
      <c r="O464" s="484"/>
      <c r="P464" s="483"/>
      <c r="Q464" s="483"/>
      <c r="R464" s="483"/>
      <c r="S464" s="483"/>
      <c r="T464" s="483"/>
      <c r="U464" s="483"/>
      <c r="V464" s="483"/>
      <c r="W464" s="483"/>
      <c r="X464" s="483"/>
      <c r="Y464" s="483"/>
      <c r="Z464" s="483"/>
      <c r="AA464" s="483"/>
      <c r="AB464" s="2"/>
      <c r="AC464" s="2"/>
    </row>
    <row r="465" spans="1:29" customFormat="1" ht="16">
      <c r="A465" s="2"/>
      <c r="B465" s="2"/>
      <c r="C465" s="124"/>
      <c r="D465" s="124"/>
      <c r="E465" s="2"/>
      <c r="F465" s="2"/>
      <c r="G465" s="2"/>
      <c r="H465" s="139"/>
      <c r="I465" s="2"/>
      <c r="J465" s="483"/>
      <c r="K465" s="483"/>
      <c r="L465" s="483"/>
      <c r="M465" s="483"/>
      <c r="N465" s="483"/>
      <c r="O465" s="484"/>
      <c r="P465" s="483"/>
      <c r="Q465" s="483"/>
      <c r="R465" s="483"/>
      <c r="S465" s="483"/>
      <c r="T465" s="483"/>
      <c r="U465" s="483"/>
      <c r="V465" s="483"/>
      <c r="W465" s="483"/>
      <c r="X465" s="483"/>
      <c r="Y465" s="483"/>
      <c r="Z465" s="483"/>
      <c r="AA465" s="483"/>
      <c r="AB465" s="2"/>
      <c r="AC465" s="2"/>
    </row>
    <row r="466" spans="1:29" customFormat="1" ht="16">
      <c r="A466" s="2"/>
      <c r="B466" s="2"/>
      <c r="C466" s="124"/>
      <c r="D466" s="124"/>
      <c r="E466" s="2"/>
      <c r="F466" s="2"/>
      <c r="G466" s="2"/>
      <c r="H466" s="139"/>
      <c r="I466" s="2"/>
      <c r="J466" s="483"/>
      <c r="K466" s="483"/>
      <c r="L466" s="483"/>
      <c r="M466" s="483"/>
      <c r="N466" s="483"/>
      <c r="O466" s="484"/>
      <c r="P466" s="483"/>
      <c r="Q466" s="483"/>
      <c r="R466" s="483"/>
      <c r="S466" s="483"/>
      <c r="T466" s="483"/>
      <c r="U466" s="483"/>
      <c r="V466" s="483"/>
      <c r="W466" s="483"/>
      <c r="X466" s="483"/>
      <c r="Y466" s="483"/>
      <c r="Z466" s="483"/>
      <c r="AA466" s="483"/>
      <c r="AB466" s="2"/>
      <c r="AC466" s="2"/>
    </row>
    <row r="467" spans="1:29" customFormat="1" ht="16">
      <c r="A467" s="2"/>
      <c r="B467" s="2"/>
      <c r="C467" s="124"/>
      <c r="D467" s="124"/>
      <c r="E467" s="2"/>
      <c r="F467" s="2"/>
      <c r="G467" s="2"/>
      <c r="H467" s="139"/>
      <c r="I467" s="2"/>
      <c r="J467" s="483"/>
      <c r="K467" s="483"/>
      <c r="L467" s="483"/>
      <c r="M467" s="483"/>
      <c r="N467" s="483"/>
      <c r="O467" s="484"/>
      <c r="P467" s="483"/>
      <c r="Q467" s="483"/>
      <c r="R467" s="483"/>
      <c r="S467" s="483"/>
      <c r="T467" s="483"/>
      <c r="U467" s="483"/>
      <c r="V467" s="483"/>
      <c r="W467" s="483"/>
      <c r="X467" s="483"/>
      <c r="Y467" s="483"/>
      <c r="Z467" s="483"/>
      <c r="AA467" s="483"/>
      <c r="AB467" s="2"/>
      <c r="AC467" s="2"/>
    </row>
    <row r="468" spans="1:29" customFormat="1" ht="16">
      <c r="A468" s="2"/>
      <c r="B468" s="2"/>
      <c r="C468" s="124"/>
      <c r="D468" s="124"/>
      <c r="E468" s="2"/>
      <c r="F468" s="2"/>
      <c r="G468" s="2"/>
      <c r="H468" s="139"/>
      <c r="I468" s="2"/>
      <c r="J468" s="483"/>
      <c r="K468" s="483"/>
      <c r="L468" s="483"/>
      <c r="M468" s="483"/>
      <c r="N468" s="483"/>
      <c r="O468" s="484"/>
      <c r="P468" s="483"/>
      <c r="Q468" s="483"/>
      <c r="R468" s="483"/>
      <c r="S468" s="483"/>
      <c r="T468" s="483"/>
      <c r="U468" s="483"/>
      <c r="V468" s="483"/>
      <c r="W468" s="483"/>
      <c r="X468" s="483"/>
      <c r="Y468" s="483"/>
      <c r="Z468" s="483"/>
      <c r="AA468" s="483"/>
      <c r="AB468" s="2"/>
      <c r="AC468" s="2"/>
    </row>
    <row r="469" spans="1:29" customFormat="1" ht="16">
      <c r="A469" s="2"/>
      <c r="B469" s="2"/>
      <c r="C469" s="124"/>
      <c r="D469" s="124"/>
      <c r="E469" s="2"/>
      <c r="F469" s="2"/>
      <c r="G469" s="2"/>
      <c r="H469" s="139"/>
      <c r="I469" s="2"/>
      <c r="J469" s="483"/>
      <c r="K469" s="483"/>
      <c r="L469" s="483"/>
      <c r="M469" s="483"/>
      <c r="N469" s="483"/>
      <c r="O469" s="484"/>
      <c r="P469" s="483"/>
      <c r="Q469" s="483"/>
      <c r="R469" s="483"/>
      <c r="S469" s="483"/>
      <c r="T469" s="483"/>
      <c r="U469" s="483"/>
      <c r="V469" s="483"/>
      <c r="W469" s="483"/>
      <c r="X469" s="483"/>
      <c r="Y469" s="483"/>
      <c r="Z469" s="483"/>
      <c r="AA469" s="483"/>
      <c r="AB469" s="2"/>
      <c r="AC469" s="2"/>
    </row>
    <row r="470" spans="1:29" customFormat="1" ht="16">
      <c r="A470" s="2"/>
      <c r="B470" s="2"/>
      <c r="C470" s="124"/>
      <c r="D470" s="124"/>
      <c r="E470" s="2"/>
      <c r="F470" s="2"/>
      <c r="G470" s="2"/>
      <c r="H470" s="139"/>
      <c r="I470" s="2"/>
      <c r="J470" s="483"/>
      <c r="K470" s="483"/>
      <c r="L470" s="483"/>
      <c r="M470" s="483"/>
      <c r="N470" s="483"/>
      <c r="O470" s="484"/>
      <c r="P470" s="483"/>
      <c r="Q470" s="483"/>
      <c r="R470" s="483"/>
      <c r="S470" s="483"/>
      <c r="T470" s="483"/>
      <c r="U470" s="483"/>
      <c r="V470" s="483"/>
      <c r="W470" s="483"/>
      <c r="X470" s="483"/>
      <c r="Y470" s="483"/>
      <c r="Z470" s="483"/>
      <c r="AA470" s="483"/>
      <c r="AB470" s="2"/>
      <c r="AC470" s="2"/>
    </row>
    <row r="471" spans="1:29" customFormat="1" ht="16">
      <c r="A471" s="2"/>
      <c r="B471" s="2"/>
      <c r="C471" s="124"/>
      <c r="D471" s="124"/>
      <c r="E471" s="2"/>
      <c r="F471" s="2"/>
      <c r="G471" s="2"/>
      <c r="H471" s="139"/>
      <c r="I471" s="2"/>
      <c r="J471" s="483"/>
      <c r="K471" s="483"/>
      <c r="L471" s="483"/>
      <c r="M471" s="483"/>
      <c r="N471" s="483"/>
      <c r="O471" s="484"/>
      <c r="P471" s="483"/>
      <c r="Q471" s="483"/>
      <c r="R471" s="483"/>
      <c r="S471" s="483"/>
      <c r="T471" s="483"/>
      <c r="U471" s="483"/>
      <c r="V471" s="483"/>
      <c r="W471" s="483"/>
      <c r="X471" s="483"/>
      <c r="Y471" s="483"/>
      <c r="Z471" s="483"/>
      <c r="AA471" s="483"/>
      <c r="AB471" s="2"/>
      <c r="AC471" s="2"/>
    </row>
    <row r="472" spans="1:29" customFormat="1" ht="16">
      <c r="A472" s="2"/>
      <c r="B472" s="2"/>
      <c r="C472" s="124"/>
      <c r="D472" s="124"/>
      <c r="E472" s="2"/>
      <c r="F472" s="2"/>
      <c r="G472" s="2"/>
      <c r="H472" s="139"/>
      <c r="I472" s="2"/>
      <c r="J472" s="483"/>
      <c r="K472" s="483"/>
      <c r="L472" s="483"/>
      <c r="M472" s="483"/>
      <c r="N472" s="483"/>
      <c r="O472" s="484"/>
      <c r="P472" s="483"/>
      <c r="Q472" s="483"/>
      <c r="R472" s="483"/>
      <c r="S472" s="483"/>
      <c r="T472" s="483"/>
      <c r="U472" s="483"/>
      <c r="V472" s="483"/>
      <c r="W472" s="483"/>
      <c r="X472" s="483"/>
      <c r="Y472" s="483"/>
      <c r="Z472" s="483"/>
      <c r="AA472" s="483"/>
      <c r="AB472" s="2"/>
      <c r="AC472" s="2"/>
    </row>
    <row r="473" spans="1:29" customFormat="1" ht="16">
      <c r="A473" s="2"/>
      <c r="B473" s="2"/>
      <c r="C473" s="124"/>
      <c r="D473" s="124"/>
      <c r="E473" s="2"/>
      <c r="F473" s="2"/>
      <c r="G473" s="2"/>
      <c r="H473" s="139"/>
      <c r="I473" s="2"/>
      <c r="J473" s="483"/>
      <c r="K473" s="483"/>
      <c r="L473" s="483"/>
      <c r="M473" s="483"/>
      <c r="N473" s="483"/>
      <c r="O473" s="484"/>
      <c r="P473" s="483"/>
      <c r="Q473" s="483"/>
      <c r="R473" s="483"/>
      <c r="S473" s="483"/>
      <c r="T473" s="483"/>
      <c r="U473" s="483"/>
      <c r="V473" s="483"/>
      <c r="W473" s="483"/>
      <c r="X473" s="483"/>
      <c r="Y473" s="483"/>
      <c r="Z473" s="483"/>
      <c r="AA473" s="483"/>
      <c r="AB473" s="2"/>
      <c r="AC473" s="2"/>
    </row>
    <row r="474" spans="1:29" customFormat="1" ht="16">
      <c r="A474" s="2"/>
      <c r="B474" s="2"/>
      <c r="C474" s="124"/>
      <c r="D474" s="124"/>
      <c r="E474" s="2"/>
      <c r="F474" s="2"/>
      <c r="G474" s="2"/>
      <c r="H474" s="139"/>
      <c r="I474" s="2"/>
      <c r="J474" s="483"/>
      <c r="K474" s="483"/>
      <c r="L474" s="483"/>
      <c r="M474" s="483"/>
      <c r="N474" s="483"/>
      <c r="O474" s="484"/>
      <c r="P474" s="483"/>
      <c r="Q474" s="483"/>
      <c r="R474" s="483"/>
      <c r="S474" s="483"/>
      <c r="T474" s="483"/>
      <c r="U474" s="483"/>
      <c r="V474" s="483"/>
      <c r="W474" s="483"/>
      <c r="X474" s="483"/>
      <c r="Y474" s="483"/>
      <c r="Z474" s="483"/>
      <c r="AA474" s="483"/>
      <c r="AB474" s="2"/>
      <c r="AC474" s="2"/>
    </row>
    <row r="475" spans="1:29" customFormat="1" ht="16">
      <c r="A475" s="2"/>
      <c r="B475" s="2"/>
      <c r="C475" s="124"/>
      <c r="D475" s="124"/>
      <c r="E475" s="2"/>
      <c r="F475" s="2"/>
      <c r="G475" s="2"/>
      <c r="H475" s="139"/>
      <c r="I475" s="2"/>
      <c r="J475" s="483"/>
      <c r="K475" s="483"/>
      <c r="L475" s="483"/>
      <c r="M475" s="483"/>
      <c r="N475" s="483"/>
      <c r="O475" s="484"/>
      <c r="P475" s="483"/>
      <c r="Q475" s="483"/>
      <c r="R475" s="483"/>
      <c r="S475" s="483"/>
      <c r="T475" s="483"/>
      <c r="U475" s="483"/>
      <c r="V475" s="483"/>
      <c r="W475" s="483"/>
      <c r="X475" s="483"/>
      <c r="Y475" s="483"/>
      <c r="Z475" s="483"/>
      <c r="AA475" s="483"/>
      <c r="AB475" s="2"/>
      <c r="AC475" s="2"/>
    </row>
    <row r="476" spans="1:29" customFormat="1" ht="16">
      <c r="A476" s="2"/>
      <c r="B476" s="2"/>
      <c r="C476" s="124"/>
      <c r="D476" s="124"/>
      <c r="E476" s="2"/>
      <c r="F476" s="2"/>
      <c r="G476" s="2"/>
      <c r="H476" s="139"/>
      <c r="I476" s="2"/>
      <c r="J476" s="483"/>
      <c r="K476" s="483"/>
      <c r="L476" s="483"/>
      <c r="M476" s="483"/>
      <c r="N476" s="483"/>
      <c r="O476" s="484"/>
      <c r="P476" s="483"/>
      <c r="Q476" s="483"/>
      <c r="R476" s="483"/>
      <c r="S476" s="483"/>
      <c r="T476" s="483"/>
      <c r="U476" s="483"/>
      <c r="V476" s="483"/>
      <c r="W476" s="483"/>
      <c r="X476" s="483"/>
      <c r="Y476" s="483"/>
      <c r="Z476" s="483"/>
      <c r="AA476" s="483"/>
      <c r="AB476" s="2"/>
      <c r="AC476" s="2"/>
    </row>
    <row r="477" spans="1:29" customFormat="1" ht="16">
      <c r="A477" s="2"/>
      <c r="B477" s="2"/>
      <c r="C477" s="124"/>
      <c r="D477" s="124"/>
      <c r="E477" s="2"/>
      <c r="F477" s="2"/>
      <c r="G477" s="2"/>
      <c r="H477" s="139"/>
      <c r="I477" s="2"/>
      <c r="J477" s="483"/>
      <c r="K477" s="483"/>
      <c r="L477" s="483"/>
      <c r="M477" s="483"/>
      <c r="N477" s="483"/>
      <c r="O477" s="484"/>
      <c r="P477" s="483"/>
      <c r="Q477" s="483"/>
      <c r="R477" s="483"/>
      <c r="S477" s="483"/>
      <c r="T477" s="483"/>
      <c r="U477" s="483"/>
      <c r="V477" s="483"/>
      <c r="W477" s="483"/>
      <c r="X477" s="483"/>
      <c r="Y477" s="483"/>
      <c r="Z477" s="483"/>
      <c r="AA477" s="483"/>
      <c r="AB477" s="2"/>
      <c r="AC477" s="2"/>
    </row>
    <row r="478" spans="1:29" customFormat="1" ht="16">
      <c r="A478" s="2"/>
      <c r="B478" s="2"/>
      <c r="C478" s="124"/>
      <c r="D478" s="124"/>
      <c r="E478" s="2"/>
      <c r="F478" s="2"/>
      <c r="G478" s="2"/>
      <c r="H478" s="139"/>
      <c r="I478" s="2"/>
      <c r="J478" s="483"/>
      <c r="K478" s="483"/>
      <c r="L478" s="483"/>
      <c r="M478" s="483"/>
      <c r="N478" s="483"/>
      <c r="O478" s="484"/>
      <c r="P478" s="483"/>
      <c r="Q478" s="483"/>
      <c r="R478" s="483"/>
      <c r="S478" s="483"/>
      <c r="T478" s="483"/>
      <c r="U478" s="483"/>
      <c r="V478" s="483"/>
      <c r="W478" s="483"/>
      <c r="X478" s="483"/>
      <c r="Y478" s="483"/>
      <c r="Z478" s="483"/>
      <c r="AA478" s="483"/>
      <c r="AB478" s="2"/>
      <c r="AC478" s="2"/>
    </row>
    <row r="479" spans="1:29" customFormat="1" ht="16">
      <c r="A479" s="2"/>
      <c r="B479" s="2"/>
      <c r="C479" s="124"/>
      <c r="D479" s="124"/>
      <c r="E479" s="2"/>
      <c r="F479" s="2"/>
      <c r="G479" s="2"/>
      <c r="H479" s="139"/>
      <c r="I479" s="2"/>
      <c r="J479" s="483"/>
      <c r="K479" s="483"/>
      <c r="L479" s="483"/>
      <c r="M479" s="483"/>
      <c r="N479" s="483"/>
      <c r="O479" s="484"/>
      <c r="P479" s="483"/>
      <c r="Q479" s="483"/>
      <c r="R479" s="483"/>
      <c r="S479" s="483"/>
      <c r="T479" s="483"/>
      <c r="U479" s="483"/>
      <c r="V479" s="483"/>
      <c r="W479" s="483"/>
      <c r="X479" s="483"/>
      <c r="Y479" s="483"/>
      <c r="Z479" s="483"/>
      <c r="AA479" s="483"/>
      <c r="AB479" s="2"/>
      <c r="AC479" s="2"/>
    </row>
    <row r="480" spans="1:29" customFormat="1" ht="16">
      <c r="A480" s="2"/>
      <c r="B480" s="2"/>
      <c r="C480" s="124"/>
      <c r="D480" s="124"/>
      <c r="E480" s="2"/>
      <c r="F480" s="2"/>
      <c r="G480" s="2"/>
      <c r="H480" s="139"/>
      <c r="I480" s="2"/>
      <c r="J480" s="483"/>
      <c r="K480" s="483"/>
      <c r="L480" s="483"/>
      <c r="M480" s="483"/>
      <c r="N480" s="483"/>
      <c r="O480" s="484"/>
      <c r="P480" s="483"/>
      <c r="Q480" s="483"/>
      <c r="R480" s="483"/>
      <c r="S480" s="483"/>
      <c r="T480" s="483"/>
      <c r="U480" s="483"/>
      <c r="V480" s="483"/>
      <c r="W480" s="483"/>
      <c r="X480" s="483"/>
      <c r="Y480" s="483"/>
      <c r="Z480" s="483"/>
      <c r="AA480" s="483"/>
      <c r="AB480" s="2"/>
      <c r="AC480" s="2"/>
    </row>
    <row r="481" spans="1:29" customFormat="1" ht="16">
      <c r="A481" s="2"/>
      <c r="B481" s="2"/>
      <c r="C481" s="124"/>
      <c r="D481" s="124"/>
      <c r="E481" s="2"/>
      <c r="F481" s="2"/>
      <c r="G481" s="2"/>
      <c r="H481" s="139"/>
      <c r="I481" s="2"/>
      <c r="J481" s="483"/>
      <c r="K481" s="483"/>
      <c r="L481" s="483"/>
      <c r="M481" s="483"/>
      <c r="N481" s="483"/>
      <c r="O481" s="484"/>
      <c r="P481" s="483"/>
      <c r="Q481" s="483"/>
      <c r="R481" s="483"/>
      <c r="S481" s="483"/>
      <c r="T481" s="483"/>
      <c r="U481" s="483"/>
      <c r="V481" s="483"/>
      <c r="W481" s="483"/>
      <c r="X481" s="483"/>
      <c r="Y481" s="483"/>
      <c r="Z481" s="483"/>
      <c r="AA481" s="483"/>
      <c r="AB481" s="2"/>
      <c r="AC481" s="2"/>
    </row>
    <row r="482" spans="1:29" customFormat="1" ht="16">
      <c r="A482" s="2"/>
      <c r="B482" s="2"/>
      <c r="C482" s="124"/>
      <c r="D482" s="124"/>
      <c r="E482" s="2"/>
      <c r="F482" s="2"/>
      <c r="G482" s="2"/>
      <c r="H482" s="139"/>
      <c r="I482" s="2"/>
      <c r="J482" s="483"/>
      <c r="K482" s="483"/>
      <c r="L482" s="483"/>
      <c r="M482" s="483"/>
      <c r="N482" s="483"/>
      <c r="O482" s="484"/>
      <c r="P482" s="483"/>
      <c r="Q482" s="483"/>
      <c r="R482" s="483"/>
      <c r="S482" s="483"/>
      <c r="T482" s="483"/>
      <c r="U482" s="483"/>
      <c r="V482" s="483"/>
      <c r="W482" s="483"/>
      <c r="X482" s="483"/>
      <c r="Y482" s="483"/>
      <c r="Z482" s="483"/>
      <c r="AA482" s="483"/>
      <c r="AB482" s="2"/>
      <c r="AC482" s="2"/>
    </row>
    <row r="483" spans="1:29" customFormat="1" ht="16">
      <c r="A483" s="2"/>
      <c r="B483" s="2"/>
      <c r="C483" s="124"/>
      <c r="D483" s="124"/>
      <c r="E483" s="2"/>
      <c r="F483" s="2"/>
      <c r="G483" s="2"/>
      <c r="H483" s="139"/>
      <c r="I483" s="2"/>
      <c r="J483" s="483"/>
      <c r="K483" s="483"/>
      <c r="L483" s="483"/>
      <c r="M483" s="483"/>
      <c r="N483" s="483"/>
      <c r="O483" s="484"/>
      <c r="P483" s="483"/>
      <c r="Q483" s="483"/>
      <c r="R483" s="483"/>
      <c r="S483" s="483"/>
      <c r="T483" s="483"/>
      <c r="U483" s="483"/>
      <c r="V483" s="483"/>
      <c r="W483" s="483"/>
      <c r="X483" s="483"/>
      <c r="Y483" s="483"/>
      <c r="Z483" s="483"/>
      <c r="AA483" s="483"/>
      <c r="AB483" s="2"/>
      <c r="AC483" s="2"/>
    </row>
    <row r="484" spans="1:29" customFormat="1" ht="16">
      <c r="A484" s="2"/>
      <c r="B484" s="2"/>
      <c r="C484" s="124"/>
      <c r="D484" s="124"/>
      <c r="E484" s="2"/>
      <c r="F484" s="2"/>
      <c r="G484" s="2"/>
      <c r="H484" s="139"/>
      <c r="I484" s="2"/>
      <c r="J484" s="483"/>
      <c r="K484" s="483"/>
      <c r="L484" s="483"/>
      <c r="M484" s="483"/>
      <c r="N484" s="483"/>
      <c r="O484" s="484"/>
      <c r="P484" s="483"/>
      <c r="Q484" s="483"/>
      <c r="R484" s="483"/>
      <c r="S484" s="483"/>
      <c r="T484" s="483"/>
      <c r="U484" s="483"/>
      <c r="V484" s="483"/>
      <c r="W484" s="483"/>
      <c r="X484" s="483"/>
      <c r="Y484" s="483"/>
      <c r="Z484" s="483"/>
      <c r="AA484" s="483"/>
      <c r="AB484" s="2"/>
      <c r="AC484" s="2"/>
    </row>
    <row r="485" spans="1:29" customFormat="1" ht="16">
      <c r="A485" s="2"/>
      <c r="B485" s="2"/>
      <c r="C485" s="124"/>
      <c r="D485" s="124"/>
      <c r="E485" s="2"/>
      <c r="F485" s="2"/>
      <c r="G485" s="2"/>
      <c r="H485" s="139"/>
      <c r="I485" s="2"/>
      <c r="J485" s="483"/>
      <c r="K485" s="483"/>
      <c r="L485" s="483"/>
      <c r="M485" s="483"/>
      <c r="N485" s="483"/>
      <c r="O485" s="484"/>
      <c r="P485" s="483"/>
      <c r="Q485" s="483"/>
      <c r="R485" s="483"/>
      <c r="S485" s="483"/>
      <c r="T485" s="483"/>
      <c r="U485" s="483"/>
      <c r="V485" s="483"/>
      <c r="W485" s="483"/>
      <c r="X485" s="483"/>
      <c r="Y485" s="483"/>
      <c r="Z485" s="483"/>
      <c r="AA485" s="483"/>
      <c r="AB485" s="2"/>
      <c r="AC485" s="2"/>
    </row>
    <row r="486" spans="1:29" customFormat="1" ht="16">
      <c r="A486" s="2"/>
      <c r="B486" s="2"/>
      <c r="C486" s="124"/>
      <c r="D486" s="124"/>
      <c r="E486" s="2"/>
      <c r="F486" s="2"/>
      <c r="G486" s="2"/>
      <c r="H486" s="139"/>
      <c r="I486" s="2"/>
      <c r="J486" s="483"/>
      <c r="K486" s="483"/>
      <c r="L486" s="483"/>
      <c r="M486" s="483"/>
      <c r="N486" s="483"/>
      <c r="O486" s="484"/>
      <c r="P486" s="483"/>
      <c r="Q486" s="483"/>
      <c r="R486" s="483"/>
      <c r="S486" s="483"/>
      <c r="T486" s="483"/>
      <c r="U486" s="483"/>
      <c r="V486" s="483"/>
      <c r="W486" s="483"/>
      <c r="X486" s="483"/>
      <c r="Y486" s="483"/>
      <c r="Z486" s="483"/>
      <c r="AA486" s="483"/>
      <c r="AB486" s="2"/>
      <c r="AC486" s="2"/>
    </row>
    <row r="487" spans="1:29" customFormat="1" ht="16">
      <c r="A487" s="2"/>
      <c r="B487" s="2"/>
      <c r="C487" s="124"/>
      <c r="D487" s="124"/>
      <c r="E487" s="2"/>
      <c r="F487" s="2"/>
      <c r="G487" s="2"/>
      <c r="H487" s="139"/>
      <c r="I487" s="2"/>
      <c r="J487" s="483"/>
      <c r="K487" s="483"/>
      <c r="L487" s="483"/>
      <c r="M487" s="483"/>
      <c r="N487" s="483"/>
      <c r="O487" s="484"/>
      <c r="P487" s="483"/>
      <c r="Q487" s="483"/>
      <c r="R487" s="483"/>
      <c r="S487" s="483"/>
      <c r="T487" s="483"/>
      <c r="U487" s="483"/>
      <c r="V487" s="483"/>
      <c r="W487" s="483"/>
      <c r="X487" s="483"/>
      <c r="Y487" s="483"/>
      <c r="Z487" s="483"/>
      <c r="AA487" s="483"/>
      <c r="AB487" s="2"/>
      <c r="AC487" s="2"/>
    </row>
    <row r="488" spans="1:29" customFormat="1" ht="16">
      <c r="A488" s="2"/>
      <c r="B488" s="2"/>
      <c r="C488" s="124"/>
      <c r="D488" s="124"/>
      <c r="E488" s="2"/>
      <c r="F488" s="2"/>
      <c r="G488" s="2"/>
      <c r="H488" s="139"/>
      <c r="I488" s="2"/>
      <c r="J488" s="483"/>
      <c r="K488" s="483"/>
      <c r="L488" s="483"/>
      <c r="M488" s="483"/>
      <c r="N488" s="483"/>
      <c r="O488" s="484"/>
      <c r="P488" s="483"/>
      <c r="Q488" s="483"/>
      <c r="R488" s="483"/>
      <c r="S488" s="483"/>
      <c r="T488" s="483"/>
      <c r="U488" s="483"/>
      <c r="V488" s="483"/>
      <c r="W488" s="483"/>
      <c r="X488" s="483"/>
      <c r="Y488" s="483"/>
      <c r="Z488" s="483"/>
      <c r="AA488" s="483"/>
      <c r="AB488" s="2"/>
      <c r="AC488" s="2"/>
    </row>
    <row r="489" spans="1:29" customFormat="1" ht="16">
      <c r="A489" s="2"/>
      <c r="B489" s="2"/>
      <c r="C489" s="124"/>
      <c r="D489" s="124"/>
      <c r="E489" s="2"/>
      <c r="F489" s="2"/>
      <c r="G489" s="2"/>
      <c r="H489" s="139"/>
      <c r="I489" s="2"/>
      <c r="J489" s="483"/>
      <c r="K489" s="483"/>
      <c r="L489" s="483"/>
      <c r="M489" s="483"/>
      <c r="N489" s="483"/>
      <c r="O489" s="484"/>
      <c r="P489" s="483"/>
      <c r="Q489" s="483"/>
      <c r="R489" s="483"/>
      <c r="S489" s="483"/>
      <c r="T489" s="483"/>
      <c r="U489" s="483"/>
      <c r="V489" s="483"/>
      <c r="W489" s="483"/>
      <c r="X489" s="483"/>
      <c r="Y489" s="483"/>
      <c r="Z489" s="483"/>
      <c r="AA489" s="483"/>
      <c r="AB489" s="2"/>
      <c r="AC489" s="2"/>
    </row>
    <row r="490" spans="1:29" customFormat="1" ht="16">
      <c r="A490" s="2"/>
      <c r="B490" s="2"/>
      <c r="C490" s="124"/>
      <c r="D490" s="124"/>
      <c r="E490" s="2"/>
      <c r="F490" s="2"/>
      <c r="G490" s="2"/>
      <c r="H490" s="139"/>
      <c r="I490" s="2"/>
      <c r="J490" s="483"/>
      <c r="K490" s="483"/>
      <c r="L490" s="483"/>
      <c r="M490" s="483"/>
      <c r="N490" s="483"/>
      <c r="O490" s="484"/>
      <c r="P490" s="483"/>
      <c r="Q490" s="483"/>
      <c r="R490" s="483"/>
      <c r="S490" s="483"/>
      <c r="T490" s="483"/>
      <c r="U490" s="483"/>
      <c r="V490" s="483"/>
      <c r="W490" s="483"/>
      <c r="X490" s="483"/>
      <c r="Y490" s="483"/>
      <c r="Z490" s="483"/>
      <c r="AA490" s="483"/>
      <c r="AB490" s="2"/>
      <c r="AC490" s="2"/>
    </row>
    <row r="491" spans="1:29" customFormat="1" ht="16">
      <c r="A491" s="2"/>
      <c r="B491" s="2"/>
      <c r="C491" s="124"/>
      <c r="D491" s="124"/>
      <c r="E491" s="2"/>
      <c r="F491" s="2"/>
      <c r="G491" s="2"/>
      <c r="H491" s="139"/>
      <c r="I491" s="2"/>
      <c r="J491" s="483"/>
      <c r="K491" s="483"/>
      <c r="L491" s="483"/>
      <c r="M491" s="483"/>
      <c r="N491" s="483"/>
      <c r="O491" s="484"/>
      <c r="P491" s="483"/>
      <c r="Q491" s="483"/>
      <c r="R491" s="483"/>
      <c r="S491" s="483"/>
      <c r="T491" s="483"/>
      <c r="U491" s="483"/>
      <c r="V491" s="483"/>
      <c r="W491" s="483"/>
      <c r="X491" s="483"/>
      <c r="Y491" s="483"/>
      <c r="Z491" s="483"/>
      <c r="AA491" s="483"/>
      <c r="AB491" s="2"/>
      <c r="AC491" s="2"/>
    </row>
    <row r="492" spans="1:29" customFormat="1" ht="16">
      <c r="A492" s="2"/>
      <c r="B492" s="2"/>
      <c r="C492" s="124"/>
      <c r="D492" s="124"/>
      <c r="E492" s="2"/>
      <c r="F492" s="2"/>
      <c r="G492" s="2"/>
      <c r="H492" s="139"/>
      <c r="I492" s="2"/>
      <c r="J492" s="483"/>
      <c r="K492" s="483"/>
      <c r="L492" s="483"/>
      <c r="M492" s="483"/>
      <c r="N492" s="483"/>
      <c r="O492" s="484"/>
      <c r="P492" s="483"/>
      <c r="Q492" s="483"/>
      <c r="R492" s="483"/>
      <c r="S492" s="483"/>
      <c r="T492" s="483"/>
      <c r="U492" s="483"/>
      <c r="V492" s="483"/>
      <c r="W492" s="483"/>
      <c r="X492" s="483"/>
      <c r="Y492" s="483"/>
      <c r="Z492" s="483"/>
      <c r="AA492" s="483"/>
      <c r="AB492" s="2"/>
      <c r="AC492" s="2"/>
    </row>
    <row r="493" spans="1:29" customFormat="1" ht="16">
      <c r="A493" s="2"/>
      <c r="B493" s="2"/>
      <c r="C493" s="124"/>
      <c r="D493" s="124"/>
      <c r="E493" s="2"/>
      <c r="F493" s="2"/>
      <c r="G493" s="2"/>
      <c r="H493" s="139"/>
      <c r="I493" s="2"/>
      <c r="J493" s="483"/>
      <c r="K493" s="483"/>
      <c r="L493" s="483"/>
      <c r="M493" s="483"/>
      <c r="N493" s="483"/>
      <c r="O493" s="484"/>
      <c r="P493" s="483"/>
      <c r="Q493" s="483"/>
      <c r="R493" s="483"/>
      <c r="S493" s="483"/>
      <c r="T493" s="483"/>
      <c r="U493" s="483"/>
      <c r="V493" s="483"/>
      <c r="W493" s="483"/>
      <c r="X493" s="483"/>
      <c r="Y493" s="483"/>
      <c r="Z493" s="483"/>
      <c r="AA493" s="483"/>
      <c r="AB493" s="2"/>
      <c r="AC493" s="2"/>
    </row>
    <row r="494" spans="1:29" customFormat="1" ht="16">
      <c r="A494" s="2"/>
      <c r="B494" s="2"/>
      <c r="C494" s="124"/>
      <c r="D494" s="124"/>
      <c r="E494" s="2"/>
      <c r="F494" s="2"/>
      <c r="G494" s="2"/>
      <c r="H494" s="139"/>
      <c r="I494" s="2"/>
      <c r="J494" s="483"/>
      <c r="K494" s="483"/>
      <c r="L494" s="483"/>
      <c r="M494" s="483"/>
      <c r="N494" s="483"/>
      <c r="O494" s="484"/>
      <c r="P494" s="483"/>
      <c r="Q494" s="483"/>
      <c r="R494" s="483"/>
      <c r="S494" s="483"/>
      <c r="T494" s="483"/>
      <c r="U494" s="483"/>
      <c r="V494" s="483"/>
      <c r="W494" s="483"/>
      <c r="X494" s="483"/>
      <c r="Y494" s="483"/>
      <c r="Z494" s="483"/>
      <c r="AA494" s="483"/>
      <c r="AB494" s="2"/>
      <c r="AC494" s="2"/>
    </row>
    <row r="495" spans="1:29" customFormat="1" ht="16">
      <c r="A495" s="2"/>
      <c r="B495" s="2"/>
      <c r="C495" s="124"/>
      <c r="D495" s="124"/>
      <c r="E495" s="2"/>
      <c r="F495" s="2"/>
      <c r="G495" s="2"/>
      <c r="H495" s="139"/>
      <c r="I495" s="2"/>
      <c r="J495" s="483"/>
      <c r="K495" s="483"/>
      <c r="L495" s="483"/>
      <c r="M495" s="483"/>
      <c r="N495" s="483"/>
      <c r="O495" s="484"/>
      <c r="P495" s="483"/>
      <c r="Q495" s="483"/>
      <c r="R495" s="483"/>
      <c r="S495" s="483"/>
      <c r="T495" s="483"/>
      <c r="U495" s="483"/>
      <c r="V495" s="483"/>
      <c r="W495" s="483"/>
      <c r="X495" s="483"/>
      <c r="Y495" s="483"/>
      <c r="Z495" s="483"/>
      <c r="AA495" s="483"/>
      <c r="AB495" s="2"/>
      <c r="AC495" s="2"/>
    </row>
    <row r="496" spans="1:29" customFormat="1" ht="16">
      <c r="A496" s="2"/>
      <c r="B496" s="2"/>
      <c r="C496" s="124"/>
      <c r="D496" s="124"/>
      <c r="E496" s="2"/>
      <c r="F496" s="2"/>
      <c r="G496" s="2"/>
      <c r="H496" s="139"/>
      <c r="I496" s="2"/>
      <c r="J496" s="483"/>
      <c r="K496" s="483"/>
      <c r="L496" s="483"/>
      <c r="M496" s="483"/>
      <c r="N496" s="483"/>
      <c r="O496" s="484"/>
      <c r="P496" s="483"/>
      <c r="Q496" s="483"/>
      <c r="R496" s="483"/>
      <c r="S496" s="483"/>
      <c r="T496" s="483"/>
      <c r="U496" s="483"/>
      <c r="V496" s="483"/>
      <c r="W496" s="483"/>
      <c r="X496" s="483"/>
      <c r="Y496" s="483"/>
      <c r="Z496" s="483"/>
      <c r="AA496" s="483"/>
      <c r="AB496" s="2"/>
      <c r="AC496" s="2"/>
    </row>
    <row r="497" spans="1:29" customFormat="1" ht="16">
      <c r="A497" s="2"/>
      <c r="B497" s="2"/>
      <c r="C497" s="124"/>
      <c r="D497" s="124"/>
      <c r="E497" s="2"/>
      <c r="F497" s="2"/>
      <c r="G497" s="2"/>
      <c r="H497" s="139"/>
      <c r="I497" s="2"/>
      <c r="J497" s="483"/>
      <c r="K497" s="483"/>
      <c r="L497" s="483"/>
      <c r="M497" s="483"/>
      <c r="N497" s="483"/>
      <c r="O497" s="484"/>
      <c r="P497" s="483"/>
      <c r="Q497" s="483"/>
      <c r="R497" s="483"/>
      <c r="S497" s="483"/>
      <c r="T497" s="483"/>
      <c r="U497" s="483"/>
      <c r="V497" s="483"/>
      <c r="W497" s="483"/>
      <c r="X497" s="483"/>
      <c r="Y497" s="483"/>
      <c r="Z497" s="483"/>
      <c r="AA497" s="483"/>
      <c r="AB497" s="2"/>
      <c r="AC497" s="2"/>
    </row>
    <row r="498" spans="1:29" customFormat="1" ht="16">
      <c r="A498" s="2"/>
      <c r="B498" s="2"/>
      <c r="C498" s="124"/>
      <c r="D498" s="124"/>
      <c r="E498" s="2"/>
      <c r="F498" s="2"/>
      <c r="G498" s="2"/>
      <c r="H498" s="139"/>
      <c r="I498" s="2"/>
      <c r="J498" s="483"/>
      <c r="K498" s="483"/>
      <c r="L498" s="483"/>
      <c r="M498" s="483"/>
      <c r="N498" s="483"/>
      <c r="O498" s="484"/>
      <c r="P498" s="483"/>
      <c r="Q498" s="483"/>
      <c r="R498" s="483"/>
      <c r="S498" s="483"/>
      <c r="T498" s="483"/>
      <c r="U498" s="483"/>
      <c r="V498" s="483"/>
      <c r="W498" s="483"/>
      <c r="X498" s="483"/>
      <c r="Y498" s="483"/>
      <c r="Z498" s="483"/>
      <c r="AA498" s="483"/>
      <c r="AB498" s="2"/>
      <c r="AC498" s="2"/>
    </row>
    <row r="499" spans="1:29" customFormat="1" ht="16">
      <c r="A499" s="2"/>
      <c r="B499" s="2"/>
      <c r="C499" s="124"/>
      <c r="D499" s="124"/>
      <c r="E499" s="2"/>
      <c r="F499" s="2"/>
      <c r="G499" s="2"/>
      <c r="H499" s="139"/>
      <c r="I499" s="2"/>
      <c r="J499" s="483"/>
      <c r="K499" s="483"/>
      <c r="L499" s="483"/>
      <c r="M499" s="483"/>
      <c r="N499" s="483"/>
      <c r="O499" s="484"/>
      <c r="P499" s="483"/>
      <c r="Q499" s="483"/>
      <c r="R499" s="483"/>
      <c r="S499" s="483"/>
      <c r="T499" s="483"/>
      <c r="U499" s="483"/>
      <c r="V499" s="483"/>
      <c r="W499" s="483"/>
      <c r="X499" s="483"/>
      <c r="Y499" s="483"/>
      <c r="Z499" s="483"/>
      <c r="AA499" s="483"/>
      <c r="AB499" s="2"/>
      <c r="AC499" s="2"/>
    </row>
    <row r="500" spans="1:29" customFormat="1" ht="16">
      <c r="A500" s="2"/>
      <c r="B500" s="2"/>
      <c r="C500" s="124"/>
      <c r="D500" s="124"/>
      <c r="E500" s="2"/>
      <c r="F500" s="2"/>
      <c r="G500" s="2"/>
      <c r="H500" s="139"/>
      <c r="I500" s="2"/>
      <c r="J500" s="483"/>
      <c r="K500" s="483"/>
      <c r="L500" s="483"/>
      <c r="M500" s="483"/>
      <c r="N500" s="483"/>
      <c r="O500" s="484"/>
      <c r="P500" s="483"/>
      <c r="Q500" s="483"/>
      <c r="R500" s="483"/>
      <c r="S500" s="483"/>
      <c r="T500" s="483"/>
      <c r="U500" s="483"/>
      <c r="V500" s="483"/>
      <c r="W500" s="483"/>
      <c r="X500" s="483"/>
      <c r="Y500" s="483"/>
      <c r="Z500" s="483"/>
      <c r="AA500" s="483"/>
      <c r="AB500" s="2"/>
      <c r="AC500" s="2"/>
    </row>
    <row r="501" spans="1:29" customFormat="1" ht="16">
      <c r="A501" s="2"/>
      <c r="B501" s="2"/>
      <c r="C501" s="124"/>
      <c r="D501" s="124"/>
      <c r="E501" s="2"/>
      <c r="F501" s="2"/>
      <c r="G501" s="2"/>
      <c r="H501" s="139"/>
      <c r="I501" s="2"/>
      <c r="J501" s="483"/>
      <c r="K501" s="483"/>
      <c r="L501" s="483"/>
      <c r="M501" s="483"/>
      <c r="N501" s="483"/>
      <c r="O501" s="484"/>
      <c r="P501" s="483"/>
      <c r="Q501" s="483"/>
      <c r="R501" s="483"/>
      <c r="S501" s="483"/>
      <c r="T501" s="483"/>
      <c r="U501" s="483"/>
      <c r="V501" s="483"/>
      <c r="W501" s="483"/>
      <c r="X501" s="483"/>
      <c r="Y501" s="483"/>
      <c r="Z501" s="483"/>
      <c r="AA501" s="483"/>
      <c r="AB501" s="2"/>
      <c r="AC501" s="2"/>
    </row>
    <row r="502" spans="1:29" customFormat="1" ht="16">
      <c r="A502" s="2"/>
      <c r="B502" s="2"/>
      <c r="C502" s="124"/>
      <c r="D502" s="124"/>
      <c r="E502" s="2"/>
      <c r="F502" s="2"/>
      <c r="G502" s="2"/>
      <c r="H502" s="139"/>
      <c r="I502" s="2"/>
      <c r="J502" s="483"/>
      <c r="K502" s="483"/>
      <c r="L502" s="483"/>
      <c r="M502" s="483"/>
      <c r="N502" s="483"/>
      <c r="O502" s="484"/>
      <c r="P502" s="483"/>
      <c r="Q502" s="483"/>
      <c r="R502" s="483"/>
      <c r="S502" s="483"/>
      <c r="T502" s="483"/>
      <c r="U502" s="483"/>
      <c r="V502" s="483"/>
      <c r="W502" s="483"/>
      <c r="X502" s="483"/>
      <c r="Y502" s="483"/>
      <c r="Z502" s="483"/>
      <c r="AA502" s="483"/>
      <c r="AB502" s="2"/>
      <c r="AC502" s="2"/>
    </row>
    <row r="503" spans="1:29" customFormat="1" ht="16">
      <c r="A503" s="2"/>
      <c r="B503" s="2"/>
      <c r="C503" s="124"/>
      <c r="D503" s="124"/>
      <c r="E503" s="2"/>
      <c r="F503" s="2"/>
      <c r="G503" s="2"/>
      <c r="H503" s="139"/>
      <c r="I503" s="2"/>
      <c r="J503" s="483"/>
      <c r="K503" s="483"/>
      <c r="L503" s="483"/>
      <c r="M503" s="483"/>
      <c r="N503" s="483"/>
      <c r="O503" s="484"/>
      <c r="P503" s="483"/>
      <c r="Q503" s="483"/>
      <c r="R503" s="483"/>
      <c r="S503" s="483"/>
      <c r="T503" s="483"/>
      <c r="U503" s="483"/>
      <c r="V503" s="483"/>
      <c r="W503" s="483"/>
      <c r="X503" s="483"/>
      <c r="Y503" s="483"/>
      <c r="Z503" s="483"/>
      <c r="AA503" s="483"/>
      <c r="AB503" s="2"/>
      <c r="AC503" s="2"/>
    </row>
    <row r="504" spans="1:29" customFormat="1" ht="16">
      <c r="A504" s="2"/>
      <c r="B504" s="2"/>
      <c r="C504" s="124"/>
      <c r="D504" s="124"/>
      <c r="E504" s="2"/>
      <c r="F504" s="2"/>
      <c r="G504" s="2"/>
      <c r="H504" s="139"/>
      <c r="I504" s="2"/>
      <c r="J504" s="483"/>
      <c r="K504" s="483"/>
      <c r="L504" s="483"/>
      <c r="M504" s="483"/>
      <c r="N504" s="483"/>
      <c r="O504" s="484"/>
      <c r="P504" s="483"/>
      <c r="Q504" s="483"/>
      <c r="R504" s="483"/>
      <c r="S504" s="483"/>
      <c r="T504" s="483"/>
      <c r="U504" s="483"/>
      <c r="V504" s="483"/>
      <c r="W504" s="483"/>
      <c r="X504" s="483"/>
      <c r="Y504" s="483"/>
      <c r="Z504" s="483"/>
      <c r="AA504" s="483"/>
      <c r="AB504" s="2"/>
      <c r="AC504" s="2"/>
    </row>
    <row r="505" spans="1:29" customFormat="1" ht="16">
      <c r="A505" s="2"/>
      <c r="B505" s="2"/>
      <c r="C505" s="124"/>
      <c r="D505" s="124"/>
      <c r="E505" s="2"/>
      <c r="F505" s="2"/>
      <c r="G505" s="2"/>
      <c r="H505" s="139"/>
      <c r="I505" s="2"/>
      <c r="J505" s="483"/>
      <c r="K505" s="483"/>
      <c r="L505" s="483"/>
      <c r="M505" s="483"/>
      <c r="N505" s="483"/>
      <c r="O505" s="484"/>
      <c r="P505" s="483"/>
      <c r="Q505" s="483"/>
      <c r="R505" s="483"/>
      <c r="S505" s="483"/>
      <c r="T505" s="483"/>
      <c r="U505" s="483"/>
      <c r="V505" s="483"/>
      <c r="W505" s="483"/>
      <c r="X505" s="483"/>
      <c r="Y505" s="483"/>
      <c r="Z505" s="483"/>
      <c r="AA505" s="483"/>
      <c r="AB505" s="2"/>
      <c r="AC505" s="2"/>
    </row>
    <row r="506" spans="1:29" customFormat="1" ht="16">
      <c r="A506" s="2"/>
      <c r="B506" s="2"/>
      <c r="C506" s="124"/>
      <c r="D506" s="124"/>
      <c r="E506" s="2"/>
      <c r="F506" s="2"/>
      <c r="G506" s="2"/>
      <c r="H506" s="139"/>
      <c r="I506" s="2"/>
      <c r="J506" s="483"/>
      <c r="K506" s="483"/>
      <c r="L506" s="483"/>
      <c r="M506" s="483"/>
      <c r="N506" s="483"/>
      <c r="O506" s="484"/>
      <c r="P506" s="483"/>
      <c r="Q506" s="483"/>
      <c r="R506" s="483"/>
      <c r="S506" s="483"/>
      <c r="T506" s="483"/>
      <c r="U506" s="483"/>
      <c r="V506" s="483"/>
      <c r="W506" s="483"/>
      <c r="X506" s="483"/>
      <c r="Y506" s="483"/>
      <c r="Z506" s="483"/>
      <c r="AA506" s="483"/>
      <c r="AB506" s="2"/>
      <c r="AC506" s="2"/>
    </row>
    <row r="507" spans="1:29" customFormat="1" ht="16">
      <c r="A507" s="2"/>
      <c r="B507" s="2"/>
      <c r="C507" s="124"/>
      <c r="D507" s="124"/>
      <c r="E507" s="2"/>
      <c r="F507" s="2"/>
      <c r="G507" s="2"/>
      <c r="H507" s="139"/>
      <c r="I507" s="2"/>
      <c r="J507" s="483"/>
      <c r="K507" s="483"/>
      <c r="L507" s="483"/>
      <c r="M507" s="483"/>
      <c r="N507" s="483"/>
      <c r="O507" s="484"/>
      <c r="P507" s="483"/>
      <c r="Q507" s="483"/>
      <c r="R507" s="483"/>
      <c r="S507" s="483"/>
      <c r="T507" s="483"/>
      <c r="U507" s="483"/>
      <c r="V507" s="483"/>
      <c r="W507" s="483"/>
      <c r="X507" s="483"/>
      <c r="Y507" s="483"/>
      <c r="Z507" s="483"/>
      <c r="AA507" s="483"/>
      <c r="AB507" s="2"/>
      <c r="AC507" s="2"/>
    </row>
    <row r="508" spans="1:29" customFormat="1" ht="16">
      <c r="A508" s="2"/>
      <c r="B508" s="2"/>
      <c r="C508" s="124"/>
      <c r="D508" s="124"/>
      <c r="E508" s="2"/>
      <c r="F508" s="2"/>
      <c r="G508" s="2"/>
      <c r="H508" s="139"/>
      <c r="I508" s="2"/>
      <c r="J508" s="483"/>
      <c r="K508" s="483"/>
      <c r="L508" s="483"/>
      <c r="M508" s="483"/>
      <c r="N508" s="483"/>
      <c r="O508" s="484"/>
      <c r="P508" s="483"/>
      <c r="Q508" s="483"/>
      <c r="R508" s="483"/>
      <c r="S508" s="483"/>
      <c r="T508" s="483"/>
      <c r="U508" s="483"/>
      <c r="V508" s="483"/>
      <c r="W508" s="483"/>
      <c r="X508" s="483"/>
      <c r="Y508" s="483"/>
      <c r="Z508" s="483"/>
      <c r="AA508" s="483"/>
      <c r="AB508" s="2"/>
      <c r="AC508" s="2"/>
    </row>
    <row r="509" spans="1:29" customFormat="1" ht="16">
      <c r="A509" s="2"/>
      <c r="B509" s="2"/>
      <c r="C509" s="124"/>
      <c r="D509" s="124"/>
      <c r="E509" s="2"/>
      <c r="F509" s="2"/>
      <c r="G509" s="2"/>
      <c r="H509" s="139"/>
      <c r="I509" s="2"/>
      <c r="J509" s="483"/>
      <c r="K509" s="483"/>
      <c r="L509" s="483"/>
      <c r="M509" s="483"/>
      <c r="N509" s="483"/>
      <c r="O509" s="484"/>
      <c r="P509" s="483"/>
      <c r="Q509" s="483"/>
      <c r="R509" s="483"/>
      <c r="S509" s="483"/>
      <c r="T509" s="483"/>
      <c r="U509" s="483"/>
      <c r="V509" s="483"/>
      <c r="W509" s="483"/>
      <c r="X509" s="483"/>
      <c r="Y509" s="483"/>
      <c r="Z509" s="483"/>
      <c r="AA509" s="483"/>
      <c r="AB509" s="2"/>
      <c r="AC509" s="2"/>
    </row>
    <row r="510" spans="1:29" customFormat="1" ht="16">
      <c r="A510" s="2"/>
      <c r="B510" s="2"/>
      <c r="C510" s="124"/>
      <c r="D510" s="124"/>
      <c r="E510" s="2"/>
      <c r="F510" s="2"/>
      <c r="G510" s="2"/>
      <c r="H510" s="139"/>
      <c r="I510" s="2"/>
      <c r="J510" s="483"/>
      <c r="K510" s="483"/>
      <c r="L510" s="483"/>
      <c r="M510" s="483"/>
      <c r="N510" s="483"/>
      <c r="O510" s="484"/>
      <c r="P510" s="483"/>
      <c r="Q510" s="483"/>
      <c r="R510" s="483"/>
      <c r="S510" s="483"/>
      <c r="T510" s="483"/>
      <c r="U510" s="483"/>
      <c r="V510" s="483"/>
      <c r="W510" s="483"/>
      <c r="X510" s="483"/>
      <c r="Y510" s="483"/>
      <c r="Z510" s="483"/>
      <c r="AA510" s="483"/>
      <c r="AB510" s="2"/>
      <c r="AC510" s="2"/>
    </row>
    <row r="511" spans="1:29" customFormat="1" ht="16">
      <c r="A511" s="2"/>
      <c r="B511" s="2"/>
      <c r="C511" s="124"/>
      <c r="D511" s="124"/>
      <c r="E511" s="2"/>
      <c r="F511" s="2"/>
      <c r="G511" s="2"/>
      <c r="H511" s="139"/>
      <c r="I511" s="2"/>
      <c r="J511" s="483"/>
      <c r="K511" s="483"/>
      <c r="L511" s="483"/>
      <c r="M511" s="483"/>
      <c r="N511" s="483"/>
      <c r="O511" s="484"/>
      <c r="P511" s="483"/>
      <c r="Q511" s="483"/>
      <c r="R511" s="483"/>
      <c r="S511" s="483"/>
      <c r="T511" s="483"/>
      <c r="U511" s="483"/>
      <c r="V511" s="483"/>
      <c r="W511" s="483"/>
      <c r="X511" s="483"/>
      <c r="Y511" s="483"/>
      <c r="Z511" s="483"/>
      <c r="AA511" s="483"/>
      <c r="AB511" s="2"/>
      <c r="AC511" s="2"/>
    </row>
    <row r="512" spans="1:29" customFormat="1" ht="16">
      <c r="A512" s="2"/>
      <c r="B512" s="2"/>
      <c r="C512" s="124"/>
      <c r="D512" s="124"/>
      <c r="E512" s="2"/>
      <c r="F512" s="2"/>
      <c r="G512" s="2"/>
      <c r="H512" s="139"/>
      <c r="I512" s="2"/>
      <c r="J512" s="483"/>
      <c r="K512" s="483"/>
      <c r="L512" s="483"/>
      <c r="M512" s="483"/>
      <c r="N512" s="483"/>
      <c r="O512" s="484"/>
      <c r="P512" s="483"/>
      <c r="Q512" s="483"/>
      <c r="R512" s="483"/>
      <c r="S512" s="483"/>
      <c r="T512" s="483"/>
      <c r="U512" s="483"/>
      <c r="V512" s="483"/>
      <c r="W512" s="483"/>
      <c r="X512" s="483"/>
      <c r="Y512" s="483"/>
      <c r="Z512" s="483"/>
      <c r="AA512" s="483"/>
      <c r="AB512" s="2"/>
      <c r="AC512" s="2"/>
    </row>
    <row r="513" spans="1:29" customFormat="1" ht="16">
      <c r="A513" s="2"/>
      <c r="B513" s="2"/>
      <c r="C513" s="124"/>
      <c r="D513" s="124"/>
      <c r="E513" s="2"/>
      <c r="F513" s="2"/>
      <c r="G513" s="2"/>
      <c r="H513" s="139"/>
      <c r="I513" s="2"/>
      <c r="J513" s="483"/>
      <c r="K513" s="483"/>
      <c r="L513" s="483"/>
      <c r="M513" s="483"/>
      <c r="N513" s="483"/>
      <c r="O513" s="484"/>
      <c r="P513" s="483"/>
      <c r="Q513" s="483"/>
      <c r="R513" s="483"/>
      <c r="S513" s="483"/>
      <c r="T513" s="483"/>
      <c r="U513" s="483"/>
      <c r="V513" s="483"/>
      <c r="W513" s="483"/>
      <c r="X513" s="483"/>
      <c r="Y513" s="483"/>
      <c r="Z513" s="483"/>
      <c r="AA513" s="483"/>
      <c r="AB513" s="2"/>
      <c r="AC513" s="2"/>
    </row>
    <row r="514" spans="1:29" customFormat="1" ht="16">
      <c r="A514" s="2"/>
      <c r="B514" s="2"/>
      <c r="C514" s="124"/>
      <c r="D514" s="124"/>
      <c r="E514" s="2"/>
      <c r="F514" s="2"/>
      <c r="G514" s="2"/>
      <c r="H514" s="139"/>
      <c r="I514" s="2"/>
      <c r="J514" s="483"/>
      <c r="K514" s="483"/>
      <c r="L514" s="483"/>
      <c r="M514" s="483"/>
      <c r="N514" s="483"/>
      <c r="O514" s="484"/>
      <c r="P514" s="483"/>
      <c r="Q514" s="483"/>
      <c r="R514" s="483"/>
      <c r="S514" s="483"/>
      <c r="T514" s="483"/>
      <c r="U514" s="483"/>
      <c r="V514" s="483"/>
      <c r="W514" s="483"/>
      <c r="X514" s="483"/>
      <c r="Y514" s="483"/>
      <c r="Z514" s="483"/>
      <c r="AA514" s="483"/>
      <c r="AB514" s="2"/>
      <c r="AC514" s="2"/>
    </row>
    <row r="515" spans="1:29" customFormat="1" ht="16">
      <c r="A515" s="2"/>
      <c r="B515" s="2"/>
      <c r="C515" s="124"/>
      <c r="D515" s="124"/>
      <c r="E515" s="2"/>
      <c r="F515" s="2"/>
      <c r="G515" s="2"/>
      <c r="H515" s="139"/>
      <c r="I515" s="2"/>
      <c r="J515" s="483"/>
      <c r="K515" s="483"/>
      <c r="L515" s="483"/>
      <c r="M515" s="483"/>
      <c r="N515" s="483"/>
      <c r="O515" s="484"/>
      <c r="P515" s="483"/>
      <c r="Q515" s="483"/>
      <c r="R515" s="483"/>
      <c r="S515" s="483"/>
      <c r="T515" s="483"/>
      <c r="U515" s="483"/>
      <c r="V515" s="483"/>
      <c r="W515" s="483"/>
      <c r="X515" s="483"/>
      <c r="Y515" s="483"/>
      <c r="Z515" s="483"/>
      <c r="AA515" s="483"/>
      <c r="AB515" s="2"/>
      <c r="AC515" s="2"/>
    </row>
    <row r="516" spans="1:29" customFormat="1" ht="16">
      <c r="A516" s="2"/>
      <c r="B516" s="2"/>
      <c r="C516" s="124"/>
      <c r="D516" s="124"/>
      <c r="E516" s="2"/>
      <c r="F516" s="2"/>
      <c r="G516" s="2"/>
      <c r="H516" s="139"/>
      <c r="I516" s="2"/>
      <c r="J516" s="483"/>
      <c r="K516" s="483"/>
      <c r="L516" s="483"/>
      <c r="M516" s="483"/>
      <c r="N516" s="483"/>
      <c r="O516" s="484"/>
      <c r="P516" s="483"/>
      <c r="Q516" s="483"/>
      <c r="R516" s="483"/>
      <c r="S516" s="483"/>
      <c r="T516" s="483"/>
      <c r="U516" s="483"/>
      <c r="V516" s="483"/>
      <c r="W516" s="483"/>
      <c r="X516" s="483"/>
      <c r="Y516" s="483"/>
      <c r="Z516" s="483"/>
      <c r="AA516" s="483"/>
      <c r="AB516" s="2"/>
      <c r="AC516" s="2"/>
    </row>
    <row r="517" spans="1:29" customFormat="1" ht="16">
      <c r="A517" s="2"/>
      <c r="B517" s="2"/>
      <c r="C517" s="124"/>
      <c r="D517" s="124"/>
      <c r="E517" s="2"/>
      <c r="F517" s="2"/>
      <c r="G517" s="2"/>
      <c r="H517" s="139"/>
      <c r="I517" s="2"/>
      <c r="J517" s="483"/>
      <c r="K517" s="483"/>
      <c r="L517" s="483"/>
      <c r="M517" s="483"/>
      <c r="N517" s="483"/>
      <c r="O517" s="484"/>
      <c r="P517" s="483"/>
      <c r="Q517" s="483"/>
      <c r="R517" s="483"/>
      <c r="S517" s="483"/>
      <c r="T517" s="483"/>
      <c r="U517" s="483"/>
      <c r="V517" s="483"/>
      <c r="W517" s="483"/>
      <c r="X517" s="483"/>
      <c r="Y517" s="483"/>
      <c r="Z517" s="483"/>
      <c r="AA517" s="483"/>
      <c r="AB517" s="2"/>
      <c r="AC517" s="2"/>
    </row>
    <row r="518" spans="1:29" customFormat="1" ht="16">
      <c r="A518" s="2"/>
      <c r="B518" s="2"/>
      <c r="C518" s="124"/>
      <c r="D518" s="124"/>
      <c r="E518" s="2"/>
      <c r="F518" s="2"/>
      <c r="G518" s="2"/>
      <c r="H518" s="139"/>
      <c r="I518" s="2"/>
      <c r="J518" s="483"/>
      <c r="K518" s="483"/>
      <c r="L518" s="483"/>
      <c r="M518" s="483"/>
      <c r="N518" s="483"/>
      <c r="O518" s="484"/>
      <c r="P518" s="483"/>
      <c r="Q518" s="483"/>
      <c r="R518" s="483"/>
      <c r="S518" s="483"/>
      <c r="T518" s="483"/>
      <c r="U518" s="483"/>
      <c r="V518" s="483"/>
      <c r="W518" s="483"/>
      <c r="X518" s="483"/>
      <c r="Y518" s="483"/>
      <c r="Z518" s="483"/>
      <c r="AA518" s="483"/>
      <c r="AB518" s="2"/>
      <c r="AC518" s="2"/>
    </row>
    <row r="519" spans="1:29" customFormat="1" ht="16">
      <c r="A519" s="2"/>
      <c r="B519" s="2"/>
      <c r="C519" s="124"/>
      <c r="D519" s="124"/>
      <c r="E519" s="2"/>
      <c r="F519" s="2"/>
      <c r="G519" s="2"/>
      <c r="H519" s="139"/>
      <c r="I519" s="2"/>
      <c r="J519" s="483"/>
      <c r="K519" s="483"/>
      <c r="L519" s="483"/>
      <c r="M519" s="483"/>
      <c r="N519" s="483"/>
      <c r="O519" s="484"/>
      <c r="P519" s="483"/>
      <c r="Q519" s="483"/>
      <c r="R519" s="483"/>
      <c r="S519" s="483"/>
      <c r="T519" s="483"/>
      <c r="U519" s="483"/>
      <c r="V519" s="483"/>
      <c r="W519" s="483"/>
      <c r="X519" s="483"/>
      <c r="Y519" s="483"/>
      <c r="Z519" s="483"/>
      <c r="AA519" s="483"/>
      <c r="AB519" s="2"/>
      <c r="AC519" s="2"/>
    </row>
    <row r="520" spans="1:29" customFormat="1" ht="16">
      <c r="A520" s="2"/>
      <c r="B520" s="2"/>
      <c r="C520" s="124"/>
      <c r="D520" s="124"/>
      <c r="E520" s="2"/>
      <c r="F520" s="2"/>
      <c r="G520" s="2"/>
      <c r="H520" s="139"/>
      <c r="I520" s="2"/>
      <c r="J520" s="483"/>
      <c r="K520" s="483"/>
      <c r="L520" s="483"/>
      <c r="M520" s="483"/>
      <c r="N520" s="483"/>
      <c r="O520" s="484"/>
      <c r="P520" s="483"/>
      <c r="Q520" s="483"/>
      <c r="R520" s="483"/>
      <c r="S520" s="483"/>
      <c r="T520" s="483"/>
      <c r="U520" s="483"/>
      <c r="V520" s="483"/>
      <c r="W520" s="483"/>
      <c r="X520" s="483"/>
      <c r="Y520" s="483"/>
      <c r="Z520" s="483"/>
      <c r="AA520" s="483"/>
      <c r="AB520" s="2"/>
      <c r="AC520" s="2"/>
    </row>
    <row r="521" spans="1:29" customFormat="1" ht="16">
      <c r="A521" s="2"/>
      <c r="B521" s="2"/>
      <c r="C521" s="124"/>
      <c r="D521" s="124"/>
      <c r="E521" s="2"/>
      <c r="F521" s="2"/>
      <c r="G521" s="2"/>
      <c r="H521" s="139"/>
      <c r="I521" s="2"/>
      <c r="J521" s="483"/>
      <c r="K521" s="483"/>
      <c r="L521" s="483"/>
      <c r="M521" s="483"/>
      <c r="N521" s="483"/>
      <c r="O521" s="484"/>
      <c r="P521" s="483"/>
      <c r="Q521" s="483"/>
      <c r="R521" s="483"/>
      <c r="S521" s="483"/>
      <c r="T521" s="483"/>
      <c r="U521" s="483"/>
      <c r="V521" s="483"/>
      <c r="W521" s="483"/>
      <c r="X521" s="483"/>
      <c r="Y521" s="483"/>
      <c r="Z521" s="483"/>
      <c r="AA521" s="483"/>
      <c r="AB521" s="2"/>
      <c r="AC521" s="2"/>
    </row>
    <row r="522" spans="1:29" customFormat="1" ht="16">
      <c r="A522" s="2"/>
      <c r="B522" s="2"/>
      <c r="C522" s="124"/>
      <c r="D522" s="124"/>
      <c r="E522" s="2"/>
      <c r="F522" s="2"/>
      <c r="G522" s="2"/>
      <c r="H522" s="139"/>
      <c r="I522" s="2"/>
      <c r="J522" s="483"/>
      <c r="K522" s="483"/>
      <c r="L522" s="483"/>
      <c r="M522" s="483"/>
      <c r="N522" s="483"/>
      <c r="O522" s="484"/>
      <c r="P522" s="483"/>
      <c r="Q522" s="483"/>
      <c r="R522" s="483"/>
      <c r="S522" s="483"/>
      <c r="T522" s="483"/>
      <c r="U522" s="483"/>
      <c r="V522" s="483"/>
      <c r="W522" s="483"/>
      <c r="X522" s="483"/>
      <c r="Y522" s="483"/>
      <c r="Z522" s="483"/>
      <c r="AA522" s="483"/>
      <c r="AB522" s="2"/>
      <c r="AC522" s="2"/>
    </row>
    <row r="523" spans="1:29" customFormat="1" ht="16">
      <c r="A523" s="2"/>
      <c r="B523" s="2"/>
      <c r="C523" s="124"/>
      <c r="D523" s="124"/>
      <c r="E523" s="2"/>
      <c r="F523" s="2"/>
      <c r="G523" s="2"/>
      <c r="H523" s="139"/>
      <c r="I523" s="2"/>
      <c r="J523" s="483"/>
      <c r="K523" s="483"/>
      <c r="L523" s="483"/>
      <c r="M523" s="483"/>
      <c r="N523" s="483"/>
      <c r="O523" s="484"/>
      <c r="P523" s="483"/>
      <c r="Q523" s="483"/>
      <c r="R523" s="483"/>
      <c r="S523" s="483"/>
      <c r="T523" s="483"/>
      <c r="U523" s="483"/>
      <c r="V523" s="483"/>
      <c r="W523" s="483"/>
      <c r="X523" s="483"/>
      <c r="Y523" s="483"/>
      <c r="Z523" s="483"/>
      <c r="AA523" s="483"/>
      <c r="AB523" s="2"/>
      <c r="AC523" s="2"/>
    </row>
    <row r="524" spans="1:29" customFormat="1" ht="16">
      <c r="A524" s="2"/>
      <c r="B524" s="2"/>
      <c r="C524" s="124"/>
      <c r="D524" s="124"/>
      <c r="E524" s="2"/>
      <c r="F524" s="2"/>
      <c r="G524" s="2"/>
      <c r="H524" s="139"/>
      <c r="I524" s="2"/>
      <c r="J524" s="483"/>
      <c r="K524" s="483"/>
      <c r="L524" s="483"/>
      <c r="M524" s="483"/>
      <c r="N524" s="483"/>
      <c r="O524" s="484"/>
      <c r="P524" s="483"/>
      <c r="Q524" s="483"/>
      <c r="R524" s="483"/>
      <c r="S524" s="483"/>
      <c r="T524" s="483"/>
      <c r="U524" s="483"/>
      <c r="V524" s="483"/>
      <c r="W524" s="483"/>
      <c r="X524" s="483"/>
      <c r="Y524" s="483"/>
      <c r="Z524" s="483"/>
      <c r="AA524" s="483"/>
      <c r="AB524" s="2"/>
      <c r="AC524" s="2"/>
    </row>
    <row r="525" spans="1:29" customFormat="1" ht="16">
      <c r="A525" s="2"/>
      <c r="B525" s="2"/>
      <c r="C525" s="124"/>
      <c r="D525" s="124"/>
      <c r="E525" s="2"/>
      <c r="F525" s="2"/>
      <c r="G525" s="2"/>
      <c r="H525" s="139"/>
      <c r="I525" s="2"/>
      <c r="J525" s="483"/>
      <c r="K525" s="483"/>
      <c r="L525" s="483"/>
      <c r="M525" s="483"/>
      <c r="N525" s="483"/>
      <c r="O525" s="484"/>
      <c r="P525" s="483"/>
      <c r="Q525" s="483"/>
      <c r="R525" s="483"/>
      <c r="S525" s="483"/>
      <c r="T525" s="483"/>
      <c r="U525" s="483"/>
      <c r="V525" s="483"/>
      <c r="W525" s="483"/>
      <c r="X525" s="483"/>
      <c r="Y525" s="483"/>
      <c r="Z525" s="483"/>
      <c r="AA525" s="483"/>
      <c r="AB525" s="2"/>
      <c r="AC525" s="2"/>
    </row>
    <row r="526" spans="1:29" customFormat="1" ht="16">
      <c r="A526" s="2"/>
      <c r="B526" s="2"/>
      <c r="C526" s="124"/>
      <c r="D526" s="124"/>
      <c r="E526" s="2"/>
      <c r="F526" s="2"/>
      <c r="G526" s="2"/>
      <c r="H526" s="139"/>
      <c r="I526" s="2"/>
      <c r="J526" s="483"/>
      <c r="K526" s="483"/>
      <c r="L526" s="483"/>
      <c r="M526" s="483"/>
      <c r="N526" s="483"/>
      <c r="O526" s="484"/>
      <c r="P526" s="483"/>
      <c r="Q526" s="483"/>
      <c r="R526" s="483"/>
      <c r="S526" s="483"/>
      <c r="T526" s="483"/>
      <c r="U526" s="483"/>
      <c r="V526" s="483"/>
      <c r="W526" s="483"/>
      <c r="X526" s="483"/>
      <c r="Y526" s="483"/>
      <c r="Z526" s="483"/>
      <c r="AA526" s="483"/>
      <c r="AB526" s="2"/>
      <c r="AC526" s="2"/>
    </row>
    <row r="527" spans="1:29" customFormat="1" ht="16">
      <c r="A527" s="2"/>
      <c r="B527" s="2"/>
      <c r="C527" s="124"/>
      <c r="D527" s="124"/>
      <c r="E527" s="2"/>
      <c r="F527" s="2"/>
      <c r="G527" s="2"/>
      <c r="H527" s="139"/>
      <c r="I527" s="2"/>
      <c r="J527" s="483"/>
      <c r="K527" s="483"/>
      <c r="L527" s="483"/>
      <c r="M527" s="483"/>
      <c r="N527" s="483"/>
      <c r="O527" s="484"/>
      <c r="P527" s="483"/>
      <c r="Q527" s="483"/>
      <c r="R527" s="483"/>
      <c r="S527" s="483"/>
      <c r="T527" s="483"/>
      <c r="U527" s="483"/>
      <c r="V527" s="483"/>
      <c r="W527" s="483"/>
      <c r="X527" s="483"/>
      <c r="Y527" s="483"/>
      <c r="Z527" s="483"/>
      <c r="AA527" s="483"/>
      <c r="AB527" s="2"/>
      <c r="AC527" s="2"/>
    </row>
    <row r="528" spans="1:29" customFormat="1" ht="16">
      <c r="A528" s="2"/>
      <c r="B528" s="2"/>
      <c r="C528" s="124"/>
      <c r="D528" s="124"/>
      <c r="E528" s="2"/>
      <c r="F528" s="2"/>
      <c r="G528" s="2"/>
      <c r="H528" s="139"/>
      <c r="I528" s="2"/>
      <c r="J528" s="483"/>
      <c r="K528" s="483"/>
      <c r="L528" s="483"/>
      <c r="M528" s="483"/>
      <c r="N528" s="483"/>
      <c r="O528" s="484"/>
      <c r="P528" s="483"/>
      <c r="Q528" s="483"/>
      <c r="R528" s="483"/>
      <c r="S528" s="483"/>
      <c r="T528" s="483"/>
      <c r="U528" s="483"/>
      <c r="V528" s="483"/>
      <c r="W528" s="483"/>
      <c r="X528" s="483"/>
      <c r="Y528" s="483"/>
      <c r="Z528" s="483"/>
      <c r="AA528" s="483"/>
      <c r="AB528" s="2"/>
      <c r="AC528" s="2"/>
    </row>
    <row r="529" spans="1:29" customFormat="1" ht="16">
      <c r="A529" s="2"/>
      <c r="B529" s="2"/>
      <c r="C529" s="124"/>
      <c r="D529" s="124"/>
      <c r="E529" s="2"/>
      <c r="F529" s="2"/>
      <c r="G529" s="2"/>
      <c r="H529" s="139"/>
      <c r="I529" s="2"/>
      <c r="J529" s="483"/>
      <c r="K529" s="483"/>
      <c r="L529" s="483"/>
      <c r="M529" s="483"/>
      <c r="N529" s="483"/>
      <c r="O529" s="484"/>
      <c r="P529" s="483"/>
      <c r="Q529" s="483"/>
      <c r="R529" s="483"/>
      <c r="S529" s="483"/>
      <c r="T529" s="483"/>
      <c r="U529" s="483"/>
      <c r="V529" s="483"/>
      <c r="W529" s="483"/>
      <c r="X529" s="483"/>
      <c r="Y529" s="483"/>
      <c r="Z529" s="483"/>
      <c r="AA529" s="483"/>
      <c r="AB529" s="2"/>
      <c r="AC529" s="2"/>
    </row>
    <row r="530" spans="1:29" customFormat="1" ht="16">
      <c r="A530" s="2"/>
      <c r="B530" s="2"/>
      <c r="C530" s="124"/>
      <c r="D530" s="124"/>
      <c r="E530" s="2"/>
      <c r="F530" s="2"/>
      <c r="G530" s="2"/>
      <c r="H530" s="139"/>
      <c r="I530" s="2"/>
      <c r="J530" s="483"/>
      <c r="K530" s="483"/>
      <c r="L530" s="483"/>
      <c r="M530" s="483"/>
      <c r="N530" s="483"/>
      <c r="O530" s="484"/>
      <c r="P530" s="483"/>
      <c r="Q530" s="483"/>
      <c r="R530" s="483"/>
      <c r="S530" s="483"/>
      <c r="T530" s="483"/>
      <c r="U530" s="483"/>
      <c r="V530" s="483"/>
      <c r="W530" s="483"/>
      <c r="X530" s="483"/>
      <c r="Y530" s="483"/>
      <c r="Z530" s="483"/>
      <c r="AA530" s="483"/>
      <c r="AB530" s="2"/>
      <c r="AC530" s="2"/>
    </row>
    <row r="531" spans="1:29" customFormat="1" ht="16">
      <c r="A531" s="2"/>
      <c r="B531" s="2"/>
      <c r="C531" s="124"/>
      <c r="D531" s="124"/>
      <c r="E531" s="2"/>
      <c r="F531" s="2"/>
      <c r="G531" s="2"/>
      <c r="H531" s="139"/>
      <c r="I531" s="2"/>
      <c r="J531" s="483"/>
      <c r="K531" s="483"/>
      <c r="L531" s="483"/>
      <c r="M531" s="483"/>
      <c r="N531" s="483"/>
      <c r="O531" s="484"/>
      <c r="P531" s="483"/>
      <c r="Q531" s="483"/>
      <c r="R531" s="483"/>
      <c r="S531" s="483"/>
      <c r="T531" s="483"/>
      <c r="U531" s="483"/>
      <c r="V531" s="483"/>
      <c r="W531" s="483"/>
      <c r="X531" s="483"/>
      <c r="Y531" s="483"/>
      <c r="Z531" s="483"/>
      <c r="AA531" s="483"/>
      <c r="AB531" s="2"/>
      <c r="AC531" s="2"/>
    </row>
    <row r="532" spans="1:29" customFormat="1" ht="16">
      <c r="A532" s="2"/>
      <c r="B532" s="2"/>
      <c r="C532" s="124"/>
      <c r="D532" s="124"/>
      <c r="E532" s="2"/>
      <c r="F532" s="2"/>
      <c r="G532" s="2"/>
      <c r="H532" s="139"/>
      <c r="I532" s="2"/>
      <c r="J532" s="483"/>
      <c r="K532" s="483"/>
      <c r="L532" s="483"/>
      <c r="M532" s="483"/>
      <c r="N532" s="483"/>
      <c r="O532" s="484"/>
      <c r="P532" s="483"/>
      <c r="Q532" s="483"/>
      <c r="R532" s="483"/>
      <c r="S532" s="483"/>
      <c r="T532" s="483"/>
      <c r="U532" s="483"/>
      <c r="V532" s="483"/>
      <c r="W532" s="483"/>
      <c r="X532" s="483"/>
      <c r="Y532" s="483"/>
      <c r="Z532" s="483"/>
      <c r="AA532" s="483"/>
      <c r="AB532" s="2"/>
      <c r="AC532" s="2"/>
    </row>
    <row r="533" spans="1:29" customFormat="1" ht="16">
      <c r="A533" s="2"/>
      <c r="B533" s="2"/>
      <c r="C533" s="124"/>
      <c r="D533" s="124"/>
      <c r="E533" s="2"/>
      <c r="F533" s="2"/>
      <c r="G533" s="2"/>
      <c r="H533" s="139"/>
      <c r="I533" s="2"/>
      <c r="J533" s="483"/>
      <c r="K533" s="483"/>
      <c r="L533" s="483"/>
      <c r="M533" s="483"/>
      <c r="N533" s="483"/>
      <c r="O533" s="484"/>
      <c r="P533" s="483"/>
      <c r="Q533" s="483"/>
      <c r="R533" s="483"/>
      <c r="S533" s="483"/>
      <c r="T533" s="483"/>
      <c r="U533" s="483"/>
      <c r="V533" s="483"/>
      <c r="W533" s="483"/>
      <c r="X533" s="483"/>
      <c r="Y533" s="483"/>
      <c r="Z533" s="483"/>
      <c r="AA533" s="483"/>
      <c r="AB533" s="2"/>
      <c r="AC533" s="2"/>
    </row>
    <row r="534" spans="1:29" customFormat="1" ht="16">
      <c r="A534" s="2"/>
      <c r="B534" s="2"/>
      <c r="C534" s="124"/>
      <c r="D534" s="124"/>
      <c r="E534" s="2"/>
      <c r="F534" s="2"/>
      <c r="G534" s="2"/>
      <c r="H534" s="139"/>
      <c r="I534" s="2"/>
      <c r="J534" s="483"/>
      <c r="K534" s="483"/>
      <c r="L534" s="483"/>
      <c r="M534" s="483"/>
      <c r="N534" s="483"/>
      <c r="O534" s="484"/>
      <c r="P534" s="483"/>
      <c r="Q534" s="483"/>
      <c r="R534" s="483"/>
      <c r="S534" s="483"/>
      <c r="T534" s="483"/>
      <c r="U534" s="483"/>
      <c r="V534" s="483"/>
      <c r="W534" s="483"/>
      <c r="X534" s="483"/>
      <c r="Y534" s="483"/>
      <c r="Z534" s="483"/>
      <c r="AA534" s="483"/>
      <c r="AB534" s="2"/>
      <c r="AC534" s="2"/>
    </row>
    <row r="535" spans="1:29" customFormat="1" ht="16">
      <c r="A535" s="2"/>
      <c r="B535" s="2"/>
      <c r="C535" s="124"/>
      <c r="D535" s="124"/>
      <c r="E535" s="2"/>
      <c r="F535" s="2"/>
      <c r="G535" s="2"/>
      <c r="H535" s="139"/>
      <c r="I535" s="2"/>
      <c r="J535" s="483"/>
      <c r="K535" s="483"/>
      <c r="L535" s="483"/>
      <c r="M535" s="483"/>
      <c r="N535" s="483"/>
      <c r="O535" s="484"/>
      <c r="P535" s="483"/>
      <c r="Q535" s="483"/>
      <c r="R535" s="483"/>
      <c r="S535" s="483"/>
      <c r="T535" s="483"/>
      <c r="U535" s="483"/>
      <c r="V535" s="483"/>
      <c r="W535" s="483"/>
      <c r="X535" s="483"/>
      <c r="Y535" s="483"/>
      <c r="Z535" s="483"/>
      <c r="AA535" s="483"/>
      <c r="AB535" s="2"/>
      <c r="AC535" s="2"/>
    </row>
    <row r="536" spans="1:29" customFormat="1" ht="16">
      <c r="A536" s="2"/>
      <c r="B536" s="2"/>
      <c r="C536" s="124"/>
      <c r="D536" s="124"/>
      <c r="E536" s="2"/>
      <c r="F536" s="2"/>
      <c r="G536" s="2"/>
      <c r="H536" s="139"/>
      <c r="I536" s="2"/>
      <c r="J536" s="483"/>
      <c r="K536" s="483"/>
      <c r="L536" s="483"/>
      <c r="M536" s="483"/>
      <c r="N536" s="483"/>
      <c r="O536" s="484"/>
      <c r="P536" s="483"/>
      <c r="Q536" s="483"/>
      <c r="R536" s="483"/>
      <c r="S536" s="483"/>
      <c r="T536" s="483"/>
      <c r="U536" s="483"/>
      <c r="V536" s="483"/>
      <c r="W536" s="483"/>
      <c r="X536" s="483"/>
      <c r="Y536" s="483"/>
      <c r="Z536" s="483"/>
      <c r="AA536" s="483"/>
      <c r="AB536" s="2"/>
      <c r="AC536" s="2"/>
    </row>
    <row r="537" spans="1:29" customFormat="1" ht="16">
      <c r="A537" s="2"/>
      <c r="B537" s="2"/>
      <c r="C537" s="124"/>
      <c r="D537" s="124"/>
      <c r="E537" s="2"/>
      <c r="F537" s="2"/>
      <c r="G537" s="2"/>
      <c r="H537" s="139"/>
      <c r="I537" s="2"/>
      <c r="J537" s="483"/>
      <c r="K537" s="483"/>
      <c r="L537" s="483"/>
      <c r="M537" s="483"/>
      <c r="N537" s="483"/>
      <c r="O537" s="484"/>
      <c r="P537" s="483"/>
      <c r="Q537" s="483"/>
      <c r="R537" s="483"/>
      <c r="S537" s="483"/>
      <c r="T537" s="483"/>
      <c r="U537" s="483"/>
      <c r="V537" s="483"/>
      <c r="W537" s="483"/>
      <c r="X537" s="483"/>
      <c r="Y537" s="483"/>
      <c r="Z537" s="483"/>
      <c r="AA537" s="483"/>
      <c r="AB537" s="2"/>
      <c r="AC537" s="2"/>
    </row>
    <row r="538" spans="1:29" customFormat="1" ht="16">
      <c r="A538" s="2"/>
      <c r="B538" s="2"/>
      <c r="C538" s="124"/>
      <c r="D538" s="124"/>
      <c r="E538" s="2"/>
      <c r="F538" s="2"/>
      <c r="G538" s="2"/>
      <c r="H538" s="139"/>
      <c r="I538" s="2"/>
      <c r="J538" s="483"/>
      <c r="K538" s="483"/>
      <c r="L538" s="483"/>
      <c r="M538" s="483"/>
      <c r="N538" s="483"/>
      <c r="O538" s="484"/>
      <c r="P538" s="483"/>
      <c r="Q538" s="483"/>
      <c r="R538" s="483"/>
      <c r="S538" s="483"/>
      <c r="T538" s="483"/>
      <c r="U538" s="483"/>
      <c r="V538" s="483"/>
      <c r="W538" s="483"/>
      <c r="X538" s="483"/>
      <c r="Y538" s="483"/>
      <c r="Z538" s="483"/>
      <c r="AA538" s="483"/>
      <c r="AB538" s="2"/>
      <c r="AC538" s="2"/>
    </row>
    <row r="539" spans="1:29" customFormat="1" ht="16">
      <c r="A539" s="2"/>
      <c r="B539" s="2"/>
      <c r="C539" s="124"/>
      <c r="D539" s="124"/>
      <c r="E539" s="2"/>
      <c r="F539" s="2"/>
      <c r="G539" s="2"/>
      <c r="H539" s="139"/>
      <c r="I539" s="2"/>
      <c r="J539" s="483"/>
      <c r="K539" s="483"/>
      <c r="L539" s="483"/>
      <c r="M539" s="483"/>
      <c r="N539" s="483"/>
      <c r="O539" s="484"/>
      <c r="P539" s="483"/>
      <c r="Q539" s="483"/>
      <c r="R539" s="483"/>
      <c r="S539" s="483"/>
      <c r="T539" s="483"/>
      <c r="U539" s="483"/>
      <c r="V539" s="483"/>
      <c r="W539" s="483"/>
      <c r="X539" s="483"/>
      <c r="Y539" s="483"/>
      <c r="Z539" s="483"/>
      <c r="AA539" s="483"/>
      <c r="AB539" s="2"/>
      <c r="AC539" s="2"/>
    </row>
    <row r="540" spans="1:29" customFormat="1" ht="16">
      <c r="A540" s="2"/>
      <c r="B540" s="2"/>
      <c r="C540" s="124"/>
      <c r="D540" s="124"/>
      <c r="E540" s="2"/>
      <c r="F540" s="2"/>
      <c r="G540" s="2"/>
      <c r="H540" s="139"/>
      <c r="I540" s="2"/>
      <c r="J540" s="483"/>
      <c r="K540" s="483"/>
      <c r="L540" s="483"/>
      <c r="M540" s="483"/>
      <c r="N540" s="483"/>
      <c r="O540" s="484"/>
      <c r="P540" s="483"/>
      <c r="Q540" s="483"/>
      <c r="R540" s="483"/>
      <c r="S540" s="483"/>
      <c r="T540" s="483"/>
      <c r="U540" s="483"/>
      <c r="V540" s="483"/>
      <c r="W540" s="483"/>
      <c r="X540" s="483"/>
      <c r="Y540" s="483"/>
      <c r="Z540" s="483"/>
      <c r="AA540" s="483"/>
      <c r="AB540" s="2"/>
      <c r="AC540" s="2"/>
    </row>
    <row r="541" spans="1:29" customFormat="1" ht="16">
      <c r="A541" s="2"/>
      <c r="B541" s="2"/>
      <c r="C541" s="124"/>
      <c r="D541" s="124"/>
      <c r="E541" s="2"/>
      <c r="F541" s="2"/>
      <c r="G541" s="2"/>
      <c r="H541" s="139"/>
      <c r="I541" s="2"/>
      <c r="J541" s="483"/>
      <c r="K541" s="483"/>
      <c r="L541" s="483"/>
      <c r="M541" s="483"/>
      <c r="N541" s="483"/>
      <c r="O541" s="484"/>
      <c r="P541" s="483"/>
      <c r="Q541" s="483"/>
      <c r="R541" s="483"/>
      <c r="S541" s="483"/>
      <c r="T541" s="483"/>
      <c r="U541" s="483"/>
      <c r="V541" s="483"/>
      <c r="W541" s="483"/>
      <c r="X541" s="483"/>
      <c r="Y541" s="483"/>
      <c r="Z541" s="483"/>
      <c r="AA541" s="483"/>
      <c r="AB541" s="2"/>
      <c r="AC541" s="2"/>
    </row>
    <row r="542" spans="1:29" customFormat="1" ht="16">
      <c r="A542" s="2"/>
      <c r="B542" s="2"/>
      <c r="C542" s="124"/>
      <c r="D542" s="124"/>
      <c r="E542" s="2"/>
      <c r="F542" s="2"/>
      <c r="G542" s="2"/>
      <c r="H542" s="139"/>
      <c r="I542" s="2"/>
      <c r="J542" s="483"/>
      <c r="K542" s="483"/>
      <c r="L542" s="483"/>
      <c r="M542" s="483"/>
      <c r="N542" s="483"/>
      <c r="O542" s="484"/>
      <c r="P542" s="483"/>
      <c r="Q542" s="483"/>
      <c r="R542" s="483"/>
      <c r="S542" s="483"/>
      <c r="T542" s="483"/>
      <c r="U542" s="483"/>
      <c r="V542" s="483"/>
      <c r="W542" s="483"/>
      <c r="X542" s="483"/>
      <c r="Y542" s="483"/>
      <c r="Z542" s="483"/>
      <c r="AA542" s="483"/>
      <c r="AB542" s="2"/>
      <c r="AC542" s="2"/>
    </row>
    <row r="543" spans="1:29" customFormat="1" ht="16">
      <c r="A543" s="2"/>
      <c r="B543" s="2"/>
      <c r="C543" s="124"/>
      <c r="D543" s="124"/>
      <c r="E543" s="2"/>
      <c r="F543" s="2"/>
      <c r="G543" s="2"/>
      <c r="H543" s="139"/>
      <c r="I543" s="2"/>
      <c r="J543" s="483"/>
      <c r="K543" s="483"/>
      <c r="L543" s="483"/>
      <c r="M543" s="483"/>
      <c r="N543" s="483"/>
      <c r="O543" s="484"/>
      <c r="P543" s="483"/>
      <c r="Q543" s="483"/>
      <c r="R543" s="483"/>
      <c r="S543" s="483"/>
      <c r="T543" s="483"/>
      <c r="U543" s="483"/>
      <c r="V543" s="483"/>
      <c r="W543" s="483"/>
      <c r="X543" s="483"/>
      <c r="Y543" s="483"/>
      <c r="Z543" s="483"/>
      <c r="AA543" s="483"/>
      <c r="AB543" s="2"/>
      <c r="AC543" s="2"/>
    </row>
    <row r="544" spans="1:29" customFormat="1" ht="16">
      <c r="A544" s="2"/>
      <c r="B544" s="2"/>
      <c r="C544" s="124"/>
      <c r="D544" s="124"/>
      <c r="E544" s="2"/>
      <c r="F544" s="2"/>
      <c r="G544" s="2"/>
      <c r="H544" s="139"/>
      <c r="I544" s="2"/>
      <c r="J544" s="483"/>
      <c r="K544" s="483"/>
      <c r="L544" s="483"/>
      <c r="M544" s="483"/>
      <c r="N544" s="483"/>
      <c r="O544" s="484"/>
      <c r="P544" s="483"/>
      <c r="Q544" s="483"/>
      <c r="R544" s="483"/>
      <c r="S544" s="483"/>
      <c r="T544" s="483"/>
      <c r="U544" s="483"/>
      <c r="V544" s="483"/>
      <c r="W544" s="483"/>
      <c r="X544" s="483"/>
      <c r="Y544" s="483"/>
      <c r="Z544" s="483"/>
      <c r="AA544" s="483"/>
      <c r="AB544" s="2"/>
      <c r="AC544" s="2"/>
    </row>
    <row r="545" spans="1:29" customFormat="1" ht="16">
      <c r="A545" s="2"/>
      <c r="B545" s="2"/>
      <c r="C545" s="124"/>
      <c r="D545" s="124"/>
      <c r="E545" s="2"/>
      <c r="F545" s="2"/>
      <c r="G545" s="2"/>
      <c r="H545" s="139"/>
      <c r="I545" s="2"/>
      <c r="J545" s="483"/>
      <c r="K545" s="483"/>
      <c r="L545" s="483"/>
      <c r="M545" s="483"/>
      <c r="N545" s="483"/>
      <c r="O545" s="484"/>
      <c r="P545" s="483"/>
      <c r="Q545" s="483"/>
      <c r="R545" s="483"/>
      <c r="S545" s="483"/>
      <c r="T545" s="483"/>
      <c r="U545" s="483"/>
      <c r="V545" s="483"/>
      <c r="W545" s="483"/>
      <c r="X545" s="483"/>
      <c r="Y545" s="483"/>
      <c r="Z545" s="483"/>
      <c r="AA545" s="483"/>
      <c r="AB545" s="2"/>
      <c r="AC545" s="2"/>
    </row>
    <row r="546" spans="1:29" customFormat="1" ht="16">
      <c r="A546" s="2"/>
      <c r="B546" s="2"/>
      <c r="C546" s="124"/>
      <c r="D546" s="124"/>
      <c r="E546" s="2"/>
      <c r="F546" s="2"/>
      <c r="G546" s="2"/>
      <c r="H546" s="139"/>
      <c r="I546" s="2"/>
      <c r="J546" s="483"/>
      <c r="K546" s="483"/>
      <c r="L546" s="483"/>
      <c r="M546" s="483"/>
      <c r="N546" s="483"/>
      <c r="O546" s="484"/>
      <c r="P546" s="483"/>
      <c r="Q546" s="483"/>
      <c r="R546" s="483"/>
      <c r="S546" s="483"/>
      <c r="T546" s="483"/>
      <c r="U546" s="483"/>
      <c r="V546" s="483"/>
      <c r="W546" s="483"/>
      <c r="X546" s="483"/>
      <c r="Y546" s="483"/>
      <c r="Z546" s="483"/>
      <c r="AA546" s="483"/>
      <c r="AB546" s="2"/>
      <c r="AC546" s="2"/>
    </row>
    <row r="547" spans="1:29" customFormat="1" ht="16">
      <c r="A547" s="2"/>
      <c r="B547" s="2"/>
      <c r="C547" s="124"/>
      <c r="D547" s="124"/>
      <c r="E547" s="2"/>
      <c r="F547" s="2"/>
      <c r="G547" s="2"/>
      <c r="H547" s="139"/>
      <c r="I547" s="2"/>
      <c r="J547" s="483"/>
      <c r="K547" s="483"/>
      <c r="L547" s="483"/>
      <c r="M547" s="483"/>
      <c r="N547" s="483"/>
      <c r="O547" s="484"/>
      <c r="P547" s="483"/>
      <c r="Q547" s="483"/>
      <c r="R547" s="483"/>
      <c r="S547" s="483"/>
      <c r="T547" s="483"/>
      <c r="U547" s="483"/>
      <c r="V547" s="483"/>
      <c r="W547" s="483"/>
      <c r="X547" s="483"/>
      <c r="Y547" s="483"/>
      <c r="Z547" s="483"/>
      <c r="AA547" s="483"/>
      <c r="AB547" s="2"/>
      <c r="AC547" s="2"/>
    </row>
    <row r="548" spans="1:29" customFormat="1" ht="16">
      <c r="A548" s="2"/>
      <c r="B548" s="2"/>
      <c r="C548" s="124"/>
      <c r="D548" s="124"/>
      <c r="E548" s="2"/>
      <c r="F548" s="2"/>
      <c r="G548" s="2"/>
      <c r="H548" s="139"/>
      <c r="I548" s="2"/>
      <c r="J548" s="483"/>
      <c r="K548" s="483"/>
      <c r="L548" s="483"/>
      <c r="M548" s="483"/>
      <c r="N548" s="483"/>
      <c r="O548" s="484"/>
      <c r="P548" s="483"/>
      <c r="Q548" s="483"/>
      <c r="R548" s="483"/>
      <c r="S548" s="483"/>
      <c r="T548" s="483"/>
      <c r="U548" s="483"/>
      <c r="V548" s="483"/>
      <c r="W548" s="483"/>
      <c r="X548" s="483"/>
      <c r="Y548" s="483"/>
      <c r="Z548" s="483"/>
      <c r="AA548" s="483"/>
      <c r="AB548" s="2"/>
      <c r="AC548" s="2"/>
    </row>
    <row r="549" spans="1:29" customFormat="1" ht="16">
      <c r="A549" s="2"/>
      <c r="B549" s="2"/>
      <c r="C549" s="124"/>
      <c r="D549" s="124"/>
      <c r="E549" s="2"/>
      <c r="F549" s="2"/>
      <c r="G549" s="2"/>
      <c r="H549" s="139"/>
      <c r="I549" s="2"/>
      <c r="J549" s="483"/>
      <c r="K549" s="483"/>
      <c r="L549" s="483"/>
      <c r="M549" s="483"/>
      <c r="N549" s="483"/>
      <c r="O549" s="484"/>
      <c r="P549" s="483"/>
      <c r="Q549" s="483"/>
      <c r="R549" s="483"/>
      <c r="S549" s="483"/>
      <c r="T549" s="483"/>
      <c r="U549" s="483"/>
      <c r="V549" s="483"/>
      <c r="W549" s="483"/>
      <c r="X549" s="483"/>
      <c r="Y549" s="483"/>
      <c r="Z549" s="483"/>
      <c r="AA549" s="483"/>
      <c r="AB549" s="2"/>
      <c r="AC549" s="2"/>
    </row>
    <row r="550" spans="1:29" customFormat="1" ht="16">
      <c r="A550" s="2"/>
      <c r="B550" s="2"/>
      <c r="C550" s="124"/>
      <c r="D550" s="124"/>
      <c r="E550" s="2"/>
      <c r="F550" s="2"/>
      <c r="G550" s="2"/>
      <c r="H550" s="139"/>
      <c r="I550" s="2"/>
      <c r="J550" s="483"/>
      <c r="K550" s="483"/>
      <c r="L550" s="483"/>
      <c r="M550" s="483"/>
      <c r="N550" s="483"/>
      <c r="O550" s="484"/>
      <c r="P550" s="483"/>
      <c r="Q550" s="483"/>
      <c r="R550" s="483"/>
      <c r="S550" s="483"/>
      <c r="T550" s="483"/>
      <c r="U550" s="483"/>
      <c r="V550" s="483"/>
      <c r="W550" s="483"/>
      <c r="X550" s="483"/>
      <c r="Y550" s="483"/>
      <c r="Z550" s="483"/>
      <c r="AA550" s="483"/>
      <c r="AB550" s="2"/>
      <c r="AC550" s="2"/>
    </row>
    <row r="551" spans="1:29" customFormat="1" ht="16">
      <c r="A551" s="2"/>
      <c r="B551" s="2"/>
      <c r="C551" s="124"/>
      <c r="D551" s="124"/>
      <c r="E551" s="2"/>
      <c r="F551" s="2"/>
      <c r="G551" s="2"/>
      <c r="H551" s="139"/>
      <c r="I551" s="2"/>
      <c r="J551" s="483"/>
      <c r="K551" s="483"/>
      <c r="L551" s="483"/>
      <c r="M551" s="483"/>
      <c r="N551" s="483"/>
      <c r="O551" s="484"/>
      <c r="P551" s="483"/>
      <c r="Q551" s="483"/>
      <c r="R551" s="483"/>
      <c r="S551" s="483"/>
      <c r="T551" s="483"/>
      <c r="U551" s="483"/>
      <c r="V551" s="483"/>
      <c r="W551" s="483"/>
      <c r="X551" s="483"/>
      <c r="Y551" s="483"/>
      <c r="Z551" s="483"/>
      <c r="AA551" s="483"/>
      <c r="AB551" s="2"/>
      <c r="AC551" s="2"/>
    </row>
    <row r="552" spans="1:29" customFormat="1" ht="16">
      <c r="A552" s="2"/>
      <c r="B552" s="2"/>
      <c r="C552" s="124"/>
      <c r="D552" s="124"/>
      <c r="E552" s="2"/>
      <c r="F552" s="2"/>
      <c r="G552" s="2"/>
      <c r="H552" s="139"/>
      <c r="I552" s="2"/>
      <c r="J552" s="483"/>
      <c r="K552" s="483"/>
      <c r="L552" s="483"/>
      <c r="M552" s="483"/>
      <c r="N552" s="483"/>
      <c r="O552" s="484"/>
      <c r="P552" s="483"/>
      <c r="Q552" s="483"/>
      <c r="R552" s="483"/>
      <c r="S552" s="483"/>
      <c r="T552" s="483"/>
      <c r="U552" s="483"/>
      <c r="V552" s="483"/>
      <c r="W552" s="483"/>
      <c r="X552" s="483"/>
      <c r="Y552" s="483"/>
      <c r="Z552" s="483"/>
      <c r="AA552" s="483"/>
      <c r="AB552" s="2"/>
      <c r="AC552" s="2"/>
    </row>
    <row r="553" spans="1:29" customFormat="1" ht="16">
      <c r="A553" s="2"/>
      <c r="B553" s="2"/>
      <c r="C553" s="124"/>
      <c r="D553" s="124"/>
      <c r="E553" s="2"/>
      <c r="F553" s="2"/>
      <c r="G553" s="2"/>
      <c r="H553" s="139"/>
      <c r="I553" s="2"/>
      <c r="J553" s="483"/>
      <c r="K553" s="483"/>
      <c r="L553" s="483"/>
      <c r="M553" s="483"/>
      <c r="N553" s="483"/>
      <c r="O553" s="484"/>
      <c r="P553" s="483"/>
      <c r="Q553" s="483"/>
      <c r="R553" s="483"/>
      <c r="S553" s="483"/>
      <c r="T553" s="483"/>
      <c r="U553" s="483"/>
      <c r="V553" s="483"/>
      <c r="W553" s="483"/>
      <c r="X553" s="483"/>
      <c r="Y553" s="483"/>
      <c r="Z553" s="483"/>
      <c r="AA553" s="483"/>
      <c r="AB553" s="2"/>
      <c r="AC553" s="2"/>
    </row>
    <row r="554" spans="1:29" customFormat="1" ht="16">
      <c r="A554" s="2"/>
      <c r="B554" s="2"/>
      <c r="C554" s="124"/>
      <c r="D554" s="124"/>
      <c r="E554" s="2"/>
      <c r="F554" s="2"/>
      <c r="G554" s="2"/>
      <c r="H554" s="139"/>
      <c r="I554" s="2"/>
      <c r="J554" s="483"/>
      <c r="K554" s="483"/>
      <c r="L554" s="483"/>
      <c r="M554" s="483"/>
      <c r="N554" s="483"/>
      <c r="O554" s="484"/>
      <c r="P554" s="483"/>
      <c r="Q554" s="483"/>
      <c r="R554" s="483"/>
      <c r="S554" s="483"/>
      <c r="T554" s="483"/>
      <c r="U554" s="483"/>
      <c r="V554" s="483"/>
      <c r="W554" s="483"/>
      <c r="X554" s="483"/>
      <c r="Y554" s="483"/>
      <c r="Z554" s="483"/>
      <c r="AA554" s="483"/>
      <c r="AB554" s="2"/>
      <c r="AC554" s="2"/>
    </row>
    <row r="555" spans="1:29" customFormat="1" ht="16">
      <c r="A555" s="2"/>
      <c r="B555" s="2"/>
      <c r="C555" s="124"/>
      <c r="D555" s="124"/>
      <c r="E555" s="2"/>
      <c r="F555" s="2"/>
      <c r="G555" s="2"/>
      <c r="H555" s="139"/>
      <c r="I555" s="2"/>
      <c r="J555" s="483"/>
      <c r="K555" s="483"/>
      <c r="L555" s="483"/>
      <c r="M555" s="483"/>
      <c r="N555" s="483"/>
      <c r="O555" s="484"/>
      <c r="P555" s="483"/>
      <c r="Q555" s="483"/>
      <c r="R555" s="483"/>
      <c r="S555" s="483"/>
      <c r="T555" s="483"/>
      <c r="U555" s="483"/>
      <c r="V555" s="483"/>
      <c r="W555" s="483"/>
      <c r="X555" s="483"/>
      <c r="Y555" s="483"/>
      <c r="Z555" s="483"/>
      <c r="AA555" s="483"/>
      <c r="AB555" s="2"/>
      <c r="AC555" s="2"/>
    </row>
    <row r="556" spans="1:29" customFormat="1" ht="16">
      <c r="A556" s="2"/>
      <c r="B556" s="2"/>
      <c r="C556" s="124"/>
      <c r="D556" s="124"/>
      <c r="E556" s="2"/>
      <c r="F556" s="2"/>
      <c r="G556" s="2"/>
      <c r="H556" s="139"/>
      <c r="I556" s="2"/>
      <c r="J556" s="483"/>
      <c r="K556" s="483"/>
      <c r="L556" s="483"/>
      <c r="M556" s="483"/>
      <c r="N556" s="483"/>
      <c r="O556" s="484"/>
      <c r="P556" s="483"/>
      <c r="Q556" s="483"/>
      <c r="R556" s="483"/>
      <c r="S556" s="483"/>
      <c r="T556" s="483"/>
      <c r="U556" s="483"/>
      <c r="V556" s="483"/>
      <c r="W556" s="483"/>
      <c r="X556" s="483"/>
      <c r="Y556" s="483"/>
      <c r="Z556" s="483"/>
      <c r="AA556" s="483"/>
      <c r="AB556" s="2"/>
      <c r="AC556" s="2"/>
    </row>
    <row r="557" spans="1:29" customFormat="1" ht="16">
      <c r="A557" s="2"/>
      <c r="B557" s="2"/>
      <c r="C557" s="124"/>
      <c r="D557" s="124"/>
      <c r="E557" s="2"/>
      <c r="F557" s="2"/>
      <c r="G557" s="2"/>
      <c r="H557" s="139"/>
      <c r="I557" s="2"/>
      <c r="J557" s="483"/>
      <c r="K557" s="483"/>
      <c r="L557" s="483"/>
      <c r="M557" s="483"/>
      <c r="N557" s="483"/>
      <c r="O557" s="484"/>
      <c r="P557" s="483"/>
      <c r="Q557" s="483"/>
      <c r="R557" s="483"/>
      <c r="S557" s="483"/>
      <c r="T557" s="483"/>
      <c r="U557" s="483"/>
      <c r="V557" s="483"/>
      <c r="W557" s="483"/>
      <c r="X557" s="483"/>
      <c r="Y557" s="483"/>
      <c r="Z557" s="483"/>
      <c r="AA557" s="483"/>
      <c r="AB557" s="2"/>
      <c r="AC557" s="2"/>
    </row>
    <row r="558" spans="1:29" customFormat="1" ht="16">
      <c r="A558" s="2"/>
      <c r="B558" s="2"/>
      <c r="C558" s="124"/>
      <c r="D558" s="124"/>
      <c r="E558" s="2"/>
      <c r="F558" s="2"/>
      <c r="G558" s="2"/>
      <c r="H558" s="139"/>
      <c r="I558" s="2"/>
      <c r="J558" s="483"/>
      <c r="K558" s="483"/>
      <c r="L558" s="483"/>
      <c r="M558" s="483"/>
      <c r="N558" s="483"/>
      <c r="O558" s="484"/>
      <c r="P558" s="483"/>
      <c r="Q558" s="483"/>
      <c r="R558" s="483"/>
      <c r="S558" s="483"/>
      <c r="T558" s="483"/>
      <c r="U558" s="483"/>
      <c r="V558" s="483"/>
      <c r="W558" s="483"/>
      <c r="X558" s="483"/>
      <c r="Y558" s="483"/>
      <c r="Z558" s="483"/>
      <c r="AA558" s="483"/>
      <c r="AB558" s="2"/>
      <c r="AC558" s="2"/>
    </row>
    <row r="559" spans="1:29" customFormat="1" ht="16">
      <c r="A559" s="2"/>
      <c r="B559" s="2"/>
      <c r="C559" s="124"/>
      <c r="D559" s="124"/>
      <c r="E559" s="2"/>
      <c r="F559" s="2"/>
      <c r="G559" s="2"/>
      <c r="H559" s="139"/>
      <c r="I559" s="2"/>
      <c r="J559" s="483"/>
      <c r="K559" s="483"/>
      <c r="L559" s="483"/>
      <c r="M559" s="483"/>
      <c r="N559" s="483"/>
      <c r="O559" s="484"/>
      <c r="P559" s="483"/>
      <c r="Q559" s="483"/>
      <c r="R559" s="483"/>
      <c r="S559" s="483"/>
      <c r="T559" s="483"/>
      <c r="U559" s="483"/>
      <c r="V559" s="483"/>
      <c r="W559" s="483"/>
      <c r="X559" s="483"/>
      <c r="Y559" s="483"/>
      <c r="Z559" s="483"/>
      <c r="AA559" s="483"/>
      <c r="AB559" s="2"/>
      <c r="AC559" s="2"/>
    </row>
    <row r="560" spans="1:29" customFormat="1" ht="16">
      <c r="A560" s="2"/>
      <c r="B560" s="2"/>
      <c r="C560" s="124"/>
      <c r="D560" s="124"/>
      <c r="E560" s="2"/>
      <c r="F560" s="2"/>
      <c r="G560" s="2"/>
      <c r="H560" s="139"/>
      <c r="I560" s="2"/>
      <c r="J560" s="483"/>
      <c r="K560" s="483"/>
      <c r="L560" s="483"/>
      <c r="M560" s="483"/>
      <c r="N560" s="483"/>
      <c r="O560" s="484"/>
      <c r="P560" s="483"/>
      <c r="Q560" s="483"/>
      <c r="R560" s="483"/>
      <c r="S560" s="483"/>
      <c r="T560" s="483"/>
      <c r="U560" s="483"/>
      <c r="V560" s="483"/>
      <c r="W560" s="483"/>
      <c r="X560" s="483"/>
      <c r="Y560" s="483"/>
      <c r="Z560" s="483"/>
      <c r="AA560" s="483"/>
      <c r="AB560" s="2"/>
      <c r="AC560" s="2"/>
    </row>
    <row r="561" spans="1:29" customFormat="1" ht="16">
      <c r="A561" s="2"/>
      <c r="B561" s="2"/>
      <c r="C561" s="124"/>
      <c r="D561" s="124"/>
      <c r="E561" s="2"/>
      <c r="F561" s="2"/>
      <c r="G561" s="2"/>
      <c r="H561" s="139"/>
      <c r="I561" s="2"/>
      <c r="J561" s="483"/>
      <c r="K561" s="483"/>
      <c r="L561" s="483"/>
      <c r="M561" s="483"/>
      <c r="N561" s="483"/>
      <c r="O561" s="484"/>
      <c r="P561" s="483"/>
      <c r="Q561" s="483"/>
      <c r="R561" s="483"/>
      <c r="S561" s="483"/>
      <c r="T561" s="483"/>
      <c r="U561" s="483"/>
      <c r="V561" s="483"/>
      <c r="W561" s="483"/>
      <c r="X561" s="483"/>
      <c r="Y561" s="483"/>
      <c r="Z561" s="483"/>
      <c r="AA561" s="483"/>
      <c r="AB561" s="2"/>
      <c r="AC561" s="2"/>
    </row>
    <row r="562" spans="1:29" customFormat="1" ht="16">
      <c r="A562" s="2"/>
      <c r="B562" s="2"/>
      <c r="C562" s="124"/>
      <c r="D562" s="124"/>
      <c r="E562" s="2"/>
      <c r="F562" s="2"/>
      <c r="G562" s="2"/>
      <c r="H562" s="139"/>
      <c r="I562" s="2"/>
      <c r="J562" s="483"/>
      <c r="K562" s="483"/>
      <c r="L562" s="483"/>
      <c r="M562" s="483"/>
      <c r="N562" s="483"/>
      <c r="O562" s="484"/>
      <c r="P562" s="483"/>
      <c r="Q562" s="483"/>
      <c r="R562" s="483"/>
      <c r="S562" s="483"/>
      <c r="T562" s="483"/>
      <c r="U562" s="483"/>
      <c r="V562" s="483"/>
      <c r="W562" s="483"/>
      <c r="X562" s="483"/>
      <c r="Y562" s="483"/>
      <c r="Z562" s="483"/>
      <c r="AA562" s="483"/>
      <c r="AB562" s="2"/>
      <c r="AC562" s="2"/>
    </row>
    <row r="563" spans="1:29" customFormat="1" ht="16">
      <c r="A563" s="2"/>
      <c r="B563" s="2"/>
      <c r="C563" s="124"/>
      <c r="D563" s="124"/>
      <c r="E563" s="2"/>
      <c r="F563" s="2"/>
      <c r="G563" s="2"/>
      <c r="H563" s="139"/>
      <c r="I563" s="2"/>
      <c r="J563" s="483"/>
      <c r="K563" s="483"/>
      <c r="L563" s="483"/>
      <c r="M563" s="483"/>
      <c r="N563" s="483"/>
      <c r="O563" s="484"/>
      <c r="P563" s="483"/>
      <c r="Q563" s="483"/>
      <c r="R563" s="483"/>
      <c r="S563" s="483"/>
      <c r="T563" s="483"/>
      <c r="U563" s="483"/>
      <c r="V563" s="483"/>
      <c r="W563" s="483"/>
      <c r="X563" s="483"/>
      <c r="Y563" s="483"/>
      <c r="Z563" s="483"/>
      <c r="AA563" s="483"/>
      <c r="AB563" s="2"/>
      <c r="AC563" s="2"/>
    </row>
    <row r="564" spans="1:29" customFormat="1" ht="16">
      <c r="A564" s="2"/>
      <c r="B564" s="2"/>
      <c r="C564" s="124"/>
      <c r="D564" s="124"/>
      <c r="E564" s="2"/>
      <c r="F564" s="2"/>
      <c r="G564" s="2"/>
      <c r="H564" s="139"/>
      <c r="I564" s="2"/>
      <c r="J564" s="483"/>
      <c r="K564" s="483"/>
      <c r="L564" s="483"/>
      <c r="M564" s="483"/>
      <c r="N564" s="483"/>
      <c r="O564" s="484"/>
      <c r="P564" s="483"/>
      <c r="Q564" s="483"/>
      <c r="R564" s="483"/>
      <c r="S564" s="483"/>
      <c r="T564" s="483"/>
      <c r="U564" s="483"/>
      <c r="V564" s="483"/>
      <c r="W564" s="483"/>
      <c r="X564" s="483"/>
      <c r="Y564" s="483"/>
      <c r="Z564" s="483"/>
      <c r="AA564" s="483"/>
      <c r="AB564" s="2"/>
      <c r="AC564" s="2"/>
    </row>
    <row r="565" spans="1:29" customFormat="1" ht="16">
      <c r="A565" s="2"/>
      <c r="B565" s="2"/>
      <c r="C565" s="124"/>
      <c r="D565" s="124"/>
      <c r="E565" s="2"/>
      <c r="F565" s="2"/>
      <c r="G565" s="2"/>
      <c r="H565" s="139"/>
      <c r="I565" s="2"/>
      <c r="J565" s="483"/>
      <c r="K565" s="483"/>
      <c r="L565" s="483"/>
      <c r="M565" s="483"/>
      <c r="N565" s="483"/>
      <c r="O565" s="484"/>
      <c r="P565" s="483"/>
      <c r="Q565" s="483"/>
      <c r="R565" s="483"/>
      <c r="S565" s="483"/>
      <c r="T565" s="483"/>
      <c r="U565" s="483"/>
      <c r="V565" s="483"/>
      <c r="W565" s="483"/>
      <c r="X565" s="483"/>
      <c r="Y565" s="483"/>
      <c r="Z565" s="483"/>
      <c r="AA565" s="483"/>
      <c r="AB565" s="2"/>
      <c r="AC565" s="2"/>
    </row>
    <row r="566" spans="1:29" customFormat="1" ht="16">
      <c r="A566" s="2"/>
      <c r="B566" s="2"/>
      <c r="C566" s="124"/>
      <c r="D566" s="124"/>
      <c r="E566" s="2"/>
      <c r="F566" s="2"/>
      <c r="G566" s="2"/>
      <c r="H566" s="139"/>
      <c r="I566" s="2"/>
      <c r="J566" s="483"/>
      <c r="K566" s="483"/>
      <c r="L566" s="483"/>
      <c r="M566" s="483"/>
      <c r="N566" s="483"/>
      <c r="O566" s="484"/>
      <c r="P566" s="483"/>
      <c r="Q566" s="483"/>
      <c r="R566" s="483"/>
      <c r="S566" s="483"/>
      <c r="T566" s="483"/>
      <c r="U566" s="483"/>
      <c r="V566" s="483"/>
      <c r="W566" s="483"/>
      <c r="X566" s="483"/>
      <c r="Y566" s="483"/>
      <c r="Z566" s="483"/>
      <c r="AA566" s="483"/>
      <c r="AB566" s="2"/>
      <c r="AC566" s="2"/>
    </row>
    <row r="567" spans="1:29" customFormat="1" ht="16">
      <c r="A567" s="2"/>
      <c r="B567" s="2"/>
      <c r="C567" s="124"/>
      <c r="D567" s="124"/>
      <c r="E567" s="2"/>
      <c r="F567" s="2"/>
      <c r="G567" s="2"/>
      <c r="H567" s="139"/>
      <c r="I567" s="2"/>
      <c r="J567" s="483"/>
      <c r="K567" s="483"/>
      <c r="L567" s="483"/>
      <c r="M567" s="483"/>
      <c r="N567" s="483"/>
      <c r="O567" s="484"/>
      <c r="P567" s="483"/>
      <c r="Q567" s="483"/>
      <c r="R567" s="483"/>
      <c r="S567" s="483"/>
      <c r="T567" s="483"/>
      <c r="U567" s="483"/>
      <c r="V567" s="483"/>
      <c r="W567" s="483"/>
      <c r="X567" s="483"/>
      <c r="Y567" s="483"/>
      <c r="Z567" s="483"/>
      <c r="AA567" s="483"/>
      <c r="AB567" s="2"/>
      <c r="AC567" s="2"/>
    </row>
    <row r="568" spans="1:29" customFormat="1" ht="16">
      <c r="A568" s="2"/>
      <c r="B568" s="2"/>
      <c r="C568" s="124"/>
      <c r="D568" s="124"/>
      <c r="E568" s="2"/>
      <c r="F568" s="2"/>
      <c r="G568" s="2"/>
      <c r="H568" s="139"/>
      <c r="I568" s="2"/>
      <c r="J568" s="483"/>
      <c r="K568" s="483"/>
      <c r="L568" s="483"/>
      <c r="M568" s="483"/>
      <c r="N568" s="483"/>
      <c r="O568" s="484"/>
      <c r="P568" s="483"/>
      <c r="Q568" s="483"/>
      <c r="R568" s="483"/>
      <c r="S568" s="483"/>
      <c r="T568" s="483"/>
      <c r="U568" s="483"/>
      <c r="V568" s="483"/>
      <c r="W568" s="483"/>
      <c r="X568" s="483"/>
      <c r="Y568" s="483"/>
      <c r="Z568" s="483"/>
      <c r="AA568" s="483"/>
      <c r="AB568" s="2"/>
      <c r="AC568" s="2"/>
    </row>
    <row r="569" spans="1:29" customFormat="1" ht="16">
      <c r="A569" s="2"/>
      <c r="B569" s="2"/>
      <c r="C569" s="124"/>
      <c r="D569" s="124"/>
      <c r="E569" s="2"/>
      <c r="F569" s="2"/>
      <c r="G569" s="2"/>
      <c r="H569" s="139"/>
      <c r="I569" s="2"/>
      <c r="J569" s="483"/>
      <c r="K569" s="483"/>
      <c r="L569" s="483"/>
      <c r="M569" s="483"/>
      <c r="N569" s="483"/>
      <c r="O569" s="484"/>
      <c r="P569" s="483"/>
      <c r="Q569" s="483"/>
      <c r="R569" s="483"/>
      <c r="S569" s="483"/>
      <c r="T569" s="483"/>
      <c r="U569" s="483"/>
      <c r="V569" s="483"/>
      <c r="W569" s="483"/>
      <c r="X569" s="483"/>
      <c r="Y569" s="483"/>
      <c r="Z569" s="483"/>
      <c r="AA569" s="483"/>
      <c r="AB569" s="2"/>
      <c r="AC569" s="2"/>
    </row>
    <row r="570" spans="1:29" customFormat="1" ht="16">
      <c r="A570" s="2"/>
      <c r="B570" s="2"/>
      <c r="C570" s="124"/>
      <c r="D570" s="124"/>
      <c r="E570" s="2"/>
      <c r="F570" s="2"/>
      <c r="G570" s="2"/>
      <c r="H570" s="139"/>
      <c r="I570" s="2"/>
      <c r="J570" s="483"/>
      <c r="K570" s="483"/>
      <c r="L570" s="483"/>
      <c r="M570" s="483"/>
      <c r="N570" s="483"/>
      <c r="O570" s="484"/>
      <c r="P570" s="483"/>
      <c r="Q570" s="483"/>
      <c r="R570" s="483"/>
      <c r="S570" s="483"/>
      <c r="T570" s="483"/>
      <c r="U570" s="483"/>
      <c r="V570" s="483"/>
      <c r="W570" s="483"/>
      <c r="X570" s="483"/>
      <c r="Y570" s="483"/>
      <c r="Z570" s="483"/>
      <c r="AA570" s="483"/>
      <c r="AB570" s="2"/>
      <c r="AC570" s="2"/>
    </row>
    <row r="571" spans="1:29" customFormat="1" ht="16">
      <c r="A571" s="2"/>
      <c r="B571" s="2"/>
      <c r="C571" s="124"/>
      <c r="D571" s="124"/>
      <c r="E571" s="2"/>
      <c r="F571" s="2"/>
      <c r="G571" s="2"/>
      <c r="H571" s="139"/>
      <c r="I571" s="2"/>
      <c r="J571" s="483"/>
      <c r="K571" s="483"/>
      <c r="L571" s="483"/>
      <c r="M571" s="483"/>
      <c r="N571" s="483"/>
      <c r="O571" s="484"/>
      <c r="P571" s="483"/>
      <c r="Q571" s="483"/>
      <c r="R571" s="483"/>
      <c r="S571" s="483"/>
      <c r="T571" s="483"/>
      <c r="U571" s="483"/>
      <c r="V571" s="483"/>
      <c r="W571" s="483"/>
      <c r="X571" s="483"/>
      <c r="Y571" s="483"/>
      <c r="Z571" s="483"/>
      <c r="AA571" s="483"/>
      <c r="AB571" s="2"/>
      <c r="AC571" s="2"/>
    </row>
    <row r="572" spans="1:29" customFormat="1" ht="16">
      <c r="A572" s="2"/>
      <c r="B572" s="2"/>
      <c r="C572" s="124"/>
      <c r="D572" s="124"/>
      <c r="E572" s="2"/>
      <c r="F572" s="2"/>
      <c r="G572" s="2"/>
      <c r="H572" s="139"/>
      <c r="I572" s="2"/>
      <c r="J572" s="483"/>
      <c r="K572" s="483"/>
      <c r="L572" s="483"/>
      <c r="M572" s="483"/>
      <c r="N572" s="483"/>
      <c r="O572" s="484"/>
      <c r="P572" s="483"/>
      <c r="Q572" s="483"/>
      <c r="R572" s="483"/>
      <c r="S572" s="483"/>
      <c r="T572" s="483"/>
      <c r="U572" s="483"/>
      <c r="V572" s="483"/>
      <c r="W572" s="483"/>
      <c r="X572" s="483"/>
      <c r="Y572" s="483"/>
      <c r="Z572" s="483"/>
      <c r="AA572" s="483"/>
      <c r="AB572" s="2"/>
      <c r="AC572" s="2"/>
    </row>
    <row r="573" spans="1:29" customFormat="1" ht="16">
      <c r="A573" s="2"/>
      <c r="B573" s="2"/>
      <c r="C573" s="124"/>
      <c r="D573" s="124"/>
      <c r="E573" s="2"/>
      <c r="F573" s="2"/>
      <c r="G573" s="2"/>
      <c r="H573" s="139"/>
      <c r="I573" s="2"/>
      <c r="J573" s="483"/>
      <c r="K573" s="483"/>
      <c r="L573" s="483"/>
      <c r="M573" s="483"/>
      <c r="N573" s="483"/>
      <c r="O573" s="484"/>
      <c r="P573" s="483"/>
      <c r="Q573" s="483"/>
      <c r="R573" s="483"/>
      <c r="S573" s="483"/>
      <c r="T573" s="483"/>
      <c r="U573" s="483"/>
      <c r="V573" s="483"/>
      <c r="W573" s="483"/>
      <c r="X573" s="483"/>
      <c r="Y573" s="483"/>
      <c r="Z573" s="483"/>
      <c r="AA573" s="483"/>
      <c r="AB573" s="2"/>
      <c r="AC573" s="2"/>
    </row>
    <row r="574" spans="1:29" customFormat="1" ht="16">
      <c r="A574" s="2"/>
      <c r="B574" s="2"/>
      <c r="C574" s="124"/>
      <c r="D574" s="124"/>
      <c r="E574" s="2"/>
      <c r="F574" s="2"/>
      <c r="G574" s="2"/>
      <c r="H574" s="139"/>
      <c r="I574" s="2"/>
      <c r="J574" s="483"/>
      <c r="K574" s="483"/>
      <c r="L574" s="483"/>
      <c r="M574" s="483"/>
      <c r="N574" s="483"/>
      <c r="O574" s="484"/>
      <c r="P574" s="483"/>
      <c r="Q574" s="483"/>
      <c r="R574" s="483"/>
      <c r="S574" s="483"/>
      <c r="T574" s="483"/>
      <c r="U574" s="483"/>
      <c r="V574" s="483"/>
      <c r="W574" s="483"/>
      <c r="X574" s="483"/>
      <c r="Y574" s="483"/>
      <c r="Z574" s="483"/>
      <c r="AA574" s="483"/>
      <c r="AB574" s="2"/>
      <c r="AC574" s="2"/>
    </row>
    <row r="575" spans="1:29" customFormat="1" ht="16">
      <c r="A575" s="2"/>
      <c r="B575" s="2"/>
      <c r="C575" s="124"/>
      <c r="D575" s="124"/>
      <c r="E575" s="2"/>
      <c r="F575" s="2"/>
      <c r="G575" s="2"/>
      <c r="H575" s="139"/>
      <c r="I575" s="2"/>
      <c r="J575" s="483"/>
      <c r="K575" s="483"/>
      <c r="L575" s="483"/>
      <c r="M575" s="483"/>
      <c r="N575" s="483"/>
      <c r="O575" s="484"/>
      <c r="P575" s="483"/>
      <c r="Q575" s="483"/>
      <c r="R575" s="483"/>
      <c r="S575" s="483"/>
      <c r="T575" s="483"/>
      <c r="U575" s="483"/>
      <c r="V575" s="483"/>
      <c r="W575" s="483"/>
      <c r="X575" s="483"/>
      <c r="Y575" s="483"/>
      <c r="Z575" s="483"/>
      <c r="AA575" s="483"/>
      <c r="AB575" s="2"/>
      <c r="AC575" s="2"/>
    </row>
    <row r="576" spans="1:29" customFormat="1" ht="16">
      <c r="A576" s="2"/>
      <c r="B576" s="2"/>
      <c r="C576" s="124"/>
      <c r="D576" s="124"/>
      <c r="E576" s="2"/>
      <c r="F576" s="2"/>
      <c r="G576" s="2"/>
      <c r="H576" s="139"/>
      <c r="I576" s="2"/>
      <c r="J576" s="483"/>
      <c r="K576" s="483"/>
      <c r="L576" s="483"/>
      <c r="M576" s="483"/>
      <c r="N576" s="483"/>
      <c r="O576" s="484"/>
      <c r="P576" s="483"/>
      <c r="Q576" s="483"/>
      <c r="R576" s="483"/>
      <c r="S576" s="483"/>
      <c r="T576" s="483"/>
      <c r="U576" s="483"/>
      <c r="V576" s="483"/>
      <c r="W576" s="483"/>
      <c r="X576" s="483"/>
      <c r="Y576" s="483"/>
      <c r="Z576" s="483"/>
      <c r="AA576" s="483"/>
      <c r="AB576" s="2"/>
      <c r="AC576" s="2"/>
    </row>
    <row r="577" spans="1:29" customFormat="1" ht="16">
      <c r="A577" s="2"/>
      <c r="B577" s="2"/>
      <c r="C577" s="124"/>
      <c r="D577" s="124"/>
      <c r="E577" s="2"/>
      <c r="F577" s="2"/>
      <c r="G577" s="2"/>
      <c r="H577" s="139"/>
      <c r="I577" s="2"/>
      <c r="J577" s="483"/>
      <c r="K577" s="483"/>
      <c r="L577" s="483"/>
      <c r="M577" s="483"/>
      <c r="N577" s="483"/>
      <c r="O577" s="484"/>
      <c r="P577" s="483"/>
      <c r="Q577" s="483"/>
      <c r="R577" s="483"/>
      <c r="S577" s="483"/>
      <c r="T577" s="483"/>
      <c r="U577" s="483"/>
      <c r="V577" s="483"/>
      <c r="W577" s="483"/>
      <c r="X577" s="483"/>
      <c r="Y577" s="483"/>
      <c r="Z577" s="483"/>
      <c r="AA577" s="483"/>
      <c r="AB577" s="2"/>
      <c r="AC577" s="2"/>
    </row>
    <row r="578" spans="1:29" customFormat="1" ht="16">
      <c r="A578" s="2"/>
      <c r="B578" s="2"/>
      <c r="C578" s="124"/>
      <c r="D578" s="124"/>
      <c r="E578" s="2"/>
      <c r="F578" s="2"/>
      <c r="G578" s="2"/>
      <c r="H578" s="139"/>
      <c r="I578" s="2"/>
      <c r="J578" s="483"/>
      <c r="K578" s="483"/>
      <c r="L578" s="483"/>
      <c r="M578" s="483"/>
      <c r="N578" s="483"/>
      <c r="O578" s="484"/>
      <c r="P578" s="483"/>
      <c r="Q578" s="483"/>
      <c r="R578" s="483"/>
      <c r="S578" s="483"/>
      <c r="T578" s="483"/>
      <c r="U578" s="483"/>
      <c r="V578" s="483"/>
      <c r="W578" s="483"/>
      <c r="X578" s="483"/>
      <c r="Y578" s="483"/>
      <c r="Z578" s="483"/>
      <c r="AA578" s="483"/>
      <c r="AB578" s="2"/>
      <c r="AC578" s="2"/>
    </row>
    <row r="579" spans="1:29" customFormat="1" ht="16">
      <c r="A579" s="2"/>
      <c r="B579" s="2"/>
      <c r="C579" s="124"/>
      <c r="D579" s="124"/>
      <c r="E579" s="2"/>
      <c r="F579" s="2"/>
      <c r="G579" s="2"/>
      <c r="H579" s="139"/>
      <c r="I579" s="2"/>
      <c r="J579" s="483"/>
      <c r="K579" s="483"/>
      <c r="L579" s="483"/>
      <c r="M579" s="483"/>
      <c r="N579" s="483"/>
      <c r="O579" s="484"/>
      <c r="P579" s="483"/>
      <c r="Q579" s="483"/>
      <c r="R579" s="483"/>
      <c r="S579" s="483"/>
      <c r="T579" s="483"/>
      <c r="U579" s="483"/>
      <c r="V579" s="483"/>
      <c r="W579" s="483"/>
      <c r="X579" s="483"/>
      <c r="Y579" s="483"/>
      <c r="Z579" s="483"/>
      <c r="AA579" s="483"/>
      <c r="AB579" s="2"/>
      <c r="AC579" s="2"/>
    </row>
    <row r="580" spans="1:29" customFormat="1" ht="16">
      <c r="A580" s="2"/>
      <c r="B580" s="2"/>
      <c r="C580" s="124"/>
      <c r="D580" s="124"/>
      <c r="E580" s="2"/>
      <c r="F580" s="2"/>
      <c r="G580" s="2"/>
      <c r="H580" s="139"/>
      <c r="I580" s="2"/>
      <c r="J580" s="483"/>
      <c r="K580" s="483"/>
      <c r="L580" s="483"/>
      <c r="M580" s="483"/>
      <c r="N580" s="483"/>
      <c r="O580" s="484"/>
      <c r="P580" s="483"/>
      <c r="Q580" s="483"/>
      <c r="R580" s="483"/>
      <c r="S580" s="483"/>
      <c r="T580" s="483"/>
      <c r="U580" s="483"/>
      <c r="V580" s="483"/>
      <c r="W580" s="483"/>
      <c r="X580" s="483"/>
      <c r="Y580" s="483"/>
      <c r="Z580" s="483"/>
      <c r="AA580" s="483"/>
      <c r="AB580" s="2"/>
      <c r="AC580" s="2"/>
    </row>
    <row r="581" spans="1:29" customFormat="1" ht="16">
      <c r="A581" s="2"/>
      <c r="B581" s="2"/>
      <c r="C581" s="124"/>
      <c r="D581" s="124"/>
      <c r="E581" s="2"/>
      <c r="F581" s="2"/>
      <c r="G581" s="2"/>
      <c r="H581" s="139"/>
      <c r="I581" s="2"/>
      <c r="J581" s="483"/>
      <c r="K581" s="483"/>
      <c r="L581" s="483"/>
      <c r="M581" s="483"/>
      <c r="N581" s="483"/>
      <c r="O581" s="484"/>
      <c r="P581" s="483"/>
      <c r="Q581" s="483"/>
      <c r="R581" s="483"/>
      <c r="S581" s="483"/>
      <c r="T581" s="483"/>
      <c r="U581" s="483"/>
      <c r="V581" s="483"/>
      <c r="W581" s="483"/>
      <c r="X581" s="483"/>
      <c r="Y581" s="483"/>
      <c r="Z581" s="483"/>
      <c r="AA581" s="483"/>
      <c r="AB581" s="2"/>
      <c r="AC581" s="2"/>
    </row>
    <row r="582" spans="1:29" customFormat="1" ht="16">
      <c r="A582" s="2"/>
      <c r="B582" s="2"/>
      <c r="C582" s="124"/>
      <c r="D582" s="124"/>
      <c r="E582" s="2"/>
      <c r="F582" s="2"/>
      <c r="G582" s="2"/>
      <c r="H582" s="139"/>
      <c r="I582" s="2"/>
      <c r="J582" s="483"/>
      <c r="K582" s="483"/>
      <c r="L582" s="483"/>
      <c r="M582" s="483"/>
      <c r="N582" s="483"/>
      <c r="O582" s="484"/>
      <c r="P582" s="483"/>
      <c r="Q582" s="483"/>
      <c r="R582" s="483"/>
      <c r="S582" s="483"/>
      <c r="T582" s="483"/>
      <c r="U582" s="483"/>
      <c r="V582" s="483"/>
      <c r="W582" s="483"/>
      <c r="X582" s="483"/>
      <c r="Y582" s="483"/>
      <c r="Z582" s="483"/>
      <c r="AA582" s="483"/>
      <c r="AB582" s="2"/>
      <c r="AC582" s="2"/>
    </row>
    <row r="583" spans="1:29" customFormat="1" ht="16">
      <c r="A583" s="2"/>
      <c r="B583" s="2"/>
      <c r="C583" s="124"/>
      <c r="D583" s="124"/>
      <c r="E583" s="2"/>
      <c r="F583" s="2"/>
      <c r="G583" s="2"/>
      <c r="H583" s="139"/>
      <c r="I583" s="2"/>
      <c r="J583" s="483"/>
      <c r="K583" s="483"/>
      <c r="L583" s="483"/>
      <c r="M583" s="483"/>
      <c r="N583" s="483"/>
      <c r="O583" s="484"/>
      <c r="P583" s="483"/>
      <c r="Q583" s="483"/>
      <c r="R583" s="483"/>
      <c r="S583" s="483"/>
      <c r="T583" s="483"/>
      <c r="U583" s="483"/>
      <c r="V583" s="483"/>
      <c r="W583" s="483"/>
      <c r="X583" s="483"/>
      <c r="Y583" s="483"/>
      <c r="Z583" s="483"/>
      <c r="AA583" s="483"/>
      <c r="AB583" s="2"/>
      <c r="AC583" s="2"/>
    </row>
    <row r="584" spans="1:29" customFormat="1" ht="16">
      <c r="A584" s="2"/>
      <c r="B584" s="2"/>
      <c r="C584" s="124"/>
      <c r="D584" s="124"/>
      <c r="E584" s="2"/>
      <c r="F584" s="2"/>
      <c r="G584" s="2"/>
      <c r="H584" s="139"/>
      <c r="I584" s="2"/>
      <c r="J584" s="483"/>
      <c r="K584" s="483"/>
      <c r="L584" s="483"/>
      <c r="M584" s="483"/>
      <c r="N584" s="483"/>
      <c r="O584" s="484"/>
      <c r="P584" s="483"/>
      <c r="Q584" s="483"/>
      <c r="R584" s="483"/>
      <c r="S584" s="483"/>
      <c r="T584" s="483"/>
      <c r="U584" s="483"/>
      <c r="V584" s="483"/>
      <c r="W584" s="483"/>
      <c r="X584" s="483"/>
      <c r="Y584" s="483"/>
      <c r="Z584" s="483"/>
      <c r="AA584" s="483"/>
      <c r="AB584" s="2"/>
      <c r="AC584" s="2"/>
    </row>
    <row r="585" spans="1:29" customFormat="1" ht="16">
      <c r="A585" s="2"/>
      <c r="B585" s="2"/>
      <c r="C585" s="124"/>
      <c r="D585" s="124"/>
      <c r="E585" s="2"/>
      <c r="F585" s="2"/>
      <c r="G585" s="2"/>
      <c r="H585" s="139"/>
      <c r="I585" s="2"/>
      <c r="J585" s="483"/>
      <c r="K585" s="483"/>
      <c r="L585" s="483"/>
      <c r="M585" s="483"/>
      <c r="N585" s="483"/>
      <c r="O585" s="484"/>
      <c r="P585" s="483"/>
      <c r="Q585" s="483"/>
      <c r="R585" s="483"/>
      <c r="S585" s="483"/>
      <c r="T585" s="483"/>
      <c r="U585" s="483"/>
      <c r="V585" s="483"/>
      <c r="W585" s="483"/>
      <c r="X585" s="483"/>
      <c r="Y585" s="483"/>
      <c r="Z585" s="483"/>
      <c r="AA585" s="483"/>
      <c r="AB585" s="2"/>
      <c r="AC585" s="2"/>
    </row>
    <row r="586" spans="1:29" customFormat="1" ht="16">
      <c r="A586" s="2"/>
      <c r="B586" s="2"/>
      <c r="C586" s="124"/>
      <c r="D586" s="124"/>
      <c r="E586" s="2"/>
      <c r="F586" s="2"/>
      <c r="G586" s="2"/>
      <c r="H586" s="139"/>
      <c r="I586" s="2"/>
      <c r="J586" s="483"/>
      <c r="K586" s="483"/>
      <c r="L586" s="483"/>
      <c r="M586" s="483"/>
      <c r="N586" s="483"/>
      <c r="O586" s="484"/>
      <c r="P586" s="483"/>
      <c r="Q586" s="483"/>
      <c r="R586" s="483"/>
      <c r="S586" s="483"/>
      <c r="T586" s="483"/>
      <c r="U586" s="483"/>
      <c r="V586" s="483"/>
      <c r="W586" s="483"/>
      <c r="X586" s="483"/>
      <c r="Y586" s="483"/>
      <c r="Z586" s="483"/>
      <c r="AA586" s="483"/>
      <c r="AB586" s="2"/>
      <c r="AC586" s="2"/>
    </row>
    <row r="587" spans="1:29" customFormat="1" ht="16">
      <c r="A587" s="2"/>
      <c r="B587" s="2"/>
      <c r="C587" s="124"/>
      <c r="D587" s="124"/>
      <c r="E587" s="2"/>
      <c r="F587" s="2"/>
      <c r="G587" s="2"/>
      <c r="H587" s="139"/>
      <c r="I587" s="2"/>
      <c r="J587" s="483"/>
      <c r="K587" s="483"/>
      <c r="L587" s="483"/>
      <c r="M587" s="483"/>
      <c r="N587" s="483"/>
      <c r="O587" s="484"/>
      <c r="P587" s="483"/>
      <c r="Q587" s="483"/>
      <c r="R587" s="483"/>
      <c r="S587" s="483"/>
      <c r="T587" s="483"/>
      <c r="U587" s="483"/>
      <c r="V587" s="483"/>
      <c r="W587" s="483"/>
      <c r="X587" s="483"/>
      <c r="Y587" s="483"/>
      <c r="Z587" s="483"/>
      <c r="AA587" s="483"/>
      <c r="AB587" s="2"/>
      <c r="AC587" s="2"/>
    </row>
    <row r="588" spans="1:29" customFormat="1" ht="16">
      <c r="A588" s="2"/>
      <c r="B588" s="2"/>
      <c r="C588" s="124"/>
      <c r="D588" s="124"/>
      <c r="E588" s="2"/>
      <c r="F588" s="2"/>
      <c r="G588" s="2"/>
      <c r="H588" s="139"/>
      <c r="I588" s="2"/>
      <c r="J588" s="483"/>
      <c r="K588" s="483"/>
      <c r="L588" s="483"/>
      <c r="M588" s="483"/>
      <c r="N588" s="483"/>
      <c r="O588" s="484"/>
      <c r="P588" s="483"/>
      <c r="Q588" s="483"/>
      <c r="R588" s="483"/>
      <c r="S588" s="483"/>
      <c r="T588" s="483"/>
      <c r="U588" s="483"/>
      <c r="V588" s="483"/>
      <c r="W588" s="483"/>
      <c r="X588" s="483"/>
      <c r="Y588" s="483"/>
      <c r="Z588" s="483"/>
      <c r="AA588" s="483"/>
      <c r="AB588" s="2"/>
      <c r="AC588" s="2"/>
    </row>
    <row r="589" spans="1:29" customFormat="1" ht="16">
      <c r="A589" s="2"/>
      <c r="B589" s="2"/>
      <c r="C589" s="124"/>
      <c r="D589" s="124"/>
      <c r="E589" s="2"/>
      <c r="F589" s="2"/>
      <c r="G589" s="2"/>
      <c r="H589" s="139"/>
      <c r="I589" s="2"/>
      <c r="J589" s="483"/>
      <c r="K589" s="483"/>
      <c r="L589" s="483"/>
      <c r="M589" s="483"/>
      <c r="N589" s="483"/>
      <c r="O589" s="484"/>
      <c r="P589" s="483"/>
      <c r="Q589" s="483"/>
      <c r="R589" s="483"/>
      <c r="S589" s="483"/>
      <c r="T589" s="483"/>
      <c r="U589" s="483"/>
      <c r="V589" s="483"/>
      <c r="W589" s="483"/>
      <c r="X589" s="483"/>
      <c r="Y589" s="483"/>
      <c r="Z589" s="483"/>
      <c r="AA589" s="483"/>
      <c r="AB589" s="2"/>
      <c r="AC589" s="2"/>
    </row>
    <row r="590" spans="1:29" customFormat="1" ht="16">
      <c r="A590" s="2"/>
      <c r="B590" s="2"/>
      <c r="C590" s="124"/>
      <c r="D590" s="124"/>
      <c r="E590" s="2"/>
      <c r="F590" s="2"/>
      <c r="G590" s="2"/>
      <c r="H590" s="139"/>
      <c r="I590" s="2"/>
      <c r="J590" s="483"/>
      <c r="K590" s="483"/>
      <c r="L590" s="483"/>
      <c r="M590" s="483"/>
      <c r="N590" s="483"/>
      <c r="O590" s="484"/>
      <c r="P590" s="483"/>
      <c r="Q590" s="483"/>
      <c r="R590" s="483"/>
      <c r="S590" s="483"/>
      <c r="T590" s="483"/>
      <c r="U590" s="483"/>
      <c r="V590" s="483"/>
      <c r="W590" s="483"/>
      <c r="X590" s="483"/>
      <c r="Y590" s="483"/>
      <c r="Z590" s="483"/>
      <c r="AA590" s="483"/>
      <c r="AB590" s="2"/>
      <c r="AC590" s="2"/>
    </row>
    <row r="591" spans="1:29" customFormat="1" ht="16">
      <c r="A591" s="2"/>
      <c r="B591" s="2"/>
      <c r="C591" s="124"/>
      <c r="D591" s="124"/>
      <c r="E591" s="2"/>
      <c r="F591" s="2"/>
      <c r="G591" s="2"/>
      <c r="H591" s="139"/>
      <c r="I591" s="2"/>
      <c r="J591" s="483"/>
      <c r="K591" s="483"/>
      <c r="L591" s="483"/>
      <c r="M591" s="483"/>
      <c r="N591" s="483"/>
      <c r="O591" s="484"/>
      <c r="P591" s="483"/>
      <c r="Q591" s="483"/>
      <c r="R591" s="483"/>
      <c r="S591" s="483"/>
      <c r="T591" s="483"/>
      <c r="U591" s="483"/>
      <c r="V591" s="483"/>
      <c r="W591" s="483"/>
      <c r="X591" s="483"/>
      <c r="Y591" s="483"/>
      <c r="Z591" s="483"/>
      <c r="AA591" s="483"/>
      <c r="AB591" s="2"/>
      <c r="AC591" s="2"/>
    </row>
  </sheetData>
  <sortState xmlns:xlrd2="http://schemas.microsoft.com/office/spreadsheetml/2017/richdata2" ref="A249:AC293">
    <sortCondition ref="K249:K293"/>
  </sortState>
  <pageMargins left="0.25" right="0.25" top="0.75" bottom="0.75" header="0.3" footer="0.3"/>
  <pageSetup scale="54" fitToHeight="6" orientation="landscape"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840FF-EA50-DA43-AC53-0049434B83A1}">
  <sheetPr>
    <pageSetUpPr fitToPage="1"/>
  </sheetPr>
  <dimension ref="A1:J176"/>
  <sheetViews>
    <sheetView topLeftCell="A5" zoomScale="130" zoomScaleNormal="130" workbookViewId="0">
      <selection activeCell="C53" sqref="C53"/>
    </sheetView>
  </sheetViews>
  <sheetFormatPr baseColWidth="10" defaultColWidth="10.5" defaultRowHeight="16"/>
  <cols>
    <col min="1" max="1" width="27" style="2" customWidth="1"/>
    <col min="2" max="2" width="30.83203125" style="2" customWidth="1"/>
    <col min="3" max="3" width="28.5" style="2" customWidth="1"/>
    <col min="4" max="9" width="10.83203125" style="2"/>
    <col min="10" max="10" width="13.83203125" style="402" customWidth="1"/>
  </cols>
  <sheetData>
    <row r="1" spans="1:10" s="550" customFormat="1" ht="49" customHeight="1">
      <c r="A1" s="551" t="s">
        <v>1640</v>
      </c>
      <c r="B1" s="551"/>
      <c r="C1" s="551"/>
      <c r="D1" s="551"/>
      <c r="E1" s="551"/>
      <c r="F1" s="551"/>
      <c r="G1" s="551"/>
      <c r="H1" s="551"/>
      <c r="I1" s="635"/>
      <c r="J1" s="403"/>
    </row>
    <row r="2" spans="1:10" s="127" customFormat="1" ht="18">
      <c r="A2" s="552" t="s">
        <v>1641</v>
      </c>
      <c r="B2" s="552"/>
      <c r="C2" s="552"/>
      <c r="D2" s="552"/>
      <c r="E2" s="552"/>
      <c r="F2" s="552"/>
      <c r="G2" s="552"/>
      <c r="H2" s="552"/>
      <c r="J2" s="404"/>
    </row>
    <row r="3" spans="1:10" s="127" customFormat="1" ht="18">
      <c r="A3" s="552" t="s">
        <v>1642</v>
      </c>
      <c r="B3" s="552"/>
      <c r="C3" s="552"/>
      <c r="D3" s="552"/>
      <c r="E3" s="552"/>
      <c r="F3" s="552"/>
      <c r="G3" s="552"/>
      <c r="H3" s="552"/>
      <c r="J3" s="404"/>
    </row>
    <row r="4" spans="1:10" s="409" customFormat="1" ht="52" customHeight="1">
      <c r="A4" s="553" t="s">
        <v>59</v>
      </c>
      <c r="B4" s="553" t="s">
        <v>1643</v>
      </c>
      <c r="C4" s="553" t="s">
        <v>1644</v>
      </c>
      <c r="D4" s="553" t="s">
        <v>61</v>
      </c>
      <c r="E4" s="553" t="s">
        <v>1645</v>
      </c>
      <c r="F4" s="553" t="s">
        <v>63</v>
      </c>
      <c r="G4" s="553" t="s">
        <v>1646</v>
      </c>
      <c r="H4" s="553" t="s">
        <v>1647</v>
      </c>
      <c r="I4" s="409" t="s">
        <v>66</v>
      </c>
      <c r="J4" s="409" t="s">
        <v>67</v>
      </c>
    </row>
    <row r="5" spans="1:10" s="399" customFormat="1" ht="18">
      <c r="A5" s="118"/>
      <c r="B5" s="118"/>
      <c r="C5" s="118"/>
      <c r="D5" s="118"/>
      <c r="E5" s="118"/>
      <c r="F5" s="118"/>
      <c r="G5" s="118"/>
      <c r="H5" s="118"/>
      <c r="J5" s="405"/>
    </row>
    <row r="6" spans="1:10" s="399" customFormat="1" ht="18">
      <c r="A6" s="552" t="s">
        <v>1648</v>
      </c>
      <c r="B6" s="552"/>
      <c r="C6" s="552"/>
      <c r="D6" s="552"/>
      <c r="E6" s="552"/>
      <c r="F6" s="552"/>
      <c r="G6" s="552"/>
      <c r="H6" s="552"/>
      <c r="J6" s="405"/>
    </row>
    <row r="7" spans="1:10" s="399" customFormat="1" ht="18">
      <c r="A7" s="118"/>
      <c r="B7" s="118"/>
      <c r="C7" s="118"/>
      <c r="D7" s="118"/>
      <c r="E7" s="118"/>
      <c r="F7" s="118"/>
      <c r="G7" s="118"/>
      <c r="H7" s="118"/>
      <c r="J7" s="405"/>
    </row>
    <row r="8" spans="1:10" s="127" customFormat="1" ht="19">
      <c r="A8" s="552" t="s">
        <v>1649</v>
      </c>
      <c r="B8" s="552" t="s">
        <v>1650</v>
      </c>
      <c r="C8" s="552" t="s">
        <v>1651</v>
      </c>
      <c r="D8" s="552">
        <v>-2.5579999999999998</v>
      </c>
      <c r="E8" s="552">
        <v>0.3528</v>
      </c>
      <c r="F8" s="552">
        <v>3.0604</v>
      </c>
      <c r="G8" s="552">
        <v>0.1497</v>
      </c>
      <c r="H8" s="552">
        <v>0.9929</v>
      </c>
      <c r="I8" s="127">
        <v>3</v>
      </c>
      <c r="J8" s="404" t="s">
        <v>1577</v>
      </c>
    </row>
    <row r="9" spans="1:10" s="127" customFormat="1" ht="19">
      <c r="A9" s="552" t="s">
        <v>1652</v>
      </c>
      <c r="B9" s="552" t="s">
        <v>1650</v>
      </c>
      <c r="C9" s="552" t="s">
        <v>1651</v>
      </c>
      <c r="D9" s="552">
        <v>-0.12529999999999999</v>
      </c>
      <c r="E9" s="552">
        <v>2.3411</v>
      </c>
      <c r="F9" s="552">
        <v>1.8957999999999999</v>
      </c>
      <c r="G9" s="552">
        <v>1.1206</v>
      </c>
      <c r="H9" s="552">
        <v>0.48820000000000002</v>
      </c>
      <c r="I9" s="127">
        <v>3</v>
      </c>
      <c r="J9" s="404" t="s">
        <v>1653</v>
      </c>
    </row>
    <row r="10" spans="1:10" s="127" customFormat="1" ht="19">
      <c r="A10" s="127" t="s">
        <v>1654</v>
      </c>
      <c r="B10" s="127" t="s">
        <v>1650</v>
      </c>
      <c r="C10" s="127" t="s">
        <v>1651</v>
      </c>
      <c r="D10" s="127">
        <v>-2.1744699999999999</v>
      </c>
      <c r="E10" s="127">
        <v>0.10392</v>
      </c>
      <c r="F10" s="127">
        <v>2.9078599999999999</v>
      </c>
      <c r="G10" s="127">
        <v>5.1979999999999998E-2</v>
      </c>
      <c r="H10" s="127">
        <v>0.94389999999999996</v>
      </c>
      <c r="I10" s="127">
        <v>186</v>
      </c>
      <c r="J10" s="404" t="s">
        <v>1577</v>
      </c>
    </row>
    <row r="11" spans="1:10" s="127" customFormat="1" ht="19">
      <c r="A11" s="127" t="s">
        <v>1649</v>
      </c>
      <c r="B11" s="127" t="s">
        <v>1655</v>
      </c>
      <c r="C11" s="127" t="s">
        <v>1656</v>
      </c>
      <c r="D11" s="127">
        <v>-0.56359999999999999</v>
      </c>
      <c r="E11" s="127">
        <v>0.1618</v>
      </c>
      <c r="F11" s="127">
        <v>2.8472</v>
      </c>
      <c r="G11" s="127">
        <v>8.6699999999999999E-2</v>
      </c>
      <c r="H11" s="127">
        <v>0.99719999999999998</v>
      </c>
      <c r="I11" s="127">
        <v>3</v>
      </c>
      <c r="J11" s="404" t="s">
        <v>1577</v>
      </c>
    </row>
    <row r="12" spans="1:10" s="127" customFormat="1" ht="19">
      <c r="A12" s="127" t="s">
        <v>1652</v>
      </c>
      <c r="B12" s="127" t="s">
        <v>1655</v>
      </c>
      <c r="C12" s="127" t="s">
        <v>1656</v>
      </c>
      <c r="D12" s="127">
        <v>0.54579999999999995</v>
      </c>
      <c r="E12" s="127">
        <v>0.59670000000000001</v>
      </c>
      <c r="F12" s="127">
        <v>2.0468000000000002</v>
      </c>
      <c r="G12" s="127">
        <v>0.37030000000000002</v>
      </c>
      <c r="H12" s="127">
        <v>0.91059999999999997</v>
      </c>
      <c r="I12" s="127">
        <v>3</v>
      </c>
      <c r="J12" s="404" t="s">
        <v>1657</v>
      </c>
    </row>
    <row r="13" spans="1:10" s="127" customFormat="1" ht="19">
      <c r="A13" s="127" t="s">
        <v>1654</v>
      </c>
      <c r="B13" s="127" t="s">
        <v>1655</v>
      </c>
      <c r="C13" s="127" t="s">
        <v>1656</v>
      </c>
      <c r="D13" s="127">
        <v>-0.52681999999999995</v>
      </c>
      <c r="E13" s="127">
        <v>3.9829999999999997E-2</v>
      </c>
      <c r="F13" s="127">
        <v>2.8735499999999998</v>
      </c>
      <c r="G13" s="127">
        <v>2.6509999999999999E-2</v>
      </c>
      <c r="H13" s="127">
        <v>0.98340000000000005</v>
      </c>
      <c r="I13" s="127">
        <v>198</v>
      </c>
      <c r="J13" s="404" t="s">
        <v>1577</v>
      </c>
    </row>
    <row r="14" spans="1:10" s="127" customFormat="1" ht="19">
      <c r="A14" s="127" t="s">
        <v>1649</v>
      </c>
      <c r="B14" s="127" t="s">
        <v>1658</v>
      </c>
      <c r="C14" s="127" t="s">
        <v>1659</v>
      </c>
      <c r="D14" s="127">
        <v>-2.0173399999999999</v>
      </c>
      <c r="E14" s="127">
        <v>5.2830000000000002E-2</v>
      </c>
      <c r="F14" s="127">
        <v>2.9319299999999999</v>
      </c>
      <c r="G14" s="127">
        <v>2.1780000000000001E-2</v>
      </c>
      <c r="H14" s="127">
        <v>0.99990000000000001</v>
      </c>
      <c r="I14" s="127">
        <v>2</v>
      </c>
      <c r="J14" s="404" t="s">
        <v>1577</v>
      </c>
    </row>
    <row r="15" spans="1:10" s="127" customFormat="1" ht="19">
      <c r="A15" s="127" t="s">
        <v>1652</v>
      </c>
      <c r="B15" s="127" t="s">
        <v>1658</v>
      </c>
      <c r="C15" s="127" t="s">
        <v>1659</v>
      </c>
      <c r="D15" s="127">
        <v>2.1221000000000001</v>
      </c>
      <c r="E15" s="127">
        <v>2.1263000000000001</v>
      </c>
      <c r="F15" s="127">
        <v>0.83919999999999995</v>
      </c>
      <c r="G15" s="127">
        <v>1.0423</v>
      </c>
      <c r="H15" s="127">
        <v>0.1777</v>
      </c>
      <c r="I15" s="127">
        <v>3</v>
      </c>
      <c r="J15" s="404" t="s">
        <v>1653</v>
      </c>
    </row>
    <row r="16" spans="1:10" s="127" customFormat="1" ht="19">
      <c r="A16" s="127" t="s">
        <v>1654</v>
      </c>
      <c r="B16" s="127" t="s">
        <v>1658</v>
      </c>
      <c r="C16" s="127" t="s">
        <v>1659</v>
      </c>
      <c r="D16" s="127">
        <v>-1.72502</v>
      </c>
      <c r="E16" s="127">
        <v>8.6069999999999994E-2</v>
      </c>
      <c r="F16" s="127">
        <v>2.7971200000000001</v>
      </c>
      <c r="G16" s="127">
        <v>4.4740000000000002E-2</v>
      </c>
      <c r="H16" s="127">
        <v>0.95479999999999998</v>
      </c>
      <c r="I16" s="127">
        <v>185</v>
      </c>
      <c r="J16" s="404" t="s">
        <v>1577</v>
      </c>
    </row>
    <row r="17" spans="1:10" s="127" customFormat="1" ht="19">
      <c r="A17" s="127" t="s">
        <v>1649</v>
      </c>
      <c r="B17" s="127" t="s">
        <v>1660</v>
      </c>
      <c r="C17" s="127" t="s">
        <v>1661</v>
      </c>
      <c r="D17" s="127">
        <v>1.6250000000000001E-2</v>
      </c>
      <c r="E17" s="127">
        <v>0.11054</v>
      </c>
      <c r="F17" s="127">
        <v>2.6090399999999998</v>
      </c>
      <c r="G17" s="127">
        <v>6.0359999999999997E-2</v>
      </c>
      <c r="H17" s="127">
        <v>0.99839999999999995</v>
      </c>
      <c r="I17" s="127">
        <v>3</v>
      </c>
      <c r="J17" s="404" t="s">
        <v>1577</v>
      </c>
    </row>
    <row r="18" spans="1:10" s="127" customFormat="1" ht="19">
      <c r="A18" s="127" t="s">
        <v>1652</v>
      </c>
      <c r="B18" s="127" t="s">
        <v>1660</v>
      </c>
      <c r="C18" s="127" t="s">
        <v>1661</v>
      </c>
      <c r="D18" s="127">
        <v>0.59950000000000003</v>
      </c>
      <c r="E18" s="127">
        <v>0.51329999999999998</v>
      </c>
      <c r="F18" s="127">
        <v>2.0590000000000002</v>
      </c>
      <c r="G18" s="127">
        <v>0.32569999999999999</v>
      </c>
      <c r="H18" s="127">
        <v>0.93020000000000003</v>
      </c>
      <c r="I18" s="127">
        <v>3</v>
      </c>
      <c r="J18" s="404" t="s">
        <v>1577</v>
      </c>
    </row>
    <row r="19" spans="1:10" s="127" customFormat="1" ht="19">
      <c r="A19" s="127" t="s">
        <v>1654</v>
      </c>
      <c r="B19" s="127" t="s">
        <v>1660</v>
      </c>
      <c r="C19" s="127" t="s">
        <v>1661</v>
      </c>
      <c r="D19" s="127">
        <v>-0.13192999999999999</v>
      </c>
      <c r="E19" s="127">
        <v>3.764E-2</v>
      </c>
      <c r="F19" s="127">
        <v>2.6697500000000001</v>
      </c>
      <c r="G19" s="127">
        <v>2.5499999999999998E-2</v>
      </c>
      <c r="H19" s="127">
        <v>0.98229999999999995</v>
      </c>
      <c r="I19" s="127">
        <v>198</v>
      </c>
      <c r="J19" s="404" t="s">
        <v>1577</v>
      </c>
    </row>
    <row r="20" spans="1:10" s="400" customFormat="1" ht="18">
      <c r="J20" s="406"/>
    </row>
    <row r="21" spans="1:10" s="399" customFormat="1" ht="18">
      <c r="A21" s="399" t="s">
        <v>1662</v>
      </c>
      <c r="J21" s="405"/>
    </row>
    <row r="22" spans="1:10" s="399" customFormat="1" ht="18">
      <c r="J22" s="405"/>
    </row>
    <row r="23" spans="1:10" s="127" customFormat="1" ht="19">
      <c r="A23" s="127" t="s">
        <v>1663</v>
      </c>
      <c r="B23" s="127" t="s">
        <v>1664</v>
      </c>
      <c r="C23" s="127" t="s">
        <v>1665</v>
      </c>
      <c r="D23" s="127">
        <v>1.5782400000000001</v>
      </c>
      <c r="E23" s="127">
        <v>4.0579999999999998E-2</v>
      </c>
      <c r="F23" s="127">
        <v>2.2461700000000002</v>
      </c>
      <c r="G23" s="127">
        <v>0.15942999999999999</v>
      </c>
      <c r="H23" s="127">
        <v>0.59340000000000004</v>
      </c>
      <c r="I23" s="127">
        <v>136</v>
      </c>
      <c r="J23" s="404" t="s">
        <v>1577</v>
      </c>
    </row>
    <row r="24" spans="1:10" s="127" customFormat="1" ht="19">
      <c r="A24" s="127" t="s">
        <v>1663</v>
      </c>
      <c r="B24" s="127" t="s">
        <v>1666</v>
      </c>
      <c r="C24" s="127" t="s">
        <v>1667</v>
      </c>
      <c r="D24" s="127">
        <v>1.34127</v>
      </c>
      <c r="E24" s="127">
        <v>3.7289999999999997E-2</v>
      </c>
      <c r="F24" s="127">
        <v>2.86687</v>
      </c>
      <c r="G24" s="127">
        <v>0.14052999999999999</v>
      </c>
      <c r="H24" s="127">
        <v>0.75370000000000004</v>
      </c>
      <c r="I24" s="127">
        <v>136</v>
      </c>
      <c r="J24" s="404" t="s">
        <v>1577</v>
      </c>
    </row>
    <row r="25" spans="1:10" s="127" customFormat="1" ht="19">
      <c r="A25" s="127" t="s">
        <v>1663</v>
      </c>
      <c r="B25" s="127" t="s">
        <v>1668</v>
      </c>
      <c r="C25" s="127" t="s">
        <v>1669</v>
      </c>
      <c r="D25" s="127">
        <v>1.14141</v>
      </c>
      <c r="E25" s="127">
        <v>4.2290000000000001E-2</v>
      </c>
      <c r="F25" s="127">
        <v>2.8351099999999998</v>
      </c>
      <c r="G25" s="127">
        <v>0.13170999999999999</v>
      </c>
      <c r="H25" s="127">
        <v>0.77310000000000001</v>
      </c>
      <c r="I25" s="127">
        <v>136</v>
      </c>
      <c r="J25" s="404" t="s">
        <v>1577</v>
      </c>
    </row>
    <row r="26" spans="1:10" s="127" customFormat="1" ht="19">
      <c r="A26" s="127" t="s">
        <v>1663</v>
      </c>
      <c r="B26" s="127" t="s">
        <v>1670</v>
      </c>
      <c r="C26" s="127" t="s">
        <v>1671</v>
      </c>
      <c r="D26" s="127">
        <v>0.85306999999999999</v>
      </c>
      <c r="E26" s="127">
        <v>5.4609999999999999E-2</v>
      </c>
      <c r="F26" s="127">
        <v>2.7974999999999999</v>
      </c>
      <c r="G26" s="127">
        <v>0.13327</v>
      </c>
      <c r="H26" s="127">
        <v>0.7641</v>
      </c>
      <c r="I26" s="127">
        <v>136</v>
      </c>
      <c r="J26" s="404" t="s">
        <v>1577</v>
      </c>
    </row>
    <row r="27" spans="1:10" s="127" customFormat="1" ht="19">
      <c r="A27" s="127" t="s">
        <v>1663</v>
      </c>
      <c r="B27" s="127" t="s">
        <v>1672</v>
      </c>
      <c r="C27" s="127" t="s">
        <v>1673</v>
      </c>
      <c r="D27" s="127">
        <v>1.1277299999999999</v>
      </c>
      <c r="E27" s="127">
        <v>4.6519999999999999E-2</v>
      </c>
      <c r="F27" s="127">
        <v>2.7361499999999999</v>
      </c>
      <c r="G27" s="127">
        <v>0.13941999999999999</v>
      </c>
      <c r="H27" s="127">
        <v>0.73899999999999999</v>
      </c>
      <c r="I27" s="127">
        <v>136</v>
      </c>
      <c r="J27" s="404" t="s">
        <v>1577</v>
      </c>
    </row>
    <row r="28" spans="1:10" s="127" customFormat="1" ht="19">
      <c r="A28" s="127" t="s">
        <v>1663</v>
      </c>
      <c r="B28" s="127" t="s">
        <v>1674</v>
      </c>
      <c r="C28" s="127" t="s">
        <v>1675</v>
      </c>
      <c r="D28" s="127">
        <v>3.7749999999999999E-2</v>
      </c>
      <c r="E28" s="127">
        <v>9.1439999999999994E-2</v>
      </c>
      <c r="F28" s="127">
        <v>2.8887</v>
      </c>
      <c r="G28" s="127">
        <v>0.13930999999999999</v>
      </c>
      <c r="H28" s="127">
        <v>0.75970000000000004</v>
      </c>
      <c r="I28" s="127">
        <v>136</v>
      </c>
      <c r="J28" s="404" t="s">
        <v>1577</v>
      </c>
    </row>
    <row r="29" spans="1:10" s="127" customFormat="1" ht="18">
      <c r="J29" s="404"/>
    </row>
    <row r="30" spans="1:10" s="399" customFormat="1" ht="18">
      <c r="A30" s="399" t="s">
        <v>1676</v>
      </c>
      <c r="J30" s="405"/>
    </row>
    <row r="31" spans="1:10" s="399" customFormat="1" ht="18">
      <c r="A31" s="127"/>
      <c r="J31" s="405"/>
    </row>
    <row r="32" spans="1:10" s="127" customFormat="1" ht="19">
      <c r="A32" s="127" t="s">
        <v>1677</v>
      </c>
      <c r="B32" s="127" t="s">
        <v>1678</v>
      </c>
      <c r="C32" s="127" t="s">
        <v>1679</v>
      </c>
      <c r="D32" s="127">
        <v>-0.55159999999999998</v>
      </c>
      <c r="E32" s="127">
        <v>0.15790000000000001</v>
      </c>
      <c r="F32" s="127">
        <v>3.9287000000000001</v>
      </c>
      <c r="G32" s="127">
        <v>0.1351</v>
      </c>
      <c r="H32" s="127">
        <v>0.81030000000000002</v>
      </c>
      <c r="I32" s="127">
        <v>198</v>
      </c>
      <c r="J32" s="404" t="s">
        <v>1577</v>
      </c>
    </row>
    <row r="33" spans="1:10" s="127" customFormat="1" ht="19">
      <c r="A33" s="127" t="s">
        <v>1677</v>
      </c>
      <c r="B33" s="127" t="s">
        <v>1680</v>
      </c>
      <c r="C33" s="127" t="s">
        <v>1679</v>
      </c>
      <c r="D33" s="127">
        <v>5.5969999999999999E-2</v>
      </c>
      <c r="E33" s="127">
        <v>0.13270000000000001</v>
      </c>
      <c r="F33" s="127">
        <v>3.1973099999999999</v>
      </c>
      <c r="G33" s="127">
        <v>0.12117</v>
      </c>
      <c r="H33" s="127">
        <v>0.86460000000000004</v>
      </c>
      <c r="I33" s="127">
        <v>109</v>
      </c>
      <c r="J33" s="404" t="s">
        <v>1577</v>
      </c>
    </row>
    <row r="34" spans="1:10" s="127" customFormat="1" ht="19">
      <c r="A34" s="127" t="s">
        <v>74</v>
      </c>
      <c r="B34" s="127" t="s">
        <v>1678</v>
      </c>
      <c r="C34" s="127" t="s">
        <v>1679</v>
      </c>
      <c r="D34" s="127">
        <v>0.35339999999999999</v>
      </c>
      <c r="E34" s="127">
        <v>0.14380000000000001</v>
      </c>
      <c r="F34" s="127">
        <v>2.8540999999999999</v>
      </c>
      <c r="G34" s="127">
        <v>0.1116</v>
      </c>
      <c r="H34" s="127">
        <v>0.92630000000000001</v>
      </c>
      <c r="I34" s="127">
        <v>52</v>
      </c>
      <c r="J34" s="404" t="s">
        <v>1577</v>
      </c>
    </row>
    <row r="35" spans="1:10" s="127" customFormat="1" ht="19">
      <c r="A35" s="127" t="s">
        <v>74</v>
      </c>
      <c r="B35" s="127" t="s">
        <v>1680</v>
      </c>
      <c r="C35" s="127" t="s">
        <v>1679</v>
      </c>
      <c r="D35" s="127">
        <v>0.40820000000000001</v>
      </c>
      <c r="E35" s="127">
        <v>0.1971</v>
      </c>
      <c r="F35" s="127">
        <v>2.8058000000000001</v>
      </c>
      <c r="G35" s="127">
        <v>0.15190000000000001</v>
      </c>
      <c r="H35" s="127">
        <v>0.89980000000000004</v>
      </c>
      <c r="I35" s="127">
        <v>38</v>
      </c>
      <c r="J35" s="404" t="s">
        <v>1577</v>
      </c>
    </row>
    <row r="36" spans="1:10" s="127" customFormat="1" ht="19">
      <c r="A36" s="127" t="s">
        <v>76</v>
      </c>
      <c r="B36" s="127" t="s">
        <v>1678</v>
      </c>
      <c r="C36" s="127" t="s">
        <v>1679</v>
      </c>
      <c r="D36" s="127">
        <v>0.48630000000000001</v>
      </c>
      <c r="E36" s="127">
        <v>0.15040000000000001</v>
      </c>
      <c r="F36" s="127">
        <v>3.2888999999999999</v>
      </c>
      <c r="G36" s="127">
        <v>0.12870000000000001</v>
      </c>
      <c r="H36" s="127">
        <v>0.93820000000000003</v>
      </c>
      <c r="I36" s="127">
        <v>43</v>
      </c>
      <c r="J36" s="404" t="s">
        <v>1577</v>
      </c>
    </row>
    <row r="37" spans="1:10" s="127" customFormat="1" ht="19">
      <c r="A37" s="127" t="s">
        <v>76</v>
      </c>
      <c r="B37" s="127" t="s">
        <v>1680</v>
      </c>
      <c r="C37" s="127" t="s">
        <v>1679</v>
      </c>
      <c r="D37" s="127">
        <v>0.58650000000000002</v>
      </c>
      <c r="E37" s="127">
        <v>0.31130000000000002</v>
      </c>
      <c r="F37" s="127">
        <v>3.1779000000000002</v>
      </c>
      <c r="G37" s="127">
        <v>0.29720000000000002</v>
      </c>
      <c r="H37" s="127">
        <v>0.85119999999999996</v>
      </c>
      <c r="I37" s="127">
        <v>20</v>
      </c>
      <c r="J37" s="404" t="s">
        <v>1577</v>
      </c>
    </row>
    <row r="38" spans="1:10" s="127" customFormat="1" ht="19">
      <c r="A38" s="127" t="s">
        <v>77</v>
      </c>
      <c r="B38" s="127" t="s">
        <v>1678</v>
      </c>
      <c r="C38" s="127" t="s">
        <v>1679</v>
      </c>
      <c r="D38" s="127">
        <v>-0.46110000000000001</v>
      </c>
      <c r="E38" s="127">
        <v>0.10340000000000001</v>
      </c>
      <c r="F38" s="127">
        <v>3.6274999999999999</v>
      </c>
      <c r="G38" s="127">
        <v>0.11</v>
      </c>
      <c r="H38" s="127">
        <v>0.94769999999999999</v>
      </c>
      <c r="I38" s="127">
        <v>60</v>
      </c>
      <c r="J38" s="404" t="s">
        <v>1577</v>
      </c>
    </row>
    <row r="39" spans="1:10" s="127" customFormat="1" ht="19">
      <c r="A39" s="127" t="s">
        <v>77</v>
      </c>
      <c r="B39" s="127" t="s">
        <v>1680</v>
      </c>
      <c r="C39" s="127" t="s">
        <v>1679</v>
      </c>
      <c r="D39" s="127">
        <v>-0.53400000000000003</v>
      </c>
      <c r="E39" s="127">
        <v>0.108</v>
      </c>
      <c r="F39" s="127">
        <v>3.7376</v>
      </c>
      <c r="G39" s="127">
        <v>0.1172</v>
      </c>
      <c r="H39" s="127">
        <v>0.95579999999999998</v>
      </c>
      <c r="I39" s="127">
        <v>47</v>
      </c>
      <c r="J39" s="404" t="s">
        <v>1577</v>
      </c>
    </row>
    <row r="40" spans="1:10" s="127" customFormat="1" ht="19">
      <c r="A40" s="127" t="s">
        <v>80</v>
      </c>
      <c r="B40" s="127" t="s">
        <v>1678</v>
      </c>
      <c r="C40" s="127" t="s">
        <v>1679</v>
      </c>
      <c r="D40" s="127">
        <v>2.6699000000000002</v>
      </c>
      <c r="E40" s="127">
        <v>0.35549999999999998</v>
      </c>
      <c r="F40" s="127">
        <v>1.9336</v>
      </c>
      <c r="G40" s="127">
        <v>0.27039999999999997</v>
      </c>
      <c r="H40" s="127">
        <v>0.58020000000000005</v>
      </c>
      <c r="I40" s="127">
        <v>37</v>
      </c>
      <c r="J40" s="404" t="s">
        <v>1577</v>
      </c>
    </row>
    <row r="41" spans="1:10" s="127" customFormat="1" ht="19">
      <c r="A41" s="127" t="s">
        <v>1677</v>
      </c>
      <c r="B41" s="127" t="s">
        <v>1681</v>
      </c>
      <c r="C41" s="127" t="s">
        <v>1682</v>
      </c>
      <c r="D41" s="127">
        <v>2.0550700000000002</v>
      </c>
      <c r="E41" s="127">
        <v>4.7559999999999998E-2</v>
      </c>
      <c r="F41" s="127">
        <v>2.2321800000000001</v>
      </c>
      <c r="G41" s="127">
        <v>5.11E-2</v>
      </c>
      <c r="H41" s="127">
        <v>0.92579999999999996</v>
      </c>
      <c r="I41" s="127">
        <v>153</v>
      </c>
      <c r="J41" s="404" t="s">
        <v>1577</v>
      </c>
    </row>
    <row r="42" spans="1:10" s="127" customFormat="1" ht="19">
      <c r="A42" s="127" t="s">
        <v>74</v>
      </c>
      <c r="B42" s="127" t="s">
        <v>1683</v>
      </c>
      <c r="C42" s="127" t="s">
        <v>1682</v>
      </c>
      <c r="D42" s="127">
        <v>0.43009999999999998</v>
      </c>
      <c r="E42" s="127">
        <v>0.1716</v>
      </c>
      <c r="F42" s="127">
        <v>3.7471999999999999</v>
      </c>
      <c r="G42" s="127">
        <v>0.17860000000000001</v>
      </c>
      <c r="H42" s="127">
        <v>0.89439999999999997</v>
      </c>
      <c r="I42" s="127">
        <v>52</v>
      </c>
      <c r="J42" s="404" t="s">
        <v>1577</v>
      </c>
    </row>
    <row r="43" spans="1:10" s="127" customFormat="1" ht="19">
      <c r="A43" s="127" t="s">
        <v>76</v>
      </c>
      <c r="B43" s="127" t="s">
        <v>1683</v>
      </c>
      <c r="C43" s="127" t="s">
        <v>1682</v>
      </c>
      <c r="D43" s="401" t="s">
        <v>1457</v>
      </c>
      <c r="E43" s="401" t="s">
        <v>1457</v>
      </c>
      <c r="F43" s="401" t="s">
        <v>1457</v>
      </c>
      <c r="G43" s="401" t="s">
        <v>1457</v>
      </c>
      <c r="H43" s="401" t="s">
        <v>1457</v>
      </c>
      <c r="I43" s="401" t="s">
        <v>1457</v>
      </c>
      <c r="J43" s="407" t="s">
        <v>1457</v>
      </c>
    </row>
    <row r="44" spans="1:10" s="127" customFormat="1" ht="19">
      <c r="A44" s="127" t="s">
        <v>77</v>
      </c>
      <c r="B44" s="127" t="s">
        <v>1683</v>
      </c>
      <c r="C44" s="127" t="s">
        <v>1682</v>
      </c>
      <c r="D44" s="127">
        <v>2.1968399999999999</v>
      </c>
      <c r="E44" s="127">
        <v>5.6559999999999999E-2</v>
      </c>
      <c r="F44" s="127">
        <v>1.92282</v>
      </c>
      <c r="G44" s="127">
        <v>0.11237</v>
      </c>
      <c r="H44" s="127">
        <v>0.82989999999999997</v>
      </c>
      <c r="I44" s="127">
        <v>60</v>
      </c>
      <c r="J44" s="404" t="s">
        <v>1577</v>
      </c>
    </row>
    <row r="45" spans="1:10" s="127" customFormat="1" ht="19">
      <c r="A45" s="127" t="s">
        <v>80</v>
      </c>
      <c r="B45" s="127" t="s">
        <v>1683</v>
      </c>
      <c r="C45" s="127" t="s">
        <v>1682</v>
      </c>
      <c r="D45" s="127">
        <v>3.1042999999999998</v>
      </c>
      <c r="E45" s="127">
        <v>0.50290000000000001</v>
      </c>
      <c r="F45" s="127">
        <v>1.5878000000000001</v>
      </c>
      <c r="G45" s="127">
        <v>0.37890000000000001</v>
      </c>
      <c r="H45" s="127">
        <v>0.32179999999999997</v>
      </c>
      <c r="I45" s="127">
        <v>37</v>
      </c>
      <c r="J45" s="404" t="s">
        <v>1577</v>
      </c>
    </row>
    <row r="46" spans="1:10" s="127" customFormat="1" ht="19">
      <c r="A46" s="127" t="s">
        <v>1677</v>
      </c>
      <c r="B46" s="127" t="s">
        <v>1684</v>
      </c>
      <c r="C46" s="127" t="s">
        <v>1685</v>
      </c>
      <c r="D46" s="127">
        <v>2.5894499999999998</v>
      </c>
      <c r="E46" s="127">
        <v>7.7289999999999998E-2</v>
      </c>
      <c r="F46" s="127">
        <v>2.2015600000000002</v>
      </c>
      <c r="G46" s="127">
        <v>8.3640000000000006E-2</v>
      </c>
      <c r="H46" s="127">
        <v>0.88390000000000002</v>
      </c>
      <c r="I46" s="127">
        <v>91</v>
      </c>
      <c r="J46" s="404" t="s">
        <v>1577</v>
      </c>
    </row>
    <row r="47" spans="1:10" s="127" customFormat="1" ht="19">
      <c r="A47" s="127" t="s">
        <v>74</v>
      </c>
      <c r="B47" s="127" t="s">
        <v>1684</v>
      </c>
      <c r="C47" s="127" t="s">
        <v>1685</v>
      </c>
      <c r="D47" s="127">
        <v>2.3138999999999998</v>
      </c>
      <c r="E47" s="127">
        <v>0.18629999999999999</v>
      </c>
      <c r="F47" s="127">
        <v>2.6187999999999998</v>
      </c>
      <c r="G47" s="127">
        <v>0.28060000000000002</v>
      </c>
      <c r="H47" s="127">
        <v>0.63060000000000005</v>
      </c>
      <c r="I47" s="127">
        <v>51</v>
      </c>
      <c r="J47" s="404" t="s">
        <v>1577</v>
      </c>
    </row>
    <row r="48" spans="1:10" s="127" customFormat="1" ht="19">
      <c r="A48" s="127" t="s">
        <v>76</v>
      </c>
      <c r="B48" s="127" t="s">
        <v>1684</v>
      </c>
      <c r="C48" s="127" t="s">
        <v>1685</v>
      </c>
      <c r="D48" s="401" t="s">
        <v>1457</v>
      </c>
      <c r="E48" s="401" t="s">
        <v>1457</v>
      </c>
      <c r="F48" s="401" t="s">
        <v>1457</v>
      </c>
      <c r="G48" s="401" t="s">
        <v>1457</v>
      </c>
      <c r="H48" s="401" t="s">
        <v>1457</v>
      </c>
      <c r="I48" s="401" t="s">
        <v>1457</v>
      </c>
      <c r="J48" s="407" t="s">
        <v>1457</v>
      </c>
    </row>
    <row r="49" spans="1:10" s="127" customFormat="1" ht="19">
      <c r="A49" s="127" t="s">
        <v>77</v>
      </c>
      <c r="B49" s="127" t="s">
        <v>1684</v>
      </c>
      <c r="C49" s="127" t="s">
        <v>1685</v>
      </c>
      <c r="D49" s="401" t="s">
        <v>1457</v>
      </c>
      <c r="E49" s="401" t="s">
        <v>1457</v>
      </c>
      <c r="F49" s="401" t="s">
        <v>1457</v>
      </c>
      <c r="G49" s="401" t="s">
        <v>1457</v>
      </c>
      <c r="H49" s="401" t="s">
        <v>1457</v>
      </c>
      <c r="I49" s="401" t="s">
        <v>1457</v>
      </c>
      <c r="J49" s="407" t="s">
        <v>1457</v>
      </c>
    </row>
    <row r="50" spans="1:10" s="127" customFormat="1" ht="19">
      <c r="A50" s="127" t="s">
        <v>80</v>
      </c>
      <c r="B50" s="127" t="s">
        <v>1684</v>
      </c>
      <c r="C50" s="127" t="s">
        <v>1685</v>
      </c>
      <c r="D50" s="127">
        <v>3.9346999999999999</v>
      </c>
      <c r="E50" s="127">
        <v>0.36630000000000001</v>
      </c>
      <c r="F50" s="127">
        <v>1.0682</v>
      </c>
      <c r="G50" s="127">
        <v>0.30630000000000002</v>
      </c>
      <c r="H50" s="127">
        <v>0.24740000000000001</v>
      </c>
      <c r="I50" s="127">
        <v>37</v>
      </c>
      <c r="J50" s="404" t="s">
        <v>1686</v>
      </c>
    </row>
    <row r="51" spans="1:10" s="127" customFormat="1" ht="19">
      <c r="A51" s="127" t="s">
        <v>1677</v>
      </c>
      <c r="B51" s="127" t="s">
        <v>1687</v>
      </c>
      <c r="C51" s="127" t="s">
        <v>1688</v>
      </c>
      <c r="D51" s="127">
        <v>0.75339999999999996</v>
      </c>
      <c r="E51" s="127">
        <v>0.1207</v>
      </c>
      <c r="F51" s="127">
        <v>3.3988</v>
      </c>
      <c r="G51" s="127">
        <v>0.1235</v>
      </c>
      <c r="H51" s="127">
        <v>0.79279999999999995</v>
      </c>
      <c r="I51" s="127">
        <v>198</v>
      </c>
      <c r="J51" s="404" t="s">
        <v>1577</v>
      </c>
    </row>
    <row r="52" spans="1:10" s="127" customFormat="1" ht="19">
      <c r="A52" s="127" t="s">
        <v>74</v>
      </c>
      <c r="B52" s="127" t="s">
        <v>1687</v>
      </c>
      <c r="C52" s="127" t="s">
        <v>1688</v>
      </c>
      <c r="D52" s="127">
        <v>0.5544</v>
      </c>
      <c r="E52" s="127">
        <v>0.2031</v>
      </c>
      <c r="F52" s="127">
        <v>3.3176999999999999</v>
      </c>
      <c r="G52" s="127">
        <v>0.19389999999999999</v>
      </c>
      <c r="H52" s="127">
        <v>0.84909999999999997</v>
      </c>
      <c r="I52" s="127">
        <v>52</v>
      </c>
      <c r="J52" s="404" t="s">
        <v>1577</v>
      </c>
    </row>
    <row r="53" spans="1:10" s="127" customFormat="1" ht="19">
      <c r="A53" s="127" t="s">
        <v>76</v>
      </c>
      <c r="B53" s="127" t="s">
        <v>1687</v>
      </c>
      <c r="C53" s="127" t="s">
        <v>1688</v>
      </c>
      <c r="D53" s="127">
        <v>0.93559999999999999</v>
      </c>
      <c r="E53" s="127">
        <v>0.13070000000000001</v>
      </c>
      <c r="F53" s="127">
        <v>3.0129000000000001</v>
      </c>
      <c r="G53" s="127">
        <v>0.1158</v>
      </c>
      <c r="H53" s="127">
        <v>0.94020000000000004</v>
      </c>
      <c r="I53" s="127">
        <v>43</v>
      </c>
      <c r="J53" s="404" t="s">
        <v>1577</v>
      </c>
    </row>
    <row r="54" spans="1:10" s="127" customFormat="1" ht="19">
      <c r="A54" s="127" t="s">
        <v>77</v>
      </c>
      <c r="B54" s="127" t="s">
        <v>1687</v>
      </c>
      <c r="C54" s="127" t="s">
        <v>1688</v>
      </c>
      <c r="D54" s="127">
        <v>0.89363000000000004</v>
      </c>
      <c r="E54" s="127">
        <v>6.8210000000000007E-2</v>
      </c>
      <c r="F54" s="127">
        <v>3.0175299999999998</v>
      </c>
      <c r="G54" s="127">
        <v>9.7600000000000006E-2</v>
      </c>
      <c r="H54" s="127">
        <v>0.94089999999999996</v>
      </c>
      <c r="I54" s="127">
        <v>60</v>
      </c>
      <c r="J54" s="404" t="s">
        <v>1577</v>
      </c>
    </row>
    <row r="55" spans="1:10" s="127" customFormat="1" ht="19">
      <c r="A55" s="127" t="s">
        <v>80</v>
      </c>
      <c r="B55" s="127" t="s">
        <v>1687</v>
      </c>
      <c r="C55" s="127" t="s">
        <v>1688</v>
      </c>
      <c r="D55" s="127">
        <v>3.5564</v>
      </c>
      <c r="E55" s="127">
        <v>0.20150000000000001</v>
      </c>
      <c r="F55" s="127">
        <v>1.5587</v>
      </c>
      <c r="G55" s="127">
        <v>0.1895</v>
      </c>
      <c r="H55" s="127">
        <v>0.64649999999999996</v>
      </c>
      <c r="I55" s="127">
        <v>37</v>
      </c>
      <c r="J55" s="404" t="s">
        <v>1577</v>
      </c>
    </row>
    <row r="56" spans="1:10" s="127" customFormat="1" ht="19">
      <c r="A56" s="127" t="s">
        <v>1677</v>
      </c>
      <c r="B56" s="127" t="s">
        <v>1689</v>
      </c>
      <c r="C56" s="127" t="s">
        <v>1690</v>
      </c>
      <c r="D56" s="127">
        <v>2.4075000000000002</v>
      </c>
      <c r="E56" s="127">
        <v>0.1132</v>
      </c>
      <c r="F56" s="127">
        <v>1.9327000000000001</v>
      </c>
      <c r="G56" s="127">
        <v>0.12709999999999999</v>
      </c>
      <c r="H56" s="127">
        <v>0.53749999999999998</v>
      </c>
      <c r="I56" s="127">
        <v>199</v>
      </c>
      <c r="J56" s="404" t="s">
        <v>1577</v>
      </c>
    </row>
    <row r="57" spans="1:10" s="127" customFormat="1" ht="19">
      <c r="A57" s="127" t="s">
        <v>74</v>
      </c>
      <c r="B57" s="127" t="s">
        <v>1689</v>
      </c>
      <c r="C57" s="127" t="s">
        <v>1690</v>
      </c>
      <c r="D57" s="127">
        <v>1.4669000000000001</v>
      </c>
      <c r="E57" s="127">
        <v>0.13120000000000001</v>
      </c>
      <c r="F57" s="127">
        <v>2.5447000000000002</v>
      </c>
      <c r="G57" s="127">
        <v>0.12970000000000001</v>
      </c>
      <c r="H57" s="127">
        <v>0.88090000000000002</v>
      </c>
      <c r="I57" s="127">
        <v>52</v>
      </c>
      <c r="J57" s="404" t="s">
        <v>1577</v>
      </c>
    </row>
    <row r="58" spans="1:10" s="127" customFormat="1" ht="19">
      <c r="A58" s="127" t="s">
        <v>76</v>
      </c>
      <c r="B58" s="127" t="s">
        <v>1689</v>
      </c>
      <c r="C58" s="127" t="s">
        <v>1690</v>
      </c>
      <c r="D58" s="127">
        <v>2.6454</v>
      </c>
      <c r="E58" s="127">
        <v>0.14299999999999999</v>
      </c>
      <c r="F58" s="127">
        <v>3.5844999999999998</v>
      </c>
      <c r="G58" s="127">
        <v>0.2944</v>
      </c>
      <c r="H58" s="127">
        <v>0.77510000000000001</v>
      </c>
      <c r="I58" s="127">
        <v>43</v>
      </c>
      <c r="J58" s="404" t="s">
        <v>1577</v>
      </c>
    </row>
    <row r="59" spans="1:10" s="127" customFormat="1" ht="19">
      <c r="A59" s="127" t="s">
        <v>77</v>
      </c>
      <c r="B59" s="127" t="s">
        <v>1689</v>
      </c>
      <c r="C59" s="127" t="s">
        <v>1690</v>
      </c>
      <c r="D59" s="127">
        <v>1.7086600000000001</v>
      </c>
      <c r="E59" s="127">
        <v>8.0159999999999995E-2</v>
      </c>
      <c r="F59" s="127">
        <v>2.0274700000000001</v>
      </c>
      <c r="G59" s="127">
        <v>0.12024</v>
      </c>
      <c r="H59" s="127">
        <v>0.82569999999999999</v>
      </c>
      <c r="I59" s="127">
        <v>60</v>
      </c>
      <c r="J59" s="404" t="s">
        <v>1577</v>
      </c>
    </row>
    <row r="60" spans="1:10" s="127" customFormat="1" ht="19">
      <c r="A60" s="127" t="s">
        <v>80</v>
      </c>
      <c r="B60" s="127" t="s">
        <v>1689</v>
      </c>
      <c r="C60" s="127" t="s">
        <v>1690</v>
      </c>
      <c r="D60" s="127">
        <v>3.0836000000000001</v>
      </c>
      <c r="E60" s="127">
        <v>0.42770000000000002</v>
      </c>
      <c r="F60" s="127">
        <v>1.6578999999999999</v>
      </c>
      <c r="G60" s="127">
        <v>0.33239999999999997</v>
      </c>
      <c r="H60" s="127">
        <v>0.3957</v>
      </c>
      <c r="I60" s="127">
        <v>38</v>
      </c>
      <c r="J60" s="404" t="s">
        <v>1577</v>
      </c>
    </row>
    <row r="61" spans="1:10" s="127" customFormat="1" ht="19">
      <c r="A61" s="127" t="s">
        <v>1677</v>
      </c>
      <c r="B61" s="127" t="s">
        <v>1691</v>
      </c>
      <c r="C61" s="127" t="s">
        <v>1692</v>
      </c>
      <c r="D61" s="127">
        <v>2.3845900000000002</v>
      </c>
      <c r="E61" s="127">
        <v>7.3160000000000003E-2</v>
      </c>
      <c r="F61" s="127">
        <v>1.9922899999999999</v>
      </c>
      <c r="G61" s="127">
        <v>6.5949999999999995E-2</v>
      </c>
      <c r="H61" s="127">
        <v>0.90390000000000004</v>
      </c>
      <c r="I61" s="127">
        <v>97</v>
      </c>
      <c r="J61" s="404" t="s">
        <v>1577</v>
      </c>
    </row>
    <row r="62" spans="1:10" s="127" customFormat="1" ht="19">
      <c r="A62" s="127" t="s">
        <v>74</v>
      </c>
      <c r="B62" s="127" t="s">
        <v>1691</v>
      </c>
      <c r="C62" s="127" t="s">
        <v>1692</v>
      </c>
      <c r="D62" s="127">
        <v>1.2868999999999999</v>
      </c>
      <c r="E62" s="127">
        <v>0.1807</v>
      </c>
      <c r="F62" s="127">
        <v>3.4129999999999998</v>
      </c>
      <c r="G62" s="127">
        <v>0.2243</v>
      </c>
      <c r="H62" s="127">
        <v>0.8165</v>
      </c>
      <c r="I62" s="127">
        <v>52</v>
      </c>
      <c r="J62" s="404" t="s">
        <v>1577</v>
      </c>
    </row>
    <row r="63" spans="1:10" s="127" customFormat="1" ht="19">
      <c r="A63" s="127" t="s">
        <v>76</v>
      </c>
      <c r="B63" s="127" t="s">
        <v>1691</v>
      </c>
      <c r="C63" s="127" t="s">
        <v>1692</v>
      </c>
      <c r="D63" s="401" t="s">
        <v>1457</v>
      </c>
      <c r="E63" s="401" t="s">
        <v>1457</v>
      </c>
      <c r="F63" s="401" t="s">
        <v>1457</v>
      </c>
      <c r="G63" s="401" t="s">
        <v>1457</v>
      </c>
      <c r="H63" s="401" t="s">
        <v>1457</v>
      </c>
      <c r="I63" s="401" t="s">
        <v>1457</v>
      </c>
      <c r="J63" s="407" t="s">
        <v>1457</v>
      </c>
    </row>
    <row r="64" spans="1:10" s="127" customFormat="1" ht="18">
      <c r="A64" s="127" t="s">
        <v>77</v>
      </c>
      <c r="B64" s="127" t="s">
        <v>1691</v>
      </c>
      <c r="C64" s="127" t="s">
        <v>1692</v>
      </c>
      <c r="D64" s="127">
        <v>1.623</v>
      </c>
      <c r="E64" s="127">
        <v>1.3</v>
      </c>
      <c r="F64" s="127">
        <v>3.0779999999999998</v>
      </c>
      <c r="G64" s="127">
        <v>1.988</v>
      </c>
      <c r="H64" s="127">
        <v>0.54520000000000002</v>
      </c>
      <c r="I64" s="127">
        <v>2</v>
      </c>
      <c r="J64" s="407">
        <v>0.2616</v>
      </c>
    </row>
    <row r="65" spans="1:10" s="127" customFormat="1" ht="19">
      <c r="A65" s="127" t="s">
        <v>80</v>
      </c>
      <c r="B65" s="127" t="s">
        <v>1691</v>
      </c>
      <c r="C65" s="127" t="s">
        <v>1692</v>
      </c>
      <c r="D65" s="127">
        <v>3.7099000000000002</v>
      </c>
      <c r="E65" s="127">
        <v>0.43830000000000002</v>
      </c>
      <c r="F65" s="127">
        <v>1.0448999999999999</v>
      </c>
      <c r="G65" s="127">
        <v>0.30420000000000003</v>
      </c>
      <c r="H65" s="127">
        <v>0.23219999999999999</v>
      </c>
      <c r="I65" s="127">
        <v>39</v>
      </c>
      <c r="J65" s="404" t="s">
        <v>1686</v>
      </c>
    </row>
    <row r="66" spans="1:10" s="127" customFormat="1" ht="19">
      <c r="A66" s="127" t="s">
        <v>1677</v>
      </c>
      <c r="B66" s="127" t="s">
        <v>1693</v>
      </c>
      <c r="C66" s="127" t="s">
        <v>1694</v>
      </c>
      <c r="D66" s="127">
        <v>2.4199999999999999E-2</v>
      </c>
      <c r="E66" s="127">
        <v>0.1757</v>
      </c>
      <c r="F66" s="127">
        <v>2.5173000000000001</v>
      </c>
      <c r="G66" s="127">
        <v>0.1125</v>
      </c>
      <c r="H66" s="127">
        <v>0.86680000000000001</v>
      </c>
      <c r="I66" s="127">
        <v>77</v>
      </c>
      <c r="J66" s="404" t="s">
        <v>1577</v>
      </c>
    </row>
    <row r="67" spans="1:10" s="127" customFormat="1" ht="19">
      <c r="A67" s="127" t="s">
        <v>74</v>
      </c>
      <c r="B67" s="127" t="s">
        <v>1693</v>
      </c>
      <c r="C67" s="127" t="s">
        <v>1694</v>
      </c>
      <c r="D67" s="127">
        <v>-0.52280000000000004</v>
      </c>
      <c r="E67" s="127">
        <v>0.16569999999999999</v>
      </c>
      <c r="F67" s="127">
        <v>2.8264</v>
      </c>
      <c r="G67" s="127">
        <v>0.1046</v>
      </c>
      <c r="H67" s="127">
        <v>0.96179999999999999</v>
      </c>
      <c r="I67" s="127">
        <v>29</v>
      </c>
      <c r="J67" s="404" t="s">
        <v>1577</v>
      </c>
    </row>
    <row r="68" spans="1:10" s="127" customFormat="1" ht="19">
      <c r="A68" s="127" t="s">
        <v>76</v>
      </c>
      <c r="B68" s="127" t="s">
        <v>1693</v>
      </c>
      <c r="C68" s="127" t="s">
        <v>1694</v>
      </c>
      <c r="D68" s="127">
        <v>-0.81899999999999995</v>
      </c>
      <c r="E68" s="127">
        <v>0.40989999999999999</v>
      </c>
      <c r="F68" s="127">
        <v>2.9647999999999999</v>
      </c>
      <c r="G68" s="127">
        <v>0.24529999999999999</v>
      </c>
      <c r="H68" s="127">
        <v>0.87960000000000005</v>
      </c>
      <c r="I68" s="127">
        <v>20</v>
      </c>
      <c r="J68" s="404" t="s">
        <v>1577</v>
      </c>
    </row>
    <row r="69" spans="1:10" s="127" customFormat="1" ht="19">
      <c r="A69" s="127" t="s">
        <v>77</v>
      </c>
      <c r="B69" s="127" t="s">
        <v>1693</v>
      </c>
      <c r="C69" s="127" t="s">
        <v>1694</v>
      </c>
      <c r="D69" s="127">
        <v>0.81310000000000004</v>
      </c>
      <c r="E69" s="127">
        <v>0.35520000000000002</v>
      </c>
      <c r="F69" s="127">
        <v>1.9765999999999999</v>
      </c>
      <c r="G69" s="127">
        <v>0.26919999999999999</v>
      </c>
      <c r="H69" s="127">
        <v>0.73939999999999995</v>
      </c>
      <c r="I69" s="127">
        <v>19</v>
      </c>
      <c r="J69" s="404" t="s">
        <v>1577</v>
      </c>
    </row>
    <row r="70" spans="1:10" s="127" customFormat="1" ht="18">
      <c r="A70" s="127" t="s">
        <v>80</v>
      </c>
      <c r="B70" s="127" t="s">
        <v>1693</v>
      </c>
      <c r="C70" s="127" t="s">
        <v>1694</v>
      </c>
      <c r="D70" s="127">
        <v>2.4664999999999999</v>
      </c>
      <c r="E70" s="127">
        <v>1.3765000000000001</v>
      </c>
      <c r="F70" s="127">
        <v>1.4389000000000001</v>
      </c>
      <c r="G70" s="127">
        <v>0.74670000000000003</v>
      </c>
      <c r="H70" s="127">
        <v>0.55310000000000004</v>
      </c>
      <c r="I70" s="127">
        <v>3</v>
      </c>
      <c r="J70" s="404">
        <v>0.14960000000000001</v>
      </c>
    </row>
    <row r="71" spans="1:10" s="127" customFormat="1" ht="19">
      <c r="A71" s="127" t="s">
        <v>1677</v>
      </c>
      <c r="B71" s="127" t="s">
        <v>1695</v>
      </c>
      <c r="C71" s="127" t="s">
        <v>1696</v>
      </c>
      <c r="D71" s="127">
        <v>4.0500000000000001E-2</v>
      </c>
      <c r="E71" s="127">
        <v>6.6320000000000004E-2</v>
      </c>
      <c r="F71" s="127">
        <v>2.6829900000000002</v>
      </c>
      <c r="G71" s="127">
        <v>4.7070000000000001E-2</v>
      </c>
      <c r="H71" s="127">
        <v>0.97130000000000005</v>
      </c>
      <c r="I71" s="127">
        <v>96</v>
      </c>
      <c r="J71" s="404" t="s">
        <v>1577</v>
      </c>
    </row>
    <row r="72" spans="1:10" s="127" customFormat="1" ht="19">
      <c r="A72" s="127" t="s">
        <v>74</v>
      </c>
      <c r="B72" s="127" t="s">
        <v>1695</v>
      </c>
      <c r="C72" s="127" t="s">
        <v>1696</v>
      </c>
      <c r="D72" s="127">
        <v>0.10829999999999999</v>
      </c>
      <c r="E72" s="127">
        <v>0.16800000000000001</v>
      </c>
      <c r="F72" s="127">
        <v>2.6819000000000002</v>
      </c>
      <c r="G72" s="127">
        <v>0.1169</v>
      </c>
      <c r="H72" s="127">
        <v>0.94269999999999998</v>
      </c>
      <c r="I72" s="127">
        <v>32</v>
      </c>
      <c r="J72" s="404" t="s">
        <v>1577</v>
      </c>
    </row>
    <row r="73" spans="1:10" s="127" customFormat="1" ht="19">
      <c r="A73" s="127" t="s">
        <v>76</v>
      </c>
      <c r="B73" s="127" t="s">
        <v>1695</v>
      </c>
      <c r="C73" s="127" t="s">
        <v>1696</v>
      </c>
      <c r="D73" s="127">
        <v>0.21379999999999999</v>
      </c>
      <c r="E73" s="127">
        <v>0.19309999999999999</v>
      </c>
      <c r="F73" s="127">
        <v>2.5861000000000001</v>
      </c>
      <c r="G73" s="127">
        <v>0.128</v>
      </c>
      <c r="H73" s="127">
        <v>0.94450000000000001</v>
      </c>
      <c r="I73" s="127">
        <v>24</v>
      </c>
      <c r="J73" s="404" t="s">
        <v>1577</v>
      </c>
    </row>
    <row r="74" spans="1:10" s="127" customFormat="1" ht="19">
      <c r="A74" s="127" t="s">
        <v>77</v>
      </c>
      <c r="B74" s="127" t="s">
        <v>1695</v>
      </c>
      <c r="C74" s="127" t="s">
        <v>1696</v>
      </c>
      <c r="D74" s="127">
        <v>0.15426000000000001</v>
      </c>
      <c r="E74" s="127">
        <v>7.2720000000000007E-2</v>
      </c>
      <c r="F74" s="127">
        <v>2.5146700000000002</v>
      </c>
      <c r="G74" s="127">
        <v>6.1120000000000001E-2</v>
      </c>
      <c r="H74" s="127">
        <v>0.98199999999999998</v>
      </c>
      <c r="I74" s="127">
        <v>31</v>
      </c>
      <c r="J74" s="404" t="s">
        <v>1577</v>
      </c>
    </row>
    <row r="75" spans="1:10" s="127" customFormat="1" ht="19">
      <c r="A75" s="127" t="s">
        <v>80</v>
      </c>
      <c r="B75" s="127" t="s">
        <v>1695</v>
      </c>
      <c r="C75" s="127" t="s">
        <v>1696</v>
      </c>
      <c r="D75" s="127">
        <v>2.2917000000000001</v>
      </c>
      <c r="E75" s="127">
        <v>0.87690000000000001</v>
      </c>
      <c r="F75" s="127">
        <v>1.4737</v>
      </c>
      <c r="G75" s="127">
        <v>0.45700000000000002</v>
      </c>
      <c r="H75" s="127">
        <v>0.77610000000000001</v>
      </c>
      <c r="I75" s="127">
        <v>3</v>
      </c>
      <c r="J75" s="404" t="s">
        <v>1697</v>
      </c>
    </row>
    <row r="76" spans="1:10" s="127" customFormat="1" ht="19">
      <c r="A76" s="127" t="s">
        <v>1677</v>
      </c>
      <c r="B76" s="127" t="s">
        <v>1698</v>
      </c>
      <c r="C76" s="127" t="s">
        <v>1699</v>
      </c>
      <c r="D76" s="127">
        <v>1.2345900000000001</v>
      </c>
      <c r="E76" s="127">
        <v>4.6629999999999998E-2</v>
      </c>
      <c r="F76" s="127">
        <v>2.5584099999999999</v>
      </c>
      <c r="G76" s="127">
        <v>4.5469999999999997E-2</v>
      </c>
      <c r="H76" s="127">
        <v>0.97060000000000002</v>
      </c>
      <c r="I76" s="127">
        <v>96</v>
      </c>
      <c r="J76" s="404" t="s">
        <v>1577</v>
      </c>
    </row>
    <row r="77" spans="1:10" s="127" customFormat="1" ht="19">
      <c r="A77" s="127" t="s">
        <v>74</v>
      </c>
      <c r="B77" s="127" t="s">
        <v>1698</v>
      </c>
      <c r="C77" s="127" t="s">
        <v>1699</v>
      </c>
      <c r="D77" s="127">
        <v>1.2166999999999999</v>
      </c>
      <c r="E77" s="127">
        <v>0.1172</v>
      </c>
      <c r="F77" s="127">
        <v>2.5886</v>
      </c>
      <c r="G77" s="127">
        <v>0.11</v>
      </c>
      <c r="H77" s="127">
        <v>0.94540000000000002</v>
      </c>
      <c r="I77" s="127">
        <v>32</v>
      </c>
      <c r="J77" s="404" t="s">
        <v>1577</v>
      </c>
    </row>
    <row r="78" spans="1:10" s="127" customFormat="1" ht="19">
      <c r="A78" s="127" t="s">
        <v>76</v>
      </c>
      <c r="B78" s="127" t="s">
        <v>1698</v>
      </c>
      <c r="C78" s="127" t="s">
        <v>1699</v>
      </c>
      <c r="D78" s="127">
        <v>1.2134</v>
      </c>
      <c r="E78" s="127">
        <v>0.1489</v>
      </c>
      <c r="F78" s="127">
        <v>2.5908000000000002</v>
      </c>
      <c r="G78" s="127">
        <v>0.13239999999999999</v>
      </c>
      <c r="H78" s="127">
        <v>0.94099999999999995</v>
      </c>
      <c r="I78" s="127">
        <v>24</v>
      </c>
      <c r="J78" s="404" t="s">
        <v>1577</v>
      </c>
    </row>
    <row r="79" spans="1:10" s="127" customFormat="1" ht="19">
      <c r="A79" s="127" t="s">
        <v>77</v>
      </c>
      <c r="B79" s="127" t="s">
        <v>1698</v>
      </c>
      <c r="C79" s="127" t="s">
        <v>1699</v>
      </c>
      <c r="D79" s="127">
        <v>1.2925199999999999</v>
      </c>
      <c r="E79" s="127">
        <v>7.0879999999999999E-2</v>
      </c>
      <c r="F79" s="127">
        <v>2.4410099999999999</v>
      </c>
      <c r="G79" s="127">
        <v>9.0939999999999993E-2</v>
      </c>
      <c r="H79" s="127">
        <v>0.95879999999999999</v>
      </c>
      <c r="I79" s="127">
        <v>31</v>
      </c>
      <c r="J79" s="404" t="s">
        <v>1577</v>
      </c>
    </row>
    <row r="80" spans="1:10" s="127" customFormat="1" ht="19">
      <c r="A80" s="127" t="s">
        <v>80</v>
      </c>
      <c r="B80" s="127" t="s">
        <v>1698</v>
      </c>
      <c r="C80" s="127" t="s">
        <v>1699</v>
      </c>
      <c r="D80" s="127">
        <v>3.3308</v>
      </c>
      <c r="E80" s="127">
        <v>0.58879999999999999</v>
      </c>
      <c r="F80" s="127">
        <v>1.1796</v>
      </c>
      <c r="G80" s="127">
        <v>0.38790000000000002</v>
      </c>
      <c r="H80" s="127">
        <v>0.755</v>
      </c>
      <c r="I80" s="127">
        <v>3</v>
      </c>
      <c r="J80" s="404" t="s">
        <v>1697</v>
      </c>
    </row>
    <row r="81" spans="1:10" s="127" customFormat="1" ht="19">
      <c r="A81" s="127" t="s">
        <v>1677</v>
      </c>
      <c r="B81" s="127" t="s">
        <v>1700</v>
      </c>
      <c r="C81" s="127" t="s">
        <v>1155</v>
      </c>
      <c r="D81" s="127">
        <v>-1.9390000000000001</v>
      </c>
      <c r="E81" s="127">
        <v>0.22459999999999999</v>
      </c>
      <c r="F81" s="127">
        <v>2.7168000000000001</v>
      </c>
      <c r="G81" s="127">
        <v>0.10630000000000001</v>
      </c>
      <c r="H81" s="127">
        <v>0.87429999999999997</v>
      </c>
      <c r="I81" s="127">
        <v>94</v>
      </c>
      <c r="J81" s="404" t="s">
        <v>1577</v>
      </c>
    </row>
    <row r="82" spans="1:10" s="127" customFormat="1" ht="19">
      <c r="A82" s="127" t="s">
        <v>74</v>
      </c>
      <c r="B82" s="127" t="s">
        <v>1700</v>
      </c>
      <c r="C82" s="127" t="s">
        <v>1155</v>
      </c>
      <c r="D82" s="127">
        <v>-2.984</v>
      </c>
      <c r="E82" s="127">
        <v>0.3322</v>
      </c>
      <c r="F82" s="127">
        <v>3.1040999999999999</v>
      </c>
      <c r="G82" s="127">
        <v>0.1487</v>
      </c>
      <c r="H82" s="127">
        <v>0.93159999999999998</v>
      </c>
      <c r="I82" s="127">
        <v>32</v>
      </c>
      <c r="J82" s="404" t="s">
        <v>1577</v>
      </c>
    </row>
    <row r="83" spans="1:10" s="127" customFormat="1" ht="19">
      <c r="A83" s="127" t="s">
        <v>76</v>
      </c>
      <c r="B83" s="127" t="s">
        <v>1700</v>
      </c>
      <c r="C83" s="127" t="s">
        <v>1155</v>
      </c>
      <c r="D83" s="127">
        <v>-3.4902000000000002</v>
      </c>
      <c r="E83" s="127">
        <v>0.72899999999999998</v>
      </c>
      <c r="F83" s="127">
        <v>3.4104999999999999</v>
      </c>
      <c r="G83" s="127">
        <v>0.32790000000000002</v>
      </c>
      <c r="H83" s="127">
        <v>0.81850000000000001</v>
      </c>
      <c r="I83" s="127">
        <v>24</v>
      </c>
      <c r="J83" s="404" t="s">
        <v>1577</v>
      </c>
    </row>
    <row r="84" spans="1:10" s="127" customFormat="1" ht="19">
      <c r="A84" s="127" t="s">
        <v>77</v>
      </c>
      <c r="B84" s="127" t="s">
        <v>1700</v>
      </c>
      <c r="C84" s="127" t="s">
        <v>1155</v>
      </c>
      <c r="D84" s="127">
        <v>-2.4550000000000001</v>
      </c>
      <c r="E84" s="127">
        <v>0.38850000000000001</v>
      </c>
      <c r="F84" s="127">
        <v>3.0754999999999999</v>
      </c>
      <c r="G84" s="127">
        <v>0.215</v>
      </c>
      <c r="H84" s="127">
        <v>0.87590000000000001</v>
      </c>
      <c r="I84" s="127">
        <v>29</v>
      </c>
      <c r="J84" s="404" t="s">
        <v>1577</v>
      </c>
    </row>
    <row r="85" spans="1:10" s="127" customFormat="1" ht="19">
      <c r="A85" s="127" t="s">
        <v>80</v>
      </c>
      <c r="B85" s="127" t="s">
        <v>1700</v>
      </c>
      <c r="C85" s="127" t="s">
        <v>1155</v>
      </c>
      <c r="D85" s="127">
        <v>-0.94699999999999995</v>
      </c>
      <c r="E85" s="127">
        <v>0.79069999999999996</v>
      </c>
      <c r="F85" s="127">
        <v>2.5158</v>
      </c>
      <c r="G85" s="127">
        <v>0.32800000000000001</v>
      </c>
      <c r="H85" s="127">
        <v>0.95150000000000001</v>
      </c>
      <c r="I85" s="127">
        <v>3</v>
      </c>
      <c r="J85" s="404" t="s">
        <v>1686</v>
      </c>
    </row>
    <row r="86" spans="1:10" s="127" customFormat="1" ht="19">
      <c r="A86" s="127" t="s">
        <v>1677</v>
      </c>
      <c r="B86" s="127" t="s">
        <v>1701</v>
      </c>
      <c r="C86" s="127" t="s">
        <v>106</v>
      </c>
      <c r="D86" s="127">
        <v>-1.8338300000000001</v>
      </c>
      <c r="E86" s="127">
        <v>0.14476</v>
      </c>
      <c r="F86" s="127">
        <v>2.6682999999999999</v>
      </c>
      <c r="G86" s="127">
        <v>6.8659999999999999E-2</v>
      </c>
      <c r="H86" s="127">
        <v>0.94020000000000004</v>
      </c>
      <c r="I86" s="127">
        <v>96</v>
      </c>
      <c r="J86" s="404" t="s">
        <v>1577</v>
      </c>
    </row>
    <row r="87" spans="1:10" s="127" customFormat="1" ht="19">
      <c r="A87" s="127" t="s">
        <v>74</v>
      </c>
      <c r="B87" s="127" t="s">
        <v>1701</v>
      </c>
      <c r="C87" s="127" t="s">
        <v>106</v>
      </c>
      <c r="D87" s="127">
        <v>-2.8090999999999999</v>
      </c>
      <c r="E87" s="127">
        <v>0.24740000000000001</v>
      </c>
      <c r="F87" s="127">
        <v>3.0663</v>
      </c>
      <c r="G87" s="127">
        <v>0.11219999999999999</v>
      </c>
      <c r="H87" s="127">
        <v>0.95889999999999997</v>
      </c>
      <c r="I87" s="127">
        <v>32</v>
      </c>
      <c r="J87" s="404" t="s">
        <v>1577</v>
      </c>
    </row>
    <row r="88" spans="1:10" s="127" customFormat="1" ht="19">
      <c r="A88" s="127" t="s">
        <v>76</v>
      </c>
      <c r="B88" s="127" t="s">
        <v>1701</v>
      </c>
      <c r="C88" s="127" t="s">
        <v>106</v>
      </c>
      <c r="D88" s="127">
        <v>-2.9281999999999999</v>
      </c>
      <c r="E88" s="127">
        <v>0.56659999999999999</v>
      </c>
      <c r="F88" s="127">
        <v>3.14</v>
      </c>
      <c r="G88" s="127">
        <v>0.25330000000000003</v>
      </c>
      <c r="H88" s="127">
        <v>0.8649</v>
      </c>
      <c r="I88" s="127">
        <v>24</v>
      </c>
      <c r="J88" s="404" t="s">
        <v>1577</v>
      </c>
    </row>
    <row r="89" spans="1:10" s="127" customFormat="1" ht="19">
      <c r="A89" s="127" t="s">
        <v>77</v>
      </c>
      <c r="B89" s="127" t="s">
        <v>1701</v>
      </c>
      <c r="C89" s="127" t="s">
        <v>106</v>
      </c>
      <c r="D89" s="127">
        <v>-2.1541999999999999</v>
      </c>
      <c r="E89" s="127">
        <v>0.22159999999999999</v>
      </c>
      <c r="F89" s="127">
        <v>2.9051999999999998</v>
      </c>
      <c r="G89" s="127">
        <v>0.12239999999999999</v>
      </c>
      <c r="H89" s="127">
        <v>0.94789999999999996</v>
      </c>
      <c r="I89" s="127">
        <v>31</v>
      </c>
      <c r="J89" s="404" t="s">
        <v>1577</v>
      </c>
    </row>
    <row r="90" spans="1:10" s="127" customFormat="1" ht="19">
      <c r="A90" s="127" t="s">
        <v>80</v>
      </c>
      <c r="B90" s="127" t="s">
        <v>1701</v>
      </c>
      <c r="C90" s="127" t="s">
        <v>106</v>
      </c>
      <c r="D90" s="127">
        <v>-0.18440000000000001</v>
      </c>
      <c r="E90" s="127">
        <v>0.66969999999999996</v>
      </c>
      <c r="F90" s="127">
        <v>2.0973000000000002</v>
      </c>
      <c r="G90" s="127">
        <v>0.26490000000000002</v>
      </c>
      <c r="H90" s="127">
        <v>0.95430000000000004</v>
      </c>
      <c r="I90" s="127">
        <v>3</v>
      </c>
      <c r="J90" s="404" t="s">
        <v>1686</v>
      </c>
    </row>
    <row r="91" spans="1:10" s="127" customFormat="1" ht="19">
      <c r="A91" s="127" t="s">
        <v>1677</v>
      </c>
      <c r="B91" s="127" t="s">
        <v>1702</v>
      </c>
      <c r="C91" s="127" t="s">
        <v>1703</v>
      </c>
      <c r="D91" s="127">
        <v>3.7560000000000003E-2</v>
      </c>
      <c r="E91" s="127">
        <v>5.5500000000000001E-2</v>
      </c>
      <c r="F91" s="127">
        <v>2.7546300000000001</v>
      </c>
      <c r="G91" s="127">
        <v>4.045E-2</v>
      </c>
      <c r="H91" s="127">
        <v>0.97989999999999999</v>
      </c>
      <c r="I91" s="127">
        <v>95</v>
      </c>
      <c r="J91" s="404" t="s">
        <v>1577</v>
      </c>
    </row>
    <row r="92" spans="1:10" s="127" customFormat="1" ht="19">
      <c r="A92" s="127" t="s">
        <v>74</v>
      </c>
      <c r="B92" s="127" t="s">
        <v>1702</v>
      </c>
      <c r="C92" s="127" t="s">
        <v>1703</v>
      </c>
      <c r="D92" s="127">
        <v>-0.10829999999999999</v>
      </c>
      <c r="E92" s="127">
        <v>0.16919999999999999</v>
      </c>
      <c r="F92" s="127">
        <v>2.8353000000000002</v>
      </c>
      <c r="G92" s="127">
        <v>0.1178</v>
      </c>
      <c r="H92" s="127">
        <v>0.9476</v>
      </c>
      <c r="I92" s="127">
        <v>32</v>
      </c>
      <c r="J92" s="404" t="s">
        <v>1577</v>
      </c>
    </row>
    <row r="93" spans="1:10" s="127" customFormat="1" ht="19">
      <c r="A93" s="127" t="s">
        <v>76</v>
      </c>
      <c r="B93" s="127" t="s">
        <v>1702</v>
      </c>
      <c r="C93" s="127" t="s">
        <v>1703</v>
      </c>
      <c r="D93" s="127">
        <v>-5.8650000000000004E-3</v>
      </c>
      <c r="E93" s="127">
        <v>0.21357200000000001</v>
      </c>
      <c r="F93" s="127">
        <v>2.7866960000000001</v>
      </c>
      <c r="G93" s="127">
        <v>0.144617</v>
      </c>
      <c r="H93" s="127">
        <v>0.94169999999999998</v>
      </c>
      <c r="I93" s="127">
        <v>23</v>
      </c>
      <c r="J93" s="404" t="s">
        <v>1577</v>
      </c>
    </row>
    <row r="94" spans="1:10" s="127" customFormat="1" ht="19">
      <c r="A94" s="127" t="s">
        <v>77</v>
      </c>
      <c r="B94" s="127" t="s">
        <v>1702</v>
      </c>
      <c r="C94" s="127" t="s">
        <v>1703</v>
      </c>
      <c r="D94" s="127">
        <v>4.6940000000000003E-2</v>
      </c>
      <c r="E94" s="127">
        <v>6.182E-2</v>
      </c>
      <c r="F94" s="127">
        <v>2.7642199999999999</v>
      </c>
      <c r="G94" s="127">
        <v>5.518E-2</v>
      </c>
      <c r="H94" s="127">
        <v>0.98780000000000001</v>
      </c>
      <c r="I94" s="127">
        <v>31</v>
      </c>
      <c r="J94" s="404" t="s">
        <v>1577</v>
      </c>
    </row>
    <row r="95" spans="1:10" s="127" customFormat="1" ht="18">
      <c r="A95" s="127" t="s">
        <v>80</v>
      </c>
      <c r="B95" s="127" t="s">
        <v>1702</v>
      </c>
      <c r="C95" s="127" t="s">
        <v>1703</v>
      </c>
      <c r="D95" s="127">
        <v>2.1901999999999999</v>
      </c>
      <c r="E95" s="127">
        <v>1.3889</v>
      </c>
      <c r="F95" s="127">
        <v>1.6064000000000001</v>
      </c>
      <c r="G95" s="127">
        <v>0.76190000000000002</v>
      </c>
      <c r="H95" s="127">
        <v>0.59709999999999996</v>
      </c>
      <c r="I95" s="127">
        <v>3</v>
      </c>
      <c r="J95" s="404">
        <v>0.1255</v>
      </c>
    </row>
    <row r="96" spans="1:10" s="127" customFormat="1" ht="19">
      <c r="A96" s="127" t="s">
        <v>1677</v>
      </c>
      <c r="B96" s="127" t="s">
        <v>1704</v>
      </c>
      <c r="C96" s="127" t="s">
        <v>1705</v>
      </c>
      <c r="D96" s="127">
        <v>0.81655999999999995</v>
      </c>
      <c r="E96" s="127">
        <v>4.7230000000000001E-2</v>
      </c>
      <c r="F96" s="127">
        <v>2.6819600000000001</v>
      </c>
      <c r="G96" s="127">
        <v>4.1860000000000001E-2</v>
      </c>
      <c r="H96" s="127">
        <v>0.97709999999999997</v>
      </c>
      <c r="I96" s="127">
        <v>96</v>
      </c>
      <c r="J96" s="404" t="s">
        <v>1577</v>
      </c>
    </row>
    <row r="97" spans="1:10" s="127" customFormat="1" ht="19">
      <c r="A97" s="127" t="s">
        <v>74</v>
      </c>
      <c r="B97" s="127" t="s">
        <v>1704</v>
      </c>
      <c r="C97" s="127" t="s">
        <v>1705</v>
      </c>
      <c r="D97" s="127">
        <v>0.85363</v>
      </c>
      <c r="E97" s="127">
        <v>0.11903</v>
      </c>
      <c r="F97" s="127">
        <v>2.6016699999999999</v>
      </c>
      <c r="G97" s="127">
        <v>9.9339999999999998E-2</v>
      </c>
      <c r="H97" s="127">
        <v>0.95540000000000003</v>
      </c>
      <c r="I97" s="127">
        <v>32</v>
      </c>
      <c r="J97" s="404" t="s">
        <v>1577</v>
      </c>
    </row>
    <row r="98" spans="1:10" s="127" customFormat="1" ht="19">
      <c r="A98" s="127" t="s">
        <v>76</v>
      </c>
      <c r="B98" s="127" t="s">
        <v>1704</v>
      </c>
      <c r="C98" s="127" t="s">
        <v>1705</v>
      </c>
      <c r="D98" s="127">
        <v>0.69569999999999999</v>
      </c>
      <c r="E98" s="127">
        <v>0.16869999999999999</v>
      </c>
      <c r="F98" s="127">
        <v>2.8277999999999999</v>
      </c>
      <c r="G98" s="127">
        <v>0.13930000000000001</v>
      </c>
      <c r="H98" s="127">
        <v>0.94499999999999995</v>
      </c>
      <c r="I98" s="127">
        <v>24</v>
      </c>
      <c r="J98" s="404" t="s">
        <v>1577</v>
      </c>
    </row>
    <row r="99" spans="1:10" s="127" customFormat="1" ht="19">
      <c r="A99" s="127" t="s">
        <v>77</v>
      </c>
      <c r="B99" s="127" t="s">
        <v>1704</v>
      </c>
      <c r="C99" s="127" t="s">
        <v>1705</v>
      </c>
      <c r="D99" s="127">
        <v>0.80942000000000003</v>
      </c>
      <c r="E99" s="127">
        <v>6.0150000000000002E-2</v>
      </c>
      <c r="F99" s="127">
        <v>2.7073</v>
      </c>
      <c r="G99" s="127">
        <v>6.8989999999999996E-2</v>
      </c>
      <c r="H99" s="127">
        <v>0.98029999999999995</v>
      </c>
      <c r="I99" s="127">
        <v>31</v>
      </c>
      <c r="J99" s="404" t="s">
        <v>1577</v>
      </c>
    </row>
    <row r="100" spans="1:10" s="127" customFormat="1" ht="19">
      <c r="A100" s="127" t="s">
        <v>80</v>
      </c>
      <c r="B100" s="127" t="s">
        <v>1704</v>
      </c>
      <c r="C100" s="127" t="s">
        <v>1705</v>
      </c>
      <c r="D100" s="127">
        <v>2.3317000000000001</v>
      </c>
      <c r="E100" s="127">
        <v>1.0347999999999999</v>
      </c>
      <c r="F100" s="127">
        <v>1.7473000000000001</v>
      </c>
      <c r="G100" s="127">
        <v>0.64859999999999995</v>
      </c>
      <c r="H100" s="127">
        <v>0.70750000000000002</v>
      </c>
      <c r="I100" s="127">
        <v>3</v>
      </c>
      <c r="J100" s="404" t="s">
        <v>1697</v>
      </c>
    </row>
    <row r="101" spans="1:10" s="127" customFormat="1" ht="19">
      <c r="A101" s="127" t="s">
        <v>1677</v>
      </c>
      <c r="B101" s="127" t="s">
        <v>1706</v>
      </c>
      <c r="C101" s="127" t="s">
        <v>1707</v>
      </c>
      <c r="D101" s="127">
        <v>1.2236</v>
      </c>
      <c r="E101" s="127">
        <v>5.0860000000000002E-2</v>
      </c>
      <c r="F101" s="127">
        <v>2.7332100000000001</v>
      </c>
      <c r="G101" s="127">
        <v>5.2949999999999997E-2</v>
      </c>
      <c r="H101" s="127">
        <v>0.96560000000000001</v>
      </c>
      <c r="I101" s="127">
        <v>95</v>
      </c>
      <c r="J101" s="404" t="s">
        <v>1577</v>
      </c>
    </row>
    <row r="102" spans="1:10" s="127" customFormat="1" ht="19">
      <c r="A102" s="127" t="s">
        <v>74</v>
      </c>
      <c r="B102" s="127" t="s">
        <v>1706</v>
      </c>
      <c r="C102" s="127" t="s">
        <v>1707</v>
      </c>
      <c r="D102" s="127">
        <v>1.2805</v>
      </c>
      <c r="E102" s="127">
        <v>0.1033</v>
      </c>
      <c r="F102" s="127">
        <v>2.6122000000000001</v>
      </c>
      <c r="G102" s="127">
        <v>0.1008</v>
      </c>
      <c r="H102" s="127">
        <v>0.95589999999999997</v>
      </c>
      <c r="I102" s="127">
        <v>31</v>
      </c>
      <c r="J102" s="404" t="s">
        <v>1577</v>
      </c>
    </row>
    <row r="103" spans="1:10" s="127" customFormat="1" ht="19">
      <c r="A103" s="127" t="s">
        <v>76</v>
      </c>
      <c r="B103" s="127" t="s">
        <v>1706</v>
      </c>
      <c r="C103" s="127" t="s">
        <v>1707</v>
      </c>
      <c r="D103" s="127">
        <v>0.93469999999999998</v>
      </c>
      <c r="E103" s="127">
        <v>0.1552</v>
      </c>
      <c r="F103" s="127">
        <v>2.9626999999999999</v>
      </c>
      <c r="G103" s="127">
        <v>0.14419999999999999</v>
      </c>
      <c r="H103" s="127">
        <v>0.94620000000000004</v>
      </c>
      <c r="I103" s="127">
        <v>24</v>
      </c>
      <c r="J103" s="404" t="s">
        <v>1577</v>
      </c>
    </row>
    <row r="104" spans="1:10" s="127" customFormat="1" ht="19">
      <c r="A104" s="127" t="s">
        <v>77</v>
      </c>
      <c r="B104" s="127" t="s">
        <v>1706</v>
      </c>
      <c r="C104" s="127" t="s">
        <v>1707</v>
      </c>
      <c r="D104" s="127">
        <v>1.18563</v>
      </c>
      <c r="E104" s="127">
        <v>6.3990000000000005E-2</v>
      </c>
      <c r="F104" s="127">
        <v>2.88686</v>
      </c>
      <c r="G104" s="127">
        <v>9.2200000000000004E-2</v>
      </c>
      <c r="H104" s="127">
        <v>0.96930000000000005</v>
      </c>
      <c r="I104" s="127">
        <v>31</v>
      </c>
      <c r="J104" s="404" t="s">
        <v>1577</v>
      </c>
    </row>
    <row r="105" spans="1:10" s="127" customFormat="1" ht="18">
      <c r="A105" s="127" t="s">
        <v>80</v>
      </c>
      <c r="B105" s="127" t="s">
        <v>1706</v>
      </c>
      <c r="C105" s="127" t="s">
        <v>1707</v>
      </c>
      <c r="D105" s="127">
        <v>2.6556000000000002</v>
      </c>
      <c r="E105" s="127">
        <v>1.0721000000000001</v>
      </c>
      <c r="F105" s="127">
        <v>1.8513999999999999</v>
      </c>
      <c r="G105" s="127">
        <v>0.80559999999999998</v>
      </c>
      <c r="H105" s="127">
        <v>0.63770000000000004</v>
      </c>
      <c r="I105" s="127">
        <v>3</v>
      </c>
      <c r="J105" s="404">
        <v>0.1052</v>
      </c>
    </row>
    <row r="106" spans="1:10" s="127" customFormat="1" ht="18">
      <c r="J106" s="404"/>
    </row>
    <row r="107" spans="1:10" s="127" customFormat="1" ht="18">
      <c r="J107" s="404"/>
    </row>
    <row r="108" spans="1:10" s="127" customFormat="1" ht="18">
      <c r="J108" s="404"/>
    </row>
    <row r="109" spans="1:10" s="127" customFormat="1" ht="18">
      <c r="J109" s="404"/>
    </row>
    <row r="110" spans="1:10" s="127" customFormat="1" ht="18">
      <c r="J110" s="404"/>
    </row>
    <row r="111" spans="1:10" s="127" customFormat="1" ht="18">
      <c r="J111" s="404"/>
    </row>
    <row r="112" spans="1:10" s="127" customFormat="1" ht="18">
      <c r="J112" s="404"/>
    </row>
    <row r="113" spans="10:10" s="127" customFormat="1" ht="18">
      <c r="J113" s="404"/>
    </row>
    <row r="114" spans="10:10" s="127" customFormat="1" ht="18">
      <c r="J114" s="404"/>
    </row>
    <row r="115" spans="10:10" s="127" customFormat="1" ht="18">
      <c r="J115" s="404"/>
    </row>
    <row r="116" spans="10:10" s="127" customFormat="1" ht="18">
      <c r="J116" s="404"/>
    </row>
    <row r="117" spans="10:10" s="127" customFormat="1" ht="18">
      <c r="J117" s="404"/>
    </row>
    <row r="118" spans="10:10" s="127" customFormat="1" ht="18">
      <c r="J118" s="404"/>
    </row>
    <row r="119" spans="10:10" s="127" customFormat="1" ht="18">
      <c r="J119" s="404"/>
    </row>
    <row r="120" spans="10:10" s="127" customFormat="1" ht="18">
      <c r="J120" s="404"/>
    </row>
    <row r="121" spans="10:10" s="127" customFormat="1" ht="18">
      <c r="J121" s="404"/>
    </row>
    <row r="122" spans="10:10" s="127" customFormat="1" ht="18">
      <c r="J122" s="404"/>
    </row>
    <row r="123" spans="10:10" s="127" customFormat="1" ht="18">
      <c r="J123" s="404"/>
    </row>
    <row r="124" spans="10:10" s="127" customFormat="1" ht="18">
      <c r="J124" s="404"/>
    </row>
    <row r="125" spans="10:10" s="127" customFormat="1" ht="18">
      <c r="J125" s="404"/>
    </row>
    <row r="126" spans="10:10" s="127" customFormat="1" ht="18">
      <c r="J126" s="404"/>
    </row>
    <row r="127" spans="10:10" s="127" customFormat="1" ht="18">
      <c r="J127" s="404"/>
    </row>
    <row r="128" spans="10:10" s="127" customFormat="1" ht="18">
      <c r="J128" s="404"/>
    </row>
    <row r="129" spans="10:10" s="127" customFormat="1" ht="18">
      <c r="J129" s="404"/>
    </row>
    <row r="130" spans="10:10" s="127" customFormat="1" ht="18">
      <c r="J130" s="404"/>
    </row>
    <row r="131" spans="10:10" s="127" customFormat="1" ht="18">
      <c r="J131" s="404"/>
    </row>
    <row r="132" spans="10:10" s="127" customFormat="1" ht="18">
      <c r="J132" s="404"/>
    </row>
    <row r="133" spans="10:10" s="127" customFormat="1" ht="18">
      <c r="J133" s="404"/>
    </row>
    <row r="134" spans="10:10" s="127" customFormat="1" ht="18">
      <c r="J134" s="404"/>
    </row>
    <row r="135" spans="10:10" s="127" customFormat="1" ht="18">
      <c r="J135" s="404"/>
    </row>
    <row r="136" spans="10:10" s="127" customFormat="1" ht="18">
      <c r="J136" s="404"/>
    </row>
    <row r="137" spans="10:10" s="127" customFormat="1" ht="18">
      <c r="J137" s="404"/>
    </row>
    <row r="138" spans="10:10" s="127" customFormat="1" ht="18">
      <c r="J138" s="404"/>
    </row>
    <row r="139" spans="10:10" s="127" customFormat="1" ht="18">
      <c r="J139" s="404"/>
    </row>
    <row r="140" spans="10:10" s="127" customFormat="1" ht="18">
      <c r="J140" s="404"/>
    </row>
    <row r="141" spans="10:10" s="127" customFormat="1" ht="18">
      <c r="J141" s="404"/>
    </row>
    <row r="142" spans="10:10" s="127" customFormat="1" ht="18">
      <c r="J142" s="404"/>
    </row>
    <row r="143" spans="10:10" s="127" customFormat="1" ht="18">
      <c r="J143" s="404"/>
    </row>
    <row r="144" spans="10:10" s="127" customFormat="1" ht="18">
      <c r="J144" s="404"/>
    </row>
    <row r="145" spans="1:10" s="127" customFormat="1" ht="18">
      <c r="J145" s="404"/>
    </row>
    <row r="146" spans="1:10" s="127" customFormat="1" ht="18">
      <c r="J146" s="404"/>
    </row>
    <row r="147" spans="1:10" s="127" customFormat="1" ht="18">
      <c r="J147" s="404"/>
    </row>
    <row r="148" spans="1:10" s="127" customFormat="1" ht="18">
      <c r="J148" s="404"/>
    </row>
    <row r="149" spans="1:10" s="127" customFormat="1" ht="18">
      <c r="J149" s="404"/>
    </row>
    <row r="150" spans="1:10" s="127" customFormat="1" ht="18">
      <c r="J150" s="404"/>
    </row>
    <row r="151" spans="1:10" s="127" customFormat="1" ht="18">
      <c r="J151" s="404"/>
    </row>
    <row r="152" spans="1:10" s="127" customFormat="1" ht="18">
      <c r="J152" s="404"/>
    </row>
    <row r="153" spans="1:10" s="127" customFormat="1" ht="18">
      <c r="J153" s="404"/>
    </row>
    <row r="154" spans="1:10" s="127" customFormat="1" ht="18">
      <c r="J154" s="404"/>
    </row>
    <row r="155" spans="1:10" s="127" customFormat="1" ht="18">
      <c r="J155" s="404"/>
    </row>
    <row r="156" spans="1:10" s="127" customFormat="1" ht="18">
      <c r="J156" s="404"/>
    </row>
    <row r="157" spans="1:10" s="127" customFormat="1" ht="18">
      <c r="J157" s="404"/>
    </row>
    <row r="158" spans="1:10">
      <c r="A158"/>
      <c r="B158"/>
      <c r="C158"/>
      <c r="D158"/>
      <c r="E158"/>
      <c r="F158"/>
      <c r="G158"/>
      <c r="H158"/>
      <c r="I158"/>
      <c r="J158" s="408"/>
    </row>
    <row r="159" spans="1:10">
      <c r="A159"/>
      <c r="B159"/>
      <c r="C159"/>
      <c r="D159"/>
      <c r="E159"/>
      <c r="F159"/>
      <c r="G159"/>
      <c r="H159"/>
      <c r="I159"/>
      <c r="J159" s="408"/>
    </row>
    <row r="160" spans="1:10">
      <c r="A160"/>
      <c r="B160"/>
      <c r="C160"/>
      <c r="D160"/>
      <c r="E160"/>
      <c r="F160"/>
      <c r="G160"/>
      <c r="H160"/>
      <c r="I160"/>
      <c r="J160" s="408"/>
    </row>
    <row r="161" spans="1:10">
      <c r="A161"/>
      <c r="B161"/>
      <c r="C161"/>
      <c r="D161"/>
      <c r="E161"/>
      <c r="F161"/>
      <c r="G161"/>
      <c r="H161"/>
      <c r="I161"/>
      <c r="J161" s="408"/>
    </row>
    <row r="162" spans="1:10">
      <c r="A162"/>
      <c r="B162"/>
      <c r="C162"/>
      <c r="D162"/>
      <c r="E162"/>
      <c r="F162"/>
      <c r="G162"/>
      <c r="H162"/>
      <c r="I162"/>
      <c r="J162" s="408"/>
    </row>
    <row r="163" spans="1:10">
      <c r="A163"/>
      <c r="B163"/>
      <c r="C163"/>
      <c r="D163"/>
      <c r="E163"/>
      <c r="F163"/>
      <c r="G163"/>
      <c r="H163"/>
      <c r="I163"/>
      <c r="J163" s="408"/>
    </row>
    <row r="164" spans="1:10">
      <c r="A164"/>
      <c r="B164"/>
      <c r="C164"/>
      <c r="D164"/>
      <c r="E164"/>
      <c r="F164"/>
      <c r="G164"/>
      <c r="H164"/>
      <c r="I164"/>
      <c r="J164" s="408"/>
    </row>
    <row r="165" spans="1:10">
      <c r="A165"/>
      <c r="B165"/>
      <c r="C165"/>
      <c r="D165"/>
      <c r="E165"/>
      <c r="F165"/>
      <c r="G165"/>
      <c r="H165"/>
      <c r="I165"/>
      <c r="J165" s="408"/>
    </row>
    <row r="166" spans="1:10">
      <c r="A166"/>
      <c r="B166"/>
      <c r="C166"/>
      <c r="D166"/>
      <c r="E166"/>
      <c r="F166"/>
      <c r="G166"/>
      <c r="H166"/>
      <c r="I166"/>
      <c r="J166" s="408"/>
    </row>
    <row r="167" spans="1:10">
      <c r="A167"/>
      <c r="B167"/>
      <c r="C167"/>
      <c r="D167"/>
      <c r="E167"/>
      <c r="F167"/>
      <c r="G167"/>
      <c r="H167"/>
      <c r="I167"/>
      <c r="J167" s="408"/>
    </row>
    <row r="168" spans="1:10">
      <c r="A168"/>
      <c r="B168"/>
      <c r="C168"/>
      <c r="D168"/>
      <c r="E168"/>
      <c r="F168"/>
      <c r="G168"/>
      <c r="H168"/>
      <c r="I168"/>
      <c r="J168" s="408"/>
    </row>
    <row r="169" spans="1:10">
      <c r="A169"/>
      <c r="B169"/>
      <c r="C169"/>
      <c r="D169"/>
      <c r="E169"/>
      <c r="F169"/>
      <c r="G169"/>
      <c r="H169"/>
      <c r="I169"/>
      <c r="J169" s="408"/>
    </row>
    <row r="170" spans="1:10">
      <c r="A170"/>
      <c r="B170"/>
      <c r="C170"/>
      <c r="D170"/>
      <c r="E170"/>
      <c r="F170"/>
      <c r="G170"/>
      <c r="H170"/>
      <c r="I170"/>
      <c r="J170" s="408"/>
    </row>
    <row r="171" spans="1:10">
      <c r="A171"/>
      <c r="B171"/>
      <c r="C171"/>
      <c r="D171"/>
      <c r="E171"/>
      <c r="F171"/>
      <c r="G171"/>
      <c r="H171"/>
      <c r="I171"/>
      <c r="J171" s="408"/>
    </row>
    <row r="172" spans="1:10">
      <c r="A172"/>
      <c r="B172"/>
      <c r="C172"/>
      <c r="D172"/>
      <c r="E172"/>
      <c r="F172"/>
      <c r="G172"/>
      <c r="H172"/>
      <c r="I172"/>
      <c r="J172" s="408"/>
    </row>
    <row r="173" spans="1:10">
      <c r="A173"/>
      <c r="B173"/>
      <c r="C173"/>
      <c r="D173"/>
      <c r="E173"/>
      <c r="F173"/>
      <c r="G173"/>
      <c r="H173"/>
      <c r="I173"/>
      <c r="J173" s="408"/>
    </row>
    <row r="174" spans="1:10">
      <c r="A174"/>
      <c r="B174"/>
      <c r="C174"/>
      <c r="D174"/>
      <c r="E174"/>
      <c r="F174"/>
      <c r="G174"/>
      <c r="H174"/>
      <c r="I174"/>
      <c r="J174" s="408"/>
    </row>
    <row r="175" spans="1:10">
      <c r="A175"/>
      <c r="B175"/>
      <c r="C175"/>
      <c r="D175"/>
      <c r="E175"/>
      <c r="F175"/>
      <c r="G175"/>
      <c r="H175"/>
      <c r="I175"/>
      <c r="J175" s="408"/>
    </row>
    <row r="176" spans="1:10">
      <c r="A176"/>
      <c r="B176"/>
      <c r="C176"/>
      <c r="D176"/>
      <c r="E176"/>
      <c r="F176"/>
      <c r="G176"/>
      <c r="H176"/>
      <c r="I176"/>
      <c r="J176" s="408"/>
    </row>
  </sheetData>
  <sortState xmlns:xlrd2="http://schemas.microsoft.com/office/spreadsheetml/2017/richdata2" ref="A9:K17">
    <sortCondition ref="B9:B17"/>
  </sortState>
  <pageMargins left="0.25" right="0.25" top="0.75" bottom="0.75" header="0.3" footer="0.3"/>
  <pageSetup scale="58" fitToHeight="2"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AE9F4-DEDE-D74C-B631-AA1374F3C9B3}">
  <sheetPr>
    <pageSetUpPr fitToPage="1"/>
  </sheetPr>
  <dimension ref="A1:U39349"/>
  <sheetViews>
    <sheetView zoomScale="134" zoomScaleNormal="110" workbookViewId="0">
      <pane ySplit="2" topLeftCell="A1253" activePane="bottomLeft" state="frozen"/>
      <selection pane="bottomLeft" activeCell="U1141" sqref="U1141"/>
    </sheetView>
  </sheetViews>
  <sheetFormatPr baseColWidth="10" defaultColWidth="10.5" defaultRowHeight="18"/>
  <cols>
    <col min="1" max="2" width="14" style="212" customWidth="1"/>
    <col min="3" max="3" width="15.5" style="233" customWidth="1"/>
    <col min="4" max="4" width="17.5" style="234" customWidth="1"/>
    <col min="5" max="6" width="10" style="212" customWidth="1"/>
    <col min="7" max="8" width="11.5" style="212" customWidth="1"/>
    <col min="9" max="11" width="14.33203125" style="212" customWidth="1"/>
    <col min="12" max="12" width="14.33203125" style="218" customWidth="1"/>
    <col min="14" max="16" width="9.33203125" style="211" customWidth="1"/>
    <col min="17" max="19" width="7.5" style="211" customWidth="1"/>
    <col min="20" max="20" width="16.5" style="212" bestFit="1" customWidth="1"/>
    <col min="21" max="21" width="16" style="212" customWidth="1"/>
    <col min="22" max="16384" width="10.5" style="202"/>
  </cols>
  <sheetData>
    <row r="1" spans="1:21" s="380" customFormat="1" ht="46" customHeight="1">
      <c r="A1" s="375" t="s">
        <v>1708</v>
      </c>
      <c r="B1" s="375"/>
      <c r="C1" s="376"/>
      <c r="D1" s="377"/>
      <c r="E1" s="375"/>
      <c r="F1" s="375"/>
      <c r="G1" s="375"/>
      <c r="H1" s="375"/>
      <c r="I1" s="375"/>
      <c r="J1" s="375"/>
      <c r="K1" s="375"/>
      <c r="L1" s="378"/>
      <c r="M1" s="374"/>
      <c r="N1" s="379"/>
      <c r="O1" s="379"/>
      <c r="P1" s="379"/>
      <c r="Q1" s="379"/>
      <c r="R1" s="379"/>
      <c r="S1" s="379"/>
      <c r="T1" s="375"/>
      <c r="U1" s="375"/>
    </row>
    <row r="2" spans="1:21" s="634" customFormat="1" ht="100" customHeight="1">
      <c r="A2" s="242" t="s">
        <v>430</v>
      </c>
      <c r="B2" s="242" t="s">
        <v>431</v>
      </c>
      <c r="C2" s="243" t="s">
        <v>616</v>
      </c>
      <c r="D2" s="243" t="s">
        <v>433</v>
      </c>
      <c r="E2" s="243" t="s">
        <v>1709</v>
      </c>
      <c r="F2" s="243" t="s">
        <v>1710</v>
      </c>
      <c r="G2" s="243" t="s">
        <v>1711</v>
      </c>
      <c r="H2" s="243" t="s">
        <v>1712</v>
      </c>
      <c r="I2" s="243" t="s">
        <v>620</v>
      </c>
      <c r="J2" s="243" t="s">
        <v>1713</v>
      </c>
      <c r="K2" s="243" t="s">
        <v>623</v>
      </c>
      <c r="L2" s="243" t="s">
        <v>1714</v>
      </c>
      <c r="M2" s="243" t="s">
        <v>624</v>
      </c>
      <c r="N2" s="488" t="s">
        <v>1715</v>
      </c>
      <c r="O2" s="488" t="s">
        <v>1716</v>
      </c>
      <c r="P2" s="488" t="s">
        <v>1717</v>
      </c>
      <c r="Q2" s="488" t="s">
        <v>1718</v>
      </c>
      <c r="R2" s="488" t="s">
        <v>1719</v>
      </c>
      <c r="S2" s="487" t="s">
        <v>1720</v>
      </c>
      <c r="T2" s="243" t="s">
        <v>1721</v>
      </c>
      <c r="U2" s="243" t="s">
        <v>1722</v>
      </c>
    </row>
    <row r="3" spans="1:21" ht="19">
      <c r="A3" s="212" t="s">
        <v>218</v>
      </c>
      <c r="B3" s="212" t="s">
        <v>193</v>
      </c>
      <c r="C3" s="233" t="s">
        <v>194</v>
      </c>
      <c r="D3" s="234" t="s">
        <v>195</v>
      </c>
      <c r="E3" s="212">
        <v>908</v>
      </c>
      <c r="F3" s="212">
        <v>121</v>
      </c>
      <c r="G3" s="212" t="s">
        <v>1723</v>
      </c>
      <c r="H3" s="212" t="s">
        <v>1724</v>
      </c>
      <c r="I3" s="212" t="s">
        <v>250</v>
      </c>
      <c r="J3" s="212" t="s">
        <v>225</v>
      </c>
      <c r="K3" s="212" t="s">
        <v>269</v>
      </c>
      <c r="L3" s="227" t="s">
        <v>1725</v>
      </c>
      <c r="M3" t="s">
        <v>1726</v>
      </c>
      <c r="N3" s="211">
        <v>-19.5</v>
      </c>
      <c r="O3" s="211">
        <v>-19.5</v>
      </c>
      <c r="P3" s="211">
        <v>6.1</v>
      </c>
      <c r="S3" s="211">
        <v>2.9</v>
      </c>
      <c r="U3" s="213"/>
    </row>
    <row r="4" spans="1:21" ht="19">
      <c r="A4" s="212" t="s">
        <v>218</v>
      </c>
      <c r="B4" s="212" t="s">
        <v>193</v>
      </c>
      <c r="C4" s="233" t="s">
        <v>194</v>
      </c>
      <c r="D4" s="234" t="s">
        <v>195</v>
      </c>
      <c r="E4" s="212">
        <v>908</v>
      </c>
      <c r="F4" s="212">
        <v>180</v>
      </c>
      <c r="G4" s="212" t="s">
        <v>1723</v>
      </c>
      <c r="H4" s="212" t="s">
        <v>1724</v>
      </c>
      <c r="I4" s="212" t="s">
        <v>250</v>
      </c>
      <c r="J4" s="212" t="s">
        <v>225</v>
      </c>
      <c r="K4" s="212" t="s">
        <v>269</v>
      </c>
      <c r="L4" s="227" t="s">
        <v>1725</v>
      </c>
      <c r="M4" t="s">
        <v>1727</v>
      </c>
      <c r="N4" s="211">
        <v>-19.8</v>
      </c>
      <c r="O4" s="211">
        <v>-19.8</v>
      </c>
      <c r="P4" s="211">
        <v>5.8</v>
      </c>
      <c r="S4" s="211">
        <v>2.8</v>
      </c>
    </row>
    <row r="5" spans="1:21" ht="19">
      <c r="A5" s="212" t="s">
        <v>218</v>
      </c>
      <c r="B5" s="212" t="s">
        <v>193</v>
      </c>
      <c r="C5" s="233" t="s">
        <v>194</v>
      </c>
      <c r="D5" s="234" t="s">
        <v>195</v>
      </c>
      <c r="E5" s="212">
        <v>908</v>
      </c>
      <c r="F5" s="212">
        <v>335</v>
      </c>
      <c r="G5" s="212" t="s">
        <v>1723</v>
      </c>
      <c r="H5" s="212" t="s">
        <v>1724</v>
      </c>
      <c r="I5" s="212" t="s">
        <v>250</v>
      </c>
      <c r="J5" s="212" t="s">
        <v>225</v>
      </c>
      <c r="K5" s="212" t="s">
        <v>269</v>
      </c>
      <c r="L5" s="227" t="s">
        <v>1725</v>
      </c>
      <c r="M5" t="s">
        <v>1727</v>
      </c>
      <c r="N5" s="211">
        <v>-19.899999999999999</v>
      </c>
      <c r="O5" s="211">
        <v>-19.899999999999999</v>
      </c>
      <c r="P5" s="211">
        <v>6</v>
      </c>
      <c r="S5" s="211">
        <v>2.8</v>
      </c>
    </row>
    <row r="6" spans="1:21" ht="19">
      <c r="A6" s="212" t="s">
        <v>218</v>
      </c>
      <c r="B6" s="212" t="s">
        <v>193</v>
      </c>
      <c r="C6" s="233" t="s">
        <v>194</v>
      </c>
      <c r="D6" s="234" t="s">
        <v>195</v>
      </c>
      <c r="E6" s="212">
        <v>908</v>
      </c>
      <c r="F6" s="212">
        <v>547</v>
      </c>
      <c r="G6" s="212" t="s">
        <v>1723</v>
      </c>
      <c r="H6" s="212" t="s">
        <v>1724</v>
      </c>
      <c r="I6" s="212" t="s">
        <v>250</v>
      </c>
      <c r="J6" s="212" t="s">
        <v>1728</v>
      </c>
      <c r="K6" s="212" t="s">
        <v>269</v>
      </c>
      <c r="L6" s="227" t="s">
        <v>1729</v>
      </c>
      <c r="M6" t="s">
        <v>1730</v>
      </c>
      <c r="N6" s="211">
        <v>-5.5</v>
      </c>
      <c r="O6" s="211">
        <v>-14.323</v>
      </c>
      <c r="P6" s="211" t="s">
        <v>487</v>
      </c>
      <c r="R6" s="211">
        <v>-2.2999999999999998</v>
      </c>
      <c r="S6" s="211" t="s">
        <v>1731</v>
      </c>
    </row>
    <row r="7" spans="1:21" ht="19">
      <c r="A7" s="212" t="s">
        <v>218</v>
      </c>
      <c r="B7" s="212" t="s">
        <v>193</v>
      </c>
      <c r="C7" s="233" t="s">
        <v>194</v>
      </c>
      <c r="D7" s="234" t="s">
        <v>195</v>
      </c>
      <c r="E7" s="212">
        <v>908</v>
      </c>
      <c r="F7" s="212">
        <v>833</v>
      </c>
      <c r="G7" s="212" t="s">
        <v>1723</v>
      </c>
      <c r="H7" s="212" t="s">
        <v>1724</v>
      </c>
      <c r="I7" s="212" t="s">
        <v>250</v>
      </c>
      <c r="J7" s="212" t="s">
        <v>225</v>
      </c>
      <c r="K7" s="212" t="s">
        <v>269</v>
      </c>
      <c r="L7" s="227" t="s">
        <v>1725</v>
      </c>
      <c r="M7" t="s">
        <v>1732</v>
      </c>
      <c r="N7" s="211">
        <v>-19.7</v>
      </c>
      <c r="O7" s="211">
        <v>-19.7</v>
      </c>
      <c r="P7" s="211">
        <v>6.2</v>
      </c>
      <c r="S7" s="211">
        <v>2.8</v>
      </c>
    </row>
    <row r="8" spans="1:21" ht="19">
      <c r="A8" s="212" t="s">
        <v>218</v>
      </c>
      <c r="B8" s="212" t="s">
        <v>193</v>
      </c>
      <c r="C8" s="233" t="s">
        <v>194</v>
      </c>
      <c r="D8" s="234" t="s">
        <v>195</v>
      </c>
      <c r="E8" s="212">
        <v>908</v>
      </c>
      <c r="F8" s="212">
        <v>835</v>
      </c>
      <c r="G8" s="212" t="s">
        <v>1723</v>
      </c>
      <c r="H8" s="212" t="s">
        <v>1724</v>
      </c>
      <c r="I8" s="212" t="s">
        <v>250</v>
      </c>
      <c r="J8" s="212" t="s">
        <v>225</v>
      </c>
      <c r="K8" s="212" t="s">
        <v>269</v>
      </c>
      <c r="L8" s="227" t="s">
        <v>1725</v>
      </c>
      <c r="M8" t="s">
        <v>1733</v>
      </c>
      <c r="N8" s="211">
        <v>-19.899999999999999</v>
      </c>
      <c r="O8" s="211">
        <v>-19.899999999999999</v>
      </c>
      <c r="P8" s="211">
        <v>5.5</v>
      </c>
      <c r="S8" s="211">
        <v>2.9</v>
      </c>
    </row>
    <row r="9" spans="1:21" ht="19">
      <c r="A9" s="212" t="s">
        <v>218</v>
      </c>
      <c r="B9" s="212" t="s">
        <v>193</v>
      </c>
      <c r="C9" s="233" t="s">
        <v>194</v>
      </c>
      <c r="D9" s="234" t="s">
        <v>195</v>
      </c>
      <c r="E9" s="212">
        <v>908</v>
      </c>
      <c r="F9" s="212">
        <v>1413</v>
      </c>
      <c r="G9" s="212" t="s">
        <v>1723</v>
      </c>
      <c r="H9" s="212" t="s">
        <v>1724</v>
      </c>
      <c r="I9" s="212" t="s">
        <v>250</v>
      </c>
      <c r="J9" s="212" t="s">
        <v>225</v>
      </c>
      <c r="K9" s="212" t="s">
        <v>269</v>
      </c>
      <c r="L9" s="227" t="s">
        <v>1725</v>
      </c>
      <c r="M9" t="s">
        <v>1332</v>
      </c>
      <c r="N9" s="211">
        <v>-19.899999999999999</v>
      </c>
      <c r="O9" s="211">
        <v>-19.899999999999999</v>
      </c>
      <c r="P9" s="211">
        <v>5.8</v>
      </c>
      <c r="S9" s="211">
        <v>2.9</v>
      </c>
    </row>
    <row r="10" spans="1:21" ht="19">
      <c r="A10" s="212" t="s">
        <v>218</v>
      </c>
      <c r="B10" s="212" t="s">
        <v>193</v>
      </c>
      <c r="C10" s="233" t="s">
        <v>194</v>
      </c>
      <c r="D10" s="234" t="s">
        <v>195</v>
      </c>
      <c r="E10" s="212">
        <v>908</v>
      </c>
      <c r="F10" s="212">
        <v>1569</v>
      </c>
      <c r="G10" s="212" t="s">
        <v>1723</v>
      </c>
      <c r="H10" s="212" t="s">
        <v>1724</v>
      </c>
      <c r="I10" s="212" t="s">
        <v>250</v>
      </c>
      <c r="J10" s="212" t="s">
        <v>1728</v>
      </c>
      <c r="K10" s="212" t="s">
        <v>269</v>
      </c>
      <c r="L10" s="227" t="s">
        <v>1729</v>
      </c>
      <c r="M10" t="s">
        <v>1545</v>
      </c>
      <c r="N10" s="211">
        <v>-10.78</v>
      </c>
      <c r="O10" s="211">
        <v>-19.603000000000002</v>
      </c>
      <c r="P10" s="211" t="s">
        <v>487</v>
      </c>
      <c r="Q10" s="211">
        <v>33.4</v>
      </c>
      <c r="R10" s="211">
        <v>2.5</v>
      </c>
      <c r="S10" s="211" t="s">
        <v>1731</v>
      </c>
    </row>
    <row r="11" spans="1:21" ht="19">
      <c r="A11" s="212" t="s">
        <v>218</v>
      </c>
      <c r="B11" s="212" t="s">
        <v>193</v>
      </c>
      <c r="C11" s="233" t="s">
        <v>194</v>
      </c>
      <c r="D11" s="234" t="s">
        <v>195</v>
      </c>
      <c r="E11" s="212">
        <v>908</v>
      </c>
      <c r="F11" s="212">
        <v>1751</v>
      </c>
      <c r="G11" s="212" t="s">
        <v>1723</v>
      </c>
      <c r="H11" s="212" t="s">
        <v>1724</v>
      </c>
      <c r="I11" s="212" t="s">
        <v>250</v>
      </c>
      <c r="J11" s="212" t="s">
        <v>1728</v>
      </c>
      <c r="K11" s="212" t="s">
        <v>269</v>
      </c>
      <c r="L11" s="227" t="s">
        <v>1729</v>
      </c>
      <c r="M11" t="s">
        <v>1730</v>
      </c>
      <c r="N11" s="211">
        <v>-11.42</v>
      </c>
      <c r="O11" s="211">
        <v>-20.242999999999999</v>
      </c>
      <c r="P11" s="211" t="s">
        <v>487</v>
      </c>
      <c r="Q11" s="211">
        <v>30.9</v>
      </c>
      <c r="R11" s="211">
        <v>0</v>
      </c>
      <c r="S11" s="211" t="s">
        <v>1731</v>
      </c>
    </row>
    <row r="12" spans="1:21" ht="19">
      <c r="A12" s="212" t="s">
        <v>218</v>
      </c>
      <c r="B12" s="212" t="s">
        <v>193</v>
      </c>
      <c r="C12" s="233" t="s">
        <v>194</v>
      </c>
      <c r="D12" s="234" t="s">
        <v>195</v>
      </c>
      <c r="E12" s="212">
        <v>908</v>
      </c>
      <c r="F12" s="212">
        <v>1755</v>
      </c>
      <c r="G12" s="212" t="s">
        <v>1723</v>
      </c>
      <c r="H12" s="212" t="s">
        <v>1724</v>
      </c>
      <c r="I12" s="212" t="s">
        <v>250</v>
      </c>
      <c r="J12" s="212" t="s">
        <v>1728</v>
      </c>
      <c r="K12" s="212" t="s">
        <v>269</v>
      </c>
      <c r="L12" s="227" t="s">
        <v>1729</v>
      </c>
      <c r="M12" t="s">
        <v>1734</v>
      </c>
      <c r="N12" s="211">
        <v>-10.61</v>
      </c>
      <c r="O12" s="211">
        <v>-19.433</v>
      </c>
      <c r="P12" s="211" t="s">
        <v>487</v>
      </c>
      <c r="R12" s="211">
        <v>1.4</v>
      </c>
      <c r="S12" s="211" t="s">
        <v>1731</v>
      </c>
    </row>
    <row r="13" spans="1:21" ht="19">
      <c r="A13" s="212" t="s">
        <v>218</v>
      </c>
      <c r="B13" s="212" t="s">
        <v>193</v>
      </c>
      <c r="C13" s="233" t="s">
        <v>194</v>
      </c>
      <c r="D13" s="234" t="s">
        <v>195</v>
      </c>
      <c r="E13" s="212">
        <v>908</v>
      </c>
      <c r="F13" s="212">
        <v>2017</v>
      </c>
      <c r="G13" s="212" t="s">
        <v>1723</v>
      </c>
      <c r="H13" s="212" t="s">
        <v>1724</v>
      </c>
      <c r="I13" s="212" t="s">
        <v>250</v>
      </c>
      <c r="J13" s="212" t="s">
        <v>225</v>
      </c>
      <c r="K13" s="212" t="s">
        <v>269</v>
      </c>
      <c r="L13" s="227" t="s">
        <v>1725</v>
      </c>
      <c r="M13" t="s">
        <v>1735</v>
      </c>
      <c r="N13" s="211">
        <v>-18.899999999999999</v>
      </c>
      <c r="O13" s="211">
        <v>-18.899999999999999</v>
      </c>
      <c r="P13" s="211">
        <v>6.5</v>
      </c>
      <c r="S13" s="211">
        <v>2.8</v>
      </c>
    </row>
    <row r="14" spans="1:21" ht="19">
      <c r="A14" s="212" t="s">
        <v>218</v>
      </c>
      <c r="B14" s="212" t="s">
        <v>193</v>
      </c>
      <c r="C14" s="233" t="s">
        <v>194</v>
      </c>
      <c r="D14" s="234" t="s">
        <v>195</v>
      </c>
      <c r="E14" s="212">
        <v>908</v>
      </c>
      <c r="F14" s="212">
        <v>2182</v>
      </c>
      <c r="G14" s="212" t="s">
        <v>1723</v>
      </c>
      <c r="H14" s="212" t="s">
        <v>1724</v>
      </c>
      <c r="I14" s="212" t="s">
        <v>250</v>
      </c>
      <c r="J14" s="212" t="s">
        <v>104</v>
      </c>
      <c r="K14" s="212" t="s">
        <v>269</v>
      </c>
      <c r="L14" s="227" t="s">
        <v>1725</v>
      </c>
      <c r="M14" t="s">
        <v>1736</v>
      </c>
      <c r="N14" s="211">
        <v>-19.100000000000001</v>
      </c>
      <c r="O14" s="211">
        <v>-19.100000000000001</v>
      </c>
      <c r="P14" s="211">
        <v>6.9</v>
      </c>
      <c r="S14" s="211">
        <v>2.8</v>
      </c>
    </row>
    <row r="15" spans="1:21" ht="19">
      <c r="A15" s="212" t="s">
        <v>218</v>
      </c>
      <c r="B15" s="212" t="s">
        <v>193</v>
      </c>
      <c r="C15" s="233" t="s">
        <v>194</v>
      </c>
      <c r="D15" s="234" t="s">
        <v>195</v>
      </c>
      <c r="E15" s="212">
        <v>908</v>
      </c>
      <c r="F15" s="212">
        <v>2209</v>
      </c>
      <c r="G15" s="212" t="s">
        <v>1723</v>
      </c>
      <c r="H15" s="212" t="s">
        <v>1724</v>
      </c>
      <c r="I15" s="212" t="s">
        <v>250</v>
      </c>
      <c r="J15" s="212" t="s">
        <v>1728</v>
      </c>
      <c r="K15" s="212" t="s">
        <v>269</v>
      </c>
      <c r="L15" s="227" t="s">
        <v>1729</v>
      </c>
      <c r="M15" t="s">
        <v>1734</v>
      </c>
      <c r="N15" s="211">
        <v>-12.46</v>
      </c>
      <c r="O15" s="211">
        <v>-21.283000000000001</v>
      </c>
      <c r="P15" s="211" t="s">
        <v>487</v>
      </c>
      <c r="R15" s="211">
        <v>0.5</v>
      </c>
      <c r="S15" s="211" t="s">
        <v>1731</v>
      </c>
    </row>
    <row r="16" spans="1:21" ht="19">
      <c r="A16" s="212" t="s">
        <v>218</v>
      </c>
      <c r="B16" s="212" t="s">
        <v>193</v>
      </c>
      <c r="C16" s="233" t="s">
        <v>194</v>
      </c>
      <c r="D16" s="234" t="s">
        <v>195</v>
      </c>
      <c r="E16" s="212">
        <v>908</v>
      </c>
      <c r="F16" s="212">
        <v>2249</v>
      </c>
      <c r="G16" s="212" t="s">
        <v>1723</v>
      </c>
      <c r="H16" s="212" t="s">
        <v>1724</v>
      </c>
      <c r="I16" s="212" t="s">
        <v>250</v>
      </c>
      <c r="J16" s="212" t="s">
        <v>225</v>
      </c>
      <c r="K16" s="212" t="s">
        <v>269</v>
      </c>
      <c r="L16" s="227" t="s">
        <v>1725</v>
      </c>
      <c r="M16" t="s">
        <v>1118</v>
      </c>
      <c r="N16" s="211">
        <v>-19.8</v>
      </c>
      <c r="O16" s="211">
        <v>-19.8</v>
      </c>
      <c r="P16" s="211">
        <v>6.1</v>
      </c>
      <c r="S16" s="211">
        <v>2.9</v>
      </c>
    </row>
    <row r="17" spans="1:21" ht="19">
      <c r="A17" s="212" t="s">
        <v>218</v>
      </c>
      <c r="B17" s="212" t="s">
        <v>193</v>
      </c>
      <c r="C17" s="233" t="s">
        <v>194</v>
      </c>
      <c r="D17" s="234" t="s">
        <v>195</v>
      </c>
      <c r="E17" s="212">
        <v>908</v>
      </c>
      <c r="F17" s="212">
        <v>2464</v>
      </c>
      <c r="G17" s="212" t="s">
        <v>1723</v>
      </c>
      <c r="H17" s="212" t="s">
        <v>1724</v>
      </c>
      <c r="I17" s="212" t="s">
        <v>250</v>
      </c>
      <c r="J17" s="212" t="s">
        <v>1728</v>
      </c>
      <c r="K17" s="212" t="s">
        <v>269</v>
      </c>
      <c r="L17" s="227" t="s">
        <v>1729</v>
      </c>
      <c r="M17" t="s">
        <v>1730</v>
      </c>
      <c r="N17" s="211">
        <v>-10.11</v>
      </c>
      <c r="O17" s="211">
        <v>-18.933</v>
      </c>
      <c r="P17" s="211" t="s">
        <v>487</v>
      </c>
      <c r="Q17" s="211">
        <v>31.4</v>
      </c>
      <c r="R17" s="211">
        <v>0.6</v>
      </c>
      <c r="S17" s="211" t="s">
        <v>1731</v>
      </c>
    </row>
    <row r="18" spans="1:21" ht="19">
      <c r="A18" s="212" t="s">
        <v>218</v>
      </c>
      <c r="B18" s="212" t="s">
        <v>193</v>
      </c>
      <c r="C18" s="233" t="s">
        <v>194</v>
      </c>
      <c r="D18" s="234" t="s">
        <v>195</v>
      </c>
      <c r="E18" s="212">
        <v>908</v>
      </c>
      <c r="F18" s="212">
        <v>3432</v>
      </c>
      <c r="G18" s="212" t="s">
        <v>1723</v>
      </c>
      <c r="H18" s="212" t="s">
        <v>1724</v>
      </c>
      <c r="I18" s="212" t="s">
        <v>250</v>
      </c>
      <c r="J18" s="212" t="s">
        <v>225</v>
      </c>
      <c r="K18" s="212" t="s">
        <v>269</v>
      </c>
      <c r="L18" s="227" t="s">
        <v>1725</v>
      </c>
      <c r="M18" t="s">
        <v>1733</v>
      </c>
      <c r="N18" s="211">
        <v>-19.3</v>
      </c>
      <c r="O18" s="211">
        <v>-19.3</v>
      </c>
      <c r="P18" s="211">
        <v>6.5</v>
      </c>
      <c r="S18" s="211">
        <v>2.9</v>
      </c>
    </row>
    <row r="19" spans="1:21">
      <c r="A19" s="212" t="s">
        <v>218</v>
      </c>
      <c r="B19" s="212" t="s">
        <v>193</v>
      </c>
      <c r="C19" s="233" t="s">
        <v>194</v>
      </c>
      <c r="D19" s="233" t="s">
        <v>195</v>
      </c>
      <c r="E19" s="212">
        <v>908</v>
      </c>
      <c r="F19" s="212">
        <v>3439</v>
      </c>
      <c r="G19" s="212" t="s">
        <v>1723</v>
      </c>
      <c r="H19" s="212" t="s">
        <v>1724</v>
      </c>
      <c r="I19" s="212" t="s">
        <v>250</v>
      </c>
      <c r="J19" s="212" t="s">
        <v>225</v>
      </c>
      <c r="K19" s="212" t="s">
        <v>269</v>
      </c>
      <c r="L19" s="227" t="s">
        <v>1725</v>
      </c>
      <c r="M19" t="s">
        <v>1726</v>
      </c>
      <c r="N19" s="211">
        <v>-19.399999999999999</v>
      </c>
      <c r="O19" s="211">
        <v>-19.399999999999999</v>
      </c>
      <c r="P19" s="211">
        <v>6</v>
      </c>
      <c r="S19" s="211">
        <v>2.9</v>
      </c>
    </row>
    <row r="20" spans="1:21" ht="19">
      <c r="A20" s="212" t="s">
        <v>218</v>
      </c>
      <c r="B20" s="212" t="s">
        <v>193</v>
      </c>
      <c r="C20" s="233" t="s">
        <v>194</v>
      </c>
      <c r="D20" s="234" t="s">
        <v>195</v>
      </c>
      <c r="E20" s="212">
        <v>908</v>
      </c>
      <c r="F20" s="212">
        <v>3689</v>
      </c>
      <c r="G20" s="212" t="s">
        <v>1723</v>
      </c>
      <c r="H20" s="212" t="s">
        <v>1724</v>
      </c>
      <c r="I20" s="212" t="s">
        <v>250</v>
      </c>
      <c r="J20" s="212" t="s">
        <v>225</v>
      </c>
      <c r="K20" s="212" t="s">
        <v>269</v>
      </c>
      <c r="L20" s="227" t="s">
        <v>1725</v>
      </c>
      <c r="M20" t="s">
        <v>308</v>
      </c>
      <c r="N20" s="211">
        <v>-13.4</v>
      </c>
      <c r="O20" s="211">
        <v>-13.4</v>
      </c>
      <c r="P20" s="211">
        <v>6.1</v>
      </c>
      <c r="S20" s="211">
        <v>2.8</v>
      </c>
    </row>
    <row r="21" spans="1:21" ht="19">
      <c r="A21" s="212" t="s">
        <v>218</v>
      </c>
      <c r="B21" s="212" t="s">
        <v>193</v>
      </c>
      <c r="C21" s="233" t="s">
        <v>194</v>
      </c>
      <c r="D21" s="234" t="s">
        <v>195</v>
      </c>
      <c r="E21" s="212">
        <v>908</v>
      </c>
      <c r="F21" s="212">
        <v>3745</v>
      </c>
      <c r="G21" s="212" t="s">
        <v>1723</v>
      </c>
      <c r="H21" s="212" t="s">
        <v>1724</v>
      </c>
      <c r="I21" s="212" t="s">
        <v>250</v>
      </c>
      <c r="J21" s="212" t="s">
        <v>225</v>
      </c>
      <c r="K21" s="212" t="s">
        <v>269</v>
      </c>
      <c r="L21" s="227" t="s">
        <v>1725</v>
      </c>
      <c r="M21" t="s">
        <v>1736</v>
      </c>
      <c r="N21" s="211">
        <v>-19.899999999999999</v>
      </c>
      <c r="O21" s="211">
        <v>-19.899999999999999</v>
      </c>
      <c r="P21" s="211">
        <v>7</v>
      </c>
      <c r="S21" s="211">
        <v>2.8</v>
      </c>
    </row>
    <row r="22" spans="1:21" ht="19">
      <c r="A22" s="212" t="s">
        <v>218</v>
      </c>
      <c r="B22" s="212" t="s">
        <v>193</v>
      </c>
      <c r="C22" s="233" t="s">
        <v>194</v>
      </c>
      <c r="D22" s="234" t="s">
        <v>195</v>
      </c>
      <c r="E22" s="212">
        <v>908</v>
      </c>
      <c r="F22" s="212">
        <v>3829</v>
      </c>
      <c r="G22" s="212" t="s">
        <v>1723</v>
      </c>
      <c r="H22" s="212" t="s">
        <v>1724</v>
      </c>
      <c r="I22" s="212" t="s">
        <v>250</v>
      </c>
      <c r="J22" s="212" t="s">
        <v>225</v>
      </c>
      <c r="K22" s="212" t="s">
        <v>269</v>
      </c>
      <c r="L22" s="227" t="s">
        <v>1725</v>
      </c>
      <c r="M22" t="s">
        <v>1737</v>
      </c>
      <c r="N22" s="211">
        <v>-19</v>
      </c>
      <c r="O22" s="211">
        <v>-19</v>
      </c>
      <c r="P22" s="211">
        <v>7.4</v>
      </c>
      <c r="S22" s="211">
        <v>2.9</v>
      </c>
    </row>
    <row r="23" spans="1:21" ht="19">
      <c r="A23" s="212" t="s">
        <v>218</v>
      </c>
      <c r="B23" s="212" t="s">
        <v>193</v>
      </c>
      <c r="C23" s="233" t="s">
        <v>194</v>
      </c>
      <c r="D23" s="234" t="s">
        <v>195</v>
      </c>
      <c r="E23" s="212">
        <v>908</v>
      </c>
      <c r="F23" s="212">
        <v>4199</v>
      </c>
      <c r="G23" s="212" t="s">
        <v>1723</v>
      </c>
      <c r="H23" s="212" t="s">
        <v>1724</v>
      </c>
      <c r="I23" s="212" t="s">
        <v>250</v>
      </c>
      <c r="J23" s="212" t="s">
        <v>1728</v>
      </c>
      <c r="K23" s="212" t="s">
        <v>269</v>
      </c>
      <c r="L23" s="227" t="s">
        <v>1725</v>
      </c>
      <c r="M23" t="s">
        <v>1738</v>
      </c>
      <c r="N23" s="211">
        <v>-18.5</v>
      </c>
      <c r="O23" s="211">
        <v>-18.5</v>
      </c>
      <c r="P23" s="211">
        <v>8.6999999999999993</v>
      </c>
      <c r="S23" s="211">
        <v>2.9</v>
      </c>
      <c r="U23" s="218"/>
    </row>
    <row r="24" spans="1:21" ht="19">
      <c r="A24" s="212" t="s">
        <v>218</v>
      </c>
      <c r="B24" s="212" t="s">
        <v>193</v>
      </c>
      <c r="C24" s="233" t="s">
        <v>194</v>
      </c>
      <c r="D24" s="234" t="s">
        <v>195</v>
      </c>
      <c r="E24" s="212">
        <v>908</v>
      </c>
      <c r="F24" s="212">
        <v>4201</v>
      </c>
      <c r="G24" s="212" t="s">
        <v>1723</v>
      </c>
      <c r="H24" s="212" t="s">
        <v>1724</v>
      </c>
      <c r="I24" s="212" t="s">
        <v>250</v>
      </c>
      <c r="J24" s="212" t="s">
        <v>104</v>
      </c>
      <c r="K24" s="212" t="s">
        <v>269</v>
      </c>
      <c r="L24" s="227" t="s">
        <v>1725</v>
      </c>
      <c r="M24" t="s">
        <v>1738</v>
      </c>
      <c r="N24" s="211">
        <v>-18.7</v>
      </c>
      <c r="O24" s="211">
        <v>-18.7</v>
      </c>
      <c r="P24" s="211">
        <v>6.4</v>
      </c>
      <c r="S24" s="211">
        <v>2.8</v>
      </c>
    </row>
    <row r="25" spans="1:21" ht="19">
      <c r="A25" s="212" t="s">
        <v>218</v>
      </c>
      <c r="B25" s="212" t="s">
        <v>193</v>
      </c>
      <c r="C25" s="233" t="s">
        <v>194</v>
      </c>
      <c r="D25" s="234" t="s">
        <v>195</v>
      </c>
      <c r="E25" s="212">
        <v>908</v>
      </c>
      <c r="F25" s="212">
        <v>4202</v>
      </c>
      <c r="G25" s="212" t="s">
        <v>1723</v>
      </c>
      <c r="H25" s="212" t="s">
        <v>1724</v>
      </c>
      <c r="I25" s="212" t="s">
        <v>250</v>
      </c>
      <c r="J25" s="212" t="s">
        <v>1728</v>
      </c>
      <c r="K25" s="212" t="s">
        <v>269</v>
      </c>
      <c r="L25" s="227" t="s">
        <v>1729</v>
      </c>
      <c r="M25" t="s">
        <v>1739</v>
      </c>
      <c r="N25" s="211">
        <v>-10.48</v>
      </c>
      <c r="O25" s="211">
        <v>-19.303000000000001</v>
      </c>
      <c r="P25" s="211" t="s">
        <v>487</v>
      </c>
      <c r="Q25" s="211">
        <v>31.6</v>
      </c>
      <c r="R25" s="211">
        <v>0.8</v>
      </c>
      <c r="S25" s="211" t="s">
        <v>1731</v>
      </c>
    </row>
    <row r="26" spans="1:21" ht="19">
      <c r="A26" s="212" t="s">
        <v>218</v>
      </c>
      <c r="B26" s="212" t="s">
        <v>193</v>
      </c>
      <c r="C26" s="233" t="s">
        <v>194</v>
      </c>
      <c r="D26" s="234" t="s">
        <v>195</v>
      </c>
      <c r="E26" s="212">
        <v>40541</v>
      </c>
      <c r="F26" s="212">
        <v>110</v>
      </c>
      <c r="G26" s="212" t="s">
        <v>1723</v>
      </c>
      <c r="H26" s="212" t="s">
        <v>1724</v>
      </c>
      <c r="I26" s="212" t="s">
        <v>300</v>
      </c>
      <c r="J26" s="212" t="s">
        <v>225</v>
      </c>
      <c r="K26" s="212" t="s">
        <v>269</v>
      </c>
      <c r="L26" s="227" t="s">
        <v>1725</v>
      </c>
      <c r="M26" t="s">
        <v>205</v>
      </c>
      <c r="N26" s="211">
        <v>-18.899999999999999</v>
      </c>
      <c r="O26" s="211">
        <v>-18.899999999999999</v>
      </c>
      <c r="P26" s="211">
        <v>5.8</v>
      </c>
      <c r="S26" s="211">
        <v>2.8</v>
      </c>
    </row>
    <row r="27" spans="1:21" ht="19">
      <c r="A27" s="212" t="s">
        <v>218</v>
      </c>
      <c r="B27" s="212" t="s">
        <v>193</v>
      </c>
      <c r="C27" s="233" t="s">
        <v>194</v>
      </c>
      <c r="D27" s="234" t="s">
        <v>195</v>
      </c>
      <c r="E27" s="212">
        <v>40541</v>
      </c>
      <c r="F27" s="212">
        <v>1232</v>
      </c>
      <c r="G27" s="212" t="s">
        <v>1723</v>
      </c>
      <c r="H27" s="212" t="s">
        <v>1724</v>
      </c>
      <c r="I27" s="212" t="s">
        <v>300</v>
      </c>
      <c r="J27" s="212" t="s">
        <v>225</v>
      </c>
      <c r="K27" s="212" t="s">
        <v>269</v>
      </c>
      <c r="L27" s="227" t="s">
        <v>1725</v>
      </c>
      <c r="M27" t="s">
        <v>205</v>
      </c>
      <c r="N27" s="211">
        <v>-19.100000000000001</v>
      </c>
      <c r="O27" s="211">
        <v>-19.100000000000001</v>
      </c>
      <c r="P27" s="211">
        <v>5</v>
      </c>
      <c r="S27" s="211">
        <v>2.8</v>
      </c>
    </row>
    <row r="28" spans="1:21" ht="19">
      <c r="A28" s="212" t="s">
        <v>218</v>
      </c>
      <c r="B28" s="212" t="s">
        <v>193</v>
      </c>
      <c r="C28" s="233" t="s">
        <v>194</v>
      </c>
      <c r="D28" s="234" t="s">
        <v>195</v>
      </c>
      <c r="E28" s="212">
        <v>40541</v>
      </c>
      <c r="F28" s="212">
        <v>1233</v>
      </c>
      <c r="G28" s="212" t="s">
        <v>1723</v>
      </c>
      <c r="H28" s="212" t="s">
        <v>1724</v>
      </c>
      <c r="I28" s="212" t="s">
        <v>300</v>
      </c>
      <c r="J28" s="212" t="s">
        <v>225</v>
      </c>
      <c r="K28" s="212" t="s">
        <v>269</v>
      </c>
      <c r="L28" s="227" t="s">
        <v>1725</v>
      </c>
      <c r="M28" t="s">
        <v>205</v>
      </c>
      <c r="N28" s="211">
        <v>-19.5</v>
      </c>
      <c r="O28" s="211">
        <v>-19.5</v>
      </c>
      <c r="P28" s="211">
        <v>7.9</v>
      </c>
      <c r="S28" s="211">
        <v>2.8</v>
      </c>
    </row>
    <row r="29" spans="1:21" ht="19">
      <c r="A29" s="212" t="s">
        <v>218</v>
      </c>
      <c r="B29" s="212" t="s">
        <v>193</v>
      </c>
      <c r="C29" s="233" t="s">
        <v>194</v>
      </c>
      <c r="D29" s="234" t="s">
        <v>195</v>
      </c>
      <c r="E29" s="212">
        <v>41172</v>
      </c>
      <c r="F29" s="212">
        <v>267</v>
      </c>
      <c r="G29" s="212" t="s">
        <v>1723</v>
      </c>
      <c r="H29" s="212" t="s">
        <v>1724</v>
      </c>
      <c r="I29" s="212" t="s">
        <v>1740</v>
      </c>
      <c r="J29" s="212" t="s">
        <v>1728</v>
      </c>
      <c r="K29" s="212" t="s">
        <v>269</v>
      </c>
      <c r="L29" s="227" t="s">
        <v>1729</v>
      </c>
      <c r="M29" t="s">
        <v>1730</v>
      </c>
      <c r="N29" s="211">
        <v>-9.09</v>
      </c>
      <c r="O29" s="211">
        <v>-17.913</v>
      </c>
      <c r="P29" s="211" t="s">
        <v>487</v>
      </c>
      <c r="Q29" s="211">
        <v>24.7</v>
      </c>
      <c r="R29" s="211">
        <v>-5.9</v>
      </c>
      <c r="S29" s="211" t="s">
        <v>1731</v>
      </c>
    </row>
    <row r="30" spans="1:21" ht="19">
      <c r="A30" s="212" t="s">
        <v>218</v>
      </c>
      <c r="B30" s="212" t="s">
        <v>193</v>
      </c>
      <c r="C30" s="233" t="s">
        <v>194</v>
      </c>
      <c r="D30" s="234" t="s">
        <v>195</v>
      </c>
      <c r="E30" s="212">
        <v>41229</v>
      </c>
      <c r="F30" s="212">
        <v>10865</v>
      </c>
      <c r="G30" s="212" t="s">
        <v>1741</v>
      </c>
      <c r="H30" s="212" t="s">
        <v>1724</v>
      </c>
      <c r="I30" s="212" t="s">
        <v>1742</v>
      </c>
      <c r="J30" s="212" t="s">
        <v>1728</v>
      </c>
      <c r="K30" s="212" t="s">
        <v>269</v>
      </c>
      <c r="L30" s="227" t="s">
        <v>1725</v>
      </c>
      <c r="M30" t="s">
        <v>205</v>
      </c>
      <c r="N30" s="211">
        <v>-18.55</v>
      </c>
      <c r="O30" s="211">
        <v>-18.600000000000001</v>
      </c>
      <c r="P30" s="211">
        <v>8.6</v>
      </c>
      <c r="S30" s="211">
        <v>2.8</v>
      </c>
    </row>
    <row r="31" spans="1:21" ht="19">
      <c r="A31" s="212" t="s">
        <v>218</v>
      </c>
      <c r="B31" s="212" t="s">
        <v>193</v>
      </c>
      <c r="C31" s="233" t="s">
        <v>194</v>
      </c>
      <c r="D31" s="234" t="s">
        <v>195</v>
      </c>
      <c r="E31" s="212">
        <v>908</v>
      </c>
      <c r="F31" s="212">
        <v>938</v>
      </c>
      <c r="G31" s="212" t="s">
        <v>1723</v>
      </c>
      <c r="H31" s="212" t="s">
        <v>1724</v>
      </c>
      <c r="I31" s="212" t="s">
        <v>250</v>
      </c>
      <c r="J31" s="212" t="s">
        <v>225</v>
      </c>
      <c r="K31" s="212" t="s">
        <v>269</v>
      </c>
      <c r="L31" s="227" t="s">
        <v>1725</v>
      </c>
      <c r="M31" t="s">
        <v>205</v>
      </c>
      <c r="N31" s="211" t="s">
        <v>463</v>
      </c>
      <c r="O31" s="211" t="s">
        <v>1731</v>
      </c>
      <c r="P31" s="211" t="s">
        <v>463</v>
      </c>
      <c r="S31" s="211">
        <v>5.0999999999999996</v>
      </c>
      <c r="U31" s="212" t="s">
        <v>1743</v>
      </c>
    </row>
    <row r="32" spans="1:21">
      <c r="A32" s="212" t="s">
        <v>218</v>
      </c>
      <c r="B32" s="212" t="s">
        <v>193</v>
      </c>
      <c r="C32" s="233" t="s">
        <v>460</v>
      </c>
      <c r="D32" s="233" t="s">
        <v>151</v>
      </c>
      <c r="E32" s="212">
        <v>31141</v>
      </c>
      <c r="F32" s="212">
        <v>63</v>
      </c>
      <c r="G32" s="212" t="s">
        <v>1723</v>
      </c>
      <c r="H32" s="212" t="s">
        <v>1724</v>
      </c>
      <c r="I32" s="212" t="s">
        <v>669</v>
      </c>
      <c r="J32" s="212" t="s">
        <v>104</v>
      </c>
      <c r="K32" s="212" t="s">
        <v>269</v>
      </c>
      <c r="L32" s="227" t="s">
        <v>1729</v>
      </c>
      <c r="M32" t="s">
        <v>186</v>
      </c>
      <c r="N32" s="211">
        <v>-11.84</v>
      </c>
      <c r="O32" s="211">
        <v>-20.663</v>
      </c>
      <c r="P32" s="211" t="s">
        <v>487</v>
      </c>
      <c r="Q32" s="211">
        <v>29.6</v>
      </c>
      <c r="R32" s="211">
        <v>-1.3</v>
      </c>
      <c r="S32" s="211" t="s">
        <v>1731</v>
      </c>
    </row>
    <row r="33" spans="1:19">
      <c r="A33" s="212" t="s">
        <v>218</v>
      </c>
      <c r="B33" s="212" t="s">
        <v>193</v>
      </c>
      <c r="C33" s="233" t="s">
        <v>460</v>
      </c>
      <c r="D33" s="233" t="s">
        <v>151</v>
      </c>
      <c r="E33" s="212">
        <v>998</v>
      </c>
      <c r="F33" s="212">
        <v>137</v>
      </c>
      <c r="G33" s="212" t="s">
        <v>1723</v>
      </c>
      <c r="H33" s="212" t="s">
        <v>1724</v>
      </c>
      <c r="I33" s="212" t="s">
        <v>190</v>
      </c>
      <c r="J33" s="212" t="s">
        <v>104</v>
      </c>
      <c r="K33" s="212" t="s">
        <v>269</v>
      </c>
      <c r="L33" s="227" t="s">
        <v>1725</v>
      </c>
      <c r="M33" t="s">
        <v>1332</v>
      </c>
      <c r="N33" s="211">
        <v>-27.44</v>
      </c>
      <c r="O33" s="211" t="s">
        <v>1731</v>
      </c>
      <c r="P33" s="211" t="s">
        <v>463</v>
      </c>
      <c r="S33" s="211" t="s">
        <v>1731</v>
      </c>
    </row>
    <row r="34" spans="1:19" ht="19">
      <c r="A34" s="212" t="s">
        <v>218</v>
      </c>
      <c r="B34" s="212" t="s">
        <v>193</v>
      </c>
      <c r="C34" s="233" t="s">
        <v>460</v>
      </c>
      <c r="D34" s="234" t="s">
        <v>151</v>
      </c>
      <c r="E34" s="212">
        <v>998</v>
      </c>
      <c r="F34" s="212">
        <v>115</v>
      </c>
      <c r="G34" s="212" t="s">
        <v>1723</v>
      </c>
      <c r="H34" s="212" t="s">
        <v>1724</v>
      </c>
      <c r="I34" s="212" t="s">
        <v>190</v>
      </c>
      <c r="J34" s="212" t="s">
        <v>104</v>
      </c>
      <c r="K34" s="212" t="s">
        <v>269</v>
      </c>
      <c r="L34" s="227" t="s">
        <v>1725</v>
      </c>
      <c r="M34" t="s">
        <v>1737</v>
      </c>
      <c r="N34" s="211" t="s">
        <v>463</v>
      </c>
      <c r="O34" s="211" t="s">
        <v>1731</v>
      </c>
      <c r="P34" s="211" t="s">
        <v>463</v>
      </c>
      <c r="S34" s="211" t="s">
        <v>1731</v>
      </c>
    </row>
    <row r="35" spans="1:19" ht="19">
      <c r="A35" s="212" t="s">
        <v>218</v>
      </c>
      <c r="B35" s="212" t="s">
        <v>193</v>
      </c>
      <c r="C35" s="233" t="s">
        <v>466</v>
      </c>
      <c r="D35" s="234" t="s">
        <v>151</v>
      </c>
      <c r="E35" s="212">
        <v>40541</v>
      </c>
      <c r="F35" s="212">
        <v>112</v>
      </c>
      <c r="G35" s="212" t="s">
        <v>1723</v>
      </c>
      <c r="H35" s="212" t="s">
        <v>1724</v>
      </c>
      <c r="I35" s="212" t="s">
        <v>300</v>
      </c>
      <c r="J35" s="212" t="s">
        <v>104</v>
      </c>
      <c r="K35" s="212" t="s">
        <v>269</v>
      </c>
      <c r="L35" s="227" t="s">
        <v>1725</v>
      </c>
      <c r="M35" t="s">
        <v>205</v>
      </c>
      <c r="N35" s="211">
        <v>-18.100000000000001</v>
      </c>
      <c r="O35" s="211">
        <v>-18.100000000000001</v>
      </c>
      <c r="P35" s="211">
        <v>5.2</v>
      </c>
      <c r="S35" s="211">
        <v>2.8</v>
      </c>
    </row>
    <row r="36" spans="1:19">
      <c r="A36" s="212" t="s">
        <v>218</v>
      </c>
      <c r="B36" s="212" t="s">
        <v>389</v>
      </c>
      <c r="C36" s="233" t="s">
        <v>390</v>
      </c>
      <c r="D36" s="233" t="s">
        <v>391</v>
      </c>
      <c r="E36" s="212">
        <v>892</v>
      </c>
      <c r="F36" s="212" t="s">
        <v>275</v>
      </c>
      <c r="G36" s="212" t="s">
        <v>1723</v>
      </c>
      <c r="H36" s="212" t="s">
        <v>1724</v>
      </c>
      <c r="I36" s="212" t="s">
        <v>276</v>
      </c>
      <c r="J36" s="212" t="s">
        <v>104</v>
      </c>
      <c r="K36" s="212" t="s">
        <v>269</v>
      </c>
      <c r="L36" s="227" t="s">
        <v>1729</v>
      </c>
      <c r="M36" t="s">
        <v>186</v>
      </c>
      <c r="N36" s="211">
        <v>-1.17</v>
      </c>
      <c r="O36" s="211">
        <v>-9.9930000000000003</v>
      </c>
      <c r="P36" s="211" t="s">
        <v>487</v>
      </c>
      <c r="R36" s="211">
        <v>-5</v>
      </c>
      <c r="S36" s="211" t="s">
        <v>1731</v>
      </c>
    </row>
    <row r="37" spans="1:19">
      <c r="A37" s="212" t="s">
        <v>218</v>
      </c>
      <c r="B37" s="212" t="s">
        <v>389</v>
      </c>
      <c r="C37" s="233" t="s">
        <v>390</v>
      </c>
      <c r="D37" s="233" t="s">
        <v>391</v>
      </c>
      <c r="E37" s="212">
        <v>30967</v>
      </c>
      <c r="F37" s="212">
        <v>39</v>
      </c>
      <c r="G37" s="212" t="s">
        <v>1723</v>
      </c>
      <c r="H37" s="212" t="s">
        <v>1724</v>
      </c>
      <c r="I37" s="212" t="s">
        <v>110</v>
      </c>
      <c r="J37" s="212" t="s">
        <v>1744</v>
      </c>
      <c r="K37" s="212" t="s">
        <v>1745</v>
      </c>
      <c r="L37" s="227" t="s">
        <v>1729</v>
      </c>
      <c r="M37" t="s">
        <v>1746</v>
      </c>
      <c r="N37" s="211">
        <v>0.5</v>
      </c>
      <c r="O37" s="211">
        <v>-8.3230000000000004</v>
      </c>
      <c r="P37" s="211" t="s">
        <v>487</v>
      </c>
      <c r="Q37" s="211">
        <v>31.4</v>
      </c>
      <c r="R37" s="211">
        <v>0.5</v>
      </c>
      <c r="S37" s="211" t="s">
        <v>1731</v>
      </c>
    </row>
    <row r="38" spans="1:19">
      <c r="A38" s="212" t="s">
        <v>218</v>
      </c>
      <c r="B38" s="212" t="s">
        <v>389</v>
      </c>
      <c r="C38" s="233" t="s">
        <v>390</v>
      </c>
      <c r="D38" s="233" t="s">
        <v>391</v>
      </c>
      <c r="E38" s="212">
        <v>30967</v>
      </c>
      <c r="F38" s="212">
        <v>110</v>
      </c>
      <c r="G38" s="212" t="s">
        <v>1723</v>
      </c>
      <c r="H38" s="212" t="s">
        <v>1724</v>
      </c>
      <c r="I38" s="212" t="s">
        <v>110</v>
      </c>
      <c r="J38" s="212" t="s">
        <v>1744</v>
      </c>
      <c r="K38" s="212" t="s">
        <v>1745</v>
      </c>
      <c r="L38" s="227" t="s">
        <v>1729</v>
      </c>
      <c r="M38" t="s">
        <v>1746</v>
      </c>
      <c r="N38" s="211">
        <v>1.8</v>
      </c>
      <c r="O38" s="211">
        <v>-7.0229999999999997</v>
      </c>
      <c r="P38" s="211" t="s">
        <v>487</v>
      </c>
      <c r="Q38" s="211">
        <v>31.8</v>
      </c>
      <c r="R38" s="211">
        <v>0.9</v>
      </c>
      <c r="S38" s="211" t="s">
        <v>1731</v>
      </c>
    </row>
    <row r="39" spans="1:19">
      <c r="A39" s="212" t="s">
        <v>218</v>
      </c>
      <c r="B39" s="212" t="s">
        <v>389</v>
      </c>
      <c r="C39" s="233" t="s">
        <v>390</v>
      </c>
      <c r="D39" s="233" t="s">
        <v>391</v>
      </c>
      <c r="E39" s="212">
        <v>30967</v>
      </c>
      <c r="F39" s="212">
        <v>473</v>
      </c>
      <c r="G39" s="212" t="s">
        <v>1723</v>
      </c>
      <c r="H39" s="212" t="s">
        <v>1724</v>
      </c>
      <c r="I39" s="212" t="s">
        <v>110</v>
      </c>
      <c r="J39" s="212" t="s">
        <v>1744</v>
      </c>
      <c r="K39" s="212" t="s">
        <v>1745</v>
      </c>
      <c r="L39" s="227" t="s">
        <v>1729</v>
      </c>
      <c r="M39" t="s">
        <v>1734</v>
      </c>
      <c r="N39" s="211">
        <v>-0.7</v>
      </c>
      <c r="O39" s="211">
        <v>-9.5229999999999997</v>
      </c>
      <c r="P39" s="211" t="s">
        <v>487</v>
      </c>
      <c r="Q39" s="211">
        <v>29.4</v>
      </c>
      <c r="R39" s="211">
        <v>-1.4</v>
      </c>
      <c r="S39" s="211" t="s">
        <v>1731</v>
      </c>
    </row>
    <row r="40" spans="1:19">
      <c r="A40" s="212" t="s">
        <v>218</v>
      </c>
      <c r="B40" s="212" t="s">
        <v>389</v>
      </c>
      <c r="C40" s="233" t="s">
        <v>390</v>
      </c>
      <c r="D40" s="233" t="s">
        <v>391</v>
      </c>
      <c r="E40" s="212">
        <v>30967</v>
      </c>
      <c r="F40" s="212">
        <v>481</v>
      </c>
      <c r="G40" s="212" t="s">
        <v>1723</v>
      </c>
      <c r="H40" s="212" t="s">
        <v>1724</v>
      </c>
      <c r="I40" s="212" t="s">
        <v>110</v>
      </c>
      <c r="J40" s="212" t="s">
        <v>1744</v>
      </c>
      <c r="K40" s="212" t="s">
        <v>1745</v>
      </c>
      <c r="L40" s="227" t="s">
        <v>1729</v>
      </c>
      <c r="M40" t="s">
        <v>1734</v>
      </c>
      <c r="N40" s="211">
        <v>1.1000000000000001</v>
      </c>
      <c r="O40" s="211">
        <v>-7.7229999999999999</v>
      </c>
      <c r="P40" s="211" t="s">
        <v>487</v>
      </c>
      <c r="Q40" s="211">
        <v>30</v>
      </c>
      <c r="R40" s="211">
        <v>-0.8</v>
      </c>
      <c r="S40" s="211" t="s">
        <v>1731</v>
      </c>
    </row>
    <row r="41" spans="1:19">
      <c r="A41" s="212" t="s">
        <v>218</v>
      </c>
      <c r="B41" s="212" t="s">
        <v>389</v>
      </c>
      <c r="C41" s="233" t="s">
        <v>390</v>
      </c>
      <c r="D41" s="233" t="s">
        <v>391</v>
      </c>
      <c r="E41" s="212">
        <v>30967</v>
      </c>
      <c r="F41" s="212">
        <v>638</v>
      </c>
      <c r="G41" s="212" t="s">
        <v>1723</v>
      </c>
      <c r="H41" s="212" t="s">
        <v>1724</v>
      </c>
      <c r="I41" s="212" t="s">
        <v>110</v>
      </c>
      <c r="J41" s="212" t="s">
        <v>1744</v>
      </c>
      <c r="K41" s="212" t="s">
        <v>1745</v>
      </c>
      <c r="L41" s="227" t="s">
        <v>1729</v>
      </c>
      <c r="M41" t="s">
        <v>1734</v>
      </c>
      <c r="N41" s="211">
        <v>-2</v>
      </c>
      <c r="O41" s="211">
        <v>-10.823</v>
      </c>
      <c r="P41" s="211" t="s">
        <v>487</v>
      </c>
      <c r="Q41" s="211">
        <v>30.1</v>
      </c>
      <c r="R41" s="211">
        <v>-0.7</v>
      </c>
      <c r="S41" s="211" t="s">
        <v>1731</v>
      </c>
    </row>
    <row r="42" spans="1:19">
      <c r="A42" s="212" t="s">
        <v>218</v>
      </c>
      <c r="B42" s="212" t="s">
        <v>389</v>
      </c>
      <c r="C42" s="233" t="s">
        <v>390</v>
      </c>
      <c r="D42" s="233" t="s">
        <v>391</v>
      </c>
      <c r="E42" s="212">
        <v>30967</v>
      </c>
      <c r="F42" s="212">
        <v>662</v>
      </c>
      <c r="G42" s="212" t="s">
        <v>1723</v>
      </c>
      <c r="H42" s="212" t="s">
        <v>1724</v>
      </c>
      <c r="I42" s="212" t="s">
        <v>110</v>
      </c>
      <c r="J42" s="212" t="s">
        <v>1744</v>
      </c>
      <c r="K42" s="212" t="s">
        <v>1745</v>
      </c>
      <c r="L42" s="227" t="s">
        <v>1729</v>
      </c>
      <c r="M42" t="s">
        <v>186</v>
      </c>
      <c r="N42" s="211">
        <v>-0.8</v>
      </c>
      <c r="O42" s="211">
        <v>-9.6229999999999993</v>
      </c>
      <c r="P42" s="211" t="s">
        <v>487</v>
      </c>
      <c r="Q42" s="211">
        <v>31.8</v>
      </c>
      <c r="R42" s="211">
        <v>0.9</v>
      </c>
      <c r="S42" s="211" t="s">
        <v>1731</v>
      </c>
    </row>
    <row r="43" spans="1:19">
      <c r="A43" s="212" t="s">
        <v>218</v>
      </c>
      <c r="B43" s="212" t="s">
        <v>389</v>
      </c>
      <c r="C43" s="233" t="s">
        <v>390</v>
      </c>
      <c r="D43" s="233" t="s">
        <v>391</v>
      </c>
      <c r="E43" s="212">
        <v>30967</v>
      </c>
      <c r="F43" s="212">
        <v>939</v>
      </c>
      <c r="G43" s="212" t="s">
        <v>1723</v>
      </c>
      <c r="H43" s="212" t="s">
        <v>1724</v>
      </c>
      <c r="I43" s="212" t="s">
        <v>110</v>
      </c>
      <c r="J43" s="212" t="s">
        <v>1744</v>
      </c>
      <c r="K43" s="212" t="s">
        <v>1745</v>
      </c>
      <c r="L43" s="227" t="s">
        <v>1729</v>
      </c>
      <c r="M43" t="s">
        <v>1746</v>
      </c>
      <c r="N43" s="211">
        <v>0.9</v>
      </c>
      <c r="O43" s="211">
        <v>-7.923</v>
      </c>
      <c r="P43" s="211" t="s">
        <v>487</v>
      </c>
      <c r="Q43" s="211">
        <v>32.9</v>
      </c>
      <c r="R43" s="211">
        <v>2</v>
      </c>
      <c r="S43" s="211" t="s">
        <v>1731</v>
      </c>
    </row>
    <row r="44" spans="1:19">
      <c r="A44" s="212" t="s">
        <v>218</v>
      </c>
      <c r="B44" s="212" t="s">
        <v>389</v>
      </c>
      <c r="C44" s="233" t="s">
        <v>390</v>
      </c>
      <c r="D44" s="233" t="s">
        <v>391</v>
      </c>
      <c r="E44" s="212">
        <v>30967</v>
      </c>
      <c r="F44" s="212">
        <v>1128</v>
      </c>
      <c r="G44" s="212" t="s">
        <v>1723</v>
      </c>
      <c r="H44" s="212" t="s">
        <v>1724</v>
      </c>
      <c r="I44" s="212" t="s">
        <v>110</v>
      </c>
      <c r="J44" s="212" t="s">
        <v>104</v>
      </c>
      <c r="K44" s="212" t="s">
        <v>269</v>
      </c>
      <c r="L44" s="227" t="s">
        <v>1729</v>
      </c>
      <c r="M44" t="s">
        <v>1747</v>
      </c>
      <c r="N44" s="211">
        <v>-2.17</v>
      </c>
      <c r="O44" s="211">
        <v>-10.993</v>
      </c>
      <c r="P44" s="211" t="s">
        <v>487</v>
      </c>
      <c r="Q44" s="211">
        <v>27.4</v>
      </c>
      <c r="R44" s="211">
        <v>-3.4</v>
      </c>
      <c r="S44" s="211" t="s">
        <v>1731</v>
      </c>
    </row>
    <row r="45" spans="1:19">
      <c r="A45" s="212" t="s">
        <v>218</v>
      </c>
      <c r="B45" s="212" t="s">
        <v>389</v>
      </c>
      <c r="C45" s="233" t="s">
        <v>390</v>
      </c>
      <c r="D45" s="233" t="s">
        <v>391</v>
      </c>
      <c r="E45" s="212">
        <v>41229</v>
      </c>
      <c r="F45" s="212">
        <v>1362</v>
      </c>
      <c r="G45" s="212" t="s">
        <v>1723</v>
      </c>
      <c r="H45" s="212" t="s">
        <v>1724</v>
      </c>
      <c r="I45" s="212" t="s">
        <v>1137</v>
      </c>
      <c r="J45" s="212" t="s">
        <v>104</v>
      </c>
      <c r="K45" s="212" t="s">
        <v>269</v>
      </c>
      <c r="L45" s="227" t="s">
        <v>1725</v>
      </c>
      <c r="M45" t="s">
        <v>1748</v>
      </c>
      <c r="N45" s="211">
        <v>-9.3000000000000007</v>
      </c>
      <c r="O45" s="211">
        <v>-9.3000000000000007</v>
      </c>
      <c r="P45" s="211">
        <v>10.4</v>
      </c>
      <c r="S45" s="211">
        <v>2.8</v>
      </c>
    </row>
    <row r="46" spans="1:19">
      <c r="A46" s="212" t="s">
        <v>218</v>
      </c>
      <c r="B46" s="212" t="s">
        <v>389</v>
      </c>
      <c r="C46" s="233" t="s">
        <v>390</v>
      </c>
      <c r="D46" s="233" t="s">
        <v>391</v>
      </c>
      <c r="E46" s="212">
        <v>41229</v>
      </c>
      <c r="F46" s="212">
        <v>10803</v>
      </c>
      <c r="G46" s="212" t="s">
        <v>1723</v>
      </c>
      <c r="H46" s="212" t="s">
        <v>1724</v>
      </c>
      <c r="I46" s="212" t="s">
        <v>1137</v>
      </c>
      <c r="J46" s="212" t="s">
        <v>104</v>
      </c>
      <c r="K46" s="212" t="s">
        <v>269</v>
      </c>
      <c r="L46" s="227" t="s">
        <v>1725</v>
      </c>
      <c r="M46" t="s">
        <v>1749</v>
      </c>
      <c r="N46" s="211">
        <v>-12.3</v>
      </c>
      <c r="O46" s="211">
        <v>-12.3</v>
      </c>
      <c r="P46" s="211">
        <v>7</v>
      </c>
      <c r="S46" s="211">
        <v>2.8</v>
      </c>
    </row>
    <row r="47" spans="1:19">
      <c r="A47" s="212" t="s">
        <v>218</v>
      </c>
      <c r="B47" s="212" t="s">
        <v>389</v>
      </c>
      <c r="C47" s="233" t="s">
        <v>390</v>
      </c>
      <c r="D47" s="233" t="s">
        <v>391</v>
      </c>
      <c r="E47" s="212">
        <v>937</v>
      </c>
      <c r="F47" s="212">
        <v>492</v>
      </c>
      <c r="G47" s="212" t="s">
        <v>1723</v>
      </c>
      <c r="H47" s="212" t="s">
        <v>1724</v>
      </c>
      <c r="I47" s="212" t="s">
        <v>706</v>
      </c>
      <c r="J47" s="212" t="s">
        <v>104</v>
      </c>
      <c r="K47" s="212" t="s">
        <v>269</v>
      </c>
      <c r="L47" s="227" t="s">
        <v>1725</v>
      </c>
      <c r="M47" t="s">
        <v>1750</v>
      </c>
      <c r="N47" s="211">
        <v>-28.2</v>
      </c>
      <c r="O47" s="211" t="s">
        <v>1731</v>
      </c>
      <c r="P47" s="211" t="s">
        <v>463</v>
      </c>
      <c r="S47" s="211" t="s">
        <v>1731</v>
      </c>
    </row>
    <row r="48" spans="1:19">
      <c r="A48" s="212" t="s">
        <v>218</v>
      </c>
      <c r="B48" s="212" t="s">
        <v>389</v>
      </c>
      <c r="C48" s="233" t="s">
        <v>390</v>
      </c>
      <c r="D48" s="233" t="s">
        <v>391</v>
      </c>
      <c r="E48" s="212">
        <v>30967</v>
      </c>
      <c r="F48" s="212">
        <v>1230</v>
      </c>
      <c r="G48" s="212" t="s">
        <v>1723</v>
      </c>
      <c r="H48" s="212" t="s">
        <v>1724</v>
      </c>
      <c r="I48" s="212" t="s">
        <v>110</v>
      </c>
      <c r="J48" s="212" t="s">
        <v>104</v>
      </c>
      <c r="K48" s="212" t="s">
        <v>269</v>
      </c>
      <c r="L48" s="227" t="s">
        <v>1725</v>
      </c>
      <c r="M48" t="s">
        <v>1750</v>
      </c>
      <c r="N48" s="211" t="s">
        <v>463</v>
      </c>
      <c r="O48" s="211" t="s">
        <v>1731</v>
      </c>
      <c r="P48" s="211" t="s">
        <v>463</v>
      </c>
      <c r="S48" s="211" t="s">
        <v>1731</v>
      </c>
    </row>
    <row r="49" spans="1:19">
      <c r="A49" s="212" t="s">
        <v>218</v>
      </c>
      <c r="B49" s="212" t="s">
        <v>389</v>
      </c>
      <c r="C49" s="233" t="s">
        <v>390</v>
      </c>
      <c r="D49" s="233" t="s">
        <v>470</v>
      </c>
      <c r="E49" s="212">
        <v>892</v>
      </c>
      <c r="F49" s="212">
        <v>218</v>
      </c>
      <c r="G49" s="212" t="s">
        <v>1723</v>
      </c>
      <c r="H49" s="212" t="s">
        <v>1724</v>
      </c>
      <c r="I49" s="212" t="s">
        <v>276</v>
      </c>
      <c r="J49" s="212" t="s">
        <v>225</v>
      </c>
      <c r="K49" s="212" t="s">
        <v>269</v>
      </c>
      <c r="L49" s="227" t="s">
        <v>1725</v>
      </c>
      <c r="M49" t="s">
        <v>1750</v>
      </c>
      <c r="N49" s="211">
        <v>-8.1</v>
      </c>
      <c r="O49" s="211">
        <v>-8.1</v>
      </c>
      <c r="P49" s="211">
        <v>7.7</v>
      </c>
      <c r="S49" s="211">
        <v>3</v>
      </c>
    </row>
    <row r="50" spans="1:19">
      <c r="A50" s="212" t="s">
        <v>218</v>
      </c>
      <c r="B50" s="212" t="s">
        <v>389</v>
      </c>
      <c r="C50" s="233" t="s">
        <v>390</v>
      </c>
      <c r="D50" s="233" t="s">
        <v>470</v>
      </c>
      <c r="E50" s="212">
        <v>892</v>
      </c>
      <c r="F50" s="212" t="s">
        <v>1751</v>
      </c>
      <c r="G50" s="212" t="s">
        <v>1723</v>
      </c>
      <c r="H50" s="212" t="s">
        <v>1724</v>
      </c>
      <c r="I50" s="212" t="s">
        <v>276</v>
      </c>
      <c r="J50" s="212" t="s">
        <v>225</v>
      </c>
      <c r="K50" s="212" t="s">
        <v>269</v>
      </c>
      <c r="L50" s="227" t="s">
        <v>1725</v>
      </c>
      <c r="M50" t="s">
        <v>1750</v>
      </c>
      <c r="N50" s="211">
        <v>-8.9</v>
      </c>
      <c r="O50" s="211">
        <v>-8.9</v>
      </c>
      <c r="P50" s="211">
        <v>7.6</v>
      </c>
      <c r="S50" s="211">
        <v>2.9</v>
      </c>
    </row>
    <row r="51" spans="1:19">
      <c r="A51" s="212" t="s">
        <v>218</v>
      </c>
      <c r="B51" s="212" t="s">
        <v>389</v>
      </c>
      <c r="C51" s="233" t="s">
        <v>390</v>
      </c>
      <c r="D51" s="233" t="s">
        <v>470</v>
      </c>
      <c r="E51" s="212">
        <v>892</v>
      </c>
      <c r="F51" s="212" t="s">
        <v>1752</v>
      </c>
      <c r="G51" s="212" t="s">
        <v>1723</v>
      </c>
      <c r="H51" s="212" t="s">
        <v>1724</v>
      </c>
      <c r="I51" s="212" t="s">
        <v>276</v>
      </c>
      <c r="J51" s="212" t="s">
        <v>225</v>
      </c>
      <c r="K51" s="212" t="s">
        <v>269</v>
      </c>
      <c r="L51" s="227" t="s">
        <v>1725</v>
      </c>
      <c r="M51" t="s">
        <v>1750</v>
      </c>
      <c r="N51" s="211">
        <v>-8.3000000000000007</v>
      </c>
      <c r="O51" s="211">
        <v>-8.3000000000000007</v>
      </c>
      <c r="P51" s="211">
        <v>7.9</v>
      </c>
      <c r="S51" s="211">
        <v>2.8</v>
      </c>
    </row>
    <row r="52" spans="1:19">
      <c r="A52" s="212" t="s">
        <v>218</v>
      </c>
      <c r="B52" s="212" t="s">
        <v>389</v>
      </c>
      <c r="C52" s="233" t="s">
        <v>390</v>
      </c>
      <c r="D52" s="233" t="s">
        <v>470</v>
      </c>
      <c r="E52" s="212">
        <v>892</v>
      </c>
      <c r="F52" s="212" t="s">
        <v>1753</v>
      </c>
      <c r="G52" s="212" t="s">
        <v>1723</v>
      </c>
      <c r="H52" s="212" t="s">
        <v>1724</v>
      </c>
      <c r="I52" s="212" t="s">
        <v>276</v>
      </c>
      <c r="J52" s="212" t="s">
        <v>225</v>
      </c>
      <c r="K52" s="212" t="s">
        <v>269</v>
      </c>
      <c r="L52" s="227" t="s">
        <v>1725</v>
      </c>
      <c r="M52" t="s">
        <v>1750</v>
      </c>
      <c r="N52" s="211">
        <v>-9</v>
      </c>
      <c r="O52" s="211">
        <v>-9</v>
      </c>
      <c r="P52" s="211">
        <v>6.3</v>
      </c>
      <c r="S52" s="211">
        <v>2.8</v>
      </c>
    </row>
    <row r="53" spans="1:19">
      <c r="A53" s="212" t="s">
        <v>218</v>
      </c>
      <c r="B53" s="212" t="s">
        <v>389</v>
      </c>
      <c r="C53" s="233" t="s">
        <v>390</v>
      </c>
      <c r="D53" s="233" t="s">
        <v>470</v>
      </c>
      <c r="E53" s="212">
        <v>908</v>
      </c>
      <c r="F53" s="212">
        <v>248</v>
      </c>
      <c r="G53" s="212" t="s">
        <v>1723</v>
      </c>
      <c r="H53" s="212" t="s">
        <v>1724</v>
      </c>
      <c r="I53" s="212" t="s">
        <v>250</v>
      </c>
      <c r="J53" s="212" t="s">
        <v>225</v>
      </c>
      <c r="K53" s="212" t="s">
        <v>269</v>
      </c>
      <c r="L53" s="227" t="s">
        <v>1725</v>
      </c>
      <c r="M53" t="s">
        <v>1737</v>
      </c>
      <c r="N53" s="211">
        <v>-11.3</v>
      </c>
      <c r="O53" s="211">
        <v>-11.3</v>
      </c>
      <c r="P53" s="211">
        <v>6.1</v>
      </c>
      <c r="S53" s="211">
        <v>2.8</v>
      </c>
    </row>
    <row r="54" spans="1:19">
      <c r="A54" s="212" t="s">
        <v>218</v>
      </c>
      <c r="B54" s="212" t="s">
        <v>389</v>
      </c>
      <c r="C54" s="233" t="s">
        <v>390</v>
      </c>
      <c r="D54" s="233" t="s">
        <v>470</v>
      </c>
      <c r="E54" s="212">
        <v>908</v>
      </c>
      <c r="F54" s="212">
        <v>250</v>
      </c>
      <c r="G54" s="212" t="s">
        <v>1723</v>
      </c>
      <c r="H54" s="212" t="s">
        <v>1724</v>
      </c>
      <c r="I54" s="212" t="s">
        <v>250</v>
      </c>
      <c r="J54" s="212" t="s">
        <v>225</v>
      </c>
      <c r="K54" s="212" t="s">
        <v>269</v>
      </c>
      <c r="L54" s="227" t="s">
        <v>1725</v>
      </c>
      <c r="M54" t="s">
        <v>1754</v>
      </c>
      <c r="N54" s="211">
        <v>-11.8</v>
      </c>
      <c r="O54" s="211">
        <v>-11.8</v>
      </c>
      <c r="P54" s="211">
        <v>6.9</v>
      </c>
      <c r="S54" s="211">
        <v>3</v>
      </c>
    </row>
    <row r="55" spans="1:19">
      <c r="A55" s="212" t="s">
        <v>218</v>
      </c>
      <c r="B55" s="212" t="s">
        <v>389</v>
      </c>
      <c r="C55" s="233" t="s">
        <v>390</v>
      </c>
      <c r="D55" s="233" t="s">
        <v>470</v>
      </c>
      <c r="E55" s="212">
        <v>908</v>
      </c>
      <c r="F55" s="212">
        <v>259</v>
      </c>
      <c r="G55" s="212" t="s">
        <v>1723</v>
      </c>
      <c r="H55" s="212" t="s">
        <v>1724</v>
      </c>
      <c r="I55" s="212" t="s">
        <v>250</v>
      </c>
      <c r="J55" s="212" t="s">
        <v>225</v>
      </c>
      <c r="K55" s="212" t="s">
        <v>269</v>
      </c>
      <c r="L55" s="227" t="s">
        <v>1725</v>
      </c>
      <c r="M55" t="s">
        <v>1755</v>
      </c>
      <c r="N55" s="211">
        <v>-10</v>
      </c>
      <c r="O55" s="211">
        <v>-10</v>
      </c>
      <c r="P55" s="211">
        <v>5.5</v>
      </c>
      <c r="S55" s="211">
        <v>2.9</v>
      </c>
    </row>
    <row r="56" spans="1:19">
      <c r="A56" s="212" t="s">
        <v>218</v>
      </c>
      <c r="B56" s="212" t="s">
        <v>389</v>
      </c>
      <c r="C56" s="233" t="s">
        <v>390</v>
      </c>
      <c r="D56" s="233" t="s">
        <v>470</v>
      </c>
      <c r="E56" s="212">
        <v>908</v>
      </c>
      <c r="F56" s="212">
        <v>343</v>
      </c>
      <c r="G56" s="212" t="s">
        <v>1723</v>
      </c>
      <c r="H56" s="212" t="s">
        <v>1724</v>
      </c>
      <c r="I56" s="212" t="s">
        <v>250</v>
      </c>
      <c r="J56" s="212" t="s">
        <v>225</v>
      </c>
      <c r="K56" s="212" t="s">
        <v>269</v>
      </c>
      <c r="L56" s="227" t="s">
        <v>1725</v>
      </c>
      <c r="M56" t="s">
        <v>1756</v>
      </c>
      <c r="N56" s="211">
        <v>-10.8</v>
      </c>
      <c r="O56" s="211">
        <v>-10.8</v>
      </c>
      <c r="P56" s="211">
        <v>5.4</v>
      </c>
      <c r="S56" s="211">
        <v>3</v>
      </c>
    </row>
    <row r="57" spans="1:19">
      <c r="A57" s="212" t="s">
        <v>218</v>
      </c>
      <c r="B57" s="212" t="s">
        <v>389</v>
      </c>
      <c r="C57" s="233" t="s">
        <v>390</v>
      </c>
      <c r="D57" s="233" t="s">
        <v>470</v>
      </c>
      <c r="E57" s="212">
        <v>908</v>
      </c>
      <c r="F57" s="212">
        <v>565</v>
      </c>
      <c r="G57" s="212" t="s">
        <v>1723</v>
      </c>
      <c r="H57" s="212" t="s">
        <v>1724</v>
      </c>
      <c r="I57" s="212" t="s">
        <v>250</v>
      </c>
      <c r="J57" s="212" t="s">
        <v>225</v>
      </c>
      <c r="K57" s="212" t="s">
        <v>269</v>
      </c>
      <c r="L57" s="227" t="s">
        <v>1725</v>
      </c>
      <c r="M57" t="s">
        <v>1737</v>
      </c>
      <c r="N57" s="211">
        <v>-9.6</v>
      </c>
      <c r="O57" s="211">
        <v>-9.6</v>
      </c>
      <c r="P57" s="211">
        <v>6.6</v>
      </c>
      <c r="S57" s="211">
        <v>2.9</v>
      </c>
    </row>
    <row r="58" spans="1:19">
      <c r="A58" s="212" t="s">
        <v>218</v>
      </c>
      <c r="B58" s="212" t="s">
        <v>389</v>
      </c>
      <c r="C58" s="233" t="s">
        <v>390</v>
      </c>
      <c r="D58" s="233" t="s">
        <v>470</v>
      </c>
      <c r="E58" s="212">
        <v>908</v>
      </c>
      <c r="F58" s="212">
        <v>571</v>
      </c>
      <c r="G58" s="212" t="s">
        <v>1723</v>
      </c>
      <c r="H58" s="212" t="s">
        <v>1724</v>
      </c>
      <c r="I58" s="212" t="s">
        <v>250</v>
      </c>
      <c r="J58" s="212" t="s">
        <v>225</v>
      </c>
      <c r="K58" s="212" t="s">
        <v>269</v>
      </c>
      <c r="L58" s="227" t="s">
        <v>1725</v>
      </c>
      <c r="M58" t="s">
        <v>1749</v>
      </c>
      <c r="N58" s="211">
        <v>-13</v>
      </c>
      <c r="O58" s="211">
        <v>-13</v>
      </c>
      <c r="P58" s="211">
        <v>6.3</v>
      </c>
      <c r="S58" s="211">
        <v>2.9</v>
      </c>
    </row>
    <row r="59" spans="1:19">
      <c r="A59" s="212" t="s">
        <v>218</v>
      </c>
      <c r="B59" s="212" t="s">
        <v>389</v>
      </c>
      <c r="C59" s="233" t="s">
        <v>390</v>
      </c>
      <c r="D59" s="233" t="s">
        <v>470</v>
      </c>
      <c r="E59" s="212">
        <v>908</v>
      </c>
      <c r="F59" s="212">
        <v>816</v>
      </c>
      <c r="G59" s="212" t="s">
        <v>1723</v>
      </c>
      <c r="H59" s="212" t="s">
        <v>1724</v>
      </c>
      <c r="I59" s="212" t="s">
        <v>250</v>
      </c>
      <c r="J59" s="212" t="s">
        <v>225</v>
      </c>
      <c r="K59" s="212" t="s">
        <v>269</v>
      </c>
      <c r="L59" s="227" t="s">
        <v>1725</v>
      </c>
      <c r="M59" t="s">
        <v>1757</v>
      </c>
      <c r="N59" s="211">
        <v>-9.3000000000000007</v>
      </c>
      <c r="O59" s="211">
        <v>-9.3000000000000007</v>
      </c>
      <c r="P59" s="211">
        <v>5.0999999999999996</v>
      </c>
      <c r="S59" s="211">
        <v>2.9</v>
      </c>
    </row>
    <row r="60" spans="1:19">
      <c r="A60" s="212" t="s">
        <v>218</v>
      </c>
      <c r="B60" s="212" t="s">
        <v>389</v>
      </c>
      <c r="C60" s="233" t="s">
        <v>390</v>
      </c>
      <c r="D60" s="233" t="s">
        <v>470</v>
      </c>
      <c r="E60" s="212">
        <v>908</v>
      </c>
      <c r="F60" s="212">
        <v>829</v>
      </c>
      <c r="G60" s="212" t="s">
        <v>1723</v>
      </c>
      <c r="H60" s="212" t="s">
        <v>1724</v>
      </c>
      <c r="I60" s="212" t="s">
        <v>250</v>
      </c>
      <c r="J60" s="212" t="s">
        <v>225</v>
      </c>
      <c r="K60" s="212" t="s">
        <v>269</v>
      </c>
      <c r="L60" s="227" t="s">
        <v>1725</v>
      </c>
      <c r="M60" t="s">
        <v>1758</v>
      </c>
      <c r="N60" s="211">
        <v>-10.9</v>
      </c>
      <c r="O60" s="211">
        <v>-10.9</v>
      </c>
      <c r="P60" s="211">
        <v>5.7</v>
      </c>
      <c r="S60" s="211">
        <v>2.8</v>
      </c>
    </row>
    <row r="61" spans="1:19">
      <c r="A61" s="212" t="s">
        <v>218</v>
      </c>
      <c r="B61" s="212" t="s">
        <v>389</v>
      </c>
      <c r="C61" s="233" t="s">
        <v>390</v>
      </c>
      <c r="D61" s="233" t="s">
        <v>470</v>
      </c>
      <c r="E61" s="212">
        <v>908</v>
      </c>
      <c r="F61" s="212">
        <v>831</v>
      </c>
      <c r="G61" s="212" t="s">
        <v>1723</v>
      </c>
      <c r="H61" s="212" t="s">
        <v>1724</v>
      </c>
      <c r="I61" s="212" t="s">
        <v>250</v>
      </c>
      <c r="J61" s="212" t="s">
        <v>225</v>
      </c>
      <c r="K61" s="212" t="s">
        <v>269</v>
      </c>
      <c r="L61" s="227" t="s">
        <v>1725</v>
      </c>
      <c r="M61" t="s">
        <v>1737</v>
      </c>
      <c r="N61" s="211">
        <v>-10.8</v>
      </c>
      <c r="O61" s="211">
        <v>-10.8</v>
      </c>
      <c r="P61" s="211">
        <v>5.3</v>
      </c>
      <c r="S61" s="211">
        <v>2.9</v>
      </c>
    </row>
    <row r="62" spans="1:19">
      <c r="A62" s="212" t="s">
        <v>218</v>
      </c>
      <c r="B62" s="212" t="s">
        <v>389</v>
      </c>
      <c r="C62" s="233" t="s">
        <v>390</v>
      </c>
      <c r="D62" s="233" t="s">
        <v>470</v>
      </c>
      <c r="E62" s="212">
        <v>908</v>
      </c>
      <c r="F62" s="212">
        <v>832</v>
      </c>
      <c r="G62" s="212" t="s">
        <v>1723</v>
      </c>
      <c r="H62" s="212" t="s">
        <v>1724</v>
      </c>
      <c r="I62" s="212" t="s">
        <v>250</v>
      </c>
      <c r="J62" s="212" t="s">
        <v>225</v>
      </c>
      <c r="K62" s="212" t="s">
        <v>269</v>
      </c>
      <c r="L62" s="227" t="s">
        <v>1725</v>
      </c>
      <c r="M62" t="s">
        <v>1755</v>
      </c>
      <c r="N62" s="211">
        <v>-9.6999999999999993</v>
      </c>
      <c r="O62" s="211">
        <v>-9.6999999999999993</v>
      </c>
      <c r="P62" s="211">
        <v>5.7</v>
      </c>
      <c r="S62" s="211">
        <v>3.1</v>
      </c>
    </row>
    <row r="63" spans="1:19">
      <c r="A63" s="212" t="s">
        <v>218</v>
      </c>
      <c r="B63" s="212" t="s">
        <v>389</v>
      </c>
      <c r="C63" s="233" t="s">
        <v>390</v>
      </c>
      <c r="D63" s="233" t="s">
        <v>470</v>
      </c>
      <c r="E63" s="212">
        <v>908</v>
      </c>
      <c r="F63" s="212">
        <v>834</v>
      </c>
      <c r="G63" s="212" t="s">
        <v>1723</v>
      </c>
      <c r="H63" s="212" t="s">
        <v>1724</v>
      </c>
      <c r="I63" s="212" t="s">
        <v>250</v>
      </c>
      <c r="J63" s="212" t="s">
        <v>225</v>
      </c>
      <c r="K63" s="212" t="s">
        <v>269</v>
      </c>
      <c r="L63" s="227" t="s">
        <v>1725</v>
      </c>
      <c r="M63" t="s">
        <v>1759</v>
      </c>
      <c r="N63" s="211">
        <v>-9.6</v>
      </c>
      <c r="O63" s="211">
        <v>-9.6</v>
      </c>
      <c r="P63" s="211">
        <v>5.3</v>
      </c>
      <c r="S63" s="211">
        <v>3</v>
      </c>
    </row>
    <row r="64" spans="1:19">
      <c r="A64" s="212" t="s">
        <v>218</v>
      </c>
      <c r="B64" s="212" t="s">
        <v>389</v>
      </c>
      <c r="C64" s="233" t="s">
        <v>390</v>
      </c>
      <c r="D64" s="233" t="s">
        <v>470</v>
      </c>
      <c r="E64" s="212">
        <v>908</v>
      </c>
      <c r="F64" s="212">
        <v>1089</v>
      </c>
      <c r="G64" s="212" t="s">
        <v>1723</v>
      </c>
      <c r="H64" s="212" t="s">
        <v>1724</v>
      </c>
      <c r="I64" s="212" t="s">
        <v>250</v>
      </c>
      <c r="J64" s="212" t="s">
        <v>225</v>
      </c>
      <c r="K64" s="212" t="s">
        <v>269</v>
      </c>
      <c r="L64" s="227" t="s">
        <v>1725</v>
      </c>
      <c r="M64" t="s">
        <v>1733</v>
      </c>
      <c r="N64" s="211">
        <v>-9.1999999999999993</v>
      </c>
      <c r="O64" s="211">
        <v>-9.1999999999999993</v>
      </c>
      <c r="P64" s="211">
        <v>5.6</v>
      </c>
      <c r="S64" s="211">
        <v>2.8</v>
      </c>
    </row>
    <row r="65" spans="1:19" ht="17.25" customHeight="1">
      <c r="A65" s="212" t="s">
        <v>218</v>
      </c>
      <c r="B65" s="212" t="s">
        <v>389</v>
      </c>
      <c r="C65" s="233" t="s">
        <v>390</v>
      </c>
      <c r="D65" s="233" t="s">
        <v>470</v>
      </c>
      <c r="E65" s="212">
        <v>908</v>
      </c>
      <c r="F65" s="212">
        <v>1937</v>
      </c>
      <c r="G65" s="212" t="s">
        <v>1723</v>
      </c>
      <c r="H65" s="212" t="s">
        <v>1724</v>
      </c>
      <c r="I65" s="212" t="s">
        <v>250</v>
      </c>
      <c r="J65" s="212" t="s">
        <v>225</v>
      </c>
      <c r="K65" s="212" t="s">
        <v>269</v>
      </c>
      <c r="L65" s="227" t="s">
        <v>1725</v>
      </c>
      <c r="M65" t="s">
        <v>1760</v>
      </c>
      <c r="N65" s="211">
        <v>-10</v>
      </c>
      <c r="O65" s="211">
        <v>-10</v>
      </c>
      <c r="P65" s="211">
        <v>5.3</v>
      </c>
      <c r="S65" s="211">
        <v>2.9</v>
      </c>
    </row>
    <row r="66" spans="1:19">
      <c r="A66" s="212" t="s">
        <v>218</v>
      </c>
      <c r="B66" s="212" t="s">
        <v>389</v>
      </c>
      <c r="C66" s="233" t="s">
        <v>390</v>
      </c>
      <c r="D66" s="233" t="s">
        <v>470</v>
      </c>
      <c r="E66" s="212">
        <v>908</v>
      </c>
      <c r="F66" s="212">
        <v>2003</v>
      </c>
      <c r="G66" s="212" t="s">
        <v>1723</v>
      </c>
      <c r="H66" s="212" t="s">
        <v>1724</v>
      </c>
      <c r="I66" s="212" t="s">
        <v>250</v>
      </c>
      <c r="J66" s="212" t="s">
        <v>225</v>
      </c>
      <c r="K66" s="212" t="s">
        <v>269</v>
      </c>
      <c r="L66" s="227" t="s">
        <v>1725</v>
      </c>
      <c r="M66" t="s">
        <v>1736</v>
      </c>
      <c r="N66" s="211">
        <v>-11.3</v>
      </c>
      <c r="O66" s="211">
        <v>-11.3</v>
      </c>
      <c r="P66" s="211">
        <v>6.4</v>
      </c>
      <c r="S66" s="211">
        <v>2.9</v>
      </c>
    </row>
    <row r="67" spans="1:19">
      <c r="A67" s="212" t="s">
        <v>218</v>
      </c>
      <c r="B67" s="212" t="s">
        <v>389</v>
      </c>
      <c r="C67" s="233" t="s">
        <v>390</v>
      </c>
      <c r="D67" s="233" t="s">
        <v>470</v>
      </c>
      <c r="E67" s="212">
        <v>908</v>
      </c>
      <c r="F67" s="212">
        <v>2139</v>
      </c>
      <c r="G67" s="212" t="s">
        <v>1723</v>
      </c>
      <c r="H67" s="212" t="s">
        <v>1724</v>
      </c>
      <c r="I67" s="212" t="s">
        <v>250</v>
      </c>
      <c r="J67" s="212" t="s">
        <v>225</v>
      </c>
      <c r="K67" s="212" t="s">
        <v>269</v>
      </c>
      <c r="L67" s="227" t="s">
        <v>1725</v>
      </c>
      <c r="M67" t="s">
        <v>1733</v>
      </c>
      <c r="N67" s="211">
        <v>-11.9</v>
      </c>
      <c r="O67" s="211">
        <v>-11.9</v>
      </c>
      <c r="P67" s="211">
        <v>6.5</v>
      </c>
      <c r="S67" s="211">
        <v>3</v>
      </c>
    </row>
    <row r="68" spans="1:19">
      <c r="A68" s="212" t="s">
        <v>218</v>
      </c>
      <c r="B68" s="212" t="s">
        <v>389</v>
      </c>
      <c r="C68" s="233" t="s">
        <v>390</v>
      </c>
      <c r="D68" s="233" t="s">
        <v>470</v>
      </c>
      <c r="E68" s="212">
        <v>908</v>
      </c>
      <c r="F68" s="212">
        <v>2140</v>
      </c>
      <c r="G68" s="212" t="s">
        <v>1723</v>
      </c>
      <c r="H68" s="212" t="s">
        <v>1724</v>
      </c>
      <c r="I68" s="212" t="s">
        <v>250</v>
      </c>
      <c r="J68" s="212" t="s">
        <v>225</v>
      </c>
      <c r="K68" s="212" t="s">
        <v>269</v>
      </c>
      <c r="L68" s="227" t="s">
        <v>1725</v>
      </c>
      <c r="M68" t="s">
        <v>1761</v>
      </c>
      <c r="N68" s="211">
        <v>-11.5</v>
      </c>
      <c r="O68" s="211">
        <v>-11.5</v>
      </c>
      <c r="P68" s="211">
        <v>6.4</v>
      </c>
      <c r="S68" s="211">
        <v>2.9</v>
      </c>
    </row>
    <row r="69" spans="1:19">
      <c r="A69" s="212" t="s">
        <v>218</v>
      </c>
      <c r="B69" s="212" t="s">
        <v>389</v>
      </c>
      <c r="C69" s="233" t="s">
        <v>390</v>
      </c>
      <c r="D69" s="233" t="s">
        <v>470</v>
      </c>
      <c r="E69" s="212">
        <v>908</v>
      </c>
      <c r="F69" s="212">
        <v>2142</v>
      </c>
      <c r="G69" s="212" t="s">
        <v>1723</v>
      </c>
      <c r="H69" s="212" t="s">
        <v>1724</v>
      </c>
      <c r="I69" s="212" t="s">
        <v>250</v>
      </c>
      <c r="J69" s="212" t="s">
        <v>225</v>
      </c>
      <c r="K69" s="212" t="s">
        <v>269</v>
      </c>
      <c r="L69" s="227" t="s">
        <v>1725</v>
      </c>
      <c r="M69" t="s">
        <v>308</v>
      </c>
      <c r="N69" s="211">
        <v>-12.3</v>
      </c>
      <c r="O69" s="211">
        <v>-12.3</v>
      </c>
      <c r="P69" s="211">
        <v>6</v>
      </c>
      <c r="S69" s="211">
        <v>2.9</v>
      </c>
    </row>
    <row r="70" spans="1:19">
      <c r="A70" s="212" t="s">
        <v>218</v>
      </c>
      <c r="B70" s="212" t="s">
        <v>389</v>
      </c>
      <c r="C70" s="233" t="s">
        <v>390</v>
      </c>
      <c r="D70" s="233" t="s">
        <v>470</v>
      </c>
      <c r="E70" s="212">
        <v>908</v>
      </c>
      <c r="F70" s="212">
        <v>2230</v>
      </c>
      <c r="G70" s="212" t="s">
        <v>1723</v>
      </c>
      <c r="H70" s="212" t="s">
        <v>1724</v>
      </c>
      <c r="I70" s="212" t="s">
        <v>250</v>
      </c>
      <c r="J70" s="212" t="s">
        <v>225</v>
      </c>
      <c r="K70" s="212" t="s">
        <v>269</v>
      </c>
      <c r="L70" s="227" t="s">
        <v>1729</v>
      </c>
      <c r="M70" t="s">
        <v>1730</v>
      </c>
      <c r="N70" s="211">
        <v>-1.58</v>
      </c>
      <c r="O70" s="211">
        <v>-10.403</v>
      </c>
      <c r="P70" s="211" t="s">
        <v>487</v>
      </c>
      <c r="Q70" s="211">
        <v>30.2</v>
      </c>
      <c r="R70" s="211">
        <v>-0.6</v>
      </c>
      <c r="S70" s="211" t="s">
        <v>1731</v>
      </c>
    </row>
    <row r="71" spans="1:19">
      <c r="A71" s="212" t="s">
        <v>218</v>
      </c>
      <c r="B71" s="212" t="s">
        <v>389</v>
      </c>
      <c r="C71" s="233" t="s">
        <v>390</v>
      </c>
      <c r="D71" s="233" t="s">
        <v>470</v>
      </c>
      <c r="E71" s="212">
        <v>908</v>
      </c>
      <c r="F71" s="212">
        <v>2301</v>
      </c>
      <c r="G71" s="212" t="s">
        <v>1723</v>
      </c>
      <c r="H71" s="212" t="s">
        <v>1724</v>
      </c>
      <c r="I71" s="212" t="s">
        <v>250</v>
      </c>
      <c r="J71" s="212" t="s">
        <v>225</v>
      </c>
      <c r="K71" s="212" t="s">
        <v>269</v>
      </c>
      <c r="L71" s="227" t="s">
        <v>1729</v>
      </c>
      <c r="M71" t="s">
        <v>1730</v>
      </c>
      <c r="N71" s="211">
        <v>-4.42</v>
      </c>
      <c r="O71" s="211">
        <v>-13.243</v>
      </c>
      <c r="P71" s="211" t="s">
        <v>487</v>
      </c>
      <c r="Q71" s="211">
        <v>30.4</v>
      </c>
      <c r="R71" s="211">
        <v>-0.4</v>
      </c>
      <c r="S71" s="211" t="s">
        <v>1731</v>
      </c>
    </row>
    <row r="72" spans="1:19">
      <c r="A72" s="212" t="s">
        <v>218</v>
      </c>
      <c r="B72" s="212" t="s">
        <v>389</v>
      </c>
      <c r="C72" s="233" t="s">
        <v>390</v>
      </c>
      <c r="D72" s="233" t="s">
        <v>470</v>
      </c>
      <c r="E72" s="212">
        <v>908</v>
      </c>
      <c r="F72" s="212">
        <v>2386</v>
      </c>
      <c r="G72" s="212" t="s">
        <v>1723</v>
      </c>
      <c r="H72" s="212" t="s">
        <v>1724</v>
      </c>
      <c r="I72" s="212" t="s">
        <v>250</v>
      </c>
      <c r="J72" s="212" t="s">
        <v>225</v>
      </c>
      <c r="K72" s="212" t="s">
        <v>269</v>
      </c>
      <c r="L72" s="227" t="s">
        <v>1729</v>
      </c>
      <c r="M72" t="s">
        <v>1730</v>
      </c>
      <c r="N72" s="211">
        <v>-3.19</v>
      </c>
      <c r="O72" s="211">
        <v>-12.013</v>
      </c>
      <c r="P72" s="211" t="s">
        <v>487</v>
      </c>
      <c r="Q72" s="211">
        <v>28.5</v>
      </c>
      <c r="R72" s="211">
        <v>-2.2000000000000002</v>
      </c>
      <c r="S72" s="211" t="s">
        <v>1731</v>
      </c>
    </row>
    <row r="73" spans="1:19">
      <c r="A73" s="212" t="s">
        <v>218</v>
      </c>
      <c r="B73" s="212" t="s">
        <v>389</v>
      </c>
      <c r="C73" s="233" t="s">
        <v>390</v>
      </c>
      <c r="D73" s="233" t="s">
        <v>470</v>
      </c>
      <c r="E73" s="212">
        <v>908</v>
      </c>
      <c r="F73" s="212">
        <v>2396</v>
      </c>
      <c r="G73" s="212" t="s">
        <v>1723</v>
      </c>
      <c r="H73" s="212" t="s">
        <v>1724</v>
      </c>
      <c r="I73" s="212" t="s">
        <v>250</v>
      </c>
      <c r="J73" s="212" t="s">
        <v>225</v>
      </c>
      <c r="K73" s="212" t="s">
        <v>269</v>
      </c>
      <c r="L73" s="227" t="s">
        <v>1729</v>
      </c>
      <c r="M73" t="s">
        <v>1762</v>
      </c>
      <c r="N73" s="211">
        <v>0.25</v>
      </c>
      <c r="O73" s="211">
        <v>-8.5730000000000004</v>
      </c>
      <c r="P73" s="211" t="s">
        <v>487</v>
      </c>
      <c r="Q73" s="211">
        <v>29.3</v>
      </c>
      <c r="R73" s="211">
        <v>-1.5</v>
      </c>
      <c r="S73" s="211" t="s">
        <v>1731</v>
      </c>
    </row>
    <row r="74" spans="1:19">
      <c r="A74" s="212" t="s">
        <v>218</v>
      </c>
      <c r="B74" s="212" t="s">
        <v>389</v>
      </c>
      <c r="C74" s="233" t="s">
        <v>390</v>
      </c>
      <c r="D74" s="233" t="s">
        <v>470</v>
      </c>
      <c r="E74" s="212">
        <v>908</v>
      </c>
      <c r="F74" s="212">
        <v>3364</v>
      </c>
      <c r="G74" s="212" t="s">
        <v>1723</v>
      </c>
      <c r="H74" s="212" t="s">
        <v>1724</v>
      </c>
      <c r="I74" s="212" t="s">
        <v>250</v>
      </c>
      <c r="J74" s="212" t="s">
        <v>225</v>
      </c>
      <c r="K74" s="212" t="s">
        <v>269</v>
      </c>
      <c r="L74" s="227" t="s">
        <v>1725</v>
      </c>
      <c r="M74" t="s">
        <v>1737</v>
      </c>
      <c r="N74" s="211">
        <v>-10</v>
      </c>
      <c r="O74" s="211">
        <v>-10</v>
      </c>
      <c r="P74" s="211">
        <v>5.5</v>
      </c>
      <c r="S74" s="211">
        <v>2.8</v>
      </c>
    </row>
    <row r="75" spans="1:19">
      <c r="A75" s="212" t="s">
        <v>218</v>
      </c>
      <c r="B75" s="212" t="s">
        <v>389</v>
      </c>
      <c r="C75" s="233" t="s">
        <v>390</v>
      </c>
      <c r="D75" s="233" t="s">
        <v>470</v>
      </c>
      <c r="E75" s="212">
        <v>908</v>
      </c>
      <c r="F75" s="212">
        <v>3438</v>
      </c>
      <c r="G75" s="212" t="s">
        <v>1723</v>
      </c>
      <c r="H75" s="212" t="s">
        <v>1724</v>
      </c>
      <c r="I75" s="212" t="s">
        <v>250</v>
      </c>
      <c r="J75" s="212" t="s">
        <v>225</v>
      </c>
      <c r="K75" s="212" t="s">
        <v>269</v>
      </c>
      <c r="L75" s="227" t="s">
        <v>1725</v>
      </c>
      <c r="M75" t="s">
        <v>1726</v>
      </c>
      <c r="N75" s="211">
        <v>-9.9</v>
      </c>
      <c r="O75" s="211">
        <v>-9.9</v>
      </c>
      <c r="P75" s="211">
        <v>6.7</v>
      </c>
      <c r="S75" s="211">
        <v>3</v>
      </c>
    </row>
    <row r="76" spans="1:19">
      <c r="A76" s="212" t="s">
        <v>218</v>
      </c>
      <c r="B76" s="212" t="s">
        <v>389</v>
      </c>
      <c r="C76" s="233" t="s">
        <v>390</v>
      </c>
      <c r="D76" s="233" t="s">
        <v>470</v>
      </c>
      <c r="E76" s="212">
        <v>908</v>
      </c>
      <c r="F76" s="212">
        <v>3474</v>
      </c>
      <c r="G76" s="212" t="s">
        <v>1723</v>
      </c>
      <c r="H76" s="212" t="s">
        <v>1724</v>
      </c>
      <c r="I76" s="212" t="s">
        <v>250</v>
      </c>
      <c r="J76" s="212" t="s">
        <v>225</v>
      </c>
      <c r="K76" s="212" t="s">
        <v>269</v>
      </c>
      <c r="L76" s="227" t="s">
        <v>1725</v>
      </c>
      <c r="M76" t="s">
        <v>1118</v>
      </c>
      <c r="N76" s="211">
        <v>-11.2</v>
      </c>
      <c r="O76" s="211">
        <v>-11.2</v>
      </c>
      <c r="P76" s="211">
        <v>7.2</v>
      </c>
      <c r="S76" s="211">
        <v>3</v>
      </c>
    </row>
    <row r="77" spans="1:19">
      <c r="A77" s="212" t="s">
        <v>218</v>
      </c>
      <c r="B77" s="212" t="s">
        <v>389</v>
      </c>
      <c r="C77" s="233" t="s">
        <v>390</v>
      </c>
      <c r="D77" s="233" t="s">
        <v>470</v>
      </c>
      <c r="E77" s="212">
        <v>908</v>
      </c>
      <c r="F77" s="212">
        <v>3841</v>
      </c>
      <c r="G77" s="212" t="s">
        <v>1723</v>
      </c>
      <c r="H77" s="212" t="s">
        <v>1724</v>
      </c>
      <c r="I77" s="212" t="s">
        <v>250</v>
      </c>
      <c r="J77" s="212" t="s">
        <v>225</v>
      </c>
      <c r="K77" s="212" t="s">
        <v>269</v>
      </c>
      <c r="L77" s="227" t="s">
        <v>1725</v>
      </c>
      <c r="M77" t="s">
        <v>1737</v>
      </c>
      <c r="N77" s="211">
        <v>-8.5</v>
      </c>
      <c r="O77" s="211">
        <v>-8.5</v>
      </c>
      <c r="P77" s="211">
        <v>5.8</v>
      </c>
      <c r="S77" s="211">
        <v>2.9</v>
      </c>
    </row>
    <row r="78" spans="1:19">
      <c r="A78" s="212" t="s">
        <v>218</v>
      </c>
      <c r="B78" s="212" t="s">
        <v>389</v>
      </c>
      <c r="C78" s="233" t="s">
        <v>390</v>
      </c>
      <c r="D78" s="233" t="s">
        <v>470</v>
      </c>
      <c r="E78" s="212">
        <v>908</v>
      </c>
      <c r="F78" s="212">
        <v>3850</v>
      </c>
      <c r="G78" s="212" t="s">
        <v>1723</v>
      </c>
      <c r="H78" s="212" t="s">
        <v>1724</v>
      </c>
      <c r="I78" s="212" t="s">
        <v>250</v>
      </c>
      <c r="J78" s="212" t="s">
        <v>225</v>
      </c>
      <c r="K78" s="212" t="s">
        <v>269</v>
      </c>
      <c r="L78" s="227" t="s">
        <v>1725</v>
      </c>
      <c r="M78" t="s">
        <v>1761</v>
      </c>
      <c r="N78" s="211">
        <v>-11.9</v>
      </c>
      <c r="O78" s="211">
        <v>-11.9</v>
      </c>
      <c r="P78" s="211">
        <v>6.2</v>
      </c>
      <c r="S78" s="211">
        <v>2.8</v>
      </c>
    </row>
    <row r="79" spans="1:19">
      <c r="A79" s="212" t="s">
        <v>218</v>
      </c>
      <c r="B79" s="212" t="s">
        <v>389</v>
      </c>
      <c r="C79" s="233" t="s">
        <v>390</v>
      </c>
      <c r="D79" s="233" t="s">
        <v>470</v>
      </c>
      <c r="E79" s="212">
        <v>908</v>
      </c>
      <c r="F79" s="212">
        <v>4352</v>
      </c>
      <c r="G79" s="212" t="s">
        <v>1723</v>
      </c>
      <c r="H79" s="212" t="s">
        <v>1724</v>
      </c>
      <c r="I79" s="212" t="s">
        <v>250</v>
      </c>
      <c r="J79" s="212" t="s">
        <v>225</v>
      </c>
      <c r="K79" s="212" t="s">
        <v>269</v>
      </c>
      <c r="L79" s="227" t="s">
        <v>1729</v>
      </c>
      <c r="M79" t="s">
        <v>1730</v>
      </c>
      <c r="N79" s="211">
        <v>-4.82</v>
      </c>
      <c r="O79" s="211">
        <v>-13.643000000000001</v>
      </c>
      <c r="P79" s="211" t="s">
        <v>487</v>
      </c>
      <c r="R79" s="211">
        <v>2</v>
      </c>
      <c r="S79" s="211" t="s">
        <v>1731</v>
      </c>
    </row>
    <row r="80" spans="1:19">
      <c r="A80" s="212" t="s">
        <v>218</v>
      </c>
      <c r="B80" s="212" t="s">
        <v>389</v>
      </c>
      <c r="C80" s="233" t="s">
        <v>390</v>
      </c>
      <c r="D80" s="233" t="s">
        <v>470</v>
      </c>
      <c r="E80" s="212">
        <v>908</v>
      </c>
      <c r="F80" s="212">
        <v>4353</v>
      </c>
      <c r="G80" s="212" t="s">
        <v>1723</v>
      </c>
      <c r="H80" s="212" t="s">
        <v>1724</v>
      </c>
      <c r="I80" s="212" t="s">
        <v>250</v>
      </c>
      <c r="J80" s="212" t="s">
        <v>225</v>
      </c>
      <c r="K80" s="212" t="s">
        <v>269</v>
      </c>
      <c r="L80" s="227" t="s">
        <v>1725</v>
      </c>
      <c r="M80" t="s">
        <v>1763</v>
      </c>
      <c r="N80" s="211">
        <v>-11.5</v>
      </c>
      <c r="O80" s="211">
        <v>-11.5</v>
      </c>
      <c r="P80" s="211">
        <v>6.5</v>
      </c>
      <c r="S80" s="211">
        <v>2.9</v>
      </c>
    </row>
    <row r="81" spans="1:19">
      <c r="A81" s="212" t="s">
        <v>218</v>
      </c>
      <c r="B81" s="212" t="s">
        <v>389</v>
      </c>
      <c r="C81" s="233" t="s">
        <v>390</v>
      </c>
      <c r="D81" s="233" t="s">
        <v>470</v>
      </c>
      <c r="E81" s="212">
        <v>908</v>
      </c>
      <c r="F81" s="212" t="s">
        <v>1764</v>
      </c>
      <c r="G81" s="212" t="s">
        <v>1723</v>
      </c>
      <c r="H81" s="212" t="s">
        <v>1724</v>
      </c>
      <c r="I81" s="212" t="s">
        <v>250</v>
      </c>
      <c r="J81" s="212" t="s">
        <v>225</v>
      </c>
      <c r="K81" s="212" t="s">
        <v>269</v>
      </c>
      <c r="L81" s="212" t="s">
        <v>1725</v>
      </c>
      <c r="M81" t="s">
        <v>1756</v>
      </c>
      <c r="N81" s="211">
        <v>-9.3000000000000007</v>
      </c>
      <c r="O81" s="211">
        <v>-9.3000000000000007</v>
      </c>
      <c r="P81" s="211">
        <v>5.5</v>
      </c>
      <c r="S81" s="211">
        <v>2.9</v>
      </c>
    </row>
    <row r="82" spans="1:19">
      <c r="A82" s="212" t="s">
        <v>218</v>
      </c>
      <c r="B82" s="212" t="s">
        <v>389</v>
      </c>
      <c r="C82" s="233" t="s">
        <v>390</v>
      </c>
      <c r="D82" s="233" t="s">
        <v>470</v>
      </c>
      <c r="E82" s="212">
        <v>908</v>
      </c>
      <c r="F82" s="212" t="s">
        <v>1765</v>
      </c>
      <c r="G82" s="212" t="s">
        <v>1723</v>
      </c>
      <c r="H82" s="212" t="s">
        <v>1724</v>
      </c>
      <c r="I82" s="212" t="s">
        <v>250</v>
      </c>
      <c r="J82" s="212" t="s">
        <v>225</v>
      </c>
      <c r="K82" s="212" t="s">
        <v>269</v>
      </c>
      <c r="L82" s="212" t="s">
        <v>1725</v>
      </c>
      <c r="M82" t="s">
        <v>1756</v>
      </c>
      <c r="N82" s="211">
        <v>-8.6999999999999993</v>
      </c>
      <c r="O82" s="211">
        <v>-8.6999999999999993</v>
      </c>
      <c r="P82" s="211">
        <v>5.7</v>
      </c>
      <c r="S82" s="211">
        <v>3</v>
      </c>
    </row>
    <row r="83" spans="1:19">
      <c r="A83" s="212" t="s">
        <v>218</v>
      </c>
      <c r="B83" s="212" t="s">
        <v>389</v>
      </c>
      <c r="C83" s="233" t="s">
        <v>390</v>
      </c>
      <c r="D83" s="233" t="s">
        <v>470</v>
      </c>
      <c r="E83" s="212">
        <v>937</v>
      </c>
      <c r="F83" s="212" t="s">
        <v>287</v>
      </c>
      <c r="G83" s="212" t="s">
        <v>1723</v>
      </c>
      <c r="H83" s="212" t="s">
        <v>1724</v>
      </c>
      <c r="I83" s="212" t="s">
        <v>706</v>
      </c>
      <c r="J83" s="212" t="s">
        <v>225</v>
      </c>
      <c r="K83" s="212" t="s">
        <v>269</v>
      </c>
      <c r="L83" s="212" t="s">
        <v>1729</v>
      </c>
      <c r="M83" t="s">
        <v>1730</v>
      </c>
      <c r="N83" s="211">
        <v>-1.9</v>
      </c>
      <c r="O83" s="211">
        <v>-10.723000000000001</v>
      </c>
      <c r="P83" s="211" t="s">
        <v>487</v>
      </c>
      <c r="Q83" s="211">
        <v>20.8</v>
      </c>
      <c r="R83" s="211">
        <v>-9.8000000000000007</v>
      </c>
      <c r="S83" s="211" t="s">
        <v>1731</v>
      </c>
    </row>
    <row r="84" spans="1:19">
      <c r="A84" s="212" t="s">
        <v>218</v>
      </c>
      <c r="B84" s="212" t="s">
        <v>389</v>
      </c>
      <c r="C84" s="233" t="s">
        <v>390</v>
      </c>
      <c r="D84" s="233" t="s">
        <v>470</v>
      </c>
      <c r="E84" s="212">
        <v>937</v>
      </c>
      <c r="F84" s="212" t="s">
        <v>287</v>
      </c>
      <c r="G84" s="212" t="s">
        <v>1723</v>
      </c>
      <c r="H84" s="212" t="s">
        <v>1724</v>
      </c>
      <c r="I84" s="212" t="s">
        <v>706</v>
      </c>
      <c r="J84" s="212" t="s">
        <v>225</v>
      </c>
      <c r="K84" s="212" t="s">
        <v>269</v>
      </c>
      <c r="L84" s="212" t="s">
        <v>1729</v>
      </c>
      <c r="M84" t="s">
        <v>1766</v>
      </c>
      <c r="N84" s="211">
        <v>-0.8</v>
      </c>
      <c r="O84" s="211">
        <v>-9.6229999999999993</v>
      </c>
      <c r="P84" s="211" t="s">
        <v>487</v>
      </c>
      <c r="Q84" s="211">
        <v>28.1</v>
      </c>
      <c r="R84" s="211">
        <v>-2.7</v>
      </c>
      <c r="S84" s="211" t="s">
        <v>1731</v>
      </c>
    </row>
    <row r="85" spans="1:19">
      <c r="A85" s="212" t="s">
        <v>218</v>
      </c>
      <c r="B85" s="212" t="s">
        <v>389</v>
      </c>
      <c r="C85" s="233" t="s">
        <v>390</v>
      </c>
      <c r="D85" s="233" t="s">
        <v>470</v>
      </c>
      <c r="E85" s="212">
        <v>40806</v>
      </c>
      <c r="F85" s="212">
        <v>37</v>
      </c>
      <c r="G85" s="212" t="s">
        <v>1723</v>
      </c>
      <c r="H85" s="212" t="s">
        <v>1724</v>
      </c>
      <c r="I85" s="212" t="s">
        <v>1767</v>
      </c>
      <c r="J85" s="212" t="s">
        <v>225</v>
      </c>
      <c r="K85" s="212" t="s">
        <v>1768</v>
      </c>
      <c r="L85" s="212" t="s">
        <v>1729</v>
      </c>
      <c r="M85" t="s">
        <v>1747</v>
      </c>
      <c r="N85" s="211">
        <v>-0.21</v>
      </c>
      <c r="O85" s="211">
        <v>-9.0329999999999995</v>
      </c>
      <c r="P85" s="211" t="s">
        <v>487</v>
      </c>
      <c r="Q85" s="211">
        <v>28.5</v>
      </c>
      <c r="R85" s="211">
        <v>-2.2999999999999998</v>
      </c>
      <c r="S85" s="211" t="s">
        <v>1731</v>
      </c>
    </row>
    <row r="86" spans="1:19">
      <c r="A86" s="212" t="s">
        <v>218</v>
      </c>
      <c r="B86" s="212" t="s">
        <v>389</v>
      </c>
      <c r="C86" s="233" t="s">
        <v>390</v>
      </c>
      <c r="D86" s="233" t="s">
        <v>470</v>
      </c>
      <c r="E86" s="212">
        <v>40806</v>
      </c>
      <c r="F86" s="212">
        <v>496</v>
      </c>
      <c r="G86" s="212" t="s">
        <v>1723</v>
      </c>
      <c r="H86" s="212" t="s">
        <v>1724</v>
      </c>
      <c r="I86" s="212" t="s">
        <v>1767</v>
      </c>
      <c r="J86" s="212" t="s">
        <v>225</v>
      </c>
      <c r="K86" s="212" t="s">
        <v>1768</v>
      </c>
      <c r="L86" s="212" t="s">
        <v>1729</v>
      </c>
      <c r="M86" t="s">
        <v>1747</v>
      </c>
      <c r="N86" s="211">
        <v>0.74</v>
      </c>
      <c r="O86" s="211">
        <v>-8.0830000000000002</v>
      </c>
      <c r="P86" s="211" t="s">
        <v>487</v>
      </c>
      <c r="Q86" s="211">
        <v>26.3</v>
      </c>
      <c r="R86" s="211">
        <v>-4.5</v>
      </c>
      <c r="S86" s="211" t="s">
        <v>1731</v>
      </c>
    </row>
    <row r="87" spans="1:19">
      <c r="A87" s="212" t="s">
        <v>218</v>
      </c>
      <c r="B87" s="212" t="s">
        <v>389</v>
      </c>
      <c r="C87" s="233" t="s">
        <v>390</v>
      </c>
      <c r="D87" s="233" t="s">
        <v>470</v>
      </c>
      <c r="E87" s="212">
        <v>43423</v>
      </c>
      <c r="F87" s="212">
        <v>1</v>
      </c>
      <c r="G87" s="212" t="s">
        <v>1723</v>
      </c>
      <c r="H87" s="212" t="s">
        <v>1724</v>
      </c>
      <c r="I87" s="212" t="s">
        <v>1769</v>
      </c>
      <c r="J87" s="212" t="s">
        <v>225</v>
      </c>
      <c r="K87" s="212" t="s">
        <v>269</v>
      </c>
      <c r="L87" s="212" t="s">
        <v>1725</v>
      </c>
      <c r="M87" t="s">
        <v>1750</v>
      </c>
      <c r="N87" s="211">
        <v>-9.5</v>
      </c>
      <c r="O87" s="211">
        <v>-9.5</v>
      </c>
      <c r="P87" s="211">
        <v>5.8</v>
      </c>
      <c r="S87" s="211">
        <v>2.8</v>
      </c>
    </row>
    <row r="88" spans="1:19">
      <c r="A88" s="212" t="s">
        <v>218</v>
      </c>
      <c r="B88" s="212" t="s">
        <v>389</v>
      </c>
      <c r="C88" s="233" t="s">
        <v>390</v>
      </c>
      <c r="D88" s="233" t="s">
        <v>470</v>
      </c>
      <c r="E88" s="212">
        <v>45817</v>
      </c>
      <c r="F88" s="212">
        <v>1</v>
      </c>
      <c r="G88" s="212" t="s">
        <v>1723</v>
      </c>
      <c r="H88" s="212" t="s">
        <v>1724</v>
      </c>
      <c r="I88" s="212" t="s">
        <v>1770</v>
      </c>
      <c r="J88" s="212" t="s">
        <v>225</v>
      </c>
      <c r="K88" s="212" t="s">
        <v>269</v>
      </c>
      <c r="L88" s="212" t="s">
        <v>1725</v>
      </c>
      <c r="M88" t="s">
        <v>1750</v>
      </c>
      <c r="N88" s="211">
        <v>-12.8</v>
      </c>
      <c r="O88" s="211">
        <v>-12.8</v>
      </c>
      <c r="P88" s="211">
        <v>6</v>
      </c>
      <c r="S88" s="211">
        <v>3</v>
      </c>
    </row>
    <row r="89" spans="1:19">
      <c r="A89" s="212" t="s">
        <v>218</v>
      </c>
      <c r="B89" s="212" t="s">
        <v>389</v>
      </c>
      <c r="C89" s="233" t="s">
        <v>390</v>
      </c>
      <c r="D89" s="233" t="s">
        <v>470</v>
      </c>
      <c r="E89" s="212" t="s">
        <v>1771</v>
      </c>
      <c r="F89" s="212">
        <v>9816</v>
      </c>
      <c r="G89" s="212" t="s">
        <v>1723</v>
      </c>
      <c r="H89" s="212" t="s">
        <v>1724</v>
      </c>
      <c r="I89" s="212" t="s">
        <v>706</v>
      </c>
      <c r="J89" s="212" t="s">
        <v>225</v>
      </c>
      <c r="K89" s="212" t="s">
        <v>1768</v>
      </c>
      <c r="L89" s="212" t="s">
        <v>1729</v>
      </c>
      <c r="M89" t="s">
        <v>1730</v>
      </c>
      <c r="N89" s="211">
        <v>-1.3</v>
      </c>
      <c r="O89" s="211">
        <v>-10.122999999999999</v>
      </c>
      <c r="P89" s="211" t="s">
        <v>487</v>
      </c>
      <c r="Q89" s="211">
        <v>26.4</v>
      </c>
      <c r="R89" s="211">
        <v>-4.3</v>
      </c>
      <c r="S89" s="211" t="s">
        <v>1731</v>
      </c>
    </row>
    <row r="90" spans="1:19">
      <c r="A90" s="212" t="s">
        <v>218</v>
      </c>
      <c r="B90" s="212" t="s">
        <v>389</v>
      </c>
      <c r="C90" s="233" t="s">
        <v>390</v>
      </c>
      <c r="D90" s="233" t="s">
        <v>470</v>
      </c>
      <c r="E90" s="212" t="s">
        <v>1771</v>
      </c>
      <c r="F90" s="212" t="s">
        <v>1772</v>
      </c>
      <c r="G90" s="212" t="s">
        <v>1723</v>
      </c>
      <c r="H90" s="212" t="s">
        <v>1724</v>
      </c>
      <c r="I90" s="212" t="s">
        <v>706</v>
      </c>
      <c r="J90" s="212" t="s">
        <v>225</v>
      </c>
      <c r="K90" s="212" t="s">
        <v>1768</v>
      </c>
      <c r="L90" s="212" t="s">
        <v>1729</v>
      </c>
      <c r="M90" t="s">
        <v>1730</v>
      </c>
      <c r="N90" s="211">
        <v>0.8</v>
      </c>
      <c r="O90" s="211">
        <v>-8.0229999999999997</v>
      </c>
      <c r="P90" s="211" t="s">
        <v>487</v>
      </c>
      <c r="Q90" s="211">
        <v>24.8</v>
      </c>
      <c r="R90" s="211">
        <v>-5.9</v>
      </c>
      <c r="S90" s="211" t="s">
        <v>1731</v>
      </c>
    </row>
    <row r="91" spans="1:19">
      <c r="A91" s="212" t="s">
        <v>218</v>
      </c>
      <c r="B91" s="212" t="s">
        <v>389</v>
      </c>
      <c r="C91" s="233" t="s">
        <v>390</v>
      </c>
      <c r="D91" s="233" t="s">
        <v>470</v>
      </c>
      <c r="E91" s="212" t="s">
        <v>1771</v>
      </c>
      <c r="F91" s="212" t="s">
        <v>287</v>
      </c>
      <c r="G91" s="212" t="s">
        <v>1723</v>
      </c>
      <c r="H91" s="212" t="s">
        <v>1724</v>
      </c>
      <c r="I91" s="212" t="s">
        <v>706</v>
      </c>
      <c r="J91" s="212" t="s">
        <v>225</v>
      </c>
      <c r="K91" s="212" t="s">
        <v>1768</v>
      </c>
      <c r="L91" s="212" t="s">
        <v>1729</v>
      </c>
      <c r="M91" t="s">
        <v>186</v>
      </c>
      <c r="N91" s="211">
        <v>-1.9</v>
      </c>
      <c r="O91" s="211">
        <v>-10.723000000000001</v>
      </c>
      <c r="P91" s="211" t="s">
        <v>487</v>
      </c>
      <c r="Q91" s="211">
        <v>20.8</v>
      </c>
      <c r="R91" s="211">
        <v>-9.8000000000000007</v>
      </c>
      <c r="S91" s="211" t="s">
        <v>1731</v>
      </c>
    </row>
    <row r="92" spans="1:19">
      <c r="A92" s="212" t="s">
        <v>218</v>
      </c>
      <c r="B92" s="212" t="s">
        <v>389</v>
      </c>
      <c r="C92" s="233" t="s">
        <v>390</v>
      </c>
      <c r="D92" s="233" t="s">
        <v>470</v>
      </c>
      <c r="E92" s="212" t="s">
        <v>1771</v>
      </c>
      <c r="F92" s="212" t="s">
        <v>287</v>
      </c>
      <c r="G92" s="212" t="s">
        <v>1723</v>
      </c>
      <c r="H92" s="212" t="s">
        <v>1724</v>
      </c>
      <c r="I92" s="212" t="s">
        <v>706</v>
      </c>
      <c r="J92" s="212" t="s">
        <v>225</v>
      </c>
      <c r="K92" s="212" t="s">
        <v>1768</v>
      </c>
      <c r="L92" s="227" t="s">
        <v>1729</v>
      </c>
      <c r="M92" t="s">
        <v>186</v>
      </c>
      <c r="N92" s="211">
        <v>-0.8</v>
      </c>
      <c r="O92" s="211">
        <v>-9.6229999999999993</v>
      </c>
      <c r="P92" s="211" t="s">
        <v>487</v>
      </c>
      <c r="Q92" s="211">
        <v>28.1</v>
      </c>
      <c r="R92" s="211">
        <v>-2.7</v>
      </c>
      <c r="S92" s="211" t="s">
        <v>1731</v>
      </c>
    </row>
    <row r="93" spans="1:19">
      <c r="A93" s="212" t="s">
        <v>218</v>
      </c>
      <c r="B93" s="212" t="s">
        <v>389</v>
      </c>
      <c r="C93" s="233" t="s">
        <v>390</v>
      </c>
      <c r="D93" s="233" t="s">
        <v>470</v>
      </c>
      <c r="E93" s="212" t="s">
        <v>1771</v>
      </c>
      <c r="F93" s="212" t="s">
        <v>287</v>
      </c>
      <c r="G93" s="212" t="s">
        <v>1723</v>
      </c>
      <c r="H93" s="212" t="s">
        <v>1724</v>
      </c>
      <c r="I93" s="212" t="s">
        <v>706</v>
      </c>
      <c r="J93" s="212" t="s">
        <v>225</v>
      </c>
      <c r="K93" s="212" t="s">
        <v>1768</v>
      </c>
      <c r="L93" s="227" t="s">
        <v>1729</v>
      </c>
      <c r="M93" t="s">
        <v>186</v>
      </c>
      <c r="N93" s="211">
        <v>0.3</v>
      </c>
      <c r="O93" s="211">
        <v>-8.5229999999999997</v>
      </c>
      <c r="P93" s="211" t="s">
        <v>487</v>
      </c>
      <c r="Q93" s="211">
        <v>26.8</v>
      </c>
      <c r="R93" s="211">
        <v>-3.9</v>
      </c>
      <c r="S93" s="211" t="s">
        <v>1731</v>
      </c>
    </row>
    <row r="94" spans="1:19">
      <c r="A94" s="212" t="s">
        <v>218</v>
      </c>
      <c r="B94" s="212" t="s">
        <v>389</v>
      </c>
      <c r="C94" s="233" t="s">
        <v>390</v>
      </c>
      <c r="D94" s="233" t="s">
        <v>470</v>
      </c>
      <c r="E94" s="212" t="s">
        <v>1771</v>
      </c>
      <c r="F94" s="212" t="s">
        <v>287</v>
      </c>
      <c r="G94" s="212" t="s">
        <v>1723</v>
      </c>
      <c r="H94" s="212" t="s">
        <v>1724</v>
      </c>
      <c r="I94" s="212" t="s">
        <v>706</v>
      </c>
      <c r="J94" s="212" t="s">
        <v>225</v>
      </c>
      <c r="K94" s="212" t="s">
        <v>1768</v>
      </c>
      <c r="L94" s="227" t="s">
        <v>1729</v>
      </c>
      <c r="M94" t="s">
        <v>1730</v>
      </c>
      <c r="N94" s="211">
        <v>0.9</v>
      </c>
      <c r="O94" s="211">
        <v>-7.923</v>
      </c>
      <c r="P94" s="211" t="s">
        <v>487</v>
      </c>
      <c r="Q94" s="211">
        <v>25.6</v>
      </c>
      <c r="R94" s="211">
        <v>-5.0999999999999996</v>
      </c>
      <c r="S94" s="211" t="s">
        <v>1731</v>
      </c>
    </row>
    <row r="95" spans="1:19">
      <c r="A95" s="212" t="s">
        <v>218</v>
      </c>
      <c r="B95" s="212" t="s">
        <v>389</v>
      </c>
      <c r="C95" s="233" t="s">
        <v>390</v>
      </c>
      <c r="D95" s="233" t="s">
        <v>470</v>
      </c>
      <c r="E95" s="212" t="s">
        <v>1771</v>
      </c>
      <c r="F95" s="212" t="s">
        <v>287</v>
      </c>
      <c r="G95" s="212" t="s">
        <v>1723</v>
      </c>
      <c r="H95" s="212" t="s">
        <v>1724</v>
      </c>
      <c r="I95" s="212" t="s">
        <v>706</v>
      </c>
      <c r="J95" s="212" t="s">
        <v>225</v>
      </c>
      <c r="K95" s="212" t="s">
        <v>1768</v>
      </c>
      <c r="L95" s="227" t="s">
        <v>1729</v>
      </c>
      <c r="M95" t="s">
        <v>1730</v>
      </c>
      <c r="N95" s="211">
        <v>1.8</v>
      </c>
      <c r="O95" s="211">
        <v>-7.0229999999999997</v>
      </c>
      <c r="P95" s="211" t="s">
        <v>487</v>
      </c>
      <c r="Q95" s="211">
        <v>27.3</v>
      </c>
      <c r="R95" s="211">
        <v>-3.5</v>
      </c>
      <c r="S95" s="211" t="s">
        <v>1731</v>
      </c>
    </row>
    <row r="96" spans="1:19">
      <c r="A96" s="212" t="s">
        <v>218</v>
      </c>
      <c r="B96" s="212" t="s">
        <v>389</v>
      </c>
      <c r="C96" s="233" t="s">
        <v>390</v>
      </c>
      <c r="D96" s="233" t="s">
        <v>470</v>
      </c>
      <c r="E96" s="212" t="s">
        <v>1773</v>
      </c>
      <c r="F96" s="212">
        <v>7324</v>
      </c>
      <c r="G96" s="212" t="s">
        <v>1723</v>
      </c>
      <c r="H96" s="212" t="s">
        <v>1724</v>
      </c>
      <c r="I96" s="212" t="s">
        <v>1774</v>
      </c>
      <c r="J96" s="212" t="s">
        <v>225</v>
      </c>
      <c r="K96" s="212" t="s">
        <v>1768</v>
      </c>
      <c r="L96" s="227" t="s">
        <v>1729</v>
      </c>
      <c r="M96" t="s">
        <v>1775</v>
      </c>
      <c r="N96" s="211">
        <v>-1.85</v>
      </c>
      <c r="O96" s="211">
        <v>-10.673</v>
      </c>
      <c r="P96" s="211" t="s">
        <v>487</v>
      </c>
      <c r="Q96" s="211">
        <v>25.9</v>
      </c>
      <c r="R96" s="211">
        <v>-4.8</v>
      </c>
      <c r="S96" s="211" t="s">
        <v>1731</v>
      </c>
    </row>
    <row r="97" spans="1:19">
      <c r="A97" s="212" t="s">
        <v>218</v>
      </c>
      <c r="B97" s="212" t="s">
        <v>389</v>
      </c>
      <c r="C97" s="233" t="s">
        <v>390</v>
      </c>
      <c r="D97" s="233" t="s">
        <v>470</v>
      </c>
      <c r="E97" s="212" t="s">
        <v>1776</v>
      </c>
      <c r="F97" s="212">
        <v>61893</v>
      </c>
      <c r="G97" s="212" t="s">
        <v>1723</v>
      </c>
      <c r="H97" s="212" t="s">
        <v>1724</v>
      </c>
      <c r="I97" s="212" t="s">
        <v>1777</v>
      </c>
      <c r="J97" s="212" t="s">
        <v>225</v>
      </c>
      <c r="K97" s="227" t="s">
        <v>1768</v>
      </c>
      <c r="L97" s="227" t="s">
        <v>1729</v>
      </c>
      <c r="M97" t="s">
        <v>1734</v>
      </c>
      <c r="N97" s="211">
        <v>0.16</v>
      </c>
      <c r="O97" s="211">
        <v>-8.6630000000000003</v>
      </c>
      <c r="P97" s="211" t="s">
        <v>487</v>
      </c>
      <c r="Q97" s="211">
        <v>26.7</v>
      </c>
      <c r="R97" s="211">
        <v>-4</v>
      </c>
      <c r="S97" s="211" t="s">
        <v>1731</v>
      </c>
    </row>
    <row r="98" spans="1:19">
      <c r="A98" s="212" t="s">
        <v>218</v>
      </c>
      <c r="B98" s="212" t="s">
        <v>389</v>
      </c>
      <c r="C98" s="233" t="s">
        <v>390</v>
      </c>
      <c r="D98" s="233" t="s">
        <v>470</v>
      </c>
      <c r="E98" s="212">
        <v>892</v>
      </c>
      <c r="F98" s="212" t="s">
        <v>1778</v>
      </c>
      <c r="G98" s="212" t="s">
        <v>1723</v>
      </c>
      <c r="H98" s="212" t="s">
        <v>1724</v>
      </c>
      <c r="I98" s="212" t="s">
        <v>276</v>
      </c>
      <c r="J98" s="212" t="s">
        <v>225</v>
      </c>
      <c r="K98" s="212" t="s">
        <v>269</v>
      </c>
      <c r="L98" s="227" t="s">
        <v>1725</v>
      </c>
      <c r="M98" t="s">
        <v>1738</v>
      </c>
      <c r="N98" s="211" t="s">
        <v>463</v>
      </c>
      <c r="O98" s="211" t="s">
        <v>1731</v>
      </c>
      <c r="P98" s="211" t="s">
        <v>463</v>
      </c>
      <c r="S98" s="211" t="s">
        <v>1731</v>
      </c>
    </row>
    <row r="99" spans="1:19">
      <c r="A99" s="212" t="s">
        <v>218</v>
      </c>
      <c r="B99" s="212" t="s">
        <v>389</v>
      </c>
      <c r="C99" s="233" t="s">
        <v>390</v>
      </c>
      <c r="D99" s="105" t="s">
        <v>777</v>
      </c>
      <c r="E99" s="212">
        <v>933</v>
      </c>
      <c r="F99" s="212">
        <v>3390</v>
      </c>
      <c r="G99" s="212" t="s">
        <v>1723</v>
      </c>
      <c r="H99" s="212" t="s">
        <v>1724</v>
      </c>
      <c r="I99" s="212" t="s">
        <v>249</v>
      </c>
      <c r="J99" s="212" t="s">
        <v>104</v>
      </c>
      <c r="K99" s="212" t="s">
        <v>1768</v>
      </c>
      <c r="L99" s="227" t="s">
        <v>1729</v>
      </c>
      <c r="M99" t="s">
        <v>1734</v>
      </c>
      <c r="N99" s="211">
        <v>0.31</v>
      </c>
      <c r="O99" s="211">
        <v>-8.5129999999999999</v>
      </c>
      <c r="P99" s="211" t="s">
        <v>487</v>
      </c>
      <c r="Q99" s="211">
        <v>29</v>
      </c>
      <c r="R99" s="211">
        <v>-1.8</v>
      </c>
      <c r="S99" s="211" t="s">
        <v>1731</v>
      </c>
    </row>
    <row r="100" spans="1:19">
      <c r="A100" s="212" t="s">
        <v>218</v>
      </c>
      <c r="B100" s="212" t="s">
        <v>389</v>
      </c>
      <c r="C100" s="233" t="s">
        <v>390</v>
      </c>
      <c r="D100" s="105" t="s">
        <v>777</v>
      </c>
      <c r="E100" s="212">
        <v>1273</v>
      </c>
      <c r="F100" s="212">
        <v>1</v>
      </c>
      <c r="G100" s="212" t="s">
        <v>1723</v>
      </c>
      <c r="H100" s="212" t="s">
        <v>1724</v>
      </c>
      <c r="I100" s="212" t="s">
        <v>287</v>
      </c>
      <c r="J100" s="212" t="s">
        <v>104</v>
      </c>
      <c r="K100" s="212" t="s">
        <v>269</v>
      </c>
      <c r="L100" s="212" t="s">
        <v>1725</v>
      </c>
      <c r="M100" t="s">
        <v>1750</v>
      </c>
      <c r="N100" s="211">
        <v>-27</v>
      </c>
      <c r="O100" s="211" t="s">
        <v>1731</v>
      </c>
      <c r="P100" s="211">
        <v>1</v>
      </c>
      <c r="S100" s="211">
        <v>9</v>
      </c>
    </row>
    <row r="101" spans="1:19">
      <c r="A101" s="212" t="s">
        <v>218</v>
      </c>
      <c r="B101" s="212" t="s">
        <v>389</v>
      </c>
      <c r="C101" s="233" t="s">
        <v>390</v>
      </c>
      <c r="D101" s="233" t="s">
        <v>151</v>
      </c>
      <c r="E101" s="212">
        <v>933</v>
      </c>
      <c r="F101" s="212">
        <v>2198</v>
      </c>
      <c r="G101" s="212" t="s">
        <v>1723</v>
      </c>
      <c r="H101" s="212" t="s">
        <v>1724</v>
      </c>
      <c r="I101" s="212" t="s">
        <v>249</v>
      </c>
      <c r="J101" s="212" t="s">
        <v>104</v>
      </c>
      <c r="K101" s="212" t="s">
        <v>1768</v>
      </c>
      <c r="L101" s="227" t="s">
        <v>1729</v>
      </c>
      <c r="M101" t="s">
        <v>186</v>
      </c>
      <c r="N101" s="211">
        <v>-2.1</v>
      </c>
      <c r="O101" s="211">
        <v>-10.923</v>
      </c>
      <c r="P101" s="211" t="s">
        <v>487</v>
      </c>
      <c r="Q101" s="211">
        <v>31</v>
      </c>
      <c r="R101" s="211">
        <v>0.1</v>
      </c>
      <c r="S101" s="211" t="s">
        <v>1731</v>
      </c>
    </row>
    <row r="102" spans="1:19">
      <c r="A102" s="212" t="s">
        <v>218</v>
      </c>
      <c r="B102" s="212" t="s">
        <v>389</v>
      </c>
      <c r="C102" s="233" t="s">
        <v>390</v>
      </c>
      <c r="D102" s="233" t="s">
        <v>151</v>
      </c>
      <c r="E102" s="212">
        <v>933</v>
      </c>
      <c r="F102" s="212">
        <v>3002</v>
      </c>
      <c r="G102" s="212" t="s">
        <v>1723</v>
      </c>
      <c r="H102" s="212" t="s">
        <v>1724</v>
      </c>
      <c r="I102" s="212" t="s">
        <v>249</v>
      </c>
      <c r="J102" s="212" t="s">
        <v>104</v>
      </c>
      <c r="K102" s="212" t="s">
        <v>1768</v>
      </c>
      <c r="L102" s="227" t="s">
        <v>1729</v>
      </c>
      <c r="M102" t="s">
        <v>1734</v>
      </c>
      <c r="N102" s="211">
        <v>-1.1000000000000001</v>
      </c>
      <c r="O102" s="211">
        <v>-9.923</v>
      </c>
      <c r="P102" s="211" t="s">
        <v>487</v>
      </c>
      <c r="Q102" s="211">
        <v>29.4</v>
      </c>
      <c r="R102" s="211">
        <v>-1.4</v>
      </c>
      <c r="S102" s="211" t="s">
        <v>1731</v>
      </c>
    </row>
    <row r="103" spans="1:19">
      <c r="A103" s="212" t="s">
        <v>218</v>
      </c>
      <c r="B103" s="212" t="s">
        <v>389</v>
      </c>
      <c r="C103" s="233" t="s">
        <v>390</v>
      </c>
      <c r="D103" s="233" t="s">
        <v>151</v>
      </c>
      <c r="E103" s="212">
        <v>933</v>
      </c>
      <c r="F103" s="212">
        <v>3285</v>
      </c>
      <c r="G103" s="212" t="s">
        <v>1723</v>
      </c>
      <c r="H103" s="212" t="s">
        <v>1724</v>
      </c>
      <c r="I103" s="212" t="s">
        <v>249</v>
      </c>
      <c r="J103" s="212" t="s">
        <v>104</v>
      </c>
      <c r="K103" s="212" t="s">
        <v>1768</v>
      </c>
      <c r="L103" s="227" t="s">
        <v>1729</v>
      </c>
      <c r="M103" t="s">
        <v>1747</v>
      </c>
      <c r="N103" s="211">
        <v>-2.77</v>
      </c>
      <c r="O103" s="211">
        <v>-11.593</v>
      </c>
      <c r="P103" s="211" t="s">
        <v>487</v>
      </c>
      <c r="Q103" s="211">
        <v>28.5</v>
      </c>
      <c r="R103" s="211">
        <v>-2.2999999999999998</v>
      </c>
      <c r="S103" s="211" t="s">
        <v>1731</v>
      </c>
    </row>
    <row r="104" spans="1:19">
      <c r="A104" s="212" t="s">
        <v>218</v>
      </c>
      <c r="B104" s="212" t="s">
        <v>389</v>
      </c>
      <c r="C104" s="233" t="s">
        <v>390</v>
      </c>
      <c r="D104" s="233" t="s">
        <v>151</v>
      </c>
      <c r="E104" s="212">
        <v>933</v>
      </c>
      <c r="F104" s="212">
        <v>3525</v>
      </c>
      <c r="G104" s="212" t="s">
        <v>1723</v>
      </c>
      <c r="H104" s="212" t="s">
        <v>1724</v>
      </c>
      <c r="I104" s="212" t="s">
        <v>249</v>
      </c>
      <c r="J104" s="212" t="s">
        <v>104</v>
      </c>
      <c r="K104" s="212" t="s">
        <v>1768</v>
      </c>
      <c r="L104" s="227" t="s">
        <v>1729</v>
      </c>
      <c r="M104" t="s">
        <v>1779</v>
      </c>
      <c r="N104" s="211">
        <v>-1.98</v>
      </c>
      <c r="O104" s="211">
        <v>-10.803000000000001</v>
      </c>
      <c r="P104" s="211" t="s">
        <v>487</v>
      </c>
      <c r="Q104" s="211">
        <v>29.1</v>
      </c>
      <c r="R104" s="211">
        <v>-1.7</v>
      </c>
      <c r="S104" s="211" t="s">
        <v>1731</v>
      </c>
    </row>
    <row r="105" spans="1:19">
      <c r="A105" s="212" t="s">
        <v>218</v>
      </c>
      <c r="B105" s="212" t="s">
        <v>389</v>
      </c>
      <c r="C105" s="233" t="s">
        <v>390</v>
      </c>
      <c r="D105" s="233" t="s">
        <v>151</v>
      </c>
      <c r="E105" s="212">
        <v>937</v>
      </c>
      <c r="F105" s="212">
        <v>907</v>
      </c>
      <c r="G105" s="212" t="s">
        <v>1723</v>
      </c>
      <c r="H105" s="212" t="s">
        <v>1724</v>
      </c>
      <c r="I105" s="212" t="s">
        <v>706</v>
      </c>
      <c r="J105" s="212" t="s">
        <v>104</v>
      </c>
      <c r="K105" s="212" t="s">
        <v>1768</v>
      </c>
      <c r="L105" s="227" t="s">
        <v>1729</v>
      </c>
      <c r="M105" t="s">
        <v>1747</v>
      </c>
      <c r="N105" s="211">
        <v>1.4</v>
      </c>
      <c r="O105" s="211">
        <v>-7.423</v>
      </c>
      <c r="P105" s="211" t="s">
        <v>487</v>
      </c>
      <c r="Q105" s="211">
        <v>28.1</v>
      </c>
      <c r="R105" s="211">
        <v>-2.6</v>
      </c>
      <c r="S105" s="211" t="s">
        <v>1731</v>
      </c>
    </row>
    <row r="106" spans="1:19">
      <c r="A106" s="212" t="s">
        <v>218</v>
      </c>
      <c r="B106" s="212" t="s">
        <v>389</v>
      </c>
      <c r="C106" s="233" t="s">
        <v>390</v>
      </c>
      <c r="D106" s="233" t="s">
        <v>151</v>
      </c>
      <c r="E106" s="212">
        <v>1018</v>
      </c>
      <c r="F106" s="212">
        <v>13</v>
      </c>
      <c r="G106" s="212" t="s">
        <v>1723</v>
      </c>
      <c r="H106" s="212" t="s">
        <v>1724</v>
      </c>
      <c r="I106" s="212" t="s">
        <v>779</v>
      </c>
      <c r="J106" s="212" t="s">
        <v>104</v>
      </c>
      <c r="K106" s="212" t="s">
        <v>269</v>
      </c>
      <c r="L106" s="227" t="s">
        <v>1725</v>
      </c>
      <c r="M106" t="s">
        <v>205</v>
      </c>
      <c r="N106" s="211">
        <v>-9.1999999999999993</v>
      </c>
      <c r="O106" s="211">
        <v>-9.1999999999999993</v>
      </c>
      <c r="P106" s="211">
        <v>6.1</v>
      </c>
      <c r="S106" s="211">
        <v>2.9</v>
      </c>
    </row>
    <row r="107" spans="1:19">
      <c r="A107" s="212" t="s">
        <v>218</v>
      </c>
      <c r="B107" s="212" t="s">
        <v>389</v>
      </c>
      <c r="C107" s="233" t="s">
        <v>390</v>
      </c>
      <c r="D107" s="233" t="s">
        <v>151</v>
      </c>
      <c r="E107" s="212">
        <v>1018</v>
      </c>
      <c r="F107" s="212">
        <v>70</v>
      </c>
      <c r="G107" s="212" t="s">
        <v>1723</v>
      </c>
      <c r="H107" s="212" t="s">
        <v>1724</v>
      </c>
      <c r="I107" s="212" t="s">
        <v>779</v>
      </c>
      <c r="J107" s="212" t="s">
        <v>104</v>
      </c>
      <c r="K107" s="212" t="s">
        <v>269</v>
      </c>
      <c r="L107" s="227" t="s">
        <v>1725</v>
      </c>
      <c r="M107" t="s">
        <v>1738</v>
      </c>
      <c r="N107" s="211">
        <v>-8.1999999999999993</v>
      </c>
      <c r="O107" s="211">
        <v>-8.1999999999999993</v>
      </c>
      <c r="P107" s="211">
        <v>6.3</v>
      </c>
      <c r="S107" s="211">
        <v>2.8</v>
      </c>
    </row>
    <row r="108" spans="1:19">
      <c r="A108" s="212" t="s">
        <v>218</v>
      </c>
      <c r="B108" s="212" t="s">
        <v>389</v>
      </c>
      <c r="C108" s="233" t="s">
        <v>390</v>
      </c>
      <c r="D108" s="233" t="s">
        <v>151</v>
      </c>
      <c r="E108" s="212">
        <v>1018</v>
      </c>
      <c r="F108" s="212">
        <v>71</v>
      </c>
      <c r="G108" s="212" t="s">
        <v>1723</v>
      </c>
      <c r="H108" s="212" t="s">
        <v>1724</v>
      </c>
      <c r="I108" s="212" t="s">
        <v>779</v>
      </c>
      <c r="J108" s="212" t="s">
        <v>104</v>
      </c>
      <c r="K108" s="212" t="s">
        <v>269</v>
      </c>
      <c r="L108" s="227" t="s">
        <v>1725</v>
      </c>
      <c r="M108" t="s">
        <v>1738</v>
      </c>
      <c r="N108" s="211">
        <v>-10.1</v>
      </c>
      <c r="O108" s="211">
        <v>-10.1</v>
      </c>
      <c r="P108" s="211">
        <v>6.3</v>
      </c>
      <c r="S108" s="211">
        <v>3.1</v>
      </c>
    </row>
    <row r="109" spans="1:19">
      <c r="A109" s="212" t="s">
        <v>218</v>
      </c>
      <c r="B109" s="212" t="s">
        <v>389</v>
      </c>
      <c r="C109" s="233" t="s">
        <v>390</v>
      </c>
      <c r="D109" s="233" t="s">
        <v>151</v>
      </c>
      <c r="E109" s="212">
        <v>1018</v>
      </c>
      <c r="F109" s="212">
        <v>72</v>
      </c>
      <c r="G109" s="212" t="s">
        <v>1723</v>
      </c>
      <c r="H109" s="212" t="s">
        <v>1724</v>
      </c>
      <c r="I109" s="212" t="s">
        <v>779</v>
      </c>
      <c r="J109" s="212" t="s">
        <v>104</v>
      </c>
      <c r="K109" s="212" t="s">
        <v>269</v>
      </c>
      <c r="L109" s="227" t="s">
        <v>1725</v>
      </c>
      <c r="M109" t="s">
        <v>1738</v>
      </c>
      <c r="N109" s="211">
        <v>-9.6999999999999993</v>
      </c>
      <c r="O109" s="211">
        <v>-9.6999999999999993</v>
      </c>
      <c r="P109" s="211">
        <v>6.9</v>
      </c>
      <c r="S109" s="211">
        <v>3</v>
      </c>
    </row>
    <row r="110" spans="1:19">
      <c r="A110" s="212" t="s">
        <v>218</v>
      </c>
      <c r="B110" s="212" t="s">
        <v>389</v>
      </c>
      <c r="C110" s="233" t="s">
        <v>390</v>
      </c>
      <c r="D110" s="233" t="s">
        <v>151</v>
      </c>
      <c r="E110" s="212">
        <v>1018</v>
      </c>
      <c r="F110" s="212">
        <v>75</v>
      </c>
      <c r="G110" s="212" t="s">
        <v>1723</v>
      </c>
      <c r="H110" s="212" t="s">
        <v>1724</v>
      </c>
      <c r="I110" s="212" t="s">
        <v>779</v>
      </c>
      <c r="J110" s="212" t="s">
        <v>104</v>
      </c>
      <c r="K110" s="212" t="s">
        <v>269</v>
      </c>
      <c r="L110" s="227" t="s">
        <v>1725</v>
      </c>
      <c r="M110" t="s">
        <v>1738</v>
      </c>
      <c r="N110" s="211">
        <v>-8.3000000000000007</v>
      </c>
      <c r="O110" s="211">
        <v>-8.3000000000000007</v>
      </c>
      <c r="P110" s="211">
        <v>7.5</v>
      </c>
      <c r="S110" s="211">
        <v>2.9</v>
      </c>
    </row>
    <row r="111" spans="1:19" ht="19">
      <c r="A111" s="212" t="s">
        <v>218</v>
      </c>
      <c r="B111" s="212" t="s">
        <v>389</v>
      </c>
      <c r="C111" s="233" t="s">
        <v>390</v>
      </c>
      <c r="D111" s="234" t="s">
        <v>151</v>
      </c>
      <c r="E111" s="212">
        <v>30907</v>
      </c>
      <c r="F111" s="212">
        <v>13</v>
      </c>
      <c r="G111" s="212" t="s">
        <v>1723</v>
      </c>
      <c r="H111" s="212" t="s">
        <v>1724</v>
      </c>
      <c r="I111" s="212" t="s">
        <v>1780</v>
      </c>
      <c r="J111" s="212" t="s">
        <v>104</v>
      </c>
      <c r="K111" s="212" t="s">
        <v>1768</v>
      </c>
      <c r="L111" s="227" t="s">
        <v>1729</v>
      </c>
      <c r="M111" t="s">
        <v>1779</v>
      </c>
      <c r="N111" s="211">
        <v>-1.86</v>
      </c>
      <c r="O111" s="211">
        <v>-10.683</v>
      </c>
      <c r="P111" s="211" t="s">
        <v>487</v>
      </c>
      <c r="Q111" s="211">
        <v>28.7</v>
      </c>
      <c r="R111" s="211">
        <v>-2.1</v>
      </c>
      <c r="S111" s="211" t="s">
        <v>1731</v>
      </c>
    </row>
    <row r="112" spans="1:19" ht="19">
      <c r="A112" s="212" t="s">
        <v>218</v>
      </c>
      <c r="B112" s="212" t="s">
        <v>389</v>
      </c>
      <c r="C112" s="233" t="s">
        <v>390</v>
      </c>
      <c r="D112" s="234" t="s">
        <v>151</v>
      </c>
      <c r="E112" s="212">
        <v>30907</v>
      </c>
      <c r="F112" s="212">
        <v>33</v>
      </c>
      <c r="G112" s="212" t="s">
        <v>1723</v>
      </c>
      <c r="H112" s="212" t="s">
        <v>1724</v>
      </c>
      <c r="I112" s="212" t="s">
        <v>1780</v>
      </c>
      <c r="J112" s="212" t="s">
        <v>104</v>
      </c>
      <c r="K112" s="212" t="s">
        <v>1768</v>
      </c>
      <c r="L112" s="227" t="s">
        <v>1729</v>
      </c>
      <c r="M112" t="s">
        <v>1779</v>
      </c>
      <c r="N112" s="211">
        <v>-0.48</v>
      </c>
      <c r="O112" s="211">
        <v>-9.3030000000000008</v>
      </c>
      <c r="P112" s="211" t="s">
        <v>487</v>
      </c>
      <c r="Q112" s="211">
        <v>29.5</v>
      </c>
      <c r="R112" s="211">
        <v>-1.3</v>
      </c>
      <c r="S112" s="211" t="s">
        <v>1731</v>
      </c>
    </row>
    <row r="113" spans="1:20" ht="19">
      <c r="A113" s="212" t="s">
        <v>218</v>
      </c>
      <c r="B113" s="212" t="s">
        <v>389</v>
      </c>
      <c r="C113" s="233" t="s">
        <v>390</v>
      </c>
      <c r="D113" s="234" t="s">
        <v>151</v>
      </c>
      <c r="E113" s="212">
        <v>30967</v>
      </c>
      <c r="F113" s="212">
        <v>694</v>
      </c>
      <c r="G113" s="212" t="s">
        <v>1723</v>
      </c>
      <c r="H113" s="212" t="s">
        <v>1724</v>
      </c>
      <c r="I113" s="212" t="s">
        <v>110</v>
      </c>
      <c r="J113" s="212" t="s">
        <v>104</v>
      </c>
      <c r="K113" s="212" t="s">
        <v>1768</v>
      </c>
      <c r="L113" s="227" t="s">
        <v>1729</v>
      </c>
      <c r="M113" t="s">
        <v>1734</v>
      </c>
      <c r="N113" s="211">
        <v>-0.72</v>
      </c>
      <c r="O113" s="211">
        <v>-9.5429999999999993</v>
      </c>
      <c r="P113" s="211" t="s">
        <v>487</v>
      </c>
      <c r="Q113" s="211">
        <v>29.9</v>
      </c>
      <c r="R113" s="211">
        <v>-0.9</v>
      </c>
      <c r="S113" s="211" t="s">
        <v>1731</v>
      </c>
    </row>
    <row r="114" spans="1:20" ht="19">
      <c r="A114" s="212" t="s">
        <v>218</v>
      </c>
      <c r="B114" s="212" t="s">
        <v>389</v>
      </c>
      <c r="C114" s="233" t="s">
        <v>390</v>
      </c>
      <c r="D114" s="234" t="s">
        <v>151</v>
      </c>
      <c r="E114" s="212">
        <v>30967</v>
      </c>
      <c r="F114" s="212">
        <v>930</v>
      </c>
      <c r="G114" s="212" t="s">
        <v>1723</v>
      </c>
      <c r="H114" s="212" t="s">
        <v>1724</v>
      </c>
      <c r="I114" s="212" t="s">
        <v>110</v>
      </c>
      <c r="J114" s="212" t="s">
        <v>104</v>
      </c>
      <c r="K114" s="212" t="s">
        <v>1768</v>
      </c>
      <c r="L114" s="227" t="s">
        <v>1729</v>
      </c>
      <c r="M114" t="s">
        <v>1730</v>
      </c>
      <c r="N114" s="211">
        <v>0.42</v>
      </c>
      <c r="O114" s="211">
        <v>-8.4030000000000005</v>
      </c>
      <c r="P114" s="211" t="s">
        <v>487</v>
      </c>
      <c r="Q114" s="211">
        <v>31.9</v>
      </c>
      <c r="R114" s="211">
        <v>1</v>
      </c>
      <c r="S114" s="211" t="s">
        <v>1731</v>
      </c>
    </row>
    <row r="115" spans="1:20" ht="19">
      <c r="A115" s="212" t="s">
        <v>218</v>
      </c>
      <c r="B115" s="212" t="s">
        <v>389</v>
      </c>
      <c r="C115" s="233" t="s">
        <v>390</v>
      </c>
      <c r="D115" s="234" t="s">
        <v>151</v>
      </c>
      <c r="E115" s="212">
        <v>30967</v>
      </c>
      <c r="F115" s="212">
        <v>1638</v>
      </c>
      <c r="G115" s="212" t="s">
        <v>1723</v>
      </c>
      <c r="H115" s="212" t="s">
        <v>1724</v>
      </c>
      <c r="I115" s="212" t="s">
        <v>110</v>
      </c>
      <c r="J115" s="212" t="s">
        <v>104</v>
      </c>
      <c r="K115" s="212" t="s">
        <v>1768</v>
      </c>
      <c r="L115" s="227" t="s">
        <v>1729</v>
      </c>
      <c r="M115" t="s">
        <v>1734</v>
      </c>
      <c r="N115" s="211">
        <v>-1.97</v>
      </c>
      <c r="O115" s="211">
        <v>-10.792999999999999</v>
      </c>
      <c r="P115" s="211" t="s">
        <v>487</v>
      </c>
      <c r="Q115" s="211">
        <v>30.1</v>
      </c>
      <c r="R115" s="211">
        <v>-0.7</v>
      </c>
      <c r="S115" s="211" t="s">
        <v>1731</v>
      </c>
    </row>
    <row r="116" spans="1:20" ht="19">
      <c r="A116" s="212" t="s">
        <v>218</v>
      </c>
      <c r="B116" s="212" t="s">
        <v>389</v>
      </c>
      <c r="C116" s="233" t="s">
        <v>390</v>
      </c>
      <c r="D116" s="234" t="s">
        <v>151</v>
      </c>
      <c r="E116" s="212">
        <v>30967</v>
      </c>
      <c r="F116" s="212">
        <v>1662</v>
      </c>
      <c r="G116" s="212" t="s">
        <v>1723</v>
      </c>
      <c r="H116" s="212" t="s">
        <v>1724</v>
      </c>
      <c r="I116" s="212" t="s">
        <v>110</v>
      </c>
      <c r="J116" s="212" t="s">
        <v>104</v>
      </c>
      <c r="K116" s="212" t="s">
        <v>1768</v>
      </c>
      <c r="L116" s="227" t="s">
        <v>1729</v>
      </c>
      <c r="M116" t="s">
        <v>186</v>
      </c>
      <c r="N116" s="211">
        <v>-0.83</v>
      </c>
      <c r="O116" s="211">
        <v>-9.6530000000000005</v>
      </c>
      <c r="P116" s="211" t="s">
        <v>487</v>
      </c>
      <c r="Q116" s="211">
        <v>31.8</v>
      </c>
      <c r="R116" s="211">
        <v>0.9</v>
      </c>
      <c r="S116" s="211" t="s">
        <v>1731</v>
      </c>
      <c r="T116" s="211"/>
    </row>
    <row r="117" spans="1:20">
      <c r="A117" s="212" t="s">
        <v>218</v>
      </c>
      <c r="B117" s="212" t="s">
        <v>389</v>
      </c>
      <c r="C117" s="233" t="s">
        <v>390</v>
      </c>
      <c r="D117" s="233" t="s">
        <v>151</v>
      </c>
      <c r="E117" s="212">
        <v>30967</v>
      </c>
      <c r="F117" s="212">
        <v>2473</v>
      </c>
      <c r="G117" s="212" t="s">
        <v>1723</v>
      </c>
      <c r="H117" s="212" t="s">
        <v>1724</v>
      </c>
      <c r="I117" s="212" t="s">
        <v>110</v>
      </c>
      <c r="J117" s="212" t="s">
        <v>104</v>
      </c>
      <c r="K117" s="212" t="s">
        <v>1768</v>
      </c>
      <c r="L117" s="212" t="s">
        <v>1729</v>
      </c>
      <c r="M117" t="s">
        <v>1734</v>
      </c>
      <c r="N117" s="211">
        <v>-0.72</v>
      </c>
      <c r="O117" s="211">
        <v>-9.5429999999999993</v>
      </c>
      <c r="P117" s="211" t="s">
        <v>487</v>
      </c>
      <c r="Q117" s="211">
        <v>29.4</v>
      </c>
      <c r="R117" s="211">
        <v>-1.5</v>
      </c>
      <c r="S117" s="211" t="s">
        <v>1731</v>
      </c>
    </row>
    <row r="118" spans="1:20">
      <c r="A118" s="212" t="s">
        <v>218</v>
      </c>
      <c r="B118" s="212" t="s">
        <v>389</v>
      </c>
      <c r="C118" s="233" t="s">
        <v>390</v>
      </c>
      <c r="D118" s="233" t="s">
        <v>151</v>
      </c>
      <c r="E118" s="212">
        <v>30967</v>
      </c>
      <c r="F118" s="212">
        <v>2481</v>
      </c>
      <c r="G118" s="212" t="s">
        <v>1723</v>
      </c>
      <c r="H118" s="212" t="s">
        <v>1724</v>
      </c>
      <c r="I118" s="212" t="s">
        <v>110</v>
      </c>
      <c r="J118" s="212" t="s">
        <v>104</v>
      </c>
      <c r="K118" s="212" t="s">
        <v>1768</v>
      </c>
      <c r="L118" s="212" t="s">
        <v>1729</v>
      </c>
      <c r="M118" t="s">
        <v>1734</v>
      </c>
      <c r="N118" s="211">
        <v>1.1499999999999999</v>
      </c>
      <c r="O118" s="211">
        <v>-7.673</v>
      </c>
      <c r="P118" s="211" t="s">
        <v>487</v>
      </c>
      <c r="Q118" s="211">
        <v>30</v>
      </c>
      <c r="R118" s="211">
        <v>-0.8</v>
      </c>
      <c r="S118" s="211" t="s">
        <v>1731</v>
      </c>
    </row>
    <row r="119" spans="1:20">
      <c r="A119" s="212" t="s">
        <v>218</v>
      </c>
      <c r="B119" s="212" t="s">
        <v>389</v>
      </c>
      <c r="C119" s="233" t="s">
        <v>390</v>
      </c>
      <c r="D119" s="233" t="s">
        <v>151</v>
      </c>
      <c r="E119" s="212">
        <v>31030</v>
      </c>
      <c r="F119" s="212" t="s">
        <v>1781</v>
      </c>
      <c r="G119" s="212" t="s">
        <v>1723</v>
      </c>
      <c r="H119" s="212" t="s">
        <v>1724</v>
      </c>
      <c r="I119" s="212" t="s">
        <v>1782</v>
      </c>
      <c r="J119" s="212" t="s">
        <v>104</v>
      </c>
      <c r="K119" s="212" t="s">
        <v>1768</v>
      </c>
      <c r="L119" s="212" t="s">
        <v>1729</v>
      </c>
      <c r="M119" t="s">
        <v>186</v>
      </c>
      <c r="N119" s="211">
        <v>0.01</v>
      </c>
      <c r="O119" s="211">
        <v>-8.8130000000000006</v>
      </c>
      <c r="P119" s="211" t="s">
        <v>487</v>
      </c>
      <c r="Q119" s="211">
        <v>30.3</v>
      </c>
      <c r="R119" s="211">
        <v>-0.6</v>
      </c>
      <c r="S119" s="211" t="s">
        <v>1731</v>
      </c>
    </row>
    <row r="120" spans="1:20">
      <c r="A120" s="212" t="s">
        <v>218</v>
      </c>
      <c r="B120" s="212" t="s">
        <v>389</v>
      </c>
      <c r="C120" s="233" t="s">
        <v>390</v>
      </c>
      <c r="D120" s="233" t="s">
        <v>151</v>
      </c>
      <c r="E120" s="212">
        <v>31030</v>
      </c>
      <c r="F120" s="212" t="s">
        <v>398</v>
      </c>
      <c r="G120" s="212" t="s">
        <v>1723</v>
      </c>
      <c r="H120" s="212" t="s">
        <v>1724</v>
      </c>
      <c r="I120" s="212" t="s">
        <v>1782</v>
      </c>
      <c r="J120" s="212" t="s">
        <v>104</v>
      </c>
      <c r="K120" s="212" t="s">
        <v>1768</v>
      </c>
      <c r="L120" s="212" t="s">
        <v>1729</v>
      </c>
      <c r="M120" t="s">
        <v>186</v>
      </c>
      <c r="N120" s="211">
        <v>-1.33</v>
      </c>
      <c r="O120" s="211">
        <v>-10.153</v>
      </c>
      <c r="P120" s="211" t="s">
        <v>487</v>
      </c>
      <c r="Q120" s="211">
        <v>28</v>
      </c>
      <c r="R120" s="211">
        <v>-2.8</v>
      </c>
      <c r="S120" s="211" t="s">
        <v>1731</v>
      </c>
    </row>
    <row r="121" spans="1:20">
      <c r="A121" s="212" t="s">
        <v>218</v>
      </c>
      <c r="B121" s="212" t="s">
        <v>389</v>
      </c>
      <c r="C121" s="233" t="s">
        <v>390</v>
      </c>
      <c r="D121" s="233" t="s">
        <v>151</v>
      </c>
      <c r="E121" s="212">
        <v>31141</v>
      </c>
      <c r="F121" s="212">
        <v>49</v>
      </c>
      <c r="G121" s="212" t="s">
        <v>1723</v>
      </c>
      <c r="H121" s="212" t="s">
        <v>1724</v>
      </c>
      <c r="I121" s="212" t="s">
        <v>669</v>
      </c>
      <c r="J121" s="212" t="s">
        <v>104</v>
      </c>
      <c r="K121" s="212" t="s">
        <v>269</v>
      </c>
      <c r="L121" s="212" t="s">
        <v>1729</v>
      </c>
      <c r="M121" t="s">
        <v>1739</v>
      </c>
      <c r="N121" s="211">
        <v>-4.12</v>
      </c>
      <c r="O121" s="211">
        <v>-12.943</v>
      </c>
      <c r="P121" s="211" t="s">
        <v>487</v>
      </c>
      <c r="Q121" s="211">
        <v>29.3</v>
      </c>
      <c r="R121" s="211">
        <v>-1.6</v>
      </c>
      <c r="S121" s="211" t="s">
        <v>1731</v>
      </c>
    </row>
    <row r="122" spans="1:20">
      <c r="A122" s="212" t="s">
        <v>218</v>
      </c>
      <c r="B122" s="212" t="s">
        <v>389</v>
      </c>
      <c r="C122" s="233" t="s">
        <v>390</v>
      </c>
      <c r="D122" s="233" t="s">
        <v>151</v>
      </c>
      <c r="E122" s="212">
        <v>31141</v>
      </c>
      <c r="F122" s="212">
        <v>92</v>
      </c>
      <c r="G122" s="212" t="s">
        <v>1723</v>
      </c>
      <c r="H122" s="212" t="s">
        <v>1724</v>
      </c>
      <c r="I122" s="212" t="s">
        <v>669</v>
      </c>
      <c r="J122" s="212" t="s">
        <v>104</v>
      </c>
      <c r="K122" s="212" t="s">
        <v>269</v>
      </c>
      <c r="L122" s="212" t="s">
        <v>1729</v>
      </c>
      <c r="M122" t="s">
        <v>1734</v>
      </c>
      <c r="N122" s="211">
        <v>-3.91</v>
      </c>
      <c r="O122" s="211">
        <v>-12.733000000000001</v>
      </c>
      <c r="P122" s="211" t="s">
        <v>487</v>
      </c>
      <c r="Q122" s="211">
        <v>27.4</v>
      </c>
      <c r="S122" s="211" t="s">
        <v>1731</v>
      </c>
    </row>
    <row r="123" spans="1:20">
      <c r="A123" s="212" t="s">
        <v>218</v>
      </c>
      <c r="B123" s="212" t="s">
        <v>389</v>
      </c>
      <c r="C123" s="233" t="s">
        <v>390</v>
      </c>
      <c r="D123" s="233" t="s">
        <v>151</v>
      </c>
      <c r="E123" s="212">
        <v>40450</v>
      </c>
      <c r="F123" s="212">
        <v>280</v>
      </c>
      <c r="G123" s="212" t="s">
        <v>1723</v>
      </c>
      <c r="H123" s="212" t="s">
        <v>1724</v>
      </c>
      <c r="I123" s="212" t="s">
        <v>1783</v>
      </c>
      <c r="J123" s="212" t="s">
        <v>1744</v>
      </c>
      <c r="K123" s="212" t="s">
        <v>269</v>
      </c>
      <c r="L123" s="212" t="s">
        <v>1729</v>
      </c>
      <c r="M123" t="s">
        <v>1730</v>
      </c>
      <c r="N123" s="211">
        <v>-4.13</v>
      </c>
      <c r="O123" s="211">
        <v>-12.952999999999999</v>
      </c>
      <c r="P123" s="211" t="s">
        <v>487</v>
      </c>
      <c r="Q123" s="211">
        <v>28.9</v>
      </c>
      <c r="R123" s="211">
        <v>-1.9</v>
      </c>
      <c r="S123" s="211" t="s">
        <v>1731</v>
      </c>
    </row>
    <row r="124" spans="1:20">
      <c r="A124" s="212" t="s">
        <v>218</v>
      </c>
      <c r="B124" s="212" t="s">
        <v>389</v>
      </c>
      <c r="C124" s="233" t="s">
        <v>390</v>
      </c>
      <c r="D124" s="233" t="s">
        <v>151</v>
      </c>
      <c r="E124" s="212">
        <v>40450</v>
      </c>
      <c r="F124" s="212">
        <v>437</v>
      </c>
      <c r="G124" s="212" t="s">
        <v>1723</v>
      </c>
      <c r="H124" s="212" t="s">
        <v>1724</v>
      </c>
      <c r="I124" s="212" t="s">
        <v>1783</v>
      </c>
      <c r="J124" s="212" t="s">
        <v>104</v>
      </c>
      <c r="K124" s="212" t="s">
        <v>269</v>
      </c>
      <c r="L124" s="212" t="s">
        <v>1725</v>
      </c>
      <c r="M124" t="s">
        <v>1760</v>
      </c>
      <c r="N124" s="211">
        <v>-10.8</v>
      </c>
      <c r="O124" s="211">
        <v>-10.8</v>
      </c>
      <c r="P124" s="211">
        <v>9.3000000000000007</v>
      </c>
      <c r="S124" s="211">
        <v>3.1</v>
      </c>
    </row>
    <row r="125" spans="1:20">
      <c r="A125" s="212" t="s">
        <v>218</v>
      </c>
      <c r="B125" s="212" t="s">
        <v>389</v>
      </c>
      <c r="C125" s="233" t="s">
        <v>390</v>
      </c>
      <c r="D125" s="233" t="s">
        <v>151</v>
      </c>
      <c r="E125" s="212">
        <v>40450</v>
      </c>
      <c r="F125" s="212">
        <v>585</v>
      </c>
      <c r="G125" s="212" t="s">
        <v>1723</v>
      </c>
      <c r="H125" s="212" t="s">
        <v>1724</v>
      </c>
      <c r="I125" s="212" t="s">
        <v>1783</v>
      </c>
      <c r="J125" s="212" t="s">
        <v>104</v>
      </c>
      <c r="K125" s="212" t="s">
        <v>1768</v>
      </c>
      <c r="L125" s="212" t="s">
        <v>1729</v>
      </c>
      <c r="M125" t="s">
        <v>186</v>
      </c>
      <c r="N125" s="211">
        <v>-3.81</v>
      </c>
      <c r="O125" s="211">
        <v>-12.632999999999999</v>
      </c>
      <c r="P125" s="211" t="s">
        <v>487</v>
      </c>
      <c r="Q125" s="211">
        <v>28</v>
      </c>
      <c r="R125" s="211">
        <v>-2.8</v>
      </c>
      <c r="S125" s="211" t="s">
        <v>1731</v>
      </c>
    </row>
    <row r="126" spans="1:20">
      <c r="A126" s="212" t="s">
        <v>218</v>
      </c>
      <c r="B126" s="212" t="s">
        <v>389</v>
      </c>
      <c r="C126" s="233" t="s">
        <v>390</v>
      </c>
      <c r="D126" s="233" t="s">
        <v>151</v>
      </c>
      <c r="E126" s="212">
        <v>40450</v>
      </c>
      <c r="F126" s="212">
        <v>1619</v>
      </c>
      <c r="G126" s="212" t="s">
        <v>1723</v>
      </c>
      <c r="H126" s="212" t="s">
        <v>1724</v>
      </c>
      <c r="I126" s="212" t="s">
        <v>1783</v>
      </c>
      <c r="J126" s="212" t="s">
        <v>104</v>
      </c>
      <c r="K126" s="212" t="s">
        <v>269</v>
      </c>
      <c r="L126" s="212" t="s">
        <v>1725</v>
      </c>
      <c r="M126" t="s">
        <v>205</v>
      </c>
      <c r="N126" s="211">
        <v>-14.9</v>
      </c>
      <c r="O126" s="211">
        <v>-14.9</v>
      </c>
      <c r="P126" s="211">
        <v>10.199999999999999</v>
      </c>
      <c r="S126" s="211">
        <v>3</v>
      </c>
    </row>
    <row r="127" spans="1:20">
      <c r="A127" s="212" t="s">
        <v>218</v>
      </c>
      <c r="B127" s="212" t="s">
        <v>389</v>
      </c>
      <c r="C127" s="233" t="s">
        <v>390</v>
      </c>
      <c r="D127" s="233" t="s">
        <v>151</v>
      </c>
      <c r="E127" s="212">
        <v>40450</v>
      </c>
      <c r="F127" s="212">
        <v>1619</v>
      </c>
      <c r="G127" s="212" t="s">
        <v>1723</v>
      </c>
      <c r="H127" s="212" t="s">
        <v>1724</v>
      </c>
      <c r="I127" s="212" t="s">
        <v>1783</v>
      </c>
      <c r="J127" s="212" t="s">
        <v>104</v>
      </c>
      <c r="K127" s="212" t="s">
        <v>269</v>
      </c>
      <c r="L127" s="212" t="s">
        <v>1729</v>
      </c>
      <c r="M127" t="s">
        <v>1775</v>
      </c>
      <c r="N127" s="211">
        <v>-6.2</v>
      </c>
      <c r="O127" s="211">
        <v>-15.023</v>
      </c>
      <c r="P127" s="211" t="s">
        <v>487</v>
      </c>
      <c r="Q127" s="211">
        <v>26.5</v>
      </c>
      <c r="S127" s="211" t="s">
        <v>1731</v>
      </c>
    </row>
    <row r="128" spans="1:20">
      <c r="A128" s="212" t="s">
        <v>218</v>
      </c>
      <c r="B128" s="212" t="s">
        <v>389</v>
      </c>
      <c r="C128" s="233" t="s">
        <v>390</v>
      </c>
      <c r="D128" s="233" t="s">
        <v>151</v>
      </c>
      <c r="E128" s="212">
        <v>40450</v>
      </c>
      <c r="F128" s="212">
        <v>1975</v>
      </c>
      <c r="G128" s="212" t="s">
        <v>1723</v>
      </c>
      <c r="H128" s="212" t="s">
        <v>1724</v>
      </c>
      <c r="I128" s="212" t="s">
        <v>1783</v>
      </c>
      <c r="J128" s="212" t="s">
        <v>104</v>
      </c>
      <c r="K128" s="212" t="s">
        <v>269</v>
      </c>
      <c r="L128" s="212" t="s">
        <v>1729</v>
      </c>
      <c r="M128" t="s">
        <v>186</v>
      </c>
      <c r="N128" s="211">
        <v>-2.0099999999999998</v>
      </c>
      <c r="O128" s="211">
        <v>-10.833</v>
      </c>
      <c r="P128" s="211" t="s">
        <v>487</v>
      </c>
      <c r="Q128" s="211">
        <v>29.8</v>
      </c>
      <c r="R128" s="211">
        <v>-1</v>
      </c>
      <c r="S128" s="211" t="s">
        <v>1731</v>
      </c>
    </row>
    <row r="129" spans="1:20">
      <c r="A129" s="212" t="s">
        <v>218</v>
      </c>
      <c r="B129" s="212" t="s">
        <v>389</v>
      </c>
      <c r="C129" s="233" t="s">
        <v>390</v>
      </c>
      <c r="D129" s="233" t="s">
        <v>151</v>
      </c>
      <c r="E129" s="212">
        <v>40450</v>
      </c>
      <c r="F129" s="212">
        <v>1976</v>
      </c>
      <c r="G129" s="212" t="s">
        <v>1723</v>
      </c>
      <c r="H129" s="212" t="s">
        <v>1724</v>
      </c>
      <c r="I129" s="212" t="s">
        <v>1783</v>
      </c>
      <c r="J129" s="212" t="s">
        <v>1744</v>
      </c>
      <c r="K129" s="212" t="s">
        <v>269</v>
      </c>
      <c r="L129" s="212" t="s">
        <v>1729</v>
      </c>
      <c r="M129" t="s">
        <v>1730</v>
      </c>
      <c r="N129" s="211">
        <v>-5.67</v>
      </c>
      <c r="O129" s="211">
        <v>-14.493</v>
      </c>
      <c r="P129" s="211" t="s">
        <v>487</v>
      </c>
      <c r="R129" s="211">
        <v>0</v>
      </c>
      <c r="S129" s="211" t="s">
        <v>1731</v>
      </c>
    </row>
    <row r="130" spans="1:20">
      <c r="A130" s="212" t="s">
        <v>218</v>
      </c>
      <c r="B130" s="212" t="s">
        <v>389</v>
      </c>
      <c r="C130" s="233" t="s">
        <v>390</v>
      </c>
      <c r="D130" s="233" t="s">
        <v>151</v>
      </c>
      <c r="E130" s="212">
        <v>40450</v>
      </c>
      <c r="F130" s="212">
        <v>2552</v>
      </c>
      <c r="G130" s="212" t="s">
        <v>1723</v>
      </c>
      <c r="H130" s="212" t="s">
        <v>1724</v>
      </c>
      <c r="I130" s="212" t="s">
        <v>1783</v>
      </c>
      <c r="J130" s="212" t="s">
        <v>104</v>
      </c>
      <c r="K130" s="212" t="s">
        <v>269</v>
      </c>
      <c r="L130" s="212" t="s">
        <v>1725</v>
      </c>
      <c r="M130" t="s">
        <v>1118</v>
      </c>
      <c r="N130" s="211">
        <v>-11.4</v>
      </c>
      <c r="O130" s="211">
        <v>-11.4</v>
      </c>
      <c r="P130" s="211">
        <v>9.6</v>
      </c>
      <c r="S130" s="211">
        <v>3.3</v>
      </c>
    </row>
    <row r="131" spans="1:20">
      <c r="A131" s="212" t="s">
        <v>218</v>
      </c>
      <c r="B131" s="212" t="s">
        <v>389</v>
      </c>
      <c r="C131" s="233" t="s">
        <v>390</v>
      </c>
      <c r="D131" s="233" t="s">
        <v>151</v>
      </c>
      <c r="E131" s="212">
        <v>40450</v>
      </c>
      <c r="F131" s="212">
        <v>2554</v>
      </c>
      <c r="G131" s="212" t="s">
        <v>1723</v>
      </c>
      <c r="H131" s="212" t="s">
        <v>1724</v>
      </c>
      <c r="I131" s="212" t="s">
        <v>1783</v>
      </c>
      <c r="J131" s="212" t="s">
        <v>104</v>
      </c>
      <c r="K131" s="212" t="s">
        <v>269</v>
      </c>
      <c r="L131" s="212" t="s">
        <v>1725</v>
      </c>
      <c r="M131" t="s">
        <v>1784</v>
      </c>
      <c r="N131" s="211">
        <v>-9.9</v>
      </c>
      <c r="O131" s="211">
        <v>-9.9</v>
      </c>
      <c r="P131" s="211">
        <v>9.1</v>
      </c>
      <c r="S131" s="211">
        <v>3</v>
      </c>
    </row>
    <row r="132" spans="1:20" ht="19">
      <c r="A132" s="212" t="s">
        <v>218</v>
      </c>
      <c r="B132" s="212" t="s">
        <v>389</v>
      </c>
      <c r="C132" s="233" t="s">
        <v>390</v>
      </c>
      <c r="D132" s="234" t="s">
        <v>151</v>
      </c>
      <c r="E132" s="212">
        <v>40450</v>
      </c>
      <c r="F132" s="212">
        <v>2560</v>
      </c>
      <c r="G132" s="212" t="s">
        <v>1723</v>
      </c>
      <c r="H132" s="212" t="s">
        <v>1724</v>
      </c>
      <c r="I132" s="212" t="s">
        <v>1783</v>
      </c>
      <c r="J132" s="212" t="s">
        <v>104</v>
      </c>
      <c r="K132" s="212" t="s">
        <v>269</v>
      </c>
      <c r="L132" s="227" t="s">
        <v>1725</v>
      </c>
      <c r="M132" t="s">
        <v>1755</v>
      </c>
      <c r="N132" s="211">
        <v>-14.1</v>
      </c>
      <c r="O132" s="211">
        <v>-14.1</v>
      </c>
      <c r="P132" s="211">
        <v>8.9</v>
      </c>
      <c r="S132" s="211">
        <v>3</v>
      </c>
    </row>
    <row r="133" spans="1:20" ht="19">
      <c r="A133" s="212" t="s">
        <v>218</v>
      </c>
      <c r="B133" s="212" t="s">
        <v>389</v>
      </c>
      <c r="C133" s="233" t="s">
        <v>390</v>
      </c>
      <c r="D133" s="234" t="s">
        <v>151</v>
      </c>
      <c r="E133" s="212">
        <v>40450</v>
      </c>
      <c r="F133" s="212">
        <v>2571</v>
      </c>
      <c r="G133" s="212" t="s">
        <v>1723</v>
      </c>
      <c r="H133" s="212" t="s">
        <v>1724</v>
      </c>
      <c r="I133" s="212" t="s">
        <v>1783</v>
      </c>
      <c r="J133" s="212" t="s">
        <v>104</v>
      </c>
      <c r="K133" s="212" t="s">
        <v>269</v>
      </c>
      <c r="L133" s="227" t="s">
        <v>1729</v>
      </c>
      <c r="M133" t="s">
        <v>186</v>
      </c>
      <c r="N133" s="211">
        <v>-2.6</v>
      </c>
      <c r="O133" s="211">
        <v>-11.423</v>
      </c>
      <c r="P133" s="211" t="s">
        <v>487</v>
      </c>
      <c r="R133" s="211">
        <v>-5.9</v>
      </c>
      <c r="S133" s="211" t="s">
        <v>1731</v>
      </c>
    </row>
    <row r="134" spans="1:20">
      <c r="A134" s="212" t="s">
        <v>218</v>
      </c>
      <c r="B134" s="212" t="s">
        <v>389</v>
      </c>
      <c r="C134" s="233" t="s">
        <v>390</v>
      </c>
      <c r="D134" s="233" t="s">
        <v>151</v>
      </c>
      <c r="E134" s="212">
        <v>41229</v>
      </c>
      <c r="F134" s="212">
        <v>7198</v>
      </c>
      <c r="G134" s="212" t="s">
        <v>1723</v>
      </c>
      <c r="H134" s="212" t="s">
        <v>1724</v>
      </c>
      <c r="I134" s="212" t="s">
        <v>1137</v>
      </c>
      <c r="J134" s="212" t="s">
        <v>1744</v>
      </c>
      <c r="K134" s="212" t="s">
        <v>269</v>
      </c>
      <c r="L134" s="212" t="s">
        <v>1725</v>
      </c>
      <c r="M134" t="s">
        <v>1738</v>
      </c>
      <c r="N134" s="211">
        <v>-14.8</v>
      </c>
      <c r="O134" s="211">
        <v>-14.8</v>
      </c>
      <c r="P134" s="211">
        <v>11.6</v>
      </c>
      <c r="S134" s="211">
        <v>3</v>
      </c>
    </row>
    <row r="135" spans="1:20" ht="19">
      <c r="A135" s="212" t="s">
        <v>218</v>
      </c>
      <c r="B135" s="212" t="s">
        <v>389</v>
      </c>
      <c r="C135" s="233" t="s">
        <v>390</v>
      </c>
      <c r="D135" s="234" t="s">
        <v>151</v>
      </c>
      <c r="E135" s="212">
        <v>41229</v>
      </c>
      <c r="F135" s="212">
        <v>10809</v>
      </c>
      <c r="G135" s="212" t="s">
        <v>1723</v>
      </c>
      <c r="H135" s="212" t="s">
        <v>1724</v>
      </c>
      <c r="I135" s="212" t="s">
        <v>1137</v>
      </c>
      <c r="J135" s="212" t="s">
        <v>1744</v>
      </c>
      <c r="K135" s="212" t="s">
        <v>269</v>
      </c>
      <c r="L135" s="227" t="s">
        <v>1725</v>
      </c>
      <c r="M135" t="s">
        <v>308</v>
      </c>
      <c r="N135" s="211">
        <v>-8.3000000000000007</v>
      </c>
      <c r="O135" s="211">
        <v>-8.3000000000000007</v>
      </c>
      <c r="P135" s="211">
        <v>9.6999999999999993</v>
      </c>
      <c r="S135" s="211">
        <v>2.8</v>
      </c>
    </row>
    <row r="136" spans="1:20" ht="19">
      <c r="A136" s="212" t="s">
        <v>218</v>
      </c>
      <c r="B136" s="212" t="s">
        <v>389</v>
      </c>
      <c r="C136" s="233" t="s">
        <v>390</v>
      </c>
      <c r="D136" s="234" t="s">
        <v>151</v>
      </c>
      <c r="E136" s="212">
        <v>41229</v>
      </c>
      <c r="F136" s="212">
        <v>11925</v>
      </c>
      <c r="G136" s="212" t="s">
        <v>1741</v>
      </c>
      <c r="H136" s="212" t="s">
        <v>1724</v>
      </c>
      <c r="I136" s="212" t="s">
        <v>1742</v>
      </c>
      <c r="J136" s="212" t="s">
        <v>1744</v>
      </c>
      <c r="K136" s="212" t="s">
        <v>269</v>
      </c>
      <c r="L136" s="227" t="s">
        <v>1725</v>
      </c>
      <c r="M136" t="s">
        <v>1785</v>
      </c>
      <c r="N136" s="211">
        <v>-11.2</v>
      </c>
      <c r="O136" s="211">
        <v>-11.2</v>
      </c>
      <c r="P136" s="211">
        <v>8.1999999999999993</v>
      </c>
      <c r="S136" s="211">
        <v>2.8</v>
      </c>
    </row>
    <row r="137" spans="1:20" ht="19">
      <c r="A137" s="212" t="s">
        <v>218</v>
      </c>
      <c r="B137" s="212" t="s">
        <v>389</v>
      </c>
      <c r="C137" s="233" t="s">
        <v>390</v>
      </c>
      <c r="D137" s="234" t="s">
        <v>151</v>
      </c>
      <c r="E137" s="212">
        <v>41229</v>
      </c>
      <c r="F137" s="212">
        <v>19786</v>
      </c>
      <c r="G137" s="212" t="s">
        <v>1741</v>
      </c>
      <c r="H137" s="212" t="s">
        <v>1724</v>
      </c>
      <c r="I137" s="212" t="s">
        <v>1742</v>
      </c>
      <c r="J137" s="212" t="s">
        <v>1744</v>
      </c>
      <c r="K137" s="212" t="s">
        <v>269</v>
      </c>
      <c r="L137" s="227" t="s">
        <v>1725</v>
      </c>
      <c r="M137" t="s">
        <v>308</v>
      </c>
      <c r="N137" s="211">
        <v>-11.96</v>
      </c>
      <c r="O137" s="211">
        <v>-12</v>
      </c>
      <c r="P137" s="211">
        <v>7.4</v>
      </c>
      <c r="S137" s="211">
        <v>2.8</v>
      </c>
    </row>
    <row r="138" spans="1:20">
      <c r="A138" s="212" t="s">
        <v>218</v>
      </c>
      <c r="B138" s="212" t="s">
        <v>389</v>
      </c>
      <c r="C138" s="233" t="s">
        <v>390</v>
      </c>
      <c r="D138" s="233" t="s">
        <v>151</v>
      </c>
      <c r="E138" s="212">
        <v>41229</v>
      </c>
      <c r="F138" s="212">
        <v>19787</v>
      </c>
      <c r="G138" s="212" t="s">
        <v>1741</v>
      </c>
      <c r="H138" s="212" t="s">
        <v>1724</v>
      </c>
      <c r="I138" s="212" t="s">
        <v>1742</v>
      </c>
      <c r="J138" s="212" t="s">
        <v>1744</v>
      </c>
      <c r="K138" s="212" t="s">
        <v>269</v>
      </c>
      <c r="L138" s="212" t="s">
        <v>1725</v>
      </c>
      <c r="M138" t="s">
        <v>308</v>
      </c>
      <c r="N138" s="211">
        <v>-12.27</v>
      </c>
      <c r="O138" s="211">
        <v>-12.3</v>
      </c>
      <c r="P138" s="211">
        <v>7.2</v>
      </c>
      <c r="S138" s="211">
        <v>2.8</v>
      </c>
    </row>
    <row r="139" spans="1:20">
      <c r="A139" s="212" t="s">
        <v>218</v>
      </c>
      <c r="B139" s="212" t="s">
        <v>389</v>
      </c>
      <c r="C139" s="233" t="s">
        <v>390</v>
      </c>
      <c r="D139" s="233" t="s">
        <v>151</v>
      </c>
      <c r="E139" s="212">
        <v>41229</v>
      </c>
      <c r="F139" s="212" t="s">
        <v>1599</v>
      </c>
      <c r="G139" s="212" t="s">
        <v>1723</v>
      </c>
      <c r="H139" s="212" t="s">
        <v>1724</v>
      </c>
      <c r="I139" s="212" t="s">
        <v>1137</v>
      </c>
      <c r="J139" s="212" t="s">
        <v>104</v>
      </c>
      <c r="K139" s="212" t="s">
        <v>269</v>
      </c>
      <c r="L139" s="212" t="s">
        <v>1725</v>
      </c>
      <c r="M139" t="s">
        <v>1786</v>
      </c>
      <c r="N139" s="211">
        <v>-11.3</v>
      </c>
      <c r="O139" s="211">
        <v>-11.3</v>
      </c>
      <c r="P139" s="211">
        <v>7.2</v>
      </c>
      <c r="S139" s="211">
        <v>2.8</v>
      </c>
    </row>
    <row r="140" spans="1:20">
      <c r="A140" s="212" t="s">
        <v>218</v>
      </c>
      <c r="B140" s="212" t="s">
        <v>389</v>
      </c>
      <c r="C140" s="233" t="s">
        <v>390</v>
      </c>
      <c r="D140" s="233" t="s">
        <v>151</v>
      </c>
      <c r="E140" s="212" t="s">
        <v>1771</v>
      </c>
      <c r="F140" s="212">
        <v>9789</v>
      </c>
      <c r="G140" s="212" t="s">
        <v>1723</v>
      </c>
      <c r="H140" s="212" t="s">
        <v>1724</v>
      </c>
      <c r="I140" s="212" t="s">
        <v>706</v>
      </c>
      <c r="J140" s="212" t="s">
        <v>104</v>
      </c>
      <c r="K140" s="212" t="s">
        <v>1768</v>
      </c>
      <c r="L140" s="212" t="s">
        <v>1729</v>
      </c>
      <c r="M140" t="s">
        <v>1730</v>
      </c>
      <c r="N140" s="211">
        <v>1.1000000000000001</v>
      </c>
      <c r="O140" s="211">
        <v>-7.7229999999999999</v>
      </c>
      <c r="P140" s="211" t="s">
        <v>487</v>
      </c>
      <c r="Q140" s="211">
        <v>25.2</v>
      </c>
      <c r="R140" s="211">
        <v>-5.5</v>
      </c>
      <c r="S140" s="211" t="s">
        <v>1731</v>
      </c>
    </row>
    <row r="141" spans="1:20">
      <c r="A141" s="212" t="s">
        <v>218</v>
      </c>
      <c r="B141" s="212" t="s">
        <v>389</v>
      </c>
      <c r="C141" s="233" t="s">
        <v>390</v>
      </c>
      <c r="D141" s="233" t="s">
        <v>151</v>
      </c>
      <c r="E141" s="212" t="s">
        <v>1771</v>
      </c>
      <c r="F141" s="212" t="s">
        <v>287</v>
      </c>
      <c r="G141" s="212" t="s">
        <v>1723</v>
      </c>
      <c r="H141" s="212" t="s">
        <v>1724</v>
      </c>
      <c r="I141" s="212" t="s">
        <v>706</v>
      </c>
      <c r="J141" s="212" t="s">
        <v>104</v>
      </c>
      <c r="K141" s="212" t="s">
        <v>1768</v>
      </c>
      <c r="L141" s="212" t="s">
        <v>1729</v>
      </c>
      <c r="M141" t="s">
        <v>1730</v>
      </c>
      <c r="N141" s="211">
        <v>-1.3</v>
      </c>
      <c r="O141" s="211">
        <v>-10.122999999999999</v>
      </c>
      <c r="P141" s="211" t="s">
        <v>487</v>
      </c>
      <c r="Q141" s="211">
        <v>28</v>
      </c>
      <c r="R141" s="211">
        <v>-2.8</v>
      </c>
      <c r="S141" s="211" t="s">
        <v>1731</v>
      </c>
    </row>
    <row r="142" spans="1:20">
      <c r="A142" s="212" t="s">
        <v>218</v>
      </c>
      <c r="B142" s="212" t="s">
        <v>389</v>
      </c>
      <c r="C142" s="233" t="s">
        <v>390</v>
      </c>
      <c r="D142" s="233" t="s">
        <v>151</v>
      </c>
      <c r="E142" s="212" t="s">
        <v>1771</v>
      </c>
      <c r="F142" s="212" t="s">
        <v>287</v>
      </c>
      <c r="G142" s="212" t="s">
        <v>1723</v>
      </c>
      <c r="H142" s="212" t="s">
        <v>1724</v>
      </c>
      <c r="I142" s="212" t="s">
        <v>706</v>
      </c>
      <c r="J142" s="212" t="s">
        <v>104</v>
      </c>
      <c r="K142" s="212" t="s">
        <v>1768</v>
      </c>
      <c r="L142" s="212" t="s">
        <v>1729</v>
      </c>
      <c r="M142" t="s">
        <v>1730</v>
      </c>
      <c r="N142" s="211">
        <v>0.4</v>
      </c>
      <c r="O142" s="211">
        <v>-8.423</v>
      </c>
      <c r="P142" s="211" t="s">
        <v>487</v>
      </c>
      <c r="Q142" s="211">
        <v>26.2</v>
      </c>
      <c r="R142" s="211">
        <v>-4.5</v>
      </c>
      <c r="S142" s="211" t="s">
        <v>1731</v>
      </c>
      <c r="T142" s="211"/>
    </row>
    <row r="143" spans="1:20">
      <c r="A143" s="212" t="s">
        <v>218</v>
      </c>
      <c r="B143" s="212" t="s">
        <v>389</v>
      </c>
      <c r="C143" s="233" t="s">
        <v>390</v>
      </c>
      <c r="D143" s="233" t="s">
        <v>151</v>
      </c>
      <c r="E143" s="212" t="s">
        <v>1771</v>
      </c>
      <c r="F143" s="212" t="s">
        <v>287</v>
      </c>
      <c r="G143" s="212" t="s">
        <v>1723</v>
      </c>
      <c r="H143" s="212" t="s">
        <v>1724</v>
      </c>
      <c r="I143" s="212" t="s">
        <v>706</v>
      </c>
      <c r="J143" s="212" t="s">
        <v>104</v>
      </c>
      <c r="K143" s="212" t="s">
        <v>1768</v>
      </c>
      <c r="L143" s="212" t="s">
        <v>1729</v>
      </c>
      <c r="M143" t="s">
        <v>1730</v>
      </c>
      <c r="N143" s="211">
        <v>0.9</v>
      </c>
      <c r="O143" s="211">
        <v>-7.923</v>
      </c>
      <c r="P143" s="211" t="s">
        <v>487</v>
      </c>
      <c r="Q143" s="211">
        <v>29.7</v>
      </c>
      <c r="R143" s="211">
        <v>-1.1000000000000001</v>
      </c>
      <c r="S143" s="211" t="s">
        <v>1731</v>
      </c>
    </row>
    <row r="144" spans="1:20">
      <c r="A144" s="212" t="s">
        <v>218</v>
      </c>
      <c r="B144" s="212" t="s">
        <v>389</v>
      </c>
      <c r="C144" s="233" t="s">
        <v>390</v>
      </c>
      <c r="D144" s="233" t="s">
        <v>151</v>
      </c>
      <c r="E144" s="212" t="s">
        <v>1773</v>
      </c>
      <c r="F144" s="212">
        <v>2825</v>
      </c>
      <c r="G144" s="212" t="s">
        <v>1723</v>
      </c>
      <c r="H144" s="212" t="s">
        <v>1724</v>
      </c>
      <c r="I144" s="212" t="s">
        <v>1787</v>
      </c>
      <c r="J144" s="212" t="s">
        <v>104</v>
      </c>
      <c r="K144" s="212" t="s">
        <v>1768</v>
      </c>
      <c r="L144" s="212" t="s">
        <v>1729</v>
      </c>
      <c r="M144" t="s">
        <v>1775</v>
      </c>
      <c r="N144" s="211">
        <v>2.79</v>
      </c>
      <c r="O144" s="211">
        <v>-6.0330000000000004</v>
      </c>
      <c r="P144" s="211" t="s">
        <v>487</v>
      </c>
      <c r="Q144" s="211">
        <v>30.8</v>
      </c>
      <c r="R144" s="211">
        <v>0</v>
      </c>
      <c r="S144" s="211" t="s">
        <v>1731</v>
      </c>
    </row>
    <row r="145" spans="1:21">
      <c r="A145" s="212" t="s">
        <v>218</v>
      </c>
      <c r="B145" s="212" t="s">
        <v>389</v>
      </c>
      <c r="C145" s="233" t="s">
        <v>390</v>
      </c>
      <c r="D145" s="233" t="s">
        <v>151</v>
      </c>
      <c r="E145" s="212" t="s">
        <v>1776</v>
      </c>
      <c r="F145" s="212">
        <v>60178</v>
      </c>
      <c r="G145" s="212" t="s">
        <v>1723</v>
      </c>
      <c r="H145" s="212" t="s">
        <v>1724</v>
      </c>
      <c r="I145" s="212" t="s">
        <v>1788</v>
      </c>
      <c r="J145" s="212" t="s">
        <v>104</v>
      </c>
      <c r="K145" s="212" t="s">
        <v>1768</v>
      </c>
      <c r="L145" s="212" t="s">
        <v>1729</v>
      </c>
      <c r="M145" t="s">
        <v>1789</v>
      </c>
      <c r="N145" s="211">
        <v>-2.06</v>
      </c>
      <c r="O145" s="211">
        <v>-10.882999999999999</v>
      </c>
      <c r="P145" s="211" t="s">
        <v>487</v>
      </c>
      <c r="Q145" s="211">
        <v>27.9</v>
      </c>
      <c r="R145" s="211">
        <v>-2.8</v>
      </c>
      <c r="S145" s="211" t="s">
        <v>1731</v>
      </c>
    </row>
    <row r="146" spans="1:21" ht="19">
      <c r="A146" s="212" t="s">
        <v>218</v>
      </c>
      <c r="B146" s="212" t="s">
        <v>389</v>
      </c>
      <c r="C146" s="233" t="s">
        <v>390</v>
      </c>
      <c r="D146" s="234" t="s">
        <v>151</v>
      </c>
      <c r="E146" s="212" t="s">
        <v>1776</v>
      </c>
      <c r="F146" s="212">
        <v>60608</v>
      </c>
      <c r="G146" s="212" t="s">
        <v>1723</v>
      </c>
      <c r="H146" s="212" t="s">
        <v>1724</v>
      </c>
      <c r="I146" s="212" t="s">
        <v>1788</v>
      </c>
      <c r="J146" s="212" t="s">
        <v>104</v>
      </c>
      <c r="K146" s="212" t="s">
        <v>1768</v>
      </c>
      <c r="L146" s="227" t="s">
        <v>1729</v>
      </c>
      <c r="M146" t="s">
        <v>186</v>
      </c>
      <c r="N146" s="211">
        <v>-3.39</v>
      </c>
      <c r="O146" s="211">
        <v>-12.212999999999999</v>
      </c>
      <c r="P146" s="211" t="s">
        <v>487</v>
      </c>
      <c r="Q146" s="211">
        <v>26.2</v>
      </c>
      <c r="R146" s="211">
        <v>-4.5</v>
      </c>
      <c r="S146" s="211" t="s">
        <v>1731</v>
      </c>
    </row>
    <row r="147" spans="1:21" ht="19">
      <c r="A147" s="212" t="s">
        <v>218</v>
      </c>
      <c r="B147" s="212" t="s">
        <v>389</v>
      </c>
      <c r="C147" s="233" t="s">
        <v>390</v>
      </c>
      <c r="D147" s="234" t="s">
        <v>151</v>
      </c>
      <c r="E147" s="212" t="s">
        <v>1776</v>
      </c>
      <c r="F147" s="212">
        <v>60849</v>
      </c>
      <c r="G147" s="212" t="s">
        <v>1723</v>
      </c>
      <c r="H147" s="212" t="s">
        <v>1724</v>
      </c>
      <c r="I147" s="212" t="s">
        <v>1788</v>
      </c>
      <c r="J147" s="212" t="s">
        <v>104</v>
      </c>
      <c r="K147" s="212" t="s">
        <v>1768</v>
      </c>
      <c r="L147" s="227" t="s">
        <v>1729</v>
      </c>
      <c r="M147" t="s">
        <v>1775</v>
      </c>
      <c r="N147" s="211">
        <v>-1.28</v>
      </c>
      <c r="O147" s="211">
        <v>-10.103</v>
      </c>
      <c r="P147" s="211" t="s">
        <v>487</v>
      </c>
      <c r="Q147" s="211">
        <v>28.4</v>
      </c>
      <c r="R147" s="211">
        <v>-2.4</v>
      </c>
      <c r="S147" s="211" t="s">
        <v>1731</v>
      </c>
    </row>
    <row r="148" spans="1:21" ht="19">
      <c r="A148" s="212" t="s">
        <v>218</v>
      </c>
      <c r="B148" s="212" t="s">
        <v>389</v>
      </c>
      <c r="C148" s="233" t="s">
        <v>390</v>
      </c>
      <c r="D148" s="234" t="s">
        <v>151</v>
      </c>
      <c r="E148" s="212">
        <v>892</v>
      </c>
      <c r="F148" s="212">
        <v>270</v>
      </c>
      <c r="G148" s="212" t="s">
        <v>1723</v>
      </c>
      <c r="H148" s="212" t="s">
        <v>1724</v>
      </c>
      <c r="I148" s="212" t="s">
        <v>276</v>
      </c>
      <c r="J148" s="212" t="s">
        <v>104</v>
      </c>
      <c r="K148" s="212" t="s">
        <v>269</v>
      </c>
      <c r="L148" s="227" t="s">
        <v>1725</v>
      </c>
      <c r="M148" t="s">
        <v>1750</v>
      </c>
      <c r="N148" s="211">
        <v>-28</v>
      </c>
      <c r="O148" s="211" t="s">
        <v>1731</v>
      </c>
      <c r="P148" s="211" t="s">
        <v>463</v>
      </c>
      <c r="S148" s="211" t="s">
        <v>1731</v>
      </c>
    </row>
    <row r="149" spans="1:21" ht="19">
      <c r="A149" s="212" t="s">
        <v>218</v>
      </c>
      <c r="B149" s="212" t="s">
        <v>389</v>
      </c>
      <c r="C149" s="233" t="s">
        <v>390</v>
      </c>
      <c r="D149" s="234" t="s">
        <v>151</v>
      </c>
      <c r="E149" s="212">
        <v>937</v>
      </c>
      <c r="F149" s="212">
        <v>589</v>
      </c>
      <c r="G149" s="212" t="s">
        <v>1723</v>
      </c>
      <c r="H149" s="212" t="s">
        <v>1724</v>
      </c>
      <c r="I149" s="212" t="s">
        <v>706</v>
      </c>
      <c r="J149" s="212" t="s">
        <v>104</v>
      </c>
      <c r="K149" s="212" t="s">
        <v>269</v>
      </c>
      <c r="L149" s="227" t="s">
        <v>1725</v>
      </c>
      <c r="M149" t="s">
        <v>205</v>
      </c>
      <c r="N149" s="211">
        <v>-27.8</v>
      </c>
      <c r="O149" s="211" t="s">
        <v>1731</v>
      </c>
      <c r="P149" s="211" t="s">
        <v>463</v>
      </c>
      <c r="S149" s="211" t="s">
        <v>1731</v>
      </c>
    </row>
    <row r="150" spans="1:21" ht="19">
      <c r="A150" s="212" t="s">
        <v>218</v>
      </c>
      <c r="B150" s="212" t="s">
        <v>389</v>
      </c>
      <c r="C150" s="233" t="s">
        <v>390</v>
      </c>
      <c r="D150" s="234" t="s">
        <v>151</v>
      </c>
      <c r="E150" s="212">
        <v>892</v>
      </c>
      <c r="F150" s="212">
        <v>484</v>
      </c>
      <c r="G150" s="212" t="s">
        <v>1723</v>
      </c>
      <c r="H150" s="212" t="s">
        <v>1724</v>
      </c>
      <c r="I150" s="212" t="s">
        <v>276</v>
      </c>
      <c r="J150" s="212" t="s">
        <v>104</v>
      </c>
      <c r="K150" s="212" t="s">
        <v>269</v>
      </c>
      <c r="L150" s="227" t="s">
        <v>1725</v>
      </c>
      <c r="M150" t="s">
        <v>1750</v>
      </c>
      <c r="N150" s="211">
        <v>-27.3</v>
      </c>
      <c r="O150" s="211" t="s">
        <v>1731</v>
      </c>
      <c r="P150" s="211" t="s">
        <v>463</v>
      </c>
      <c r="S150" s="211">
        <v>24.1</v>
      </c>
      <c r="U150" s="212" t="s">
        <v>1743</v>
      </c>
    </row>
    <row r="151" spans="1:21" ht="19">
      <c r="A151" s="212" t="s">
        <v>218</v>
      </c>
      <c r="B151" s="212" t="s">
        <v>389</v>
      </c>
      <c r="C151" s="233" t="s">
        <v>390</v>
      </c>
      <c r="D151" s="234" t="s">
        <v>151</v>
      </c>
      <c r="E151" s="212">
        <v>30967</v>
      </c>
      <c r="F151" s="212">
        <v>94</v>
      </c>
      <c r="G151" s="212" t="s">
        <v>1723</v>
      </c>
      <c r="H151" s="212" t="s">
        <v>1724</v>
      </c>
      <c r="I151" s="212" t="s">
        <v>110</v>
      </c>
      <c r="J151" s="212" t="s">
        <v>104</v>
      </c>
      <c r="K151" s="212" t="s">
        <v>269</v>
      </c>
      <c r="L151" s="227" t="s">
        <v>1725</v>
      </c>
      <c r="M151" t="s">
        <v>1726</v>
      </c>
      <c r="N151" s="211">
        <v>-26.4</v>
      </c>
      <c r="O151" s="211" t="s">
        <v>1731</v>
      </c>
      <c r="P151" s="211">
        <v>4.4000000000000004</v>
      </c>
      <c r="S151" s="211">
        <v>7.8</v>
      </c>
    </row>
    <row r="152" spans="1:21" ht="19">
      <c r="A152" s="212" t="s">
        <v>218</v>
      </c>
      <c r="B152" s="212" t="s">
        <v>389</v>
      </c>
      <c r="C152" s="233" t="s">
        <v>390</v>
      </c>
      <c r="D152" s="234" t="s">
        <v>151</v>
      </c>
      <c r="E152" s="212">
        <v>1018</v>
      </c>
      <c r="F152" s="212">
        <v>69</v>
      </c>
      <c r="G152" s="212" t="s">
        <v>1723</v>
      </c>
      <c r="H152" s="212" t="s">
        <v>1724</v>
      </c>
      <c r="I152" s="212" t="s">
        <v>779</v>
      </c>
      <c r="J152" s="212" t="s">
        <v>104</v>
      </c>
      <c r="K152" s="212" t="s">
        <v>269</v>
      </c>
      <c r="L152" s="227" t="s">
        <v>1725</v>
      </c>
      <c r="M152" t="s">
        <v>1738</v>
      </c>
      <c r="N152" s="211">
        <v>-12.3</v>
      </c>
      <c r="O152" s="211">
        <v>-12.3</v>
      </c>
      <c r="P152" s="211">
        <v>6.5</v>
      </c>
      <c r="S152" s="211">
        <v>3.4</v>
      </c>
    </row>
    <row r="153" spans="1:21" ht="19">
      <c r="A153" s="212" t="s">
        <v>218</v>
      </c>
      <c r="B153" s="212" t="s">
        <v>389</v>
      </c>
      <c r="C153" s="233" t="s">
        <v>1790</v>
      </c>
      <c r="D153" s="234" t="s">
        <v>151</v>
      </c>
      <c r="E153" s="212">
        <v>30839</v>
      </c>
      <c r="F153" s="212">
        <v>111</v>
      </c>
      <c r="G153" s="212" t="s">
        <v>1723</v>
      </c>
      <c r="H153" s="212" t="s">
        <v>1724</v>
      </c>
      <c r="I153" s="212" t="s">
        <v>1791</v>
      </c>
      <c r="J153" s="212" t="s">
        <v>104</v>
      </c>
      <c r="K153" s="227" t="s">
        <v>269</v>
      </c>
      <c r="L153" s="227" t="s">
        <v>1725</v>
      </c>
      <c r="M153" t="s">
        <v>1750</v>
      </c>
      <c r="N153" s="211">
        <v>-11.79</v>
      </c>
      <c r="O153" s="211">
        <v>-11.8</v>
      </c>
      <c r="P153" s="211">
        <v>9.6</v>
      </c>
      <c r="S153" s="211">
        <v>3.1</v>
      </c>
    </row>
    <row r="154" spans="1:21" ht="19">
      <c r="A154" s="212" t="s">
        <v>218</v>
      </c>
      <c r="B154" s="212" t="s">
        <v>389</v>
      </c>
      <c r="C154" s="233" t="s">
        <v>1790</v>
      </c>
      <c r="D154" s="234" t="s">
        <v>151</v>
      </c>
      <c r="E154" s="212">
        <v>41229</v>
      </c>
      <c r="F154" s="212">
        <v>12138</v>
      </c>
      <c r="G154" s="212" t="s">
        <v>1723</v>
      </c>
      <c r="H154" s="212" t="s">
        <v>1724</v>
      </c>
      <c r="I154" s="212" t="s">
        <v>1137</v>
      </c>
      <c r="J154" s="212" t="s">
        <v>1744</v>
      </c>
      <c r="K154" s="227" t="s">
        <v>269</v>
      </c>
      <c r="L154" s="227" t="s">
        <v>1725</v>
      </c>
      <c r="M154" t="s">
        <v>1784</v>
      </c>
      <c r="N154" s="211">
        <v>-10.73</v>
      </c>
      <c r="O154" s="211">
        <v>-10.7</v>
      </c>
      <c r="P154" s="211">
        <v>10.6</v>
      </c>
      <c r="S154" s="211">
        <v>2.8</v>
      </c>
    </row>
    <row r="155" spans="1:21">
      <c r="A155" s="212" t="s">
        <v>218</v>
      </c>
      <c r="B155" s="212" t="s">
        <v>202</v>
      </c>
      <c r="C155" s="233" t="s">
        <v>203</v>
      </c>
      <c r="D155" s="233" t="s">
        <v>204</v>
      </c>
      <c r="E155" s="212">
        <v>933</v>
      </c>
      <c r="F155" s="212">
        <v>1922</v>
      </c>
      <c r="G155" s="212" t="s">
        <v>1723</v>
      </c>
      <c r="H155" s="212" t="s">
        <v>1724</v>
      </c>
      <c r="I155" s="212" t="s">
        <v>249</v>
      </c>
      <c r="J155" s="212" t="s">
        <v>104</v>
      </c>
      <c r="K155" s="212" t="s">
        <v>269</v>
      </c>
      <c r="L155" s="227" t="s">
        <v>1729</v>
      </c>
      <c r="M155" t="s">
        <v>1734</v>
      </c>
      <c r="N155" s="211">
        <v>-7.2</v>
      </c>
      <c r="O155" s="211">
        <v>-16.023</v>
      </c>
      <c r="P155" s="211" t="s">
        <v>487</v>
      </c>
      <c r="R155" s="211">
        <v>0</v>
      </c>
      <c r="S155" s="211" t="s">
        <v>1731</v>
      </c>
    </row>
    <row r="156" spans="1:21">
      <c r="A156" s="212" t="s">
        <v>218</v>
      </c>
      <c r="B156" s="212" t="s">
        <v>202</v>
      </c>
      <c r="C156" s="233" t="s">
        <v>203</v>
      </c>
      <c r="D156" s="233" t="s">
        <v>204</v>
      </c>
      <c r="E156" s="212">
        <v>30967</v>
      </c>
      <c r="F156" s="212">
        <v>290</v>
      </c>
      <c r="G156" s="212" t="s">
        <v>1723</v>
      </c>
      <c r="H156" s="212" t="s">
        <v>1724</v>
      </c>
      <c r="I156" s="212" t="s">
        <v>110</v>
      </c>
      <c r="J156" s="212" t="s">
        <v>104</v>
      </c>
      <c r="K156" s="212" t="s">
        <v>269</v>
      </c>
      <c r="L156" s="227" t="s">
        <v>1729</v>
      </c>
      <c r="M156" t="s">
        <v>186</v>
      </c>
      <c r="N156" s="211">
        <v>-10.9</v>
      </c>
      <c r="O156" s="211">
        <v>-19.722999999999999</v>
      </c>
      <c r="P156" s="211" t="s">
        <v>487</v>
      </c>
      <c r="Q156" s="211">
        <v>29.5</v>
      </c>
      <c r="R156" s="211">
        <v>-1.3</v>
      </c>
      <c r="S156" s="211" t="s">
        <v>1731</v>
      </c>
    </row>
    <row r="157" spans="1:21">
      <c r="A157" s="212" t="s">
        <v>218</v>
      </c>
      <c r="B157" s="212" t="s">
        <v>202</v>
      </c>
      <c r="C157" s="233" t="s">
        <v>203</v>
      </c>
      <c r="D157" s="233" t="s">
        <v>204</v>
      </c>
      <c r="E157" s="212">
        <v>30967</v>
      </c>
      <c r="F157" s="212">
        <v>915</v>
      </c>
      <c r="G157" s="212" t="s">
        <v>1723</v>
      </c>
      <c r="H157" s="212" t="s">
        <v>1724</v>
      </c>
      <c r="I157" s="212" t="s">
        <v>110</v>
      </c>
      <c r="J157" s="212" t="s">
        <v>104</v>
      </c>
      <c r="K157" s="227" t="s">
        <v>269</v>
      </c>
      <c r="L157" s="227" t="s">
        <v>1729</v>
      </c>
      <c r="M157" t="s">
        <v>1747</v>
      </c>
      <c r="N157" s="211">
        <v>-12</v>
      </c>
      <c r="O157" s="211">
        <v>-20.823</v>
      </c>
      <c r="P157" s="211" t="s">
        <v>487</v>
      </c>
      <c r="Q157" s="211">
        <v>29.2</v>
      </c>
      <c r="R157" s="211">
        <v>-1.6</v>
      </c>
      <c r="S157" s="211" t="s">
        <v>1731</v>
      </c>
    </row>
    <row r="158" spans="1:21">
      <c r="A158" s="212" t="s">
        <v>218</v>
      </c>
      <c r="B158" s="212" t="s">
        <v>202</v>
      </c>
      <c r="C158" s="233" t="s">
        <v>203</v>
      </c>
      <c r="D158" s="233" t="s">
        <v>204</v>
      </c>
      <c r="E158" s="212" t="s">
        <v>1792</v>
      </c>
      <c r="F158" s="212" t="s">
        <v>1793</v>
      </c>
      <c r="G158" s="212" t="s">
        <v>1723</v>
      </c>
      <c r="H158" s="212" t="s">
        <v>1724</v>
      </c>
      <c r="I158" s="212" t="s">
        <v>990</v>
      </c>
      <c r="J158" s="212" t="s">
        <v>104</v>
      </c>
      <c r="K158" s="227" t="s">
        <v>269</v>
      </c>
      <c r="L158" s="227" t="s">
        <v>1729</v>
      </c>
      <c r="M158" t="s">
        <v>186</v>
      </c>
      <c r="N158" s="211">
        <v>-9.49</v>
      </c>
      <c r="O158" s="211">
        <v>-18.312999999999999</v>
      </c>
      <c r="P158" s="211" t="s">
        <v>487</v>
      </c>
      <c r="Q158" s="211">
        <v>30</v>
      </c>
      <c r="R158" s="211">
        <v>-0.8</v>
      </c>
      <c r="S158" s="211" t="s">
        <v>1731</v>
      </c>
    </row>
    <row r="159" spans="1:21" ht="19">
      <c r="A159" s="212" t="s">
        <v>218</v>
      </c>
      <c r="B159" s="212" t="s">
        <v>202</v>
      </c>
      <c r="C159" s="233" t="s">
        <v>203</v>
      </c>
      <c r="D159" s="234" t="s">
        <v>204</v>
      </c>
      <c r="E159" s="212">
        <v>908</v>
      </c>
      <c r="F159" s="212">
        <v>2391</v>
      </c>
      <c r="G159" s="212" t="s">
        <v>1723</v>
      </c>
      <c r="H159" s="212" t="s">
        <v>1724</v>
      </c>
      <c r="I159" s="212" t="s">
        <v>250</v>
      </c>
      <c r="J159" s="212" t="s">
        <v>104</v>
      </c>
      <c r="K159" s="227" t="s">
        <v>269</v>
      </c>
      <c r="L159" s="227" t="s">
        <v>1725</v>
      </c>
      <c r="M159" t="s">
        <v>1794</v>
      </c>
      <c r="N159" s="211">
        <v>-27.9</v>
      </c>
      <c r="O159" s="211" t="s">
        <v>1731</v>
      </c>
      <c r="P159" s="211" t="s">
        <v>463</v>
      </c>
      <c r="S159" s="211" t="s">
        <v>1731</v>
      </c>
    </row>
    <row r="160" spans="1:21" ht="19">
      <c r="A160" s="212" t="s">
        <v>218</v>
      </c>
      <c r="B160" s="212" t="s">
        <v>202</v>
      </c>
      <c r="C160" s="233" t="s">
        <v>203</v>
      </c>
      <c r="D160" s="234" t="s">
        <v>204</v>
      </c>
      <c r="E160" s="212">
        <v>30967</v>
      </c>
      <c r="F160" s="212">
        <v>1599</v>
      </c>
      <c r="G160" s="212" t="s">
        <v>1723</v>
      </c>
      <c r="H160" s="212" t="s">
        <v>1724</v>
      </c>
      <c r="I160" s="212" t="s">
        <v>110</v>
      </c>
      <c r="J160" s="212" t="s">
        <v>104</v>
      </c>
      <c r="K160" s="227" t="s">
        <v>269</v>
      </c>
      <c r="L160" s="227" t="s">
        <v>1725</v>
      </c>
      <c r="M160" t="s">
        <v>1750</v>
      </c>
      <c r="N160" s="211">
        <v>-27.3</v>
      </c>
      <c r="O160" s="211" t="s">
        <v>1731</v>
      </c>
      <c r="P160" s="211" t="s">
        <v>463</v>
      </c>
      <c r="S160" s="211">
        <v>53.4</v>
      </c>
      <c r="U160" s="212" t="s">
        <v>1743</v>
      </c>
    </row>
    <row r="161" spans="1:21" ht="19">
      <c r="A161" s="212" t="s">
        <v>218</v>
      </c>
      <c r="B161" s="212" t="s">
        <v>202</v>
      </c>
      <c r="C161" s="233" t="s">
        <v>203</v>
      </c>
      <c r="D161" s="234" t="s">
        <v>204</v>
      </c>
      <c r="E161" s="212">
        <v>30967</v>
      </c>
      <c r="F161" s="212">
        <v>1595</v>
      </c>
      <c r="G161" s="212" t="s">
        <v>1723</v>
      </c>
      <c r="H161" s="212" t="s">
        <v>1724</v>
      </c>
      <c r="I161" s="212" t="s">
        <v>110</v>
      </c>
      <c r="J161" s="212" t="s">
        <v>104</v>
      </c>
      <c r="K161" s="227" t="s">
        <v>269</v>
      </c>
      <c r="L161" s="227" t="s">
        <v>1725</v>
      </c>
      <c r="M161" t="s">
        <v>205</v>
      </c>
      <c r="N161" s="211">
        <v>-24.9</v>
      </c>
      <c r="O161" s="211" t="s">
        <v>1731</v>
      </c>
      <c r="P161" s="211" t="s">
        <v>463</v>
      </c>
      <c r="S161" s="211">
        <v>5.4</v>
      </c>
      <c r="U161" s="212" t="s">
        <v>1743</v>
      </c>
    </row>
    <row r="162" spans="1:21" ht="19">
      <c r="A162" s="212" t="s">
        <v>218</v>
      </c>
      <c r="B162" s="212" t="s">
        <v>202</v>
      </c>
      <c r="C162" s="233" t="s">
        <v>203</v>
      </c>
      <c r="D162" s="234" t="s">
        <v>204</v>
      </c>
      <c r="E162" s="212">
        <v>908</v>
      </c>
      <c r="F162" s="212">
        <v>2393</v>
      </c>
      <c r="G162" s="212" t="s">
        <v>1723</v>
      </c>
      <c r="H162" s="212" t="s">
        <v>1724</v>
      </c>
      <c r="I162" s="212" t="s">
        <v>250</v>
      </c>
      <c r="J162" s="212" t="s">
        <v>104</v>
      </c>
      <c r="K162" s="227" t="s">
        <v>269</v>
      </c>
      <c r="L162" s="227" t="s">
        <v>1725</v>
      </c>
      <c r="M162" t="s">
        <v>1795</v>
      </c>
      <c r="N162" s="211" t="s">
        <v>463</v>
      </c>
      <c r="O162" s="211" t="s">
        <v>1731</v>
      </c>
      <c r="P162" s="211" t="s">
        <v>463</v>
      </c>
      <c r="S162" s="211" t="s">
        <v>1731</v>
      </c>
    </row>
    <row r="163" spans="1:21" ht="19">
      <c r="A163" s="212" t="s">
        <v>218</v>
      </c>
      <c r="B163" s="212" t="s">
        <v>202</v>
      </c>
      <c r="C163" s="233" t="s">
        <v>203</v>
      </c>
      <c r="D163" s="234" t="s">
        <v>1796</v>
      </c>
      <c r="E163" s="212">
        <v>177</v>
      </c>
      <c r="F163" s="212" t="s">
        <v>1793</v>
      </c>
      <c r="G163" s="212" t="s">
        <v>1723</v>
      </c>
      <c r="H163" s="212" t="s">
        <v>1724</v>
      </c>
      <c r="I163" s="212" t="s">
        <v>1797</v>
      </c>
      <c r="J163" s="212" t="s">
        <v>104</v>
      </c>
      <c r="K163" s="227" t="s">
        <v>269</v>
      </c>
      <c r="L163" s="227" t="s">
        <v>1729</v>
      </c>
      <c r="M163" t="s">
        <v>186</v>
      </c>
      <c r="N163" s="211">
        <v>-1.75</v>
      </c>
      <c r="O163" s="211">
        <v>-10.573</v>
      </c>
      <c r="P163" s="211" t="s">
        <v>487</v>
      </c>
      <c r="R163" s="211">
        <v>-3.3</v>
      </c>
      <c r="S163" s="211" t="s">
        <v>1731</v>
      </c>
    </row>
    <row r="164" spans="1:21" ht="19">
      <c r="A164" s="212" t="s">
        <v>218</v>
      </c>
      <c r="B164" s="212" t="s">
        <v>202</v>
      </c>
      <c r="C164" s="233" t="s">
        <v>203</v>
      </c>
      <c r="D164" s="234" t="s">
        <v>1796</v>
      </c>
      <c r="E164" s="212">
        <v>908</v>
      </c>
      <c r="F164" s="212">
        <v>2373</v>
      </c>
      <c r="G164" s="212" t="s">
        <v>1723</v>
      </c>
      <c r="H164" s="212" t="s">
        <v>1724</v>
      </c>
      <c r="I164" s="212" t="s">
        <v>250</v>
      </c>
      <c r="J164" s="212" t="s">
        <v>104</v>
      </c>
      <c r="K164" s="227" t="s">
        <v>269</v>
      </c>
      <c r="L164" s="227" t="s">
        <v>1729</v>
      </c>
      <c r="M164" t="s">
        <v>1730</v>
      </c>
      <c r="N164" s="211">
        <v>-9.2899999999999991</v>
      </c>
      <c r="O164" s="211">
        <v>-18.113</v>
      </c>
      <c r="P164" s="211" t="s">
        <v>487</v>
      </c>
      <c r="Q164" s="211">
        <v>31.3</v>
      </c>
      <c r="R164" s="211">
        <v>0.4</v>
      </c>
      <c r="S164" s="211" t="s">
        <v>1731</v>
      </c>
    </row>
    <row r="165" spans="1:21" ht="19">
      <c r="A165" s="212" t="s">
        <v>218</v>
      </c>
      <c r="B165" s="212" t="s">
        <v>202</v>
      </c>
      <c r="C165" s="233" t="s">
        <v>203</v>
      </c>
      <c r="D165" s="234" t="s">
        <v>1796</v>
      </c>
      <c r="E165" s="212">
        <v>908</v>
      </c>
      <c r="F165" s="212">
        <v>2382</v>
      </c>
      <c r="G165" s="212" t="s">
        <v>1723</v>
      </c>
      <c r="H165" s="212" t="s">
        <v>1724</v>
      </c>
      <c r="I165" s="212" t="s">
        <v>250</v>
      </c>
      <c r="J165" s="212" t="s">
        <v>104</v>
      </c>
      <c r="K165" s="227" t="s">
        <v>269</v>
      </c>
      <c r="L165" s="227" t="s">
        <v>1729</v>
      </c>
      <c r="M165" t="s">
        <v>1730</v>
      </c>
      <c r="N165" s="211">
        <v>-7.89</v>
      </c>
      <c r="O165" s="211">
        <v>-16.713000000000001</v>
      </c>
      <c r="P165" s="211" t="s">
        <v>487</v>
      </c>
      <c r="Q165" s="211">
        <v>29.7</v>
      </c>
      <c r="R165" s="211">
        <v>-1.1000000000000001</v>
      </c>
      <c r="S165" s="211" t="s">
        <v>1731</v>
      </c>
    </row>
    <row r="166" spans="1:21" ht="19">
      <c r="A166" s="212" t="s">
        <v>218</v>
      </c>
      <c r="B166" s="212" t="s">
        <v>202</v>
      </c>
      <c r="C166" s="233" t="s">
        <v>203</v>
      </c>
      <c r="D166" s="234" t="s">
        <v>1796</v>
      </c>
      <c r="E166" s="212">
        <v>908</v>
      </c>
      <c r="F166" s="212">
        <v>2407</v>
      </c>
      <c r="G166" s="212" t="s">
        <v>1723</v>
      </c>
      <c r="H166" s="212" t="s">
        <v>1724</v>
      </c>
      <c r="I166" s="212" t="s">
        <v>250</v>
      </c>
      <c r="J166" s="212" t="s">
        <v>104</v>
      </c>
      <c r="K166" s="227" t="s">
        <v>269</v>
      </c>
      <c r="L166" s="227" t="s">
        <v>1729</v>
      </c>
      <c r="M166" t="s">
        <v>1730</v>
      </c>
      <c r="N166" s="211">
        <v>-8.65</v>
      </c>
      <c r="O166" s="211">
        <v>-17.472999999999999</v>
      </c>
      <c r="P166" s="211" t="s">
        <v>487</v>
      </c>
      <c r="R166" s="211">
        <v>-1.7</v>
      </c>
      <c r="S166" s="211" t="s">
        <v>1731</v>
      </c>
    </row>
    <row r="167" spans="1:21" ht="19">
      <c r="A167" s="212" t="s">
        <v>218</v>
      </c>
      <c r="B167" s="212" t="s">
        <v>202</v>
      </c>
      <c r="C167" s="233" t="s">
        <v>203</v>
      </c>
      <c r="D167" s="234" t="s">
        <v>1796</v>
      </c>
      <c r="E167" s="212">
        <v>1295</v>
      </c>
      <c r="F167" s="212">
        <v>28</v>
      </c>
      <c r="G167" s="212" t="s">
        <v>1723</v>
      </c>
      <c r="H167" s="212" t="s">
        <v>1724</v>
      </c>
      <c r="I167" s="212" t="s">
        <v>1171</v>
      </c>
      <c r="J167" s="212" t="s">
        <v>104</v>
      </c>
      <c r="K167" s="227" t="s">
        <v>269</v>
      </c>
      <c r="L167" s="227" t="s">
        <v>1729</v>
      </c>
      <c r="M167" t="s">
        <v>186</v>
      </c>
      <c r="N167" s="211">
        <v>-7.59</v>
      </c>
      <c r="O167" s="211">
        <v>-16.413</v>
      </c>
      <c r="P167" s="211" t="s">
        <v>487</v>
      </c>
      <c r="Q167" s="211">
        <v>29.6</v>
      </c>
      <c r="R167" s="211">
        <v>-1.2</v>
      </c>
      <c r="S167" s="211" t="s">
        <v>1731</v>
      </c>
    </row>
    <row r="168" spans="1:21" ht="19">
      <c r="A168" s="212" t="s">
        <v>218</v>
      </c>
      <c r="B168" s="212" t="s">
        <v>202</v>
      </c>
      <c r="C168" s="233" t="s">
        <v>203</v>
      </c>
      <c r="D168" s="234" t="s">
        <v>1796</v>
      </c>
      <c r="E168" s="212">
        <v>1295</v>
      </c>
      <c r="F168" s="212">
        <v>30</v>
      </c>
      <c r="G168" s="212" t="s">
        <v>1723</v>
      </c>
      <c r="H168" s="212" t="s">
        <v>1724</v>
      </c>
      <c r="I168" s="212" t="s">
        <v>1171</v>
      </c>
      <c r="J168" s="212" t="s">
        <v>104</v>
      </c>
      <c r="K168" s="227" t="s">
        <v>269</v>
      </c>
      <c r="L168" s="227" t="s">
        <v>1729</v>
      </c>
      <c r="M168" t="s">
        <v>186</v>
      </c>
      <c r="N168" s="211">
        <v>-2.95</v>
      </c>
      <c r="O168" s="211">
        <v>-11.773</v>
      </c>
      <c r="P168" s="211" t="s">
        <v>487</v>
      </c>
      <c r="Q168" s="211">
        <v>29</v>
      </c>
      <c r="R168" s="211">
        <v>-1.8</v>
      </c>
      <c r="S168" s="211" t="s">
        <v>1731</v>
      </c>
    </row>
    <row r="169" spans="1:21" ht="19">
      <c r="A169" s="212" t="s">
        <v>218</v>
      </c>
      <c r="B169" s="212" t="s">
        <v>202</v>
      </c>
      <c r="C169" s="233" t="s">
        <v>203</v>
      </c>
      <c r="D169" s="234" t="s">
        <v>1796</v>
      </c>
      <c r="E169" s="212">
        <v>30967</v>
      </c>
      <c r="F169" s="212">
        <v>42</v>
      </c>
      <c r="G169" s="212" t="s">
        <v>1723</v>
      </c>
      <c r="H169" s="212" t="s">
        <v>1724</v>
      </c>
      <c r="I169" s="212" t="s">
        <v>110</v>
      </c>
      <c r="J169" s="212" t="s">
        <v>104</v>
      </c>
      <c r="K169" s="212" t="s">
        <v>269</v>
      </c>
      <c r="L169" s="227" t="s">
        <v>1729</v>
      </c>
      <c r="M169" t="s">
        <v>186</v>
      </c>
      <c r="N169" s="211">
        <v>-10.76</v>
      </c>
      <c r="O169" s="211">
        <v>-19.582999999999998</v>
      </c>
      <c r="P169" s="211" t="s">
        <v>487</v>
      </c>
      <c r="R169" s="211">
        <v>-3.2</v>
      </c>
      <c r="S169" s="211" t="s">
        <v>1731</v>
      </c>
    </row>
    <row r="170" spans="1:21" ht="19">
      <c r="A170" s="212" t="s">
        <v>218</v>
      </c>
      <c r="B170" s="212" t="s">
        <v>202</v>
      </c>
      <c r="C170" s="233" t="s">
        <v>203</v>
      </c>
      <c r="D170" s="234" t="s">
        <v>1796</v>
      </c>
      <c r="E170" s="212">
        <v>30967</v>
      </c>
      <c r="F170" s="212">
        <v>77</v>
      </c>
      <c r="G170" s="212" t="s">
        <v>1723</v>
      </c>
      <c r="H170" s="212" t="s">
        <v>1724</v>
      </c>
      <c r="I170" s="212" t="s">
        <v>110</v>
      </c>
      <c r="J170" s="212" t="s">
        <v>1744</v>
      </c>
      <c r="K170" s="212" t="s">
        <v>1745</v>
      </c>
      <c r="L170" s="227" t="s">
        <v>1729</v>
      </c>
      <c r="M170" t="s">
        <v>1734</v>
      </c>
      <c r="N170" s="211">
        <v>-2</v>
      </c>
      <c r="O170" s="211">
        <v>-10.823</v>
      </c>
      <c r="P170" s="211" t="s">
        <v>487</v>
      </c>
      <c r="Q170" s="211">
        <v>29.3</v>
      </c>
      <c r="R170" s="211">
        <v>-1.5</v>
      </c>
      <c r="S170" s="211" t="s">
        <v>1731</v>
      </c>
    </row>
    <row r="171" spans="1:21" ht="19">
      <c r="A171" s="212" t="s">
        <v>218</v>
      </c>
      <c r="B171" s="212" t="s">
        <v>202</v>
      </c>
      <c r="C171" s="233" t="s">
        <v>203</v>
      </c>
      <c r="D171" s="234" t="s">
        <v>1796</v>
      </c>
      <c r="E171" s="212">
        <v>30967</v>
      </c>
      <c r="F171" s="212">
        <v>142</v>
      </c>
      <c r="G171" s="212" t="s">
        <v>1723</v>
      </c>
      <c r="H171" s="212" t="s">
        <v>1724</v>
      </c>
      <c r="I171" s="212" t="s">
        <v>110</v>
      </c>
      <c r="J171" s="212" t="s">
        <v>1744</v>
      </c>
      <c r="K171" s="212" t="s">
        <v>1745</v>
      </c>
      <c r="L171" s="227" t="s">
        <v>1729</v>
      </c>
      <c r="M171" t="s">
        <v>1734</v>
      </c>
      <c r="N171" s="211">
        <v>1</v>
      </c>
      <c r="O171" s="211">
        <v>-7.8230000000000004</v>
      </c>
      <c r="P171" s="211" t="s">
        <v>487</v>
      </c>
      <c r="Q171" s="211">
        <v>30.5</v>
      </c>
      <c r="R171" s="211">
        <v>-0.3</v>
      </c>
      <c r="S171" s="211" t="s">
        <v>1731</v>
      </c>
    </row>
    <row r="172" spans="1:21" ht="19">
      <c r="A172" s="212" t="s">
        <v>218</v>
      </c>
      <c r="B172" s="212" t="s">
        <v>202</v>
      </c>
      <c r="C172" s="233" t="s">
        <v>203</v>
      </c>
      <c r="D172" s="234" t="s">
        <v>1796</v>
      </c>
      <c r="E172" s="212">
        <v>30967</v>
      </c>
      <c r="F172" s="212">
        <v>182</v>
      </c>
      <c r="G172" s="212" t="s">
        <v>1723</v>
      </c>
      <c r="H172" s="212" t="s">
        <v>1724</v>
      </c>
      <c r="I172" s="212" t="s">
        <v>110</v>
      </c>
      <c r="J172" s="212" t="s">
        <v>1744</v>
      </c>
      <c r="K172" s="227" t="s">
        <v>1745</v>
      </c>
      <c r="L172" s="227" t="s">
        <v>1729</v>
      </c>
      <c r="M172" t="s">
        <v>1730</v>
      </c>
      <c r="N172" s="211">
        <v>-10.6</v>
      </c>
      <c r="O172" s="211">
        <v>-19.422999999999998</v>
      </c>
      <c r="P172" s="211" t="s">
        <v>487</v>
      </c>
      <c r="Q172" s="211">
        <v>31</v>
      </c>
      <c r="R172" s="211">
        <v>0.1</v>
      </c>
      <c r="S172" s="211" t="s">
        <v>1731</v>
      </c>
    </row>
    <row r="173" spans="1:21" ht="19">
      <c r="A173" s="212" t="s">
        <v>218</v>
      </c>
      <c r="B173" s="212" t="s">
        <v>202</v>
      </c>
      <c r="C173" s="233" t="s">
        <v>203</v>
      </c>
      <c r="D173" s="234" t="s">
        <v>1796</v>
      </c>
      <c r="E173" s="212">
        <v>30967</v>
      </c>
      <c r="F173" s="212">
        <v>236</v>
      </c>
      <c r="G173" s="212" t="s">
        <v>1723</v>
      </c>
      <c r="H173" s="212" t="s">
        <v>1724</v>
      </c>
      <c r="I173" s="212" t="s">
        <v>110</v>
      </c>
      <c r="J173" s="212" t="s">
        <v>1744</v>
      </c>
      <c r="K173" s="227" t="s">
        <v>1745</v>
      </c>
      <c r="L173" s="227" t="s">
        <v>1729</v>
      </c>
      <c r="M173" t="s">
        <v>1775</v>
      </c>
      <c r="N173" s="211">
        <v>-9.8000000000000007</v>
      </c>
      <c r="O173" s="211">
        <v>-18.623000000000001</v>
      </c>
      <c r="P173" s="211" t="s">
        <v>487</v>
      </c>
      <c r="Q173" s="211">
        <v>31.3</v>
      </c>
      <c r="R173" s="211">
        <v>0.4</v>
      </c>
      <c r="S173" s="211" t="s">
        <v>1731</v>
      </c>
    </row>
    <row r="174" spans="1:21" ht="19">
      <c r="A174" s="212" t="s">
        <v>218</v>
      </c>
      <c r="B174" s="212" t="s">
        <v>202</v>
      </c>
      <c r="C174" s="233" t="s">
        <v>203</v>
      </c>
      <c r="D174" s="234" t="s">
        <v>1796</v>
      </c>
      <c r="E174" s="212">
        <v>30967</v>
      </c>
      <c r="F174" s="212">
        <v>237</v>
      </c>
      <c r="G174" s="212" t="s">
        <v>1723</v>
      </c>
      <c r="H174" s="212" t="s">
        <v>1724</v>
      </c>
      <c r="I174" s="212" t="s">
        <v>110</v>
      </c>
      <c r="J174" s="212" t="s">
        <v>1744</v>
      </c>
      <c r="K174" s="227" t="s">
        <v>1745</v>
      </c>
      <c r="L174" s="227" t="s">
        <v>1729</v>
      </c>
      <c r="M174" t="s">
        <v>1779</v>
      </c>
      <c r="N174" s="211">
        <v>-9.9</v>
      </c>
      <c r="O174" s="211">
        <v>-18.722999999999999</v>
      </c>
      <c r="P174" s="211" t="s">
        <v>487</v>
      </c>
      <c r="Q174" s="211">
        <v>30.3</v>
      </c>
      <c r="R174" s="211">
        <v>-0.5</v>
      </c>
      <c r="S174" s="211" t="s">
        <v>1731</v>
      </c>
    </row>
    <row r="175" spans="1:21" ht="19">
      <c r="A175" s="212" t="s">
        <v>218</v>
      </c>
      <c r="B175" s="212" t="s">
        <v>202</v>
      </c>
      <c r="C175" s="233" t="s">
        <v>203</v>
      </c>
      <c r="D175" s="234" t="s">
        <v>1796</v>
      </c>
      <c r="E175" s="212">
        <v>30967</v>
      </c>
      <c r="F175" s="212">
        <v>239</v>
      </c>
      <c r="G175" s="212" t="s">
        <v>1723</v>
      </c>
      <c r="H175" s="212" t="s">
        <v>1724</v>
      </c>
      <c r="I175" s="212" t="s">
        <v>110</v>
      </c>
      <c r="J175" s="212" t="s">
        <v>1744</v>
      </c>
      <c r="K175" s="212" t="s">
        <v>1745</v>
      </c>
      <c r="L175" s="227" t="s">
        <v>1729</v>
      </c>
      <c r="M175" t="s">
        <v>1734</v>
      </c>
      <c r="N175" s="211">
        <v>-10.7</v>
      </c>
      <c r="O175" s="211">
        <v>-19.523</v>
      </c>
      <c r="P175" s="211" t="s">
        <v>487</v>
      </c>
      <c r="Q175" s="211">
        <v>31.1</v>
      </c>
      <c r="R175" s="211">
        <v>0.2</v>
      </c>
      <c r="S175" s="211" t="s">
        <v>1731</v>
      </c>
    </row>
    <row r="176" spans="1:21" ht="19">
      <c r="A176" s="212" t="s">
        <v>218</v>
      </c>
      <c r="B176" s="212" t="s">
        <v>202</v>
      </c>
      <c r="C176" s="233" t="s">
        <v>203</v>
      </c>
      <c r="D176" s="234" t="s">
        <v>1796</v>
      </c>
      <c r="E176" s="212">
        <v>30967</v>
      </c>
      <c r="F176" s="212">
        <v>240</v>
      </c>
      <c r="G176" s="212" t="s">
        <v>1723</v>
      </c>
      <c r="H176" s="212" t="s">
        <v>1724</v>
      </c>
      <c r="I176" s="212" t="s">
        <v>110</v>
      </c>
      <c r="J176" s="212" t="s">
        <v>1744</v>
      </c>
      <c r="K176" s="227" t="s">
        <v>1745</v>
      </c>
      <c r="L176" s="227" t="s">
        <v>1729</v>
      </c>
      <c r="M176" t="s">
        <v>1747</v>
      </c>
      <c r="N176" s="211">
        <v>-11.7</v>
      </c>
      <c r="O176" s="211">
        <v>-20.523</v>
      </c>
      <c r="P176" s="211" t="s">
        <v>487</v>
      </c>
      <c r="Q176" s="211">
        <v>30.8</v>
      </c>
      <c r="R176" s="211">
        <v>-0.1</v>
      </c>
      <c r="S176" s="211" t="s">
        <v>1731</v>
      </c>
    </row>
    <row r="177" spans="1:21" ht="19">
      <c r="A177" s="212" t="s">
        <v>218</v>
      </c>
      <c r="B177" s="212" t="s">
        <v>202</v>
      </c>
      <c r="C177" s="233" t="s">
        <v>203</v>
      </c>
      <c r="D177" s="234" t="s">
        <v>1796</v>
      </c>
      <c r="E177" s="212">
        <v>30967</v>
      </c>
      <c r="F177" s="212">
        <v>290</v>
      </c>
      <c r="G177" s="212" t="s">
        <v>1723</v>
      </c>
      <c r="H177" s="212" t="s">
        <v>1724</v>
      </c>
      <c r="I177" s="212" t="s">
        <v>110</v>
      </c>
      <c r="J177" s="212" t="s">
        <v>1744</v>
      </c>
      <c r="K177" s="227" t="s">
        <v>1745</v>
      </c>
      <c r="L177" s="227" t="s">
        <v>1729</v>
      </c>
      <c r="M177" t="s">
        <v>186</v>
      </c>
      <c r="N177" s="211">
        <v>-10.9</v>
      </c>
      <c r="O177" s="211">
        <v>-19.722999999999999</v>
      </c>
      <c r="P177" s="211" t="s">
        <v>487</v>
      </c>
      <c r="Q177" s="211">
        <v>29.5</v>
      </c>
      <c r="R177" s="211">
        <v>-1.3</v>
      </c>
      <c r="S177" s="211" t="s">
        <v>1731</v>
      </c>
    </row>
    <row r="178" spans="1:21" ht="19">
      <c r="A178" s="212" t="s">
        <v>218</v>
      </c>
      <c r="B178" s="212" t="s">
        <v>202</v>
      </c>
      <c r="C178" s="233" t="s">
        <v>203</v>
      </c>
      <c r="D178" s="234" t="s">
        <v>1796</v>
      </c>
      <c r="E178" s="212">
        <v>30967</v>
      </c>
      <c r="F178" s="212">
        <v>915</v>
      </c>
      <c r="G178" s="212" t="s">
        <v>1723</v>
      </c>
      <c r="H178" s="212" t="s">
        <v>1724</v>
      </c>
      <c r="I178" s="212" t="s">
        <v>110</v>
      </c>
      <c r="J178" s="212" t="s">
        <v>1744</v>
      </c>
      <c r="K178" s="227" t="s">
        <v>1745</v>
      </c>
      <c r="L178" s="227" t="s">
        <v>1729</v>
      </c>
      <c r="M178" t="s">
        <v>1747</v>
      </c>
      <c r="N178" s="211">
        <v>-12</v>
      </c>
      <c r="O178" s="211">
        <v>-20.823</v>
      </c>
      <c r="P178" s="211" t="s">
        <v>487</v>
      </c>
      <c r="Q178" s="211">
        <v>29.2</v>
      </c>
      <c r="R178" s="211">
        <v>-1.6</v>
      </c>
      <c r="S178" s="211" t="s">
        <v>1731</v>
      </c>
    </row>
    <row r="179" spans="1:21" ht="19">
      <c r="A179" s="212" t="s">
        <v>218</v>
      </c>
      <c r="B179" s="212" t="s">
        <v>202</v>
      </c>
      <c r="C179" s="233" t="s">
        <v>203</v>
      </c>
      <c r="D179" s="234" t="s">
        <v>1796</v>
      </c>
      <c r="E179" s="212">
        <v>30967</v>
      </c>
      <c r="F179" s="212">
        <v>1240</v>
      </c>
      <c r="G179" s="212" t="s">
        <v>1723</v>
      </c>
      <c r="H179" s="212" t="s">
        <v>1724</v>
      </c>
      <c r="I179" s="212" t="s">
        <v>110</v>
      </c>
      <c r="J179" s="212" t="s">
        <v>104</v>
      </c>
      <c r="K179" s="227" t="s">
        <v>269</v>
      </c>
      <c r="L179" s="227" t="s">
        <v>1729</v>
      </c>
      <c r="M179" t="s">
        <v>1747</v>
      </c>
      <c r="N179" s="211">
        <v>-11.38</v>
      </c>
      <c r="O179" s="211">
        <v>-20.202999999999999</v>
      </c>
      <c r="P179" s="211" t="s">
        <v>487</v>
      </c>
      <c r="Q179" s="211">
        <v>27.6</v>
      </c>
      <c r="R179" s="211">
        <v>-3.1</v>
      </c>
      <c r="S179" s="211" t="s">
        <v>1731</v>
      </c>
    </row>
    <row r="180" spans="1:21" ht="19">
      <c r="A180" s="212" t="s">
        <v>218</v>
      </c>
      <c r="B180" s="212" t="s">
        <v>202</v>
      </c>
      <c r="C180" s="233" t="s">
        <v>203</v>
      </c>
      <c r="D180" s="234" t="s">
        <v>1796</v>
      </c>
      <c r="E180" s="212">
        <v>30967</v>
      </c>
      <c r="F180" s="212">
        <v>2142</v>
      </c>
      <c r="G180" s="212" t="s">
        <v>1723</v>
      </c>
      <c r="H180" s="212" t="s">
        <v>1724</v>
      </c>
      <c r="I180" s="212" t="s">
        <v>110</v>
      </c>
      <c r="J180" s="212" t="s">
        <v>104</v>
      </c>
      <c r="K180" s="227" t="s">
        <v>269</v>
      </c>
      <c r="L180" s="227" t="s">
        <v>1729</v>
      </c>
      <c r="M180" t="s">
        <v>1734</v>
      </c>
      <c r="N180" s="211">
        <v>0.55000000000000004</v>
      </c>
      <c r="O180" s="211">
        <v>-8.2729999999999997</v>
      </c>
      <c r="P180" s="211" t="s">
        <v>487</v>
      </c>
      <c r="Q180" s="211">
        <v>28.7</v>
      </c>
      <c r="R180" s="211">
        <v>-2.1</v>
      </c>
      <c r="S180" s="211" t="s">
        <v>1731</v>
      </c>
    </row>
    <row r="181" spans="1:21" ht="19">
      <c r="A181" s="212" t="s">
        <v>218</v>
      </c>
      <c r="B181" s="212" t="s">
        <v>202</v>
      </c>
      <c r="C181" s="233" t="s">
        <v>203</v>
      </c>
      <c r="D181" s="234" t="s">
        <v>1796</v>
      </c>
      <c r="E181" s="212">
        <v>30967</v>
      </c>
      <c r="F181" s="212">
        <v>2237</v>
      </c>
      <c r="G181" s="212" t="s">
        <v>1723</v>
      </c>
      <c r="H181" s="212" t="s">
        <v>1724</v>
      </c>
      <c r="I181" s="212" t="s">
        <v>110</v>
      </c>
      <c r="J181" s="212" t="s">
        <v>104</v>
      </c>
      <c r="K181" s="212" t="s">
        <v>269</v>
      </c>
      <c r="L181" s="227" t="s">
        <v>1729</v>
      </c>
      <c r="M181" t="s">
        <v>1730</v>
      </c>
      <c r="N181" s="211">
        <v>-9.82</v>
      </c>
      <c r="O181" s="211">
        <v>-18.643000000000001</v>
      </c>
      <c r="P181" s="211" t="s">
        <v>487</v>
      </c>
      <c r="R181" s="211">
        <v>-2</v>
      </c>
      <c r="S181" s="211" t="s">
        <v>1731</v>
      </c>
    </row>
    <row r="182" spans="1:21" ht="19">
      <c r="A182" s="212" t="s">
        <v>218</v>
      </c>
      <c r="B182" s="212" t="s">
        <v>202</v>
      </c>
      <c r="C182" s="233" t="s">
        <v>203</v>
      </c>
      <c r="D182" s="234" t="s">
        <v>1796</v>
      </c>
      <c r="E182" s="212">
        <v>30967</v>
      </c>
      <c r="F182" s="212">
        <v>2238</v>
      </c>
      <c r="G182" s="212" t="s">
        <v>1723</v>
      </c>
      <c r="H182" s="212" t="s">
        <v>1724</v>
      </c>
      <c r="I182" s="212" t="s">
        <v>110</v>
      </c>
      <c r="J182" s="212" t="s">
        <v>104</v>
      </c>
      <c r="K182" s="212" t="s">
        <v>269</v>
      </c>
      <c r="L182" s="227" t="s">
        <v>1729</v>
      </c>
      <c r="M182" t="s">
        <v>1739</v>
      </c>
      <c r="N182" s="211">
        <v>-11.12</v>
      </c>
      <c r="O182" s="211">
        <v>-19.943000000000001</v>
      </c>
      <c r="P182" s="211" t="s">
        <v>487</v>
      </c>
      <c r="R182" s="211">
        <v>-3.1</v>
      </c>
      <c r="S182" s="211" t="s">
        <v>1731</v>
      </c>
    </row>
    <row r="183" spans="1:21" ht="19">
      <c r="A183" s="212" t="s">
        <v>218</v>
      </c>
      <c r="B183" s="212" t="s">
        <v>202</v>
      </c>
      <c r="C183" s="233" t="s">
        <v>203</v>
      </c>
      <c r="D183" s="234" t="s">
        <v>1796</v>
      </c>
      <c r="E183" s="212">
        <v>30967</v>
      </c>
      <c r="F183" s="212">
        <v>2239</v>
      </c>
      <c r="G183" s="212" t="s">
        <v>1723</v>
      </c>
      <c r="H183" s="212" t="s">
        <v>1724</v>
      </c>
      <c r="I183" s="212" t="s">
        <v>110</v>
      </c>
      <c r="J183" s="212" t="s">
        <v>104</v>
      </c>
      <c r="K183" s="212" t="s">
        <v>269</v>
      </c>
      <c r="L183" s="227" t="s">
        <v>1729</v>
      </c>
      <c r="M183" t="s">
        <v>1730</v>
      </c>
      <c r="N183" s="211">
        <v>-9.51</v>
      </c>
      <c r="O183" s="211">
        <v>-18.332999999999998</v>
      </c>
      <c r="P183" s="211" t="s">
        <v>487</v>
      </c>
      <c r="Q183" s="211">
        <v>28.8</v>
      </c>
      <c r="S183" s="211" t="s">
        <v>1731</v>
      </c>
    </row>
    <row r="184" spans="1:21" ht="19">
      <c r="A184" s="212" t="s">
        <v>218</v>
      </c>
      <c r="B184" s="212" t="s">
        <v>202</v>
      </c>
      <c r="C184" s="233" t="s">
        <v>203</v>
      </c>
      <c r="D184" s="234" t="s">
        <v>1796</v>
      </c>
      <c r="E184" s="212">
        <v>31141</v>
      </c>
      <c r="F184" s="212">
        <v>50</v>
      </c>
      <c r="G184" s="212" t="s">
        <v>1723</v>
      </c>
      <c r="H184" s="212" t="s">
        <v>1724</v>
      </c>
      <c r="I184" s="212" t="s">
        <v>669</v>
      </c>
      <c r="J184" s="212" t="s">
        <v>104</v>
      </c>
      <c r="K184" s="212" t="s">
        <v>269</v>
      </c>
      <c r="L184" s="227" t="s">
        <v>1729</v>
      </c>
      <c r="M184" t="s">
        <v>186</v>
      </c>
      <c r="N184" s="211">
        <v>-11.37</v>
      </c>
      <c r="O184" s="211">
        <v>-20.193000000000001</v>
      </c>
      <c r="P184" s="211" t="s">
        <v>487</v>
      </c>
      <c r="Q184" s="211">
        <v>28.4</v>
      </c>
      <c r="R184" s="211">
        <v>-2.4</v>
      </c>
      <c r="S184" s="211" t="s">
        <v>1731</v>
      </c>
    </row>
    <row r="185" spans="1:21" ht="19">
      <c r="A185" s="212" t="s">
        <v>218</v>
      </c>
      <c r="B185" s="212" t="s">
        <v>202</v>
      </c>
      <c r="C185" s="233" t="s">
        <v>203</v>
      </c>
      <c r="D185" s="234" t="s">
        <v>1796</v>
      </c>
      <c r="E185" s="212">
        <v>31141</v>
      </c>
      <c r="F185" s="212">
        <v>95</v>
      </c>
      <c r="G185" s="212" t="s">
        <v>1723</v>
      </c>
      <c r="H185" s="212" t="s">
        <v>1724</v>
      </c>
      <c r="I185" s="212" t="s">
        <v>669</v>
      </c>
      <c r="J185" s="212" t="s">
        <v>104</v>
      </c>
      <c r="K185" s="212" t="s">
        <v>269</v>
      </c>
      <c r="L185" s="227" t="s">
        <v>1729</v>
      </c>
      <c r="M185" t="s">
        <v>1739</v>
      </c>
      <c r="N185" s="211">
        <v>-6.38</v>
      </c>
      <c r="O185" s="211">
        <v>-15.202999999999999</v>
      </c>
      <c r="P185" s="211" t="s">
        <v>487</v>
      </c>
      <c r="R185" s="211">
        <v>-3.7</v>
      </c>
      <c r="S185" s="211" t="s">
        <v>1731</v>
      </c>
    </row>
    <row r="186" spans="1:21" ht="19">
      <c r="A186" s="212" t="s">
        <v>218</v>
      </c>
      <c r="B186" s="212" t="s">
        <v>202</v>
      </c>
      <c r="C186" s="233" t="s">
        <v>203</v>
      </c>
      <c r="D186" s="234" t="s">
        <v>1796</v>
      </c>
      <c r="E186" s="212">
        <v>40685</v>
      </c>
      <c r="F186" s="212">
        <v>814</v>
      </c>
      <c r="G186" s="212" t="s">
        <v>1723</v>
      </c>
      <c r="H186" s="212" t="s">
        <v>1724</v>
      </c>
      <c r="I186" s="212" t="s">
        <v>134</v>
      </c>
      <c r="J186" s="212" t="s">
        <v>104</v>
      </c>
      <c r="K186" s="212" t="s">
        <v>269</v>
      </c>
      <c r="L186" s="227" t="s">
        <v>1729</v>
      </c>
      <c r="M186" t="s">
        <v>186</v>
      </c>
      <c r="N186" s="211">
        <v>-0.19</v>
      </c>
      <c r="O186" s="211">
        <v>-9.0129999999999999</v>
      </c>
      <c r="P186" s="211" t="s">
        <v>487</v>
      </c>
      <c r="Q186" s="211">
        <v>28.7</v>
      </c>
      <c r="R186" s="211">
        <v>-2.1</v>
      </c>
      <c r="S186" s="211" t="s">
        <v>1731</v>
      </c>
    </row>
    <row r="187" spans="1:21" ht="19">
      <c r="A187" s="212" t="s">
        <v>218</v>
      </c>
      <c r="B187" s="212" t="s">
        <v>202</v>
      </c>
      <c r="C187" s="233" t="s">
        <v>203</v>
      </c>
      <c r="D187" s="234" t="s">
        <v>1796</v>
      </c>
      <c r="E187" s="212">
        <v>40685</v>
      </c>
      <c r="F187" s="212" t="s">
        <v>1798</v>
      </c>
      <c r="G187" s="212" t="s">
        <v>1723</v>
      </c>
      <c r="H187" s="212" t="s">
        <v>1724</v>
      </c>
      <c r="I187" s="212" t="s">
        <v>134</v>
      </c>
      <c r="J187" s="212" t="s">
        <v>104</v>
      </c>
      <c r="K187" s="212" t="s">
        <v>269</v>
      </c>
      <c r="L187" s="227" t="s">
        <v>1729</v>
      </c>
      <c r="M187" t="s">
        <v>1730</v>
      </c>
      <c r="N187" s="211">
        <v>0.15</v>
      </c>
      <c r="O187" s="211">
        <v>-8.673</v>
      </c>
      <c r="P187" s="211" t="s">
        <v>487</v>
      </c>
      <c r="R187" s="211">
        <v>-1</v>
      </c>
      <c r="S187" s="211" t="s">
        <v>1731</v>
      </c>
    </row>
    <row r="188" spans="1:21" ht="19">
      <c r="A188" s="212" t="s">
        <v>218</v>
      </c>
      <c r="B188" s="212" t="s">
        <v>202</v>
      </c>
      <c r="C188" s="233" t="s">
        <v>203</v>
      </c>
      <c r="D188" s="234" t="s">
        <v>1796</v>
      </c>
      <c r="E188" s="212">
        <v>40685</v>
      </c>
      <c r="F188" s="212" t="s">
        <v>1799</v>
      </c>
      <c r="G188" s="212" t="s">
        <v>1723</v>
      </c>
      <c r="H188" s="212" t="s">
        <v>1724</v>
      </c>
      <c r="I188" s="212" t="s">
        <v>134</v>
      </c>
      <c r="J188" s="212" t="s">
        <v>104</v>
      </c>
      <c r="K188" s="212" t="s">
        <v>269</v>
      </c>
      <c r="L188" s="227" t="s">
        <v>1729</v>
      </c>
      <c r="M188" t="s">
        <v>1730</v>
      </c>
      <c r="N188" s="211">
        <v>-0.31</v>
      </c>
      <c r="O188" s="211">
        <v>-9.1329999999999991</v>
      </c>
      <c r="P188" s="211" t="s">
        <v>487</v>
      </c>
      <c r="R188" s="211">
        <v>-2.5</v>
      </c>
      <c r="S188" s="211" t="s">
        <v>1731</v>
      </c>
    </row>
    <row r="189" spans="1:21" ht="19">
      <c r="A189" s="212" t="s">
        <v>218</v>
      </c>
      <c r="B189" s="212" t="s">
        <v>202</v>
      </c>
      <c r="C189" s="233" t="s">
        <v>203</v>
      </c>
      <c r="D189" s="234" t="s">
        <v>1796</v>
      </c>
      <c r="E189" s="212">
        <v>42263</v>
      </c>
      <c r="F189" s="212">
        <v>1</v>
      </c>
      <c r="G189" s="212" t="s">
        <v>1723</v>
      </c>
      <c r="H189" s="212" t="s">
        <v>1724</v>
      </c>
      <c r="I189" s="212" t="s">
        <v>287</v>
      </c>
      <c r="J189" s="212" t="s">
        <v>104</v>
      </c>
      <c r="K189" s="212" t="s">
        <v>269</v>
      </c>
      <c r="L189" s="227" t="s">
        <v>1729</v>
      </c>
      <c r="M189" t="s">
        <v>186</v>
      </c>
      <c r="N189" s="211">
        <v>0.27</v>
      </c>
      <c r="O189" s="211">
        <v>-8.5530000000000008</v>
      </c>
      <c r="P189" s="211" t="s">
        <v>487</v>
      </c>
      <c r="R189" s="211">
        <v>0.7</v>
      </c>
      <c r="S189" s="211" t="s">
        <v>1731</v>
      </c>
    </row>
    <row r="190" spans="1:21" ht="19">
      <c r="A190" s="212" t="s">
        <v>218</v>
      </c>
      <c r="B190" s="212" t="s">
        <v>202</v>
      </c>
      <c r="C190" s="233" t="s">
        <v>1800</v>
      </c>
      <c r="D190" s="234" t="s">
        <v>1796</v>
      </c>
      <c r="E190" s="212" t="s">
        <v>1801</v>
      </c>
      <c r="F190" s="212">
        <v>5416</v>
      </c>
      <c r="G190" s="212" t="s">
        <v>1723</v>
      </c>
      <c r="H190" s="212" t="s">
        <v>1724</v>
      </c>
      <c r="I190" s="212" t="s">
        <v>1802</v>
      </c>
      <c r="J190" s="212" t="s">
        <v>1744</v>
      </c>
      <c r="K190" s="227" t="s">
        <v>269</v>
      </c>
      <c r="L190" s="227" t="s">
        <v>1725</v>
      </c>
      <c r="M190" t="s">
        <v>1803</v>
      </c>
      <c r="N190" s="211" t="s">
        <v>463</v>
      </c>
      <c r="O190" s="211" t="s">
        <v>1731</v>
      </c>
      <c r="P190" s="211" t="s">
        <v>463</v>
      </c>
      <c r="S190" s="211" t="s">
        <v>1731</v>
      </c>
    </row>
    <row r="191" spans="1:21">
      <c r="A191" s="212" t="s">
        <v>218</v>
      </c>
      <c r="B191" s="212" t="s">
        <v>202</v>
      </c>
      <c r="C191" s="235" t="s">
        <v>479</v>
      </c>
      <c r="D191" s="233" t="s">
        <v>151</v>
      </c>
      <c r="E191" s="236">
        <v>40685</v>
      </c>
      <c r="F191" s="236">
        <v>676</v>
      </c>
      <c r="G191" s="236" t="s">
        <v>1723</v>
      </c>
      <c r="H191" s="212" t="s">
        <v>1724</v>
      </c>
      <c r="I191" s="236" t="s">
        <v>134</v>
      </c>
      <c r="J191" s="212" t="s">
        <v>104</v>
      </c>
      <c r="K191" s="227" t="s">
        <v>269</v>
      </c>
      <c r="L191" s="227" t="s">
        <v>1725</v>
      </c>
      <c r="M191" t="s">
        <v>1738</v>
      </c>
      <c r="N191" s="214">
        <v>-27.75</v>
      </c>
      <c r="O191" s="214" t="s">
        <v>1731</v>
      </c>
      <c r="P191" s="211" t="s">
        <v>463</v>
      </c>
      <c r="S191" s="211">
        <v>43.39</v>
      </c>
      <c r="U191" s="212" t="s">
        <v>1743</v>
      </c>
    </row>
    <row r="192" spans="1:21" ht="19">
      <c r="A192" s="212" t="s">
        <v>218</v>
      </c>
      <c r="B192" s="212" t="s">
        <v>202</v>
      </c>
      <c r="C192" s="233" t="s">
        <v>1804</v>
      </c>
      <c r="D192" s="234" t="s">
        <v>151</v>
      </c>
      <c r="E192" s="212">
        <v>40685</v>
      </c>
      <c r="F192" s="212">
        <v>832</v>
      </c>
      <c r="G192" s="212" t="s">
        <v>1723</v>
      </c>
      <c r="H192" s="212" t="s">
        <v>1724</v>
      </c>
      <c r="I192" s="212" t="s">
        <v>134</v>
      </c>
      <c r="J192" s="212" t="s">
        <v>1744</v>
      </c>
      <c r="K192" s="227" t="s">
        <v>269</v>
      </c>
      <c r="L192" s="227" t="s">
        <v>1725</v>
      </c>
      <c r="M192" t="s">
        <v>1805</v>
      </c>
      <c r="N192" s="211" t="s">
        <v>463</v>
      </c>
      <c r="O192" s="211" t="s">
        <v>1731</v>
      </c>
      <c r="P192" s="211" t="s">
        <v>463</v>
      </c>
      <c r="S192" s="211" t="s">
        <v>1731</v>
      </c>
    </row>
    <row r="193" spans="1:19">
      <c r="A193" s="212" t="s">
        <v>218</v>
      </c>
      <c r="B193" s="212" t="s">
        <v>202</v>
      </c>
      <c r="C193" s="233" t="s">
        <v>482</v>
      </c>
      <c r="D193" s="233" t="s">
        <v>220</v>
      </c>
      <c r="E193" s="212">
        <v>30967</v>
      </c>
      <c r="F193" s="212">
        <v>90</v>
      </c>
      <c r="G193" s="212" t="s">
        <v>1723</v>
      </c>
      <c r="H193" s="212" t="s">
        <v>1724</v>
      </c>
      <c r="I193" s="212" t="s">
        <v>110</v>
      </c>
      <c r="J193" s="212" t="s">
        <v>1744</v>
      </c>
      <c r="K193" s="227" t="s">
        <v>1745</v>
      </c>
      <c r="L193" s="227" t="s">
        <v>1729</v>
      </c>
      <c r="M193" t="s">
        <v>1734</v>
      </c>
      <c r="N193" s="211">
        <v>-11.4</v>
      </c>
      <c r="O193" s="211">
        <v>-20.222999999999999</v>
      </c>
      <c r="P193" s="211" t="s">
        <v>487</v>
      </c>
      <c r="Q193" s="211">
        <v>31.3</v>
      </c>
      <c r="R193" s="211">
        <v>0.4</v>
      </c>
      <c r="S193" s="211" t="s">
        <v>1731</v>
      </c>
    </row>
    <row r="194" spans="1:19">
      <c r="A194" s="212" t="s">
        <v>218</v>
      </c>
      <c r="B194" s="212" t="s">
        <v>202</v>
      </c>
      <c r="C194" s="233" t="s">
        <v>482</v>
      </c>
      <c r="D194" s="233" t="s">
        <v>220</v>
      </c>
      <c r="E194" s="212">
        <v>30967</v>
      </c>
      <c r="F194" s="212">
        <v>289</v>
      </c>
      <c r="G194" s="212" t="s">
        <v>1723</v>
      </c>
      <c r="H194" s="212" t="s">
        <v>1724</v>
      </c>
      <c r="I194" s="212" t="s">
        <v>110</v>
      </c>
      <c r="J194" s="212" t="s">
        <v>1744</v>
      </c>
      <c r="K194" s="227" t="s">
        <v>1745</v>
      </c>
      <c r="L194" s="227" t="s">
        <v>1729</v>
      </c>
      <c r="M194" t="s">
        <v>1734</v>
      </c>
      <c r="N194" s="211">
        <v>-12.4</v>
      </c>
      <c r="O194" s="211">
        <v>-21.222999999999999</v>
      </c>
      <c r="P194" s="211" t="s">
        <v>487</v>
      </c>
      <c r="Q194" s="211">
        <v>31.9</v>
      </c>
      <c r="R194" s="211">
        <v>1</v>
      </c>
      <c r="S194" s="211" t="s">
        <v>1731</v>
      </c>
    </row>
    <row r="195" spans="1:19" ht="19">
      <c r="A195" s="212" t="s">
        <v>218</v>
      </c>
      <c r="B195" s="212" t="s">
        <v>202</v>
      </c>
      <c r="C195" s="233" t="s">
        <v>482</v>
      </c>
      <c r="D195" s="234" t="s">
        <v>220</v>
      </c>
      <c r="E195" s="212">
        <v>30967</v>
      </c>
      <c r="F195" s="212">
        <v>314</v>
      </c>
      <c r="G195" s="212" t="s">
        <v>1723</v>
      </c>
      <c r="H195" s="212" t="s">
        <v>1724</v>
      </c>
      <c r="I195" s="212" t="s">
        <v>110</v>
      </c>
      <c r="J195" s="212" t="s">
        <v>1744</v>
      </c>
      <c r="K195" s="227" t="s">
        <v>1745</v>
      </c>
      <c r="L195" s="227" t="s">
        <v>1729</v>
      </c>
      <c r="M195" s="203" t="s">
        <v>1734</v>
      </c>
      <c r="N195" s="211">
        <v>-10.4</v>
      </c>
      <c r="O195" s="211">
        <v>-19.222999999999999</v>
      </c>
      <c r="P195" s="211" t="s">
        <v>487</v>
      </c>
      <c r="Q195" s="211">
        <v>31.5</v>
      </c>
      <c r="R195" s="211">
        <v>0.6</v>
      </c>
      <c r="S195" s="211" t="s">
        <v>1731</v>
      </c>
    </row>
    <row r="196" spans="1:19" ht="19">
      <c r="A196" s="212" t="s">
        <v>218</v>
      </c>
      <c r="B196" s="212" t="s">
        <v>202</v>
      </c>
      <c r="C196" s="233" t="s">
        <v>482</v>
      </c>
      <c r="D196" s="234" t="s">
        <v>220</v>
      </c>
      <c r="E196" s="212">
        <v>30967</v>
      </c>
      <c r="F196" s="212">
        <v>500</v>
      </c>
      <c r="G196" s="212" t="s">
        <v>1723</v>
      </c>
      <c r="H196" s="212" t="s">
        <v>1724</v>
      </c>
      <c r="I196" s="212" t="s">
        <v>110</v>
      </c>
      <c r="J196" s="212" t="s">
        <v>1744</v>
      </c>
      <c r="K196" s="227" t="s">
        <v>1745</v>
      </c>
      <c r="L196" s="227" t="s">
        <v>1729</v>
      </c>
      <c r="M196" s="203" t="s">
        <v>1779</v>
      </c>
      <c r="N196" s="211">
        <v>-10.6</v>
      </c>
      <c r="O196" s="211">
        <v>-19.422999999999998</v>
      </c>
      <c r="P196" s="211" t="s">
        <v>487</v>
      </c>
      <c r="Q196" s="211">
        <v>29.2</v>
      </c>
      <c r="R196" s="211">
        <v>-1.6</v>
      </c>
      <c r="S196" s="211" t="s">
        <v>1731</v>
      </c>
    </row>
    <row r="197" spans="1:19" ht="19">
      <c r="A197" s="212" t="s">
        <v>218</v>
      </c>
      <c r="B197" s="212" t="s">
        <v>202</v>
      </c>
      <c r="C197" s="233" t="s">
        <v>482</v>
      </c>
      <c r="D197" s="234" t="s">
        <v>220</v>
      </c>
      <c r="E197" s="212">
        <v>30967</v>
      </c>
      <c r="F197" s="212">
        <v>567</v>
      </c>
      <c r="G197" s="212" t="s">
        <v>1723</v>
      </c>
      <c r="H197" s="212" t="s">
        <v>1724</v>
      </c>
      <c r="I197" s="212" t="s">
        <v>110</v>
      </c>
      <c r="J197" s="212" t="s">
        <v>1744</v>
      </c>
      <c r="K197" s="227" t="s">
        <v>1745</v>
      </c>
      <c r="L197" s="227" t="s">
        <v>1729</v>
      </c>
      <c r="M197" t="s">
        <v>1734</v>
      </c>
      <c r="N197" s="211">
        <v>-11.7</v>
      </c>
      <c r="O197" s="211">
        <v>-20.523</v>
      </c>
      <c r="P197" s="211" t="s">
        <v>487</v>
      </c>
      <c r="Q197" s="211">
        <v>30.1</v>
      </c>
      <c r="R197" s="211">
        <v>-0.7</v>
      </c>
      <c r="S197" s="211" t="s">
        <v>1731</v>
      </c>
    </row>
    <row r="198" spans="1:19" ht="19">
      <c r="A198" s="212" t="s">
        <v>218</v>
      </c>
      <c r="B198" s="212" t="s">
        <v>202</v>
      </c>
      <c r="C198" s="233" t="s">
        <v>482</v>
      </c>
      <c r="D198" s="234" t="s">
        <v>220</v>
      </c>
      <c r="E198" s="212">
        <v>30967</v>
      </c>
      <c r="F198" s="212">
        <v>584</v>
      </c>
      <c r="G198" s="212" t="s">
        <v>1723</v>
      </c>
      <c r="H198" s="212" t="s">
        <v>1724</v>
      </c>
      <c r="I198" s="212" t="s">
        <v>110</v>
      </c>
      <c r="J198" s="212" t="s">
        <v>1744</v>
      </c>
      <c r="K198" s="227" t="s">
        <v>1745</v>
      </c>
      <c r="L198" s="227" t="s">
        <v>1729</v>
      </c>
      <c r="M198" t="s">
        <v>1734</v>
      </c>
      <c r="N198" s="211">
        <v>-12.2</v>
      </c>
      <c r="O198" s="211">
        <v>-21.023</v>
      </c>
      <c r="P198" s="211" t="s">
        <v>487</v>
      </c>
      <c r="Q198" s="211">
        <v>32.6</v>
      </c>
      <c r="R198" s="211">
        <v>1.7</v>
      </c>
      <c r="S198" s="211" t="s">
        <v>1731</v>
      </c>
    </row>
    <row r="199" spans="1:19" ht="19">
      <c r="A199" s="212" t="s">
        <v>218</v>
      </c>
      <c r="B199" s="212" t="s">
        <v>202</v>
      </c>
      <c r="C199" s="233" t="s">
        <v>482</v>
      </c>
      <c r="D199" s="234" t="s">
        <v>220</v>
      </c>
      <c r="E199" s="212">
        <v>30967</v>
      </c>
      <c r="F199" s="212">
        <v>585</v>
      </c>
      <c r="G199" s="212" t="s">
        <v>1723</v>
      </c>
      <c r="H199" s="212" t="s">
        <v>1724</v>
      </c>
      <c r="I199" s="212" t="s">
        <v>110</v>
      </c>
      <c r="J199" s="212" t="s">
        <v>1744</v>
      </c>
      <c r="K199" s="227" t="s">
        <v>1745</v>
      </c>
      <c r="L199" s="227" t="s">
        <v>1729</v>
      </c>
      <c r="M199" t="s">
        <v>1734</v>
      </c>
      <c r="N199" s="211">
        <v>-10.6</v>
      </c>
      <c r="O199" s="211">
        <v>-19.422999999999998</v>
      </c>
      <c r="P199" s="211" t="s">
        <v>487</v>
      </c>
      <c r="Q199" s="211">
        <v>31.7</v>
      </c>
      <c r="R199" s="211">
        <v>0.8</v>
      </c>
      <c r="S199" s="211" t="s">
        <v>1731</v>
      </c>
    </row>
    <row r="200" spans="1:19">
      <c r="A200" s="212" t="s">
        <v>218</v>
      </c>
      <c r="B200" s="212" t="s">
        <v>202</v>
      </c>
      <c r="C200" s="233" t="s">
        <v>482</v>
      </c>
      <c r="D200" s="233" t="s">
        <v>220</v>
      </c>
      <c r="E200" s="212">
        <v>30967</v>
      </c>
      <c r="F200" s="212">
        <v>676</v>
      </c>
      <c r="G200" s="212" t="s">
        <v>1723</v>
      </c>
      <c r="H200" s="212" t="s">
        <v>1724</v>
      </c>
      <c r="I200" s="212" t="s">
        <v>110</v>
      </c>
      <c r="J200" s="212" t="s">
        <v>1744</v>
      </c>
      <c r="K200" s="212" t="s">
        <v>1745</v>
      </c>
      <c r="L200" s="227" t="s">
        <v>1729</v>
      </c>
      <c r="M200" t="s">
        <v>1734</v>
      </c>
      <c r="N200" s="211">
        <v>-12.1</v>
      </c>
      <c r="O200" s="211">
        <v>-20.922999999999998</v>
      </c>
      <c r="P200" s="211" t="s">
        <v>487</v>
      </c>
      <c r="Q200" s="211">
        <v>31.6</v>
      </c>
      <c r="R200" s="211">
        <v>0.7</v>
      </c>
      <c r="S200" s="211" t="s">
        <v>1731</v>
      </c>
    </row>
    <row r="201" spans="1:19">
      <c r="A201" s="212" t="s">
        <v>218</v>
      </c>
      <c r="B201" s="212" t="s">
        <v>202</v>
      </c>
      <c r="C201" s="233" t="s">
        <v>482</v>
      </c>
      <c r="D201" s="233" t="s">
        <v>220</v>
      </c>
      <c r="E201" s="212">
        <v>30967</v>
      </c>
      <c r="F201" s="212">
        <v>916</v>
      </c>
      <c r="G201" s="212" t="s">
        <v>1723</v>
      </c>
      <c r="H201" s="212" t="s">
        <v>1724</v>
      </c>
      <c r="I201" s="212" t="s">
        <v>110</v>
      </c>
      <c r="J201" s="212" t="s">
        <v>104</v>
      </c>
      <c r="K201" s="212" t="s">
        <v>269</v>
      </c>
      <c r="L201" s="227" t="s">
        <v>1729</v>
      </c>
      <c r="M201" t="s">
        <v>1739</v>
      </c>
      <c r="N201" s="211">
        <v>-11.18</v>
      </c>
      <c r="O201" s="211">
        <v>-20.003</v>
      </c>
      <c r="P201" s="211" t="s">
        <v>487</v>
      </c>
      <c r="R201" s="211">
        <v>1.1000000000000001</v>
      </c>
      <c r="S201" s="211" t="s">
        <v>1731</v>
      </c>
    </row>
    <row r="202" spans="1:19">
      <c r="A202" s="212" t="s">
        <v>218</v>
      </c>
      <c r="B202" s="212" t="s">
        <v>202</v>
      </c>
      <c r="C202" s="233" t="s">
        <v>482</v>
      </c>
      <c r="D202" s="233" t="s">
        <v>220</v>
      </c>
      <c r="E202" s="212">
        <v>30967</v>
      </c>
      <c r="F202" s="212">
        <v>920</v>
      </c>
      <c r="G202" s="212" t="s">
        <v>1723</v>
      </c>
      <c r="H202" s="212" t="s">
        <v>1724</v>
      </c>
      <c r="I202" s="212" t="s">
        <v>110</v>
      </c>
      <c r="J202" s="212" t="s">
        <v>1744</v>
      </c>
      <c r="K202" s="212" t="s">
        <v>1745</v>
      </c>
      <c r="L202" s="227" t="s">
        <v>1729</v>
      </c>
      <c r="M202" t="s">
        <v>1734</v>
      </c>
      <c r="N202" s="211">
        <v>-11.3</v>
      </c>
      <c r="O202" s="211">
        <v>-20.123000000000001</v>
      </c>
      <c r="P202" s="211" t="s">
        <v>487</v>
      </c>
      <c r="Q202" s="211">
        <v>29.9</v>
      </c>
      <c r="R202" s="211">
        <v>-0.9</v>
      </c>
      <c r="S202" s="211" t="s">
        <v>1731</v>
      </c>
    </row>
    <row r="203" spans="1:19">
      <c r="A203" s="212" t="s">
        <v>218</v>
      </c>
      <c r="B203" s="212" t="s">
        <v>202</v>
      </c>
      <c r="C203" s="233" t="s">
        <v>482</v>
      </c>
      <c r="D203" s="233" t="s">
        <v>220</v>
      </c>
      <c r="E203" s="212">
        <v>30967</v>
      </c>
      <c r="F203" s="212">
        <v>944</v>
      </c>
      <c r="G203" s="212" t="s">
        <v>1723</v>
      </c>
      <c r="H203" s="212" t="s">
        <v>1724</v>
      </c>
      <c r="I203" s="212" t="s">
        <v>110</v>
      </c>
      <c r="J203" s="212" t="s">
        <v>1744</v>
      </c>
      <c r="K203" s="212" t="s">
        <v>1745</v>
      </c>
      <c r="L203" s="227" t="s">
        <v>1729</v>
      </c>
      <c r="M203" t="s">
        <v>1734</v>
      </c>
      <c r="N203" s="211">
        <v>-12.3</v>
      </c>
      <c r="O203" s="211">
        <v>-21.123000000000001</v>
      </c>
      <c r="P203" s="211" t="s">
        <v>487</v>
      </c>
      <c r="Q203" s="211">
        <v>31.1</v>
      </c>
      <c r="R203" s="211">
        <v>0.2</v>
      </c>
      <c r="S203" s="211" t="s">
        <v>1731</v>
      </c>
    </row>
    <row r="204" spans="1:19">
      <c r="A204" s="212" t="s">
        <v>218</v>
      </c>
      <c r="B204" s="212" t="s">
        <v>202</v>
      </c>
      <c r="C204" s="233" t="s">
        <v>482</v>
      </c>
      <c r="D204" s="233" t="s">
        <v>220</v>
      </c>
      <c r="E204" s="212">
        <v>30967</v>
      </c>
      <c r="F204" s="212">
        <v>1028</v>
      </c>
      <c r="G204" s="212" t="s">
        <v>1723</v>
      </c>
      <c r="H204" s="212" t="s">
        <v>1724</v>
      </c>
      <c r="I204" s="212" t="s">
        <v>110</v>
      </c>
      <c r="J204" s="212" t="s">
        <v>104</v>
      </c>
      <c r="K204" s="212" t="s">
        <v>269</v>
      </c>
      <c r="L204" s="227" t="s">
        <v>1729</v>
      </c>
      <c r="M204" t="s">
        <v>1739</v>
      </c>
      <c r="N204" s="211">
        <v>-9.85</v>
      </c>
      <c r="O204" s="211">
        <v>-18.672999999999998</v>
      </c>
      <c r="P204" s="211" t="s">
        <v>487</v>
      </c>
      <c r="Q204" s="211">
        <v>31</v>
      </c>
      <c r="R204" s="211">
        <v>0.2</v>
      </c>
      <c r="S204" s="211" t="s">
        <v>1731</v>
      </c>
    </row>
    <row r="205" spans="1:19">
      <c r="A205" s="212" t="s">
        <v>218</v>
      </c>
      <c r="B205" s="212" t="s">
        <v>202</v>
      </c>
      <c r="C205" s="233" t="s">
        <v>482</v>
      </c>
      <c r="D205" s="233" t="s">
        <v>220</v>
      </c>
      <c r="E205" s="212">
        <v>30967</v>
      </c>
      <c r="F205" s="212">
        <v>1181</v>
      </c>
      <c r="G205" s="212" t="s">
        <v>1723</v>
      </c>
      <c r="H205" s="212" t="s">
        <v>1724</v>
      </c>
      <c r="I205" s="212" t="s">
        <v>110</v>
      </c>
      <c r="J205" s="212" t="s">
        <v>104</v>
      </c>
      <c r="K205" s="212" t="s">
        <v>269</v>
      </c>
      <c r="L205" s="227" t="s">
        <v>1729</v>
      </c>
      <c r="M205" t="s">
        <v>186</v>
      </c>
      <c r="N205" s="211">
        <v>-12.06</v>
      </c>
      <c r="O205" s="211">
        <v>-20.882999999999999</v>
      </c>
      <c r="P205" s="211" t="s">
        <v>487</v>
      </c>
      <c r="Q205" s="211">
        <v>27.1</v>
      </c>
      <c r="R205" s="211">
        <v>-3.7</v>
      </c>
      <c r="S205" s="211" t="s">
        <v>1731</v>
      </c>
    </row>
    <row r="206" spans="1:19">
      <c r="A206" s="212" t="s">
        <v>218</v>
      </c>
      <c r="B206" s="212" t="s">
        <v>202</v>
      </c>
      <c r="C206" s="233" t="s">
        <v>482</v>
      </c>
      <c r="D206" s="233" t="s">
        <v>220</v>
      </c>
      <c r="E206" s="212">
        <v>30967</v>
      </c>
      <c r="F206" s="212">
        <v>1682</v>
      </c>
      <c r="G206" s="212" t="s">
        <v>1723</v>
      </c>
      <c r="H206" s="212" t="s">
        <v>1724</v>
      </c>
      <c r="I206" s="212" t="s">
        <v>110</v>
      </c>
      <c r="J206" s="212" t="s">
        <v>104</v>
      </c>
      <c r="K206" s="212" t="s">
        <v>269</v>
      </c>
      <c r="L206" s="227" t="s">
        <v>1729</v>
      </c>
      <c r="M206" t="s">
        <v>1739</v>
      </c>
      <c r="N206" s="211">
        <v>-11.94</v>
      </c>
      <c r="O206" s="211">
        <v>-20.763000000000002</v>
      </c>
      <c r="P206" s="211" t="s">
        <v>487</v>
      </c>
      <c r="R206" s="211">
        <v>-0.9</v>
      </c>
      <c r="S206" s="211" t="s">
        <v>1731</v>
      </c>
    </row>
    <row r="207" spans="1:19">
      <c r="A207" s="212" t="s">
        <v>218</v>
      </c>
      <c r="B207" s="212" t="s">
        <v>202</v>
      </c>
      <c r="C207" s="233" t="s">
        <v>482</v>
      </c>
      <c r="D207" s="233" t="s">
        <v>220</v>
      </c>
      <c r="E207" s="212">
        <v>30967</v>
      </c>
      <c r="F207" s="212">
        <v>2585</v>
      </c>
      <c r="G207" s="212" t="s">
        <v>1723</v>
      </c>
      <c r="H207" s="212" t="s">
        <v>1724</v>
      </c>
      <c r="I207" s="212" t="s">
        <v>110</v>
      </c>
      <c r="J207" s="212" t="s">
        <v>104</v>
      </c>
      <c r="K207" s="212" t="s">
        <v>269</v>
      </c>
      <c r="L207" s="227" t="s">
        <v>1729</v>
      </c>
      <c r="M207" t="s">
        <v>1734</v>
      </c>
      <c r="N207" s="211">
        <v>-10.1</v>
      </c>
      <c r="O207" s="211">
        <v>-18.922999999999998</v>
      </c>
      <c r="P207" s="211" t="s">
        <v>487</v>
      </c>
      <c r="Q207" s="211">
        <v>30.3</v>
      </c>
      <c r="R207" s="211">
        <v>-0.6</v>
      </c>
      <c r="S207" s="211" t="s">
        <v>1731</v>
      </c>
    </row>
    <row r="208" spans="1:19">
      <c r="A208" s="212" t="s">
        <v>218</v>
      </c>
      <c r="B208" s="212" t="s">
        <v>202</v>
      </c>
      <c r="C208" s="233" t="s">
        <v>482</v>
      </c>
      <c r="D208" s="233" t="s">
        <v>220</v>
      </c>
      <c r="E208" s="212">
        <v>30967</v>
      </c>
      <c r="F208" s="212">
        <v>874</v>
      </c>
      <c r="G208" s="212" t="s">
        <v>1723</v>
      </c>
      <c r="H208" s="212" t="s">
        <v>1724</v>
      </c>
      <c r="I208" s="212" t="s">
        <v>110</v>
      </c>
      <c r="J208" s="212" t="s">
        <v>104</v>
      </c>
      <c r="K208" s="212" t="s">
        <v>269</v>
      </c>
      <c r="L208" s="227" t="s">
        <v>1725</v>
      </c>
      <c r="M208" t="s">
        <v>1750</v>
      </c>
      <c r="N208" s="211">
        <v>-27.2</v>
      </c>
      <c r="O208" s="211" t="s">
        <v>1731</v>
      </c>
      <c r="P208" s="211" t="s">
        <v>463</v>
      </c>
      <c r="S208" s="211" t="s">
        <v>1731</v>
      </c>
    </row>
    <row r="209" spans="1:21">
      <c r="A209" s="212" t="s">
        <v>218</v>
      </c>
      <c r="B209" s="212" t="s">
        <v>202</v>
      </c>
      <c r="C209" s="233" t="s">
        <v>482</v>
      </c>
      <c r="D209" s="233" t="s">
        <v>220</v>
      </c>
      <c r="E209" s="212">
        <v>30967</v>
      </c>
      <c r="F209" s="212">
        <v>1778</v>
      </c>
      <c r="G209" s="212" t="s">
        <v>1723</v>
      </c>
      <c r="H209" s="212" t="s">
        <v>1724</v>
      </c>
      <c r="I209" s="212" t="s">
        <v>110</v>
      </c>
      <c r="J209" s="212" t="s">
        <v>104</v>
      </c>
      <c r="K209" s="212" t="s">
        <v>269</v>
      </c>
      <c r="L209" s="227" t="s">
        <v>1725</v>
      </c>
      <c r="M209" t="s">
        <v>205</v>
      </c>
      <c r="N209" s="211" t="s">
        <v>463</v>
      </c>
      <c r="O209" s="211" t="s">
        <v>1731</v>
      </c>
      <c r="P209" s="211" t="s">
        <v>463</v>
      </c>
      <c r="S209" s="211" t="s">
        <v>1731</v>
      </c>
    </row>
    <row r="210" spans="1:21" ht="19">
      <c r="A210" s="212" t="s">
        <v>218</v>
      </c>
      <c r="B210" s="212" t="s">
        <v>221</v>
      </c>
      <c r="C210" s="233" t="s">
        <v>1025</v>
      </c>
      <c r="D210" s="234" t="s">
        <v>1806</v>
      </c>
      <c r="E210" s="212">
        <v>804</v>
      </c>
      <c r="F210" s="212">
        <v>85</v>
      </c>
      <c r="G210" s="212" t="s">
        <v>1723</v>
      </c>
      <c r="H210" s="212" t="s">
        <v>1724</v>
      </c>
      <c r="I210" s="212" t="s">
        <v>1209</v>
      </c>
      <c r="J210" s="212" t="s">
        <v>104</v>
      </c>
      <c r="K210" s="227" t="s">
        <v>269</v>
      </c>
      <c r="L210" s="227" t="s">
        <v>1729</v>
      </c>
      <c r="M210" t="s">
        <v>1739</v>
      </c>
      <c r="N210" s="211">
        <v>-9.49</v>
      </c>
      <c r="O210" s="211">
        <v>-18.312999999999999</v>
      </c>
      <c r="P210" s="211" t="s">
        <v>487</v>
      </c>
      <c r="R210" s="211">
        <v>-5.4</v>
      </c>
      <c r="S210" s="211" t="s">
        <v>1731</v>
      </c>
      <c r="U210" s="215"/>
    </row>
    <row r="211" spans="1:21" ht="19">
      <c r="A211" s="212" t="s">
        <v>218</v>
      </c>
      <c r="B211" s="212" t="s">
        <v>221</v>
      </c>
      <c r="C211" s="233" t="s">
        <v>222</v>
      </c>
      <c r="D211" s="234" t="s">
        <v>151</v>
      </c>
      <c r="E211" s="212">
        <v>804</v>
      </c>
      <c r="F211" s="212">
        <v>110</v>
      </c>
      <c r="G211" s="212" t="s">
        <v>1723</v>
      </c>
      <c r="H211" s="212" t="s">
        <v>1724</v>
      </c>
      <c r="I211" s="212" t="s">
        <v>1209</v>
      </c>
      <c r="J211" s="212" t="s">
        <v>104</v>
      </c>
      <c r="K211" s="227" t="s">
        <v>269</v>
      </c>
      <c r="L211" s="227" t="s">
        <v>1725</v>
      </c>
      <c r="M211" t="s">
        <v>205</v>
      </c>
      <c r="N211" s="211">
        <v>-19.100000000000001</v>
      </c>
      <c r="O211" s="211">
        <v>-19.100000000000001</v>
      </c>
      <c r="P211" s="211">
        <v>5.4</v>
      </c>
      <c r="S211" s="211">
        <v>2.8</v>
      </c>
    </row>
    <row r="212" spans="1:21" ht="19">
      <c r="A212" s="212" t="s">
        <v>218</v>
      </c>
      <c r="B212" s="212" t="s">
        <v>221</v>
      </c>
      <c r="C212" s="233" t="s">
        <v>222</v>
      </c>
      <c r="D212" s="234" t="s">
        <v>151</v>
      </c>
      <c r="E212" s="212">
        <v>804</v>
      </c>
      <c r="F212" s="212">
        <v>141</v>
      </c>
      <c r="G212" s="212" t="s">
        <v>1723</v>
      </c>
      <c r="H212" s="212" t="s">
        <v>1724</v>
      </c>
      <c r="I212" s="212" t="s">
        <v>1209</v>
      </c>
      <c r="J212" s="212" t="s">
        <v>104</v>
      </c>
      <c r="K212" s="212" t="s">
        <v>269</v>
      </c>
      <c r="L212" s="227" t="s">
        <v>1725</v>
      </c>
      <c r="M212" t="s">
        <v>205</v>
      </c>
      <c r="N212" s="211">
        <v>-19.399999999999999</v>
      </c>
      <c r="O212" s="211">
        <v>-19.399999999999999</v>
      </c>
      <c r="P212" s="211">
        <v>5.3</v>
      </c>
      <c r="S212" s="211">
        <v>2.8</v>
      </c>
    </row>
    <row r="213" spans="1:21" ht="19">
      <c r="A213" s="212" t="s">
        <v>218</v>
      </c>
      <c r="B213" s="212" t="s">
        <v>221</v>
      </c>
      <c r="C213" s="233" t="s">
        <v>222</v>
      </c>
      <c r="D213" s="234" t="s">
        <v>151</v>
      </c>
      <c r="E213" s="212">
        <v>908</v>
      </c>
      <c r="F213" s="212">
        <v>84</v>
      </c>
      <c r="G213" s="212" t="s">
        <v>1723</v>
      </c>
      <c r="H213" s="212" t="s">
        <v>1724</v>
      </c>
      <c r="I213" s="212" t="s">
        <v>250</v>
      </c>
      <c r="J213" s="212" t="s">
        <v>225</v>
      </c>
      <c r="K213" s="212" t="s">
        <v>269</v>
      </c>
      <c r="L213" s="227" t="s">
        <v>1729</v>
      </c>
      <c r="M213" t="s">
        <v>1545</v>
      </c>
      <c r="N213" s="211">
        <v>-13.43</v>
      </c>
      <c r="O213" s="211">
        <v>-22.253</v>
      </c>
      <c r="P213" s="211" t="s">
        <v>487</v>
      </c>
      <c r="Q213" s="211">
        <v>30.6</v>
      </c>
      <c r="R213" s="211">
        <v>-0.2</v>
      </c>
      <c r="S213" s="211" t="s">
        <v>1731</v>
      </c>
    </row>
    <row r="214" spans="1:21" ht="19">
      <c r="A214" s="212" t="s">
        <v>218</v>
      </c>
      <c r="B214" s="212" t="s">
        <v>221</v>
      </c>
      <c r="C214" s="233" t="s">
        <v>222</v>
      </c>
      <c r="D214" s="234" t="s">
        <v>151</v>
      </c>
      <c r="E214" s="212">
        <v>908</v>
      </c>
      <c r="F214" s="212">
        <v>131</v>
      </c>
      <c r="G214" s="212" t="s">
        <v>1723</v>
      </c>
      <c r="H214" s="212" t="s">
        <v>1724</v>
      </c>
      <c r="I214" s="212" t="s">
        <v>250</v>
      </c>
      <c r="J214" s="212" t="s">
        <v>225</v>
      </c>
      <c r="K214" s="212" t="s">
        <v>269</v>
      </c>
      <c r="L214" s="227" t="s">
        <v>1725</v>
      </c>
      <c r="M214" t="s">
        <v>205</v>
      </c>
      <c r="N214" s="211">
        <v>-20.7</v>
      </c>
      <c r="O214" s="211">
        <v>-20.7</v>
      </c>
      <c r="P214" s="211">
        <v>5.3</v>
      </c>
      <c r="S214" s="211">
        <v>2.9</v>
      </c>
    </row>
    <row r="215" spans="1:21" ht="19">
      <c r="A215" s="212" t="s">
        <v>218</v>
      </c>
      <c r="B215" s="212" t="s">
        <v>221</v>
      </c>
      <c r="C215" s="233" t="s">
        <v>222</v>
      </c>
      <c r="D215" s="234" t="s">
        <v>151</v>
      </c>
      <c r="E215" s="212">
        <v>908</v>
      </c>
      <c r="F215" s="212">
        <v>263</v>
      </c>
      <c r="G215" s="212" t="s">
        <v>1723</v>
      </c>
      <c r="H215" s="212" t="s">
        <v>1724</v>
      </c>
      <c r="I215" s="212" t="s">
        <v>250</v>
      </c>
      <c r="J215" s="212" t="s">
        <v>225</v>
      </c>
      <c r="K215" s="227" t="s">
        <v>269</v>
      </c>
      <c r="L215" s="227" t="s">
        <v>1725</v>
      </c>
      <c r="M215" t="s">
        <v>1726</v>
      </c>
      <c r="N215" s="211">
        <v>-18.8</v>
      </c>
      <c r="O215" s="211">
        <v>-18.8</v>
      </c>
      <c r="P215" s="211">
        <v>6.9</v>
      </c>
      <c r="S215" s="211">
        <v>3</v>
      </c>
    </row>
    <row r="216" spans="1:21" ht="19">
      <c r="A216" s="212" t="s">
        <v>218</v>
      </c>
      <c r="B216" s="212" t="s">
        <v>221</v>
      </c>
      <c r="C216" s="233" t="s">
        <v>222</v>
      </c>
      <c r="D216" s="234" t="s">
        <v>151</v>
      </c>
      <c r="E216" s="212">
        <v>908</v>
      </c>
      <c r="F216" s="212">
        <v>330</v>
      </c>
      <c r="G216" s="212" t="s">
        <v>1723</v>
      </c>
      <c r="H216" s="212" t="s">
        <v>1724</v>
      </c>
      <c r="I216" s="212" t="s">
        <v>250</v>
      </c>
      <c r="J216" s="212" t="s">
        <v>225</v>
      </c>
      <c r="K216" s="227" t="s">
        <v>269</v>
      </c>
      <c r="L216" s="227" t="s">
        <v>1725</v>
      </c>
      <c r="M216" t="s">
        <v>205</v>
      </c>
      <c r="N216" s="211">
        <v>-17.899999999999999</v>
      </c>
      <c r="O216" s="211">
        <v>-17.899999999999999</v>
      </c>
      <c r="P216" s="211">
        <v>7.3</v>
      </c>
      <c r="S216" s="211">
        <v>2.9</v>
      </c>
    </row>
    <row r="217" spans="1:21" ht="19">
      <c r="A217" s="212" t="s">
        <v>218</v>
      </c>
      <c r="B217" s="212" t="s">
        <v>221</v>
      </c>
      <c r="C217" s="233" t="s">
        <v>222</v>
      </c>
      <c r="D217" s="234" t="s">
        <v>151</v>
      </c>
      <c r="E217" s="212">
        <v>908</v>
      </c>
      <c r="F217" s="212">
        <v>360</v>
      </c>
      <c r="G217" s="212" t="s">
        <v>1723</v>
      </c>
      <c r="H217" s="212" t="s">
        <v>1724</v>
      </c>
      <c r="I217" s="212" t="s">
        <v>250</v>
      </c>
      <c r="J217" s="212" t="s">
        <v>225</v>
      </c>
      <c r="K217" s="212" t="s">
        <v>269</v>
      </c>
      <c r="L217" s="227" t="s">
        <v>1725</v>
      </c>
      <c r="M217" t="s">
        <v>1726</v>
      </c>
      <c r="N217" s="211">
        <v>-19.899999999999999</v>
      </c>
      <c r="O217" s="211">
        <v>-19.899999999999999</v>
      </c>
      <c r="P217" s="211">
        <v>5.6</v>
      </c>
      <c r="S217" s="211">
        <v>3</v>
      </c>
    </row>
    <row r="218" spans="1:21" ht="19">
      <c r="A218" s="212" t="s">
        <v>218</v>
      </c>
      <c r="B218" s="212" t="s">
        <v>221</v>
      </c>
      <c r="C218" s="233" t="s">
        <v>222</v>
      </c>
      <c r="D218" s="234" t="s">
        <v>151</v>
      </c>
      <c r="E218" s="212">
        <v>908</v>
      </c>
      <c r="F218" s="212">
        <v>403</v>
      </c>
      <c r="G218" s="212" t="s">
        <v>1723</v>
      </c>
      <c r="H218" s="212" t="s">
        <v>1724</v>
      </c>
      <c r="I218" s="212" t="s">
        <v>250</v>
      </c>
      <c r="J218" s="212" t="s">
        <v>225</v>
      </c>
      <c r="K218" s="227" t="s">
        <v>269</v>
      </c>
      <c r="L218" s="227" t="s">
        <v>1725</v>
      </c>
      <c r="M218" t="s">
        <v>1807</v>
      </c>
      <c r="N218" s="211">
        <v>-18.100000000000001</v>
      </c>
      <c r="O218" s="211">
        <v>-18.100000000000001</v>
      </c>
      <c r="P218" s="211">
        <v>8.1</v>
      </c>
      <c r="S218" s="211">
        <v>3</v>
      </c>
    </row>
    <row r="219" spans="1:21" ht="19">
      <c r="A219" s="212" t="s">
        <v>218</v>
      </c>
      <c r="B219" s="212" t="s">
        <v>221</v>
      </c>
      <c r="C219" s="233" t="s">
        <v>222</v>
      </c>
      <c r="D219" s="234" t="s">
        <v>151</v>
      </c>
      <c r="E219" s="212">
        <v>908</v>
      </c>
      <c r="F219" s="212">
        <v>709</v>
      </c>
      <c r="G219" s="212" t="s">
        <v>1723</v>
      </c>
      <c r="H219" s="212" t="s">
        <v>1724</v>
      </c>
      <c r="I219" s="212" t="s">
        <v>250</v>
      </c>
      <c r="J219" s="212" t="s">
        <v>225</v>
      </c>
      <c r="K219" s="227" t="s">
        <v>269</v>
      </c>
      <c r="L219" s="227" t="s">
        <v>1725</v>
      </c>
      <c r="M219" t="s">
        <v>1748</v>
      </c>
      <c r="N219" s="211">
        <v>-17.600000000000001</v>
      </c>
      <c r="O219" s="211">
        <v>-17.600000000000001</v>
      </c>
      <c r="P219" s="211">
        <v>6.6</v>
      </c>
      <c r="S219" s="211">
        <v>2.8</v>
      </c>
    </row>
    <row r="220" spans="1:21" ht="19">
      <c r="A220" s="212" t="s">
        <v>218</v>
      </c>
      <c r="B220" s="212" t="s">
        <v>221</v>
      </c>
      <c r="C220" s="233" t="s">
        <v>222</v>
      </c>
      <c r="D220" s="234" t="s">
        <v>151</v>
      </c>
      <c r="E220" s="212">
        <v>908</v>
      </c>
      <c r="F220" s="212">
        <v>818</v>
      </c>
      <c r="G220" s="212" t="s">
        <v>1723</v>
      </c>
      <c r="H220" s="212" t="s">
        <v>1724</v>
      </c>
      <c r="I220" s="212" t="s">
        <v>250</v>
      </c>
      <c r="J220" s="212" t="s">
        <v>225</v>
      </c>
      <c r="K220" s="212" t="s">
        <v>269</v>
      </c>
      <c r="L220" s="227" t="s">
        <v>1725</v>
      </c>
      <c r="M220" t="s">
        <v>1748</v>
      </c>
      <c r="N220" s="211">
        <v>-19.899999999999999</v>
      </c>
      <c r="O220" s="211">
        <v>-19.899999999999999</v>
      </c>
      <c r="P220" s="211">
        <v>6.1</v>
      </c>
      <c r="S220" s="211">
        <v>3</v>
      </c>
    </row>
    <row r="221" spans="1:21" ht="19">
      <c r="A221" s="212" t="s">
        <v>218</v>
      </c>
      <c r="B221" s="212" t="s">
        <v>221</v>
      </c>
      <c r="C221" s="233" t="s">
        <v>222</v>
      </c>
      <c r="D221" s="234" t="s">
        <v>151</v>
      </c>
      <c r="E221" s="212">
        <v>908</v>
      </c>
      <c r="F221" s="212">
        <v>825</v>
      </c>
      <c r="G221" s="212" t="s">
        <v>1723</v>
      </c>
      <c r="H221" s="212" t="s">
        <v>1724</v>
      </c>
      <c r="I221" s="212" t="s">
        <v>250</v>
      </c>
      <c r="J221" s="212" t="s">
        <v>225</v>
      </c>
      <c r="K221" s="212" t="s">
        <v>269</v>
      </c>
      <c r="L221" s="227" t="s">
        <v>1725</v>
      </c>
      <c r="M221" t="s">
        <v>205</v>
      </c>
      <c r="N221" s="211">
        <v>-19.8</v>
      </c>
      <c r="O221" s="211">
        <v>-19.8</v>
      </c>
      <c r="P221" s="211">
        <v>6</v>
      </c>
      <c r="S221" s="211">
        <v>3</v>
      </c>
    </row>
    <row r="222" spans="1:21" ht="19">
      <c r="A222" s="212" t="s">
        <v>218</v>
      </c>
      <c r="B222" s="212" t="s">
        <v>221</v>
      </c>
      <c r="C222" s="233" t="s">
        <v>222</v>
      </c>
      <c r="D222" s="234" t="s">
        <v>151</v>
      </c>
      <c r="E222" s="212">
        <v>908</v>
      </c>
      <c r="F222" s="212">
        <v>826</v>
      </c>
      <c r="G222" s="212" t="s">
        <v>1723</v>
      </c>
      <c r="H222" s="212" t="s">
        <v>1724</v>
      </c>
      <c r="I222" s="212" t="s">
        <v>250</v>
      </c>
      <c r="J222" s="212" t="s">
        <v>1728</v>
      </c>
      <c r="K222" s="227" t="s">
        <v>269</v>
      </c>
      <c r="L222" s="227" t="s">
        <v>1725</v>
      </c>
      <c r="M222" t="s">
        <v>1738</v>
      </c>
      <c r="N222" s="211">
        <v>-18.14</v>
      </c>
      <c r="O222" s="211">
        <v>-18.100000000000001</v>
      </c>
      <c r="P222" s="211">
        <v>5.4</v>
      </c>
      <c r="S222" s="211">
        <v>2.8</v>
      </c>
    </row>
    <row r="223" spans="1:21" ht="19">
      <c r="A223" s="212" t="s">
        <v>218</v>
      </c>
      <c r="B223" s="212" t="s">
        <v>221</v>
      </c>
      <c r="C223" s="233" t="s">
        <v>222</v>
      </c>
      <c r="D223" s="234" t="s">
        <v>151</v>
      </c>
      <c r="E223" s="212">
        <v>908</v>
      </c>
      <c r="F223" s="212">
        <v>1438</v>
      </c>
      <c r="G223" s="212" t="s">
        <v>1723</v>
      </c>
      <c r="H223" s="212" t="s">
        <v>1724</v>
      </c>
      <c r="I223" s="212" t="s">
        <v>250</v>
      </c>
      <c r="J223" s="212" t="s">
        <v>225</v>
      </c>
      <c r="K223" s="227" t="s">
        <v>269</v>
      </c>
      <c r="L223" s="227" t="s">
        <v>1725</v>
      </c>
      <c r="M223" t="s">
        <v>1756</v>
      </c>
      <c r="N223" s="211">
        <v>-19.7</v>
      </c>
      <c r="O223" s="211">
        <v>-19.7</v>
      </c>
      <c r="P223" s="211">
        <v>5.3</v>
      </c>
      <c r="S223" s="211">
        <v>2.8</v>
      </c>
    </row>
    <row r="224" spans="1:21" ht="19">
      <c r="A224" s="212" t="s">
        <v>218</v>
      </c>
      <c r="B224" s="212" t="s">
        <v>221</v>
      </c>
      <c r="C224" s="233" t="s">
        <v>222</v>
      </c>
      <c r="D224" s="234" t="s">
        <v>151</v>
      </c>
      <c r="E224" s="212">
        <v>908</v>
      </c>
      <c r="F224" s="212">
        <v>1629</v>
      </c>
      <c r="G224" s="212" t="s">
        <v>1723</v>
      </c>
      <c r="H224" s="212" t="s">
        <v>1724</v>
      </c>
      <c r="I224" s="212" t="s">
        <v>250</v>
      </c>
      <c r="J224" s="212" t="s">
        <v>225</v>
      </c>
      <c r="K224" s="227" t="s">
        <v>269</v>
      </c>
      <c r="L224" s="227" t="s">
        <v>1725</v>
      </c>
      <c r="M224" t="s">
        <v>1748</v>
      </c>
      <c r="N224" s="211">
        <v>-19.3</v>
      </c>
      <c r="O224" s="211">
        <v>-19.3</v>
      </c>
      <c r="P224" s="211">
        <v>6.1</v>
      </c>
      <c r="S224" s="211">
        <v>2.9</v>
      </c>
    </row>
    <row r="225" spans="1:21" ht="19">
      <c r="A225" s="212" t="s">
        <v>218</v>
      </c>
      <c r="B225" s="212" t="s">
        <v>221</v>
      </c>
      <c r="C225" s="233" t="s">
        <v>222</v>
      </c>
      <c r="D225" s="234" t="s">
        <v>151</v>
      </c>
      <c r="E225" s="212">
        <v>908</v>
      </c>
      <c r="F225" s="212">
        <v>1672</v>
      </c>
      <c r="G225" s="212" t="s">
        <v>1723</v>
      </c>
      <c r="H225" s="212" t="s">
        <v>1724</v>
      </c>
      <c r="I225" s="212" t="s">
        <v>250</v>
      </c>
      <c r="J225" s="212" t="s">
        <v>225</v>
      </c>
      <c r="K225" s="227" t="s">
        <v>269</v>
      </c>
      <c r="L225" s="227" t="s">
        <v>1725</v>
      </c>
      <c r="M225" t="s">
        <v>205</v>
      </c>
      <c r="N225" s="211">
        <v>-17.5</v>
      </c>
      <c r="O225" s="211">
        <v>-17.5</v>
      </c>
      <c r="P225" s="211">
        <v>7.5</v>
      </c>
      <c r="R225" s="211">
        <v>-0.8</v>
      </c>
      <c r="S225" s="211">
        <v>2.9</v>
      </c>
      <c r="U225" s="212" t="s">
        <v>1808</v>
      </c>
    </row>
    <row r="226" spans="1:21" ht="19">
      <c r="A226" s="212" t="s">
        <v>218</v>
      </c>
      <c r="B226" s="212" t="s">
        <v>221</v>
      </c>
      <c r="C226" s="233" t="s">
        <v>222</v>
      </c>
      <c r="D226" s="234" t="s">
        <v>151</v>
      </c>
      <c r="E226" s="212">
        <v>908</v>
      </c>
      <c r="F226" s="212">
        <v>1756</v>
      </c>
      <c r="G226" s="212" t="s">
        <v>1723</v>
      </c>
      <c r="H226" s="212" t="s">
        <v>1724</v>
      </c>
      <c r="I226" s="212" t="s">
        <v>250</v>
      </c>
      <c r="J226" s="212" t="s">
        <v>225</v>
      </c>
      <c r="K226" s="212" t="s">
        <v>269</v>
      </c>
      <c r="L226" s="227" t="s">
        <v>1729</v>
      </c>
      <c r="M226" t="s">
        <v>1746</v>
      </c>
      <c r="N226" s="211">
        <v>-9.91</v>
      </c>
      <c r="O226" s="211">
        <v>-18.733000000000001</v>
      </c>
      <c r="P226" s="211" t="s">
        <v>487</v>
      </c>
      <c r="Q226" s="211">
        <v>29.8</v>
      </c>
      <c r="R226" s="211">
        <v>-1</v>
      </c>
      <c r="S226" s="211" t="s">
        <v>1731</v>
      </c>
    </row>
    <row r="227" spans="1:21" ht="19">
      <c r="A227" s="212" t="s">
        <v>218</v>
      </c>
      <c r="B227" s="212" t="s">
        <v>221</v>
      </c>
      <c r="C227" s="233" t="s">
        <v>222</v>
      </c>
      <c r="D227" s="234" t="s">
        <v>151</v>
      </c>
      <c r="E227" s="212">
        <v>908</v>
      </c>
      <c r="F227" s="212">
        <v>1879</v>
      </c>
      <c r="G227" s="212" t="s">
        <v>1723</v>
      </c>
      <c r="H227" s="212" t="s">
        <v>1724</v>
      </c>
      <c r="I227" s="212" t="s">
        <v>250</v>
      </c>
      <c r="J227" s="212" t="s">
        <v>225</v>
      </c>
      <c r="K227" s="227" t="s">
        <v>269</v>
      </c>
      <c r="L227" s="227" t="s">
        <v>1725</v>
      </c>
      <c r="M227" t="s">
        <v>1748</v>
      </c>
      <c r="N227" s="211">
        <v>-18.5</v>
      </c>
      <c r="O227" s="211">
        <v>-18.5</v>
      </c>
      <c r="P227" s="211">
        <v>7.7</v>
      </c>
      <c r="S227" s="211">
        <v>2.8</v>
      </c>
    </row>
    <row r="228" spans="1:21" ht="19">
      <c r="A228" s="212" t="s">
        <v>218</v>
      </c>
      <c r="B228" s="212" t="s">
        <v>221</v>
      </c>
      <c r="C228" s="233" t="s">
        <v>222</v>
      </c>
      <c r="D228" s="234" t="s">
        <v>151</v>
      </c>
      <c r="E228" s="212">
        <v>908</v>
      </c>
      <c r="F228" s="212">
        <v>2184</v>
      </c>
      <c r="G228" s="212" t="s">
        <v>1723</v>
      </c>
      <c r="H228" s="212" t="s">
        <v>1724</v>
      </c>
      <c r="I228" s="212" t="s">
        <v>250</v>
      </c>
      <c r="J228" s="212" t="s">
        <v>225</v>
      </c>
      <c r="K228" s="227" t="s">
        <v>269</v>
      </c>
      <c r="L228" s="227" t="s">
        <v>1725</v>
      </c>
      <c r="M228" t="s">
        <v>205</v>
      </c>
      <c r="N228" s="211">
        <v>-20.8</v>
      </c>
      <c r="O228" s="211">
        <v>-20.8</v>
      </c>
      <c r="P228" s="211">
        <v>5.2</v>
      </c>
      <c r="S228" s="211">
        <v>2.8</v>
      </c>
    </row>
    <row r="229" spans="1:21" ht="19">
      <c r="A229" s="212" t="s">
        <v>218</v>
      </c>
      <c r="B229" s="212" t="s">
        <v>221</v>
      </c>
      <c r="C229" s="233" t="s">
        <v>222</v>
      </c>
      <c r="D229" s="234" t="s">
        <v>151</v>
      </c>
      <c r="E229" s="212">
        <v>908</v>
      </c>
      <c r="F229" s="212">
        <v>2229</v>
      </c>
      <c r="G229" s="212" t="s">
        <v>1723</v>
      </c>
      <c r="H229" s="212" t="s">
        <v>1724</v>
      </c>
      <c r="I229" s="212" t="s">
        <v>250</v>
      </c>
      <c r="J229" s="212" t="s">
        <v>225</v>
      </c>
      <c r="K229" s="227" t="s">
        <v>269</v>
      </c>
      <c r="L229" s="227" t="s">
        <v>1725</v>
      </c>
      <c r="M229" t="s">
        <v>1748</v>
      </c>
      <c r="N229" s="211">
        <v>-20.100000000000001</v>
      </c>
      <c r="O229" s="211">
        <v>-20.100000000000001</v>
      </c>
      <c r="P229" s="211">
        <v>5.8</v>
      </c>
      <c r="S229" s="211">
        <v>3</v>
      </c>
    </row>
    <row r="230" spans="1:21" ht="19">
      <c r="A230" s="212" t="s">
        <v>218</v>
      </c>
      <c r="B230" s="212" t="s">
        <v>221</v>
      </c>
      <c r="C230" s="233" t="s">
        <v>222</v>
      </c>
      <c r="D230" s="234" t="s">
        <v>151</v>
      </c>
      <c r="E230" s="212">
        <v>908</v>
      </c>
      <c r="F230" s="212">
        <v>2255</v>
      </c>
      <c r="G230" s="212" t="s">
        <v>1723</v>
      </c>
      <c r="H230" s="212" t="s">
        <v>1724</v>
      </c>
      <c r="I230" s="212" t="s">
        <v>250</v>
      </c>
      <c r="J230" s="212" t="s">
        <v>225</v>
      </c>
      <c r="K230" s="227" t="s">
        <v>269</v>
      </c>
      <c r="L230" s="227" t="s">
        <v>1725</v>
      </c>
      <c r="M230" t="s">
        <v>1118</v>
      </c>
      <c r="N230" s="211">
        <v>-20.7</v>
      </c>
      <c r="O230" s="211">
        <v>-20.7</v>
      </c>
      <c r="P230" s="211">
        <v>5.3</v>
      </c>
      <c r="S230" s="211">
        <v>2.9</v>
      </c>
    </row>
    <row r="231" spans="1:21" ht="19">
      <c r="A231" s="212" t="s">
        <v>218</v>
      </c>
      <c r="B231" s="212" t="s">
        <v>221</v>
      </c>
      <c r="C231" s="233" t="s">
        <v>222</v>
      </c>
      <c r="D231" s="234" t="s">
        <v>151</v>
      </c>
      <c r="E231" s="212">
        <v>908</v>
      </c>
      <c r="F231" s="212">
        <v>2280</v>
      </c>
      <c r="G231" s="212" t="s">
        <v>1723</v>
      </c>
      <c r="H231" s="212" t="s">
        <v>1724</v>
      </c>
      <c r="I231" s="212" t="s">
        <v>250</v>
      </c>
      <c r="J231" s="212" t="s">
        <v>225</v>
      </c>
      <c r="K231" s="212" t="s">
        <v>269</v>
      </c>
      <c r="L231" s="227" t="s">
        <v>1725</v>
      </c>
      <c r="M231" t="s">
        <v>205</v>
      </c>
      <c r="N231" s="211">
        <v>-17.899999999999999</v>
      </c>
      <c r="O231" s="211">
        <v>-17.899999999999999</v>
      </c>
      <c r="P231" s="211">
        <v>5.9</v>
      </c>
      <c r="S231" s="211">
        <v>2.9</v>
      </c>
    </row>
    <row r="232" spans="1:21" ht="19">
      <c r="A232" s="212" t="s">
        <v>218</v>
      </c>
      <c r="B232" s="212" t="s">
        <v>221</v>
      </c>
      <c r="C232" s="233" t="s">
        <v>222</v>
      </c>
      <c r="D232" s="234" t="s">
        <v>151</v>
      </c>
      <c r="E232" s="212">
        <v>908</v>
      </c>
      <c r="F232" s="212">
        <v>3255</v>
      </c>
      <c r="G232" s="212" t="s">
        <v>1723</v>
      </c>
      <c r="H232" s="212" t="s">
        <v>1724</v>
      </c>
      <c r="I232" s="212" t="s">
        <v>250</v>
      </c>
      <c r="J232" s="212" t="s">
        <v>225</v>
      </c>
      <c r="K232" s="227" t="s">
        <v>269</v>
      </c>
      <c r="L232" s="227" t="s">
        <v>1725</v>
      </c>
      <c r="M232" t="s">
        <v>1736</v>
      </c>
      <c r="N232" s="211">
        <v>-19.8</v>
      </c>
      <c r="O232" s="211">
        <v>-19.8</v>
      </c>
      <c r="P232" s="211">
        <v>5.4</v>
      </c>
      <c r="S232" s="211">
        <v>2.8</v>
      </c>
    </row>
    <row r="233" spans="1:21" ht="19">
      <c r="A233" s="212" t="s">
        <v>218</v>
      </c>
      <c r="B233" s="212" t="s">
        <v>221</v>
      </c>
      <c r="C233" s="233" t="s">
        <v>222</v>
      </c>
      <c r="D233" s="234" t="s">
        <v>151</v>
      </c>
      <c r="E233" s="212">
        <v>908</v>
      </c>
      <c r="F233" s="212">
        <v>3306</v>
      </c>
      <c r="G233" s="212" t="s">
        <v>1723</v>
      </c>
      <c r="H233" s="212" t="s">
        <v>1724</v>
      </c>
      <c r="I233" s="212" t="s">
        <v>250</v>
      </c>
      <c r="J233" s="212" t="s">
        <v>225</v>
      </c>
      <c r="K233" s="227" t="s">
        <v>269</v>
      </c>
      <c r="L233" s="227" t="s">
        <v>1725</v>
      </c>
      <c r="M233" t="s">
        <v>1332</v>
      </c>
      <c r="N233" s="211">
        <v>-19.399999999999999</v>
      </c>
      <c r="O233" s="211">
        <v>-19.399999999999999</v>
      </c>
      <c r="P233" s="211">
        <v>7.1</v>
      </c>
      <c r="S233" s="211">
        <v>2.9</v>
      </c>
    </row>
    <row r="234" spans="1:21" ht="19">
      <c r="A234" s="212" t="s">
        <v>218</v>
      </c>
      <c r="B234" s="212" t="s">
        <v>221</v>
      </c>
      <c r="C234" s="233" t="s">
        <v>222</v>
      </c>
      <c r="D234" s="234" t="s">
        <v>151</v>
      </c>
      <c r="E234" s="212">
        <v>908</v>
      </c>
      <c r="F234" s="212">
        <v>3348</v>
      </c>
      <c r="G234" s="212" t="s">
        <v>1723</v>
      </c>
      <c r="H234" s="212" t="s">
        <v>1724</v>
      </c>
      <c r="I234" s="212" t="s">
        <v>250</v>
      </c>
      <c r="J234" s="212" t="s">
        <v>225</v>
      </c>
      <c r="K234" s="227" t="s">
        <v>269</v>
      </c>
      <c r="L234" s="227" t="s">
        <v>1725</v>
      </c>
      <c r="M234" t="s">
        <v>205</v>
      </c>
      <c r="N234" s="211">
        <v>-20.399999999999999</v>
      </c>
      <c r="O234" s="211">
        <v>-20.399999999999999</v>
      </c>
      <c r="P234" s="211">
        <v>5.8</v>
      </c>
      <c r="S234" s="211">
        <v>2.9</v>
      </c>
    </row>
    <row r="235" spans="1:21" ht="19">
      <c r="A235" s="212" t="s">
        <v>218</v>
      </c>
      <c r="B235" s="212" t="s">
        <v>221</v>
      </c>
      <c r="C235" s="233" t="s">
        <v>222</v>
      </c>
      <c r="D235" s="234" t="s">
        <v>151</v>
      </c>
      <c r="E235" s="212">
        <v>908</v>
      </c>
      <c r="F235" s="212">
        <v>3469</v>
      </c>
      <c r="G235" s="212" t="s">
        <v>1723</v>
      </c>
      <c r="H235" s="212" t="s">
        <v>1724</v>
      </c>
      <c r="I235" s="212" t="s">
        <v>250</v>
      </c>
      <c r="J235" s="212" t="s">
        <v>104</v>
      </c>
      <c r="K235" s="227" t="s">
        <v>269</v>
      </c>
      <c r="L235" s="227" t="s">
        <v>1725</v>
      </c>
      <c r="M235" t="s">
        <v>1738</v>
      </c>
      <c r="N235" s="211">
        <v>-19.5</v>
      </c>
      <c r="O235" s="211">
        <v>-19.5</v>
      </c>
      <c r="P235" s="211">
        <v>4.7</v>
      </c>
      <c r="S235" s="211">
        <v>2.9</v>
      </c>
    </row>
    <row r="236" spans="1:21" ht="19">
      <c r="A236" s="212" t="s">
        <v>218</v>
      </c>
      <c r="B236" s="212" t="s">
        <v>221</v>
      </c>
      <c r="C236" s="233" t="s">
        <v>222</v>
      </c>
      <c r="D236" s="234" t="s">
        <v>151</v>
      </c>
      <c r="E236" s="212">
        <v>908</v>
      </c>
      <c r="F236" s="212">
        <v>3614</v>
      </c>
      <c r="G236" s="212" t="s">
        <v>1723</v>
      </c>
      <c r="H236" s="212" t="s">
        <v>1724</v>
      </c>
      <c r="I236" s="212" t="s">
        <v>250</v>
      </c>
      <c r="J236" s="212" t="s">
        <v>225</v>
      </c>
      <c r="K236" s="227" t="s">
        <v>269</v>
      </c>
      <c r="L236" s="227" t="s">
        <v>1725</v>
      </c>
      <c r="M236" t="s">
        <v>205</v>
      </c>
      <c r="N236" s="211">
        <v>-20.399999999999999</v>
      </c>
      <c r="O236" s="211">
        <v>-20.399999999999999</v>
      </c>
      <c r="P236" s="211">
        <v>5.8</v>
      </c>
      <c r="S236" s="211">
        <v>2.8</v>
      </c>
    </row>
    <row r="237" spans="1:21" ht="19">
      <c r="A237" s="212" t="s">
        <v>218</v>
      </c>
      <c r="B237" s="212" t="s">
        <v>221</v>
      </c>
      <c r="C237" s="233" t="s">
        <v>222</v>
      </c>
      <c r="D237" s="234" t="s">
        <v>151</v>
      </c>
      <c r="E237" s="212">
        <v>908</v>
      </c>
      <c r="F237" s="212">
        <v>3832</v>
      </c>
      <c r="G237" s="212" t="s">
        <v>1723</v>
      </c>
      <c r="H237" s="212" t="s">
        <v>1724</v>
      </c>
      <c r="I237" s="212" t="s">
        <v>250</v>
      </c>
      <c r="J237" s="212" t="s">
        <v>225</v>
      </c>
      <c r="K237" s="227" t="s">
        <v>269</v>
      </c>
      <c r="L237" s="227" t="s">
        <v>1725</v>
      </c>
      <c r="M237" t="s">
        <v>1809</v>
      </c>
      <c r="N237" s="211">
        <v>-17.7</v>
      </c>
      <c r="O237" s="211">
        <v>-17.7</v>
      </c>
      <c r="P237" s="211">
        <v>6.9</v>
      </c>
      <c r="S237" s="211">
        <v>2.8</v>
      </c>
    </row>
    <row r="238" spans="1:21" ht="16.5" customHeight="1">
      <c r="A238" s="212" t="s">
        <v>218</v>
      </c>
      <c r="B238" s="212" t="s">
        <v>221</v>
      </c>
      <c r="C238" s="233" t="s">
        <v>222</v>
      </c>
      <c r="D238" s="234" t="s">
        <v>151</v>
      </c>
      <c r="E238" s="212">
        <v>908</v>
      </c>
      <c r="F238" s="212">
        <v>3833</v>
      </c>
      <c r="G238" s="212" t="s">
        <v>1723</v>
      </c>
      <c r="H238" s="212" t="s">
        <v>1724</v>
      </c>
      <c r="I238" s="212" t="s">
        <v>250</v>
      </c>
      <c r="J238" s="212" t="s">
        <v>104</v>
      </c>
      <c r="K238" s="227" t="s">
        <v>269</v>
      </c>
      <c r="L238" s="227" t="s">
        <v>1725</v>
      </c>
      <c r="M238" t="s">
        <v>1738</v>
      </c>
      <c r="N238" s="211">
        <v>-19</v>
      </c>
      <c r="O238" s="211">
        <v>-19</v>
      </c>
      <c r="P238" s="211">
        <v>7.9</v>
      </c>
      <c r="S238" s="211">
        <v>2.8</v>
      </c>
    </row>
    <row r="239" spans="1:21" ht="19">
      <c r="A239" s="212" t="s">
        <v>218</v>
      </c>
      <c r="B239" s="212" t="s">
        <v>221</v>
      </c>
      <c r="C239" s="233" t="s">
        <v>222</v>
      </c>
      <c r="D239" s="234" t="s">
        <v>151</v>
      </c>
      <c r="E239" s="212">
        <v>908</v>
      </c>
      <c r="F239" s="212">
        <v>3837</v>
      </c>
      <c r="G239" s="212" t="s">
        <v>1723</v>
      </c>
      <c r="H239" s="212" t="s">
        <v>1724</v>
      </c>
      <c r="I239" s="212" t="s">
        <v>250</v>
      </c>
      <c r="J239" s="212" t="s">
        <v>225</v>
      </c>
      <c r="K239" s="227" t="s">
        <v>269</v>
      </c>
      <c r="L239" s="227" t="s">
        <v>1725</v>
      </c>
      <c r="M239" t="s">
        <v>1736</v>
      </c>
      <c r="N239" s="211">
        <v>-18.3</v>
      </c>
      <c r="O239" s="211">
        <v>-18.3</v>
      </c>
      <c r="P239" s="211">
        <v>7.8</v>
      </c>
      <c r="S239" s="211">
        <v>2.9</v>
      </c>
    </row>
    <row r="240" spans="1:21" ht="19">
      <c r="A240" s="212" t="s">
        <v>218</v>
      </c>
      <c r="B240" s="212" t="s">
        <v>221</v>
      </c>
      <c r="C240" s="233" t="s">
        <v>222</v>
      </c>
      <c r="D240" s="234" t="s">
        <v>151</v>
      </c>
      <c r="E240" s="212">
        <v>908</v>
      </c>
      <c r="F240" s="212">
        <v>3839</v>
      </c>
      <c r="G240" s="212" t="s">
        <v>1723</v>
      </c>
      <c r="H240" s="212" t="s">
        <v>1724</v>
      </c>
      <c r="I240" s="212" t="s">
        <v>250</v>
      </c>
      <c r="J240" s="212" t="s">
        <v>225</v>
      </c>
      <c r="K240" s="227" t="s">
        <v>269</v>
      </c>
      <c r="L240" s="227" t="s">
        <v>1725</v>
      </c>
      <c r="M240" t="s">
        <v>1736</v>
      </c>
      <c r="N240" s="211">
        <v>-17.100000000000001</v>
      </c>
      <c r="O240" s="211">
        <v>-17.100000000000001</v>
      </c>
      <c r="P240" s="211">
        <v>6.1</v>
      </c>
      <c r="S240" s="211">
        <v>2.8</v>
      </c>
    </row>
    <row r="241" spans="1:19" ht="19">
      <c r="A241" s="212" t="s">
        <v>218</v>
      </c>
      <c r="B241" s="212" t="s">
        <v>221</v>
      </c>
      <c r="C241" s="233" t="s">
        <v>222</v>
      </c>
      <c r="D241" s="234" t="s">
        <v>151</v>
      </c>
      <c r="E241" s="212">
        <v>908</v>
      </c>
      <c r="F241" s="212">
        <v>3922</v>
      </c>
      <c r="G241" s="212" t="s">
        <v>1723</v>
      </c>
      <c r="H241" s="212" t="s">
        <v>1724</v>
      </c>
      <c r="I241" s="212" t="s">
        <v>250</v>
      </c>
      <c r="J241" s="212" t="s">
        <v>225</v>
      </c>
      <c r="K241" s="212" t="s">
        <v>269</v>
      </c>
      <c r="L241" s="227" t="s">
        <v>1725</v>
      </c>
      <c r="M241" t="s">
        <v>1736</v>
      </c>
      <c r="N241" s="211">
        <v>-15.9</v>
      </c>
      <c r="O241" s="211">
        <v>-15.9</v>
      </c>
      <c r="P241" s="211">
        <v>7.5</v>
      </c>
      <c r="S241" s="211">
        <v>3.3</v>
      </c>
    </row>
    <row r="242" spans="1:19" ht="19">
      <c r="A242" s="212" t="s">
        <v>218</v>
      </c>
      <c r="B242" s="212" t="s">
        <v>221</v>
      </c>
      <c r="C242" s="233" t="s">
        <v>222</v>
      </c>
      <c r="D242" s="234" t="s">
        <v>151</v>
      </c>
      <c r="E242" s="212">
        <v>908</v>
      </c>
      <c r="F242" s="212">
        <v>3924</v>
      </c>
      <c r="G242" s="212" t="s">
        <v>1723</v>
      </c>
      <c r="H242" s="212" t="s">
        <v>1724</v>
      </c>
      <c r="I242" s="212" t="s">
        <v>250</v>
      </c>
      <c r="J242" s="212" t="s">
        <v>225</v>
      </c>
      <c r="K242" s="227" t="s">
        <v>269</v>
      </c>
      <c r="L242" s="227" t="s">
        <v>1725</v>
      </c>
      <c r="M242" t="s">
        <v>1738</v>
      </c>
      <c r="N242" s="211">
        <v>-19.399999999999999</v>
      </c>
      <c r="O242" s="211">
        <v>-19.399999999999999</v>
      </c>
      <c r="P242" s="211">
        <v>9.5</v>
      </c>
      <c r="S242" s="211">
        <v>3.1</v>
      </c>
    </row>
    <row r="243" spans="1:19" ht="19">
      <c r="A243" s="212" t="s">
        <v>218</v>
      </c>
      <c r="B243" s="212" t="s">
        <v>221</v>
      </c>
      <c r="C243" s="233" t="s">
        <v>222</v>
      </c>
      <c r="D243" s="234" t="s">
        <v>151</v>
      </c>
      <c r="E243" s="212">
        <v>908</v>
      </c>
      <c r="F243" s="212">
        <v>3925</v>
      </c>
      <c r="G243" s="212" t="s">
        <v>1723</v>
      </c>
      <c r="H243" s="212" t="s">
        <v>1724</v>
      </c>
      <c r="I243" s="212" t="s">
        <v>250</v>
      </c>
      <c r="J243" s="212" t="s">
        <v>104</v>
      </c>
      <c r="K243" s="227" t="s">
        <v>269</v>
      </c>
      <c r="L243" s="227" t="s">
        <v>1725</v>
      </c>
      <c r="M243" t="s">
        <v>1807</v>
      </c>
      <c r="N243" s="211">
        <v>-18.100000000000001</v>
      </c>
      <c r="O243" s="211">
        <v>-18.100000000000001</v>
      </c>
      <c r="P243" s="211">
        <v>8</v>
      </c>
      <c r="S243" s="211">
        <v>2.8</v>
      </c>
    </row>
    <row r="244" spans="1:19" ht="19">
      <c r="A244" s="212" t="s">
        <v>218</v>
      </c>
      <c r="B244" s="212" t="s">
        <v>221</v>
      </c>
      <c r="C244" s="233" t="s">
        <v>222</v>
      </c>
      <c r="D244" s="234" t="s">
        <v>151</v>
      </c>
      <c r="E244" s="212">
        <v>908</v>
      </c>
      <c r="F244" s="212">
        <v>3943</v>
      </c>
      <c r="G244" s="212" t="s">
        <v>1723</v>
      </c>
      <c r="H244" s="212" t="s">
        <v>1724</v>
      </c>
      <c r="I244" s="212" t="s">
        <v>250</v>
      </c>
      <c r="J244" s="212" t="s">
        <v>225</v>
      </c>
      <c r="K244" s="212" t="s">
        <v>269</v>
      </c>
      <c r="L244" s="227" t="s">
        <v>1725</v>
      </c>
      <c r="M244" t="s">
        <v>1748</v>
      </c>
      <c r="N244" s="211">
        <v>-19.899999999999999</v>
      </c>
      <c r="O244" s="211">
        <v>-19.899999999999999</v>
      </c>
      <c r="P244" s="211">
        <v>6.8</v>
      </c>
      <c r="S244" s="211">
        <v>2.9</v>
      </c>
    </row>
    <row r="245" spans="1:19" ht="19">
      <c r="A245" s="212" t="s">
        <v>218</v>
      </c>
      <c r="B245" s="212" t="s">
        <v>221</v>
      </c>
      <c r="C245" s="233" t="s">
        <v>222</v>
      </c>
      <c r="D245" s="234" t="s">
        <v>151</v>
      </c>
      <c r="E245" s="212">
        <v>908</v>
      </c>
      <c r="F245" s="212">
        <v>3945</v>
      </c>
      <c r="G245" s="212" t="s">
        <v>1723</v>
      </c>
      <c r="H245" s="212" t="s">
        <v>1724</v>
      </c>
      <c r="I245" s="212" t="s">
        <v>250</v>
      </c>
      <c r="J245" s="212" t="s">
        <v>225</v>
      </c>
      <c r="K245" s="212" t="s">
        <v>269</v>
      </c>
      <c r="L245" s="227" t="s">
        <v>1725</v>
      </c>
      <c r="M245" t="s">
        <v>1748</v>
      </c>
      <c r="N245" s="211">
        <v>-19.5</v>
      </c>
      <c r="O245" s="211">
        <v>-19.5</v>
      </c>
      <c r="P245" s="211">
        <v>5.9</v>
      </c>
      <c r="S245" s="211">
        <v>2.8</v>
      </c>
    </row>
    <row r="246" spans="1:19" ht="19">
      <c r="A246" s="212" t="s">
        <v>218</v>
      </c>
      <c r="B246" s="212" t="s">
        <v>221</v>
      </c>
      <c r="C246" s="233" t="s">
        <v>222</v>
      </c>
      <c r="D246" s="234" t="s">
        <v>151</v>
      </c>
      <c r="E246" s="212">
        <v>908</v>
      </c>
      <c r="F246" s="212">
        <v>3950</v>
      </c>
      <c r="G246" s="212" t="s">
        <v>1723</v>
      </c>
      <c r="H246" s="212" t="s">
        <v>1724</v>
      </c>
      <c r="I246" s="212" t="s">
        <v>250</v>
      </c>
      <c r="J246" s="212" t="s">
        <v>225</v>
      </c>
      <c r="K246" s="227" t="s">
        <v>269</v>
      </c>
      <c r="L246" s="227" t="s">
        <v>1725</v>
      </c>
      <c r="M246" t="s">
        <v>1748</v>
      </c>
      <c r="N246" s="211">
        <v>-18.5</v>
      </c>
      <c r="O246" s="211">
        <v>-18.5</v>
      </c>
      <c r="P246" s="211">
        <v>7.9</v>
      </c>
      <c r="S246" s="211">
        <v>2.8</v>
      </c>
    </row>
    <row r="247" spans="1:19" ht="19">
      <c r="A247" s="212" t="s">
        <v>218</v>
      </c>
      <c r="B247" s="212" t="s">
        <v>221</v>
      </c>
      <c r="C247" s="233" t="s">
        <v>222</v>
      </c>
      <c r="D247" s="234" t="s">
        <v>151</v>
      </c>
      <c r="E247" s="212">
        <v>908</v>
      </c>
      <c r="F247" s="212">
        <v>3953</v>
      </c>
      <c r="G247" s="212" t="s">
        <v>1723</v>
      </c>
      <c r="H247" s="212" t="s">
        <v>1724</v>
      </c>
      <c r="I247" s="212" t="s">
        <v>250</v>
      </c>
      <c r="J247" s="212" t="s">
        <v>225</v>
      </c>
      <c r="K247" s="227" t="s">
        <v>269</v>
      </c>
      <c r="L247" s="227" t="s">
        <v>1725</v>
      </c>
      <c r="M247" t="s">
        <v>1332</v>
      </c>
      <c r="N247" s="211">
        <v>-19.899999999999999</v>
      </c>
      <c r="O247" s="211">
        <v>-19.899999999999999</v>
      </c>
      <c r="P247" s="211">
        <v>6.2</v>
      </c>
      <c r="S247" s="211">
        <v>2.8</v>
      </c>
    </row>
    <row r="248" spans="1:19" ht="19">
      <c r="A248" s="212" t="s">
        <v>218</v>
      </c>
      <c r="B248" s="212" t="s">
        <v>221</v>
      </c>
      <c r="C248" s="233" t="s">
        <v>222</v>
      </c>
      <c r="D248" s="234" t="s">
        <v>151</v>
      </c>
      <c r="E248" s="212">
        <v>908</v>
      </c>
      <c r="F248" s="212">
        <v>3959</v>
      </c>
      <c r="G248" s="212" t="s">
        <v>1723</v>
      </c>
      <c r="H248" s="212" t="s">
        <v>1724</v>
      </c>
      <c r="I248" s="212" t="s">
        <v>250</v>
      </c>
      <c r="J248" s="212" t="s">
        <v>225</v>
      </c>
      <c r="K248" s="227" t="s">
        <v>269</v>
      </c>
      <c r="L248" s="227" t="s">
        <v>1725</v>
      </c>
      <c r="M248" t="s">
        <v>1733</v>
      </c>
      <c r="N248" s="211">
        <v>-16.8</v>
      </c>
      <c r="O248" s="211">
        <v>-16.8</v>
      </c>
      <c r="P248" s="211">
        <v>8.6999999999999993</v>
      </c>
      <c r="S248" s="211">
        <v>3</v>
      </c>
    </row>
    <row r="249" spans="1:19" ht="19">
      <c r="A249" s="212" t="s">
        <v>218</v>
      </c>
      <c r="B249" s="212" t="s">
        <v>221</v>
      </c>
      <c r="C249" s="233" t="s">
        <v>222</v>
      </c>
      <c r="D249" s="234" t="s">
        <v>151</v>
      </c>
      <c r="E249" s="212">
        <v>908</v>
      </c>
      <c r="F249" s="212">
        <v>3987</v>
      </c>
      <c r="G249" s="212" t="s">
        <v>1723</v>
      </c>
      <c r="H249" s="212" t="s">
        <v>1724</v>
      </c>
      <c r="I249" s="212" t="s">
        <v>250</v>
      </c>
      <c r="J249" s="212" t="s">
        <v>225</v>
      </c>
      <c r="K249" s="227" t="s">
        <v>269</v>
      </c>
      <c r="L249" s="227" t="s">
        <v>1725</v>
      </c>
      <c r="M249" t="s">
        <v>1738</v>
      </c>
      <c r="N249" s="211">
        <v>-19.399999999999999</v>
      </c>
      <c r="O249" s="211">
        <v>-19.399999999999999</v>
      </c>
      <c r="P249" s="211">
        <v>6.4</v>
      </c>
      <c r="S249" s="211">
        <v>2.8</v>
      </c>
    </row>
    <row r="250" spans="1:19" ht="19">
      <c r="A250" s="212" t="s">
        <v>218</v>
      </c>
      <c r="B250" s="212" t="s">
        <v>221</v>
      </c>
      <c r="C250" s="233" t="s">
        <v>222</v>
      </c>
      <c r="D250" s="234" t="s">
        <v>151</v>
      </c>
      <c r="E250" s="212">
        <v>908</v>
      </c>
      <c r="F250" s="212">
        <v>3990</v>
      </c>
      <c r="G250" s="212" t="s">
        <v>1723</v>
      </c>
      <c r="H250" s="212" t="s">
        <v>1724</v>
      </c>
      <c r="I250" s="212" t="s">
        <v>250</v>
      </c>
      <c r="J250" s="212" t="s">
        <v>104</v>
      </c>
      <c r="K250" s="212" t="s">
        <v>269</v>
      </c>
      <c r="L250" s="227" t="s">
        <v>1725</v>
      </c>
      <c r="M250" t="s">
        <v>1738</v>
      </c>
      <c r="N250" s="211">
        <v>-19.600000000000001</v>
      </c>
      <c r="O250" s="211">
        <v>-19.600000000000001</v>
      </c>
      <c r="P250" s="211">
        <v>6.1</v>
      </c>
      <c r="S250" s="211">
        <v>2.8</v>
      </c>
    </row>
    <row r="251" spans="1:19" ht="19">
      <c r="A251" s="212" t="s">
        <v>218</v>
      </c>
      <c r="B251" s="212" t="s">
        <v>221</v>
      </c>
      <c r="C251" s="233" t="s">
        <v>222</v>
      </c>
      <c r="D251" s="234" t="s">
        <v>151</v>
      </c>
      <c r="E251" s="212">
        <v>908</v>
      </c>
      <c r="F251" s="212">
        <v>3991</v>
      </c>
      <c r="G251" s="212" t="s">
        <v>1723</v>
      </c>
      <c r="H251" s="212" t="s">
        <v>1724</v>
      </c>
      <c r="I251" s="212" t="s">
        <v>250</v>
      </c>
      <c r="J251" s="212" t="s">
        <v>104</v>
      </c>
      <c r="K251" s="212" t="s">
        <v>269</v>
      </c>
      <c r="L251" s="227" t="s">
        <v>1725</v>
      </c>
      <c r="M251" t="s">
        <v>1738</v>
      </c>
      <c r="N251" s="211">
        <v>-18.399999999999999</v>
      </c>
      <c r="O251" s="211">
        <v>-18.399999999999999</v>
      </c>
      <c r="P251" s="211">
        <v>6.3</v>
      </c>
      <c r="S251" s="211">
        <v>2.8</v>
      </c>
    </row>
    <row r="252" spans="1:19" ht="19">
      <c r="A252" s="212" t="s">
        <v>218</v>
      </c>
      <c r="B252" s="212" t="s">
        <v>221</v>
      </c>
      <c r="C252" s="233" t="s">
        <v>222</v>
      </c>
      <c r="D252" s="234" t="s">
        <v>151</v>
      </c>
      <c r="E252" s="212">
        <v>908</v>
      </c>
      <c r="F252" s="212">
        <v>3992</v>
      </c>
      <c r="G252" s="212" t="s">
        <v>1723</v>
      </c>
      <c r="H252" s="212" t="s">
        <v>1724</v>
      </c>
      <c r="I252" s="212" t="s">
        <v>250</v>
      </c>
      <c r="J252" s="212" t="s">
        <v>104</v>
      </c>
      <c r="K252" s="212" t="s">
        <v>269</v>
      </c>
      <c r="L252" s="227" t="s">
        <v>1725</v>
      </c>
      <c r="M252" t="s">
        <v>1738</v>
      </c>
      <c r="N252" s="211">
        <v>-19.8</v>
      </c>
      <c r="O252" s="211">
        <v>-19.8</v>
      </c>
      <c r="P252" s="211">
        <v>6</v>
      </c>
      <c r="S252" s="211">
        <v>2.9</v>
      </c>
    </row>
    <row r="253" spans="1:19" ht="19">
      <c r="A253" s="212" t="s">
        <v>218</v>
      </c>
      <c r="B253" s="212" t="s">
        <v>221</v>
      </c>
      <c r="C253" s="233" t="s">
        <v>222</v>
      </c>
      <c r="D253" s="234" t="s">
        <v>151</v>
      </c>
      <c r="E253" s="212">
        <v>908</v>
      </c>
      <c r="F253" s="212">
        <v>3994</v>
      </c>
      <c r="G253" s="212" t="s">
        <v>1723</v>
      </c>
      <c r="H253" s="212" t="s">
        <v>1724</v>
      </c>
      <c r="I253" s="212" t="s">
        <v>250</v>
      </c>
      <c r="J253" s="212" t="s">
        <v>225</v>
      </c>
      <c r="K253" s="227" t="s">
        <v>269</v>
      </c>
      <c r="L253" s="227" t="s">
        <v>1725</v>
      </c>
      <c r="M253" t="s">
        <v>1807</v>
      </c>
      <c r="N253" s="211">
        <v>-19.3</v>
      </c>
      <c r="O253" s="211">
        <v>-19.3</v>
      </c>
      <c r="P253" s="211">
        <v>6.9</v>
      </c>
      <c r="S253" s="211">
        <v>2.7</v>
      </c>
    </row>
    <row r="254" spans="1:19" ht="19">
      <c r="A254" s="212" t="s">
        <v>218</v>
      </c>
      <c r="B254" s="212" t="s">
        <v>221</v>
      </c>
      <c r="C254" s="233" t="s">
        <v>222</v>
      </c>
      <c r="D254" s="234" t="s">
        <v>151</v>
      </c>
      <c r="E254" s="212">
        <v>908</v>
      </c>
      <c r="F254" s="212">
        <v>4113</v>
      </c>
      <c r="G254" s="212" t="s">
        <v>1723</v>
      </c>
      <c r="H254" s="212" t="s">
        <v>1724</v>
      </c>
      <c r="I254" s="212" t="s">
        <v>250</v>
      </c>
      <c r="J254" s="212" t="s">
        <v>225</v>
      </c>
      <c r="K254" s="212" t="s">
        <v>269</v>
      </c>
      <c r="L254" s="227" t="s">
        <v>1725</v>
      </c>
      <c r="M254" t="s">
        <v>205</v>
      </c>
      <c r="N254" s="211">
        <v>-19.899999999999999</v>
      </c>
      <c r="O254" s="211">
        <v>-19.899999999999999</v>
      </c>
      <c r="P254" s="211">
        <v>6.5</v>
      </c>
      <c r="S254" s="211">
        <v>3</v>
      </c>
    </row>
    <row r="255" spans="1:19" ht="19">
      <c r="A255" s="212" t="s">
        <v>218</v>
      </c>
      <c r="B255" s="212" t="s">
        <v>221</v>
      </c>
      <c r="C255" s="233" t="s">
        <v>222</v>
      </c>
      <c r="D255" s="234" t="s">
        <v>151</v>
      </c>
      <c r="E255" s="212">
        <v>933</v>
      </c>
      <c r="F255" s="212">
        <v>3675</v>
      </c>
      <c r="G255" s="212" t="s">
        <v>1723</v>
      </c>
      <c r="H255" s="212" t="s">
        <v>1724</v>
      </c>
      <c r="I255" s="212" t="s">
        <v>249</v>
      </c>
      <c r="J255" s="212" t="s">
        <v>104</v>
      </c>
      <c r="K255" s="212" t="s">
        <v>269</v>
      </c>
      <c r="L255" s="227" t="s">
        <v>1729</v>
      </c>
      <c r="M255" t="s">
        <v>1734</v>
      </c>
      <c r="N255" s="211">
        <v>-11.73</v>
      </c>
      <c r="O255" s="211">
        <v>-20.553000000000001</v>
      </c>
      <c r="P255" s="211" t="s">
        <v>487</v>
      </c>
      <c r="Q255" s="211">
        <v>28.1</v>
      </c>
      <c r="R255" s="211">
        <v>-2.7</v>
      </c>
      <c r="S255" s="211" t="s">
        <v>1731</v>
      </c>
    </row>
    <row r="256" spans="1:19" ht="19">
      <c r="A256" s="212" t="s">
        <v>218</v>
      </c>
      <c r="B256" s="212" t="s">
        <v>221</v>
      </c>
      <c r="C256" s="233" t="s">
        <v>222</v>
      </c>
      <c r="D256" s="234" t="s">
        <v>151</v>
      </c>
      <c r="E256" s="212">
        <v>933</v>
      </c>
      <c r="F256" s="212">
        <v>3962</v>
      </c>
      <c r="G256" s="212" t="s">
        <v>1723</v>
      </c>
      <c r="H256" s="212" t="s">
        <v>1724</v>
      </c>
      <c r="I256" s="212" t="s">
        <v>249</v>
      </c>
      <c r="J256" s="212" t="s">
        <v>104</v>
      </c>
      <c r="K256" s="227" t="s">
        <v>269</v>
      </c>
      <c r="L256" s="227" t="s">
        <v>1725</v>
      </c>
      <c r="M256" t="s">
        <v>205</v>
      </c>
      <c r="N256" s="211">
        <v>-20.9</v>
      </c>
      <c r="O256" s="211">
        <v>-20.9</v>
      </c>
      <c r="P256" s="211">
        <v>6.1</v>
      </c>
      <c r="S256" s="211">
        <v>2.9</v>
      </c>
    </row>
    <row r="257" spans="1:19" ht="19">
      <c r="A257" s="212" t="s">
        <v>218</v>
      </c>
      <c r="B257" s="212" t="s">
        <v>221</v>
      </c>
      <c r="C257" s="233" t="s">
        <v>222</v>
      </c>
      <c r="D257" s="234" t="s">
        <v>151</v>
      </c>
      <c r="E257" s="212">
        <v>30967</v>
      </c>
      <c r="F257" s="212">
        <v>107</v>
      </c>
      <c r="G257" s="212" t="s">
        <v>1723</v>
      </c>
      <c r="H257" s="212" t="s">
        <v>1724</v>
      </c>
      <c r="I257" s="212" t="s">
        <v>110</v>
      </c>
      <c r="J257" s="212" t="s">
        <v>104</v>
      </c>
      <c r="K257" s="227" t="s">
        <v>269</v>
      </c>
      <c r="L257" s="227" t="s">
        <v>1729</v>
      </c>
      <c r="M257" t="s">
        <v>1810</v>
      </c>
      <c r="N257" s="211">
        <v>-12.12</v>
      </c>
      <c r="O257" s="211">
        <v>-20.943000000000001</v>
      </c>
      <c r="P257" s="211" t="s">
        <v>487</v>
      </c>
      <c r="Q257" s="211">
        <v>29.3</v>
      </c>
      <c r="R257" s="211">
        <v>-1.5</v>
      </c>
      <c r="S257" s="211" t="s">
        <v>1731</v>
      </c>
    </row>
    <row r="258" spans="1:19" ht="19">
      <c r="A258" s="212" t="s">
        <v>218</v>
      </c>
      <c r="B258" s="212" t="s">
        <v>221</v>
      </c>
      <c r="C258" s="233" t="s">
        <v>222</v>
      </c>
      <c r="D258" s="234" t="s">
        <v>151</v>
      </c>
      <c r="E258" s="212">
        <v>30967</v>
      </c>
      <c r="F258" s="212">
        <v>107</v>
      </c>
      <c r="G258" s="212" t="s">
        <v>1723</v>
      </c>
      <c r="H258" s="212" t="s">
        <v>1811</v>
      </c>
      <c r="I258" s="212" t="s">
        <v>110</v>
      </c>
      <c r="J258" s="212" t="s">
        <v>1744</v>
      </c>
      <c r="K258" s="227" t="s">
        <v>1745</v>
      </c>
      <c r="L258" s="227" t="s">
        <v>1729</v>
      </c>
      <c r="M258" t="s">
        <v>1730</v>
      </c>
      <c r="N258" s="211">
        <v>-11.9</v>
      </c>
      <c r="O258" s="211">
        <v>-20.699000000000002</v>
      </c>
      <c r="P258" s="211" t="s">
        <v>487</v>
      </c>
      <c r="Q258" s="211">
        <v>31.9</v>
      </c>
      <c r="R258" s="211">
        <v>1</v>
      </c>
      <c r="S258" s="211" t="s">
        <v>1731</v>
      </c>
    </row>
    <row r="259" spans="1:19" ht="19">
      <c r="A259" s="212" t="s">
        <v>218</v>
      </c>
      <c r="B259" s="212" t="s">
        <v>221</v>
      </c>
      <c r="C259" s="233" t="s">
        <v>222</v>
      </c>
      <c r="D259" s="234" t="s">
        <v>151</v>
      </c>
      <c r="E259" s="212">
        <v>30967</v>
      </c>
      <c r="F259" s="212">
        <v>305</v>
      </c>
      <c r="G259" s="212" t="s">
        <v>1723</v>
      </c>
      <c r="H259" s="212" t="s">
        <v>1724</v>
      </c>
      <c r="I259" s="212" t="s">
        <v>110</v>
      </c>
      <c r="J259" s="212" t="s">
        <v>104</v>
      </c>
      <c r="K259" s="227" t="s">
        <v>269</v>
      </c>
      <c r="L259" s="227" t="s">
        <v>1729</v>
      </c>
      <c r="M259" t="s">
        <v>1730</v>
      </c>
      <c r="N259" s="211">
        <v>-11.52</v>
      </c>
      <c r="O259" s="211">
        <v>-20.343</v>
      </c>
      <c r="P259" s="211" t="s">
        <v>487</v>
      </c>
      <c r="Q259" s="211">
        <v>29.5</v>
      </c>
      <c r="R259" s="211">
        <v>-1.3</v>
      </c>
      <c r="S259" s="211" t="s">
        <v>1731</v>
      </c>
    </row>
    <row r="260" spans="1:19" ht="19">
      <c r="A260" s="212" t="s">
        <v>218</v>
      </c>
      <c r="B260" s="212" t="s">
        <v>221</v>
      </c>
      <c r="C260" s="233" t="s">
        <v>222</v>
      </c>
      <c r="D260" s="234" t="s">
        <v>151</v>
      </c>
      <c r="E260" s="212">
        <v>30967</v>
      </c>
      <c r="F260" s="212">
        <v>393</v>
      </c>
      <c r="G260" s="212" t="s">
        <v>1723</v>
      </c>
      <c r="H260" s="212" t="s">
        <v>1811</v>
      </c>
      <c r="I260" s="212" t="s">
        <v>110</v>
      </c>
      <c r="J260" s="212" t="s">
        <v>1744</v>
      </c>
      <c r="K260" s="227" t="s">
        <v>1745</v>
      </c>
      <c r="L260" s="227" t="s">
        <v>1729</v>
      </c>
      <c r="M260" t="s">
        <v>1730</v>
      </c>
      <c r="N260" s="211">
        <v>-10.8</v>
      </c>
      <c r="O260" s="211">
        <v>-19.599</v>
      </c>
      <c r="P260" s="211" t="s">
        <v>487</v>
      </c>
      <c r="Q260" s="211">
        <v>28.2</v>
      </c>
      <c r="R260" s="211">
        <v>-2.6</v>
      </c>
      <c r="S260" s="211" t="s">
        <v>1731</v>
      </c>
    </row>
    <row r="261" spans="1:19">
      <c r="A261" s="212" t="s">
        <v>218</v>
      </c>
      <c r="B261" s="212" t="s">
        <v>221</v>
      </c>
      <c r="C261" s="233" t="s">
        <v>222</v>
      </c>
      <c r="D261" s="233" t="s">
        <v>151</v>
      </c>
      <c r="E261" s="212">
        <v>30967</v>
      </c>
      <c r="F261" s="212">
        <v>516</v>
      </c>
      <c r="G261" s="212" t="s">
        <v>1723</v>
      </c>
      <c r="H261" s="212" t="s">
        <v>1811</v>
      </c>
      <c r="I261" s="212" t="s">
        <v>110</v>
      </c>
      <c r="J261" s="212" t="s">
        <v>1744</v>
      </c>
      <c r="K261" s="212" t="s">
        <v>1745</v>
      </c>
      <c r="L261" s="227" t="s">
        <v>1729</v>
      </c>
      <c r="M261" t="s">
        <v>1730</v>
      </c>
      <c r="N261" s="211">
        <v>-13.1</v>
      </c>
      <c r="O261" s="211">
        <v>-21.899000000000001</v>
      </c>
      <c r="P261" s="211" t="s">
        <v>487</v>
      </c>
      <c r="Q261" s="211">
        <v>28.6</v>
      </c>
      <c r="R261" s="211">
        <v>-2.2000000000000002</v>
      </c>
      <c r="S261" s="211" t="s">
        <v>1731</v>
      </c>
    </row>
    <row r="262" spans="1:19">
      <c r="A262" s="212" t="s">
        <v>218</v>
      </c>
      <c r="B262" s="212" t="s">
        <v>221</v>
      </c>
      <c r="C262" s="233" t="s">
        <v>222</v>
      </c>
      <c r="D262" s="233" t="s">
        <v>151</v>
      </c>
      <c r="E262" s="212">
        <v>30967</v>
      </c>
      <c r="F262" s="212">
        <v>628</v>
      </c>
      <c r="G262" s="212" t="s">
        <v>1723</v>
      </c>
      <c r="H262" s="212" t="s">
        <v>1811</v>
      </c>
      <c r="I262" s="212" t="s">
        <v>110</v>
      </c>
      <c r="J262" s="212" t="s">
        <v>1744</v>
      </c>
      <c r="K262" s="212" t="s">
        <v>1745</v>
      </c>
      <c r="L262" s="227" t="s">
        <v>1729</v>
      </c>
      <c r="M262" t="s">
        <v>1730</v>
      </c>
      <c r="N262" s="211">
        <v>-13.2</v>
      </c>
      <c r="O262" s="211">
        <v>-21.998999999999999</v>
      </c>
      <c r="P262" s="211" t="s">
        <v>487</v>
      </c>
      <c r="Q262" s="211">
        <v>26.1</v>
      </c>
      <c r="R262" s="211">
        <v>-4.5999999999999996</v>
      </c>
      <c r="S262" s="211" t="s">
        <v>1731</v>
      </c>
    </row>
    <row r="263" spans="1:19">
      <c r="A263" s="212" t="s">
        <v>218</v>
      </c>
      <c r="B263" s="212" t="s">
        <v>221</v>
      </c>
      <c r="C263" s="233" t="s">
        <v>222</v>
      </c>
      <c r="D263" s="233" t="s">
        <v>151</v>
      </c>
      <c r="E263" s="212">
        <v>30967</v>
      </c>
      <c r="F263" s="212">
        <v>1869</v>
      </c>
      <c r="G263" s="212" t="s">
        <v>1723</v>
      </c>
      <c r="H263" s="212" t="s">
        <v>1724</v>
      </c>
      <c r="I263" s="212" t="s">
        <v>110</v>
      </c>
      <c r="J263" s="212" t="s">
        <v>104</v>
      </c>
      <c r="K263" s="227" t="s">
        <v>269</v>
      </c>
      <c r="L263" s="227" t="s">
        <v>1729</v>
      </c>
      <c r="M263" t="s">
        <v>1730</v>
      </c>
      <c r="N263" s="211">
        <v>-12.13</v>
      </c>
      <c r="O263" s="211">
        <v>-20.952999999999999</v>
      </c>
      <c r="P263" s="211" t="s">
        <v>487</v>
      </c>
      <c r="Q263" s="211">
        <v>31.9</v>
      </c>
      <c r="R263" s="211">
        <v>1</v>
      </c>
      <c r="S263" s="211" t="s">
        <v>1731</v>
      </c>
    </row>
    <row r="264" spans="1:19">
      <c r="A264" s="212" t="s">
        <v>218</v>
      </c>
      <c r="B264" s="212" t="s">
        <v>221</v>
      </c>
      <c r="C264" s="233" t="s">
        <v>222</v>
      </c>
      <c r="D264" s="233" t="s">
        <v>151</v>
      </c>
      <c r="E264" s="212">
        <v>30967</v>
      </c>
      <c r="F264" s="212" t="s">
        <v>1812</v>
      </c>
      <c r="G264" s="212" t="s">
        <v>1723</v>
      </c>
      <c r="H264" s="212" t="s">
        <v>1724</v>
      </c>
      <c r="I264" s="212" t="s">
        <v>110</v>
      </c>
      <c r="J264" s="212" t="s">
        <v>104</v>
      </c>
      <c r="K264" s="227" t="s">
        <v>269</v>
      </c>
      <c r="L264" s="227" t="s">
        <v>1729</v>
      </c>
      <c r="M264" t="s">
        <v>1730</v>
      </c>
      <c r="N264" s="211">
        <v>-11.9</v>
      </c>
      <c r="O264" s="211">
        <v>-20.722999999999999</v>
      </c>
      <c r="P264" s="211" t="s">
        <v>487</v>
      </c>
      <c r="Q264" s="211">
        <v>31.9</v>
      </c>
      <c r="R264" s="211">
        <v>1</v>
      </c>
      <c r="S264" s="211" t="s">
        <v>1731</v>
      </c>
    </row>
    <row r="265" spans="1:19">
      <c r="A265" s="212" t="s">
        <v>218</v>
      </c>
      <c r="B265" s="212" t="s">
        <v>221</v>
      </c>
      <c r="C265" s="233" t="s">
        <v>222</v>
      </c>
      <c r="D265" s="233" t="s">
        <v>151</v>
      </c>
      <c r="E265" s="212">
        <v>30967</v>
      </c>
      <c r="F265" s="212" t="s">
        <v>1813</v>
      </c>
      <c r="G265" s="212" t="s">
        <v>1723</v>
      </c>
      <c r="H265" s="212" t="s">
        <v>1724</v>
      </c>
      <c r="I265" s="212" t="s">
        <v>110</v>
      </c>
      <c r="J265" s="212" t="s">
        <v>104</v>
      </c>
      <c r="K265" s="227" t="s">
        <v>269</v>
      </c>
      <c r="L265" s="227" t="s">
        <v>1729</v>
      </c>
      <c r="M265" t="s">
        <v>1730</v>
      </c>
      <c r="N265" s="211">
        <v>-12.36</v>
      </c>
      <c r="O265" s="211">
        <v>-21.183</v>
      </c>
      <c r="P265" s="211" t="s">
        <v>487</v>
      </c>
      <c r="Q265" s="211">
        <v>31.1</v>
      </c>
      <c r="R265" s="211">
        <v>0.3</v>
      </c>
      <c r="S265" s="211" t="s">
        <v>1731</v>
      </c>
    </row>
    <row r="266" spans="1:19" ht="19">
      <c r="A266" s="212" t="s">
        <v>218</v>
      </c>
      <c r="B266" s="212" t="s">
        <v>221</v>
      </c>
      <c r="C266" s="233" t="s">
        <v>222</v>
      </c>
      <c r="D266" s="234" t="s">
        <v>151</v>
      </c>
      <c r="E266" s="212">
        <v>40449</v>
      </c>
      <c r="F266" s="212">
        <v>87</v>
      </c>
      <c r="G266" s="212" t="s">
        <v>1723</v>
      </c>
      <c r="H266" s="212" t="s">
        <v>1724</v>
      </c>
      <c r="I266" s="212" t="s">
        <v>1814</v>
      </c>
      <c r="J266" s="212" t="s">
        <v>225</v>
      </c>
      <c r="K266" s="227" t="s">
        <v>269</v>
      </c>
      <c r="L266" s="227" t="s">
        <v>1729</v>
      </c>
      <c r="M266" t="s">
        <v>186</v>
      </c>
      <c r="N266" s="211">
        <v>-11.24</v>
      </c>
      <c r="O266" s="211">
        <v>-20.062999999999999</v>
      </c>
      <c r="P266" s="211" t="s">
        <v>487</v>
      </c>
      <c r="Q266" s="211">
        <v>30.6</v>
      </c>
      <c r="R266" s="211">
        <v>-0.3</v>
      </c>
      <c r="S266" s="211" t="s">
        <v>1731</v>
      </c>
    </row>
    <row r="267" spans="1:19" ht="19">
      <c r="A267" s="212" t="s">
        <v>218</v>
      </c>
      <c r="B267" s="212" t="s">
        <v>221</v>
      </c>
      <c r="C267" s="233" t="s">
        <v>222</v>
      </c>
      <c r="D267" s="234" t="s">
        <v>151</v>
      </c>
      <c r="E267" s="212">
        <v>40449</v>
      </c>
      <c r="F267" s="212">
        <v>127</v>
      </c>
      <c r="G267" s="212" t="s">
        <v>1723</v>
      </c>
      <c r="H267" s="212" t="s">
        <v>1724</v>
      </c>
      <c r="I267" s="212" t="s">
        <v>1814</v>
      </c>
      <c r="J267" s="212" t="s">
        <v>225</v>
      </c>
      <c r="K267" s="212" t="s">
        <v>269</v>
      </c>
      <c r="L267" s="227" t="s">
        <v>1729</v>
      </c>
      <c r="M267" t="s">
        <v>1739</v>
      </c>
      <c r="N267" s="211">
        <v>-14.03</v>
      </c>
      <c r="O267" s="211">
        <v>-22.853000000000002</v>
      </c>
      <c r="P267" s="211" t="s">
        <v>487</v>
      </c>
      <c r="R267" s="211">
        <v>-4.7</v>
      </c>
      <c r="S267" s="211" t="s">
        <v>1731</v>
      </c>
    </row>
    <row r="268" spans="1:19" ht="19">
      <c r="A268" s="212" t="s">
        <v>218</v>
      </c>
      <c r="B268" s="212" t="s">
        <v>221</v>
      </c>
      <c r="C268" s="233" t="s">
        <v>222</v>
      </c>
      <c r="D268" s="234" t="s">
        <v>151</v>
      </c>
      <c r="E268" s="212">
        <v>40449</v>
      </c>
      <c r="F268" s="212">
        <v>133</v>
      </c>
      <c r="G268" s="212" t="s">
        <v>1723</v>
      </c>
      <c r="H268" s="212" t="s">
        <v>1724</v>
      </c>
      <c r="I268" s="212" t="s">
        <v>1814</v>
      </c>
      <c r="J268" s="212" t="s">
        <v>225</v>
      </c>
      <c r="K268" s="227" t="s">
        <v>269</v>
      </c>
      <c r="L268" s="227" t="s">
        <v>1729</v>
      </c>
      <c r="M268" t="s">
        <v>1739</v>
      </c>
      <c r="N268" s="211">
        <v>-11.43</v>
      </c>
      <c r="O268" s="211">
        <v>-20.253</v>
      </c>
      <c r="P268" s="211" t="s">
        <v>487</v>
      </c>
      <c r="R268" s="211">
        <v>-2.1</v>
      </c>
      <c r="S268" s="211" t="s">
        <v>1731</v>
      </c>
    </row>
    <row r="269" spans="1:19" ht="19">
      <c r="A269" s="212" t="s">
        <v>218</v>
      </c>
      <c r="B269" s="212" t="s">
        <v>221</v>
      </c>
      <c r="C269" s="233" t="s">
        <v>222</v>
      </c>
      <c r="D269" s="234" t="s">
        <v>151</v>
      </c>
      <c r="E269" s="212">
        <v>40451</v>
      </c>
      <c r="F269" s="212">
        <v>13</v>
      </c>
      <c r="G269" s="212" t="s">
        <v>1723</v>
      </c>
      <c r="H269" s="212" t="s">
        <v>1724</v>
      </c>
      <c r="I269" s="212" t="s">
        <v>1815</v>
      </c>
      <c r="J269" s="212" t="s">
        <v>225</v>
      </c>
      <c r="K269" s="227" t="s">
        <v>269</v>
      </c>
      <c r="L269" s="227" t="s">
        <v>1725</v>
      </c>
      <c r="M269" t="s">
        <v>205</v>
      </c>
      <c r="N269" s="211">
        <v>-19.8</v>
      </c>
      <c r="O269" s="211">
        <v>-19.8</v>
      </c>
      <c r="P269" s="211">
        <v>5.6</v>
      </c>
      <c r="S269" s="211">
        <v>2.9</v>
      </c>
    </row>
    <row r="270" spans="1:19" ht="19">
      <c r="A270" s="212" t="s">
        <v>218</v>
      </c>
      <c r="B270" s="212" t="s">
        <v>221</v>
      </c>
      <c r="C270" s="233" t="s">
        <v>222</v>
      </c>
      <c r="D270" s="234" t="s">
        <v>151</v>
      </c>
      <c r="E270" s="212">
        <v>40451</v>
      </c>
      <c r="F270" s="212">
        <v>93</v>
      </c>
      <c r="G270" s="212" t="s">
        <v>1723</v>
      </c>
      <c r="H270" s="212" t="s">
        <v>1724</v>
      </c>
      <c r="I270" s="212" t="s">
        <v>1815</v>
      </c>
      <c r="J270" s="212" t="s">
        <v>225</v>
      </c>
      <c r="K270" s="227" t="s">
        <v>269</v>
      </c>
      <c r="L270" s="227" t="s">
        <v>1725</v>
      </c>
      <c r="M270" t="s">
        <v>205</v>
      </c>
      <c r="N270" s="211">
        <v>-19.600000000000001</v>
      </c>
      <c r="O270" s="211">
        <v>-19.600000000000001</v>
      </c>
      <c r="P270" s="211">
        <v>6.7</v>
      </c>
      <c r="S270" s="211">
        <v>2.8</v>
      </c>
    </row>
    <row r="271" spans="1:19" ht="19">
      <c r="A271" s="212" t="s">
        <v>218</v>
      </c>
      <c r="B271" s="212" t="s">
        <v>221</v>
      </c>
      <c r="C271" s="233" t="s">
        <v>222</v>
      </c>
      <c r="D271" s="234" t="s">
        <v>151</v>
      </c>
      <c r="E271" s="212">
        <v>40451</v>
      </c>
      <c r="F271" s="212">
        <v>101</v>
      </c>
      <c r="G271" s="212" t="s">
        <v>1723</v>
      </c>
      <c r="H271" s="212" t="s">
        <v>1724</v>
      </c>
      <c r="I271" s="212" t="s">
        <v>1815</v>
      </c>
      <c r="J271" s="212" t="s">
        <v>225</v>
      </c>
      <c r="K271" s="212" t="s">
        <v>269</v>
      </c>
      <c r="L271" s="227" t="s">
        <v>1725</v>
      </c>
      <c r="M271" t="s">
        <v>205</v>
      </c>
      <c r="N271" s="211">
        <v>-14</v>
      </c>
      <c r="O271" s="211">
        <v>-14</v>
      </c>
      <c r="P271" s="211">
        <v>7.8</v>
      </c>
      <c r="S271" s="211">
        <v>2.9</v>
      </c>
    </row>
    <row r="272" spans="1:19" ht="19">
      <c r="A272" s="212" t="s">
        <v>218</v>
      </c>
      <c r="B272" s="212" t="s">
        <v>221</v>
      </c>
      <c r="C272" s="233" t="s">
        <v>222</v>
      </c>
      <c r="D272" s="234" t="s">
        <v>151</v>
      </c>
      <c r="E272" s="212">
        <v>40451</v>
      </c>
      <c r="F272" s="212">
        <v>102</v>
      </c>
      <c r="G272" s="212" t="s">
        <v>1723</v>
      </c>
      <c r="H272" s="212" t="s">
        <v>1724</v>
      </c>
      <c r="I272" s="212" t="s">
        <v>1815</v>
      </c>
      <c r="J272" s="212" t="s">
        <v>225</v>
      </c>
      <c r="K272" s="227" t="s">
        <v>269</v>
      </c>
      <c r="L272" s="227" t="s">
        <v>1725</v>
      </c>
      <c r="M272" t="s">
        <v>1738</v>
      </c>
      <c r="N272" s="211">
        <v>-19.8</v>
      </c>
      <c r="O272" s="211">
        <v>-19.8</v>
      </c>
      <c r="P272" s="211">
        <v>5.5</v>
      </c>
      <c r="S272" s="211">
        <v>3</v>
      </c>
    </row>
    <row r="273" spans="1:19" ht="19">
      <c r="A273" s="212" t="s">
        <v>218</v>
      </c>
      <c r="B273" s="212" t="s">
        <v>221</v>
      </c>
      <c r="C273" s="233" t="s">
        <v>222</v>
      </c>
      <c r="D273" s="234" t="s">
        <v>151</v>
      </c>
      <c r="E273" s="212">
        <v>40451</v>
      </c>
      <c r="F273" s="212">
        <v>125</v>
      </c>
      <c r="G273" s="212" t="s">
        <v>1723</v>
      </c>
      <c r="H273" s="212" t="s">
        <v>1724</v>
      </c>
      <c r="I273" s="212" t="s">
        <v>1815</v>
      </c>
      <c r="J273" s="212" t="s">
        <v>225</v>
      </c>
      <c r="K273" s="227" t="s">
        <v>269</v>
      </c>
      <c r="L273" s="227" t="s">
        <v>1725</v>
      </c>
      <c r="M273" t="s">
        <v>1805</v>
      </c>
      <c r="N273" s="211">
        <v>-21</v>
      </c>
      <c r="O273" s="211">
        <v>-21</v>
      </c>
      <c r="P273" s="211">
        <v>5.0999999999999996</v>
      </c>
      <c r="S273" s="211">
        <v>3</v>
      </c>
    </row>
    <row r="274" spans="1:19" ht="19">
      <c r="A274" s="212" t="s">
        <v>218</v>
      </c>
      <c r="B274" s="212" t="s">
        <v>221</v>
      </c>
      <c r="C274" s="233" t="s">
        <v>222</v>
      </c>
      <c r="D274" s="234" t="s">
        <v>151</v>
      </c>
      <c r="E274" s="212">
        <v>40451</v>
      </c>
      <c r="F274" s="212">
        <v>125</v>
      </c>
      <c r="G274" s="212" t="s">
        <v>1723</v>
      </c>
      <c r="H274" s="212" t="s">
        <v>1724</v>
      </c>
      <c r="I274" s="212" t="s">
        <v>1815</v>
      </c>
      <c r="J274" s="212" t="s">
        <v>225</v>
      </c>
      <c r="K274" s="227" t="s">
        <v>269</v>
      </c>
      <c r="L274" s="227" t="s">
        <v>1729</v>
      </c>
      <c r="M274" t="s">
        <v>1747</v>
      </c>
      <c r="N274" s="211">
        <v>-10.27</v>
      </c>
      <c r="O274" s="211">
        <v>-19.093</v>
      </c>
      <c r="P274" s="211" t="s">
        <v>487</v>
      </c>
      <c r="Q274" s="211">
        <v>29.9</v>
      </c>
      <c r="R274" s="211">
        <v>-0.9</v>
      </c>
      <c r="S274" s="211" t="s">
        <v>1731</v>
      </c>
    </row>
    <row r="275" spans="1:19" ht="19">
      <c r="A275" s="212" t="s">
        <v>218</v>
      </c>
      <c r="B275" s="212" t="s">
        <v>221</v>
      </c>
      <c r="C275" s="233" t="s">
        <v>222</v>
      </c>
      <c r="D275" s="234" t="s">
        <v>151</v>
      </c>
      <c r="E275" s="212">
        <v>40451</v>
      </c>
      <c r="F275" s="212">
        <v>139</v>
      </c>
      <c r="G275" s="212" t="s">
        <v>1723</v>
      </c>
      <c r="H275" s="212" t="s">
        <v>1724</v>
      </c>
      <c r="I275" s="212" t="s">
        <v>1815</v>
      </c>
      <c r="J275" s="212" t="s">
        <v>225</v>
      </c>
      <c r="K275" s="227" t="s">
        <v>269</v>
      </c>
      <c r="L275" s="227" t="s">
        <v>1729</v>
      </c>
      <c r="M275" t="s">
        <v>186</v>
      </c>
      <c r="N275" s="211">
        <v>-9.43</v>
      </c>
      <c r="O275" s="211">
        <v>-18.253</v>
      </c>
      <c r="P275" s="211" t="s">
        <v>487</v>
      </c>
      <c r="Q275" s="211">
        <v>28.9</v>
      </c>
      <c r="R275" s="211">
        <v>-1.9</v>
      </c>
      <c r="S275" s="211" t="s">
        <v>1731</v>
      </c>
    </row>
    <row r="276" spans="1:19" ht="19">
      <c r="A276" s="212" t="s">
        <v>218</v>
      </c>
      <c r="B276" s="212" t="s">
        <v>221</v>
      </c>
      <c r="C276" s="233" t="s">
        <v>222</v>
      </c>
      <c r="D276" s="234" t="s">
        <v>151</v>
      </c>
      <c r="E276" s="212">
        <v>41229</v>
      </c>
      <c r="F276" s="212">
        <v>462</v>
      </c>
      <c r="G276" s="212" t="s">
        <v>1723</v>
      </c>
      <c r="H276" s="212" t="s">
        <v>1724</v>
      </c>
      <c r="I276" s="212" t="s">
        <v>1137</v>
      </c>
      <c r="J276" s="212" t="s">
        <v>225</v>
      </c>
      <c r="K276" s="227" t="s">
        <v>269</v>
      </c>
      <c r="L276" s="227" t="s">
        <v>1725</v>
      </c>
      <c r="M276" t="s">
        <v>1754</v>
      </c>
      <c r="N276" s="211">
        <v>-19.5</v>
      </c>
      <c r="O276" s="211">
        <v>-19.5</v>
      </c>
      <c r="P276" s="211">
        <v>5.7</v>
      </c>
      <c r="S276" s="211">
        <v>2.7</v>
      </c>
    </row>
    <row r="277" spans="1:19" ht="19">
      <c r="A277" s="212" t="s">
        <v>218</v>
      </c>
      <c r="B277" s="212" t="s">
        <v>221</v>
      </c>
      <c r="C277" s="233" t="s">
        <v>222</v>
      </c>
      <c r="D277" s="234" t="s">
        <v>151</v>
      </c>
      <c r="E277" s="212">
        <v>41229</v>
      </c>
      <c r="F277" s="212">
        <v>643</v>
      </c>
      <c r="G277" s="212" t="s">
        <v>1723</v>
      </c>
      <c r="H277" s="212" t="s">
        <v>1724</v>
      </c>
      <c r="I277" s="212" t="s">
        <v>1137</v>
      </c>
      <c r="J277" s="212" t="s">
        <v>225</v>
      </c>
      <c r="K277" s="227" t="s">
        <v>269</v>
      </c>
      <c r="L277" s="227" t="s">
        <v>1725</v>
      </c>
      <c r="M277" t="s">
        <v>1332</v>
      </c>
      <c r="N277" s="211">
        <v>-19.5</v>
      </c>
      <c r="O277" s="211">
        <v>-19.5</v>
      </c>
      <c r="P277" s="211">
        <v>7.8</v>
      </c>
      <c r="S277" s="211">
        <v>2.9</v>
      </c>
    </row>
    <row r="278" spans="1:19" ht="19">
      <c r="A278" s="212" t="s">
        <v>218</v>
      </c>
      <c r="B278" s="212" t="s">
        <v>221</v>
      </c>
      <c r="C278" s="233" t="s">
        <v>222</v>
      </c>
      <c r="D278" s="234" t="s">
        <v>151</v>
      </c>
      <c r="E278" s="212">
        <v>41229</v>
      </c>
      <c r="F278" s="212">
        <v>645</v>
      </c>
      <c r="G278" s="212" t="s">
        <v>1723</v>
      </c>
      <c r="H278" s="212" t="s">
        <v>1724</v>
      </c>
      <c r="I278" s="212" t="s">
        <v>1137</v>
      </c>
      <c r="J278" s="212" t="s">
        <v>225</v>
      </c>
      <c r="K278" s="227" t="s">
        <v>269</v>
      </c>
      <c r="L278" s="227" t="s">
        <v>1725</v>
      </c>
      <c r="M278" t="s">
        <v>1748</v>
      </c>
      <c r="N278" s="211">
        <v>-18.899999999999999</v>
      </c>
      <c r="O278" s="211">
        <v>-18.899999999999999</v>
      </c>
      <c r="P278" s="211">
        <v>7.1</v>
      </c>
      <c r="S278" s="211">
        <v>2.8</v>
      </c>
    </row>
    <row r="279" spans="1:19" ht="19">
      <c r="A279" s="212" t="s">
        <v>218</v>
      </c>
      <c r="B279" s="212" t="s">
        <v>221</v>
      </c>
      <c r="C279" s="233" t="s">
        <v>222</v>
      </c>
      <c r="D279" s="234" t="s">
        <v>151</v>
      </c>
      <c r="E279" s="212">
        <v>41229</v>
      </c>
      <c r="F279" s="212">
        <v>646</v>
      </c>
      <c r="G279" s="212" t="s">
        <v>1723</v>
      </c>
      <c r="H279" s="212" t="s">
        <v>1724</v>
      </c>
      <c r="I279" s="212" t="s">
        <v>1137</v>
      </c>
      <c r="J279" s="212" t="s">
        <v>104</v>
      </c>
      <c r="K279" s="212" t="s">
        <v>269</v>
      </c>
      <c r="L279" s="227" t="s">
        <v>1725</v>
      </c>
      <c r="M279" t="s">
        <v>1737</v>
      </c>
      <c r="N279" s="211">
        <v>-19.2</v>
      </c>
      <c r="O279" s="211">
        <v>-19.2</v>
      </c>
      <c r="P279" s="211">
        <v>11.1</v>
      </c>
      <c r="S279" s="211">
        <v>2.8</v>
      </c>
    </row>
    <row r="280" spans="1:19" ht="19">
      <c r="A280" s="212" t="s">
        <v>218</v>
      </c>
      <c r="B280" s="212" t="s">
        <v>221</v>
      </c>
      <c r="C280" s="233" t="s">
        <v>222</v>
      </c>
      <c r="D280" s="234" t="s">
        <v>151</v>
      </c>
      <c r="E280" s="212">
        <v>41229</v>
      </c>
      <c r="F280" s="212">
        <v>672</v>
      </c>
      <c r="G280" s="212" t="s">
        <v>1723</v>
      </c>
      <c r="H280" s="212" t="s">
        <v>1724</v>
      </c>
      <c r="I280" s="212" t="s">
        <v>1742</v>
      </c>
      <c r="J280" s="212" t="s">
        <v>225</v>
      </c>
      <c r="K280" s="227" t="s">
        <v>269</v>
      </c>
      <c r="L280" s="227" t="s">
        <v>1725</v>
      </c>
      <c r="M280" t="s">
        <v>1816</v>
      </c>
      <c r="N280" s="211">
        <v>-19.91</v>
      </c>
      <c r="O280" s="211">
        <v>-19.899999999999999</v>
      </c>
      <c r="P280" s="211">
        <v>5.7</v>
      </c>
      <c r="S280" s="211">
        <v>2.8</v>
      </c>
    </row>
    <row r="281" spans="1:19">
      <c r="A281" s="212" t="s">
        <v>218</v>
      </c>
      <c r="B281" s="212" t="s">
        <v>221</v>
      </c>
      <c r="C281" s="233" t="s">
        <v>222</v>
      </c>
      <c r="D281" s="233" t="s">
        <v>151</v>
      </c>
      <c r="E281" s="212">
        <v>41229</v>
      </c>
      <c r="F281" s="212">
        <v>673</v>
      </c>
      <c r="G281" s="212" t="s">
        <v>1723</v>
      </c>
      <c r="H281" s="212" t="s">
        <v>1724</v>
      </c>
      <c r="I281" s="212" t="s">
        <v>1137</v>
      </c>
      <c r="J281" s="212" t="s">
        <v>225</v>
      </c>
      <c r="K281" s="227" t="s">
        <v>269</v>
      </c>
      <c r="L281" s="227" t="s">
        <v>1725</v>
      </c>
      <c r="M281" t="s">
        <v>1754</v>
      </c>
      <c r="N281" s="211">
        <v>-19.899999999999999</v>
      </c>
      <c r="O281" s="211">
        <v>-19.899999999999999</v>
      </c>
      <c r="P281" s="211">
        <v>6.7</v>
      </c>
      <c r="S281" s="211">
        <v>2.8</v>
      </c>
    </row>
    <row r="282" spans="1:19" ht="19">
      <c r="A282" s="212" t="s">
        <v>218</v>
      </c>
      <c r="B282" s="212" t="s">
        <v>221</v>
      </c>
      <c r="C282" s="233" t="s">
        <v>222</v>
      </c>
      <c r="D282" s="234" t="s">
        <v>151</v>
      </c>
      <c r="E282" s="212">
        <v>41229</v>
      </c>
      <c r="F282" s="212">
        <v>675</v>
      </c>
      <c r="G282" s="212" t="s">
        <v>1723</v>
      </c>
      <c r="H282" s="212" t="s">
        <v>1724</v>
      </c>
      <c r="I282" s="212" t="s">
        <v>1137</v>
      </c>
      <c r="J282" s="212" t="s">
        <v>225</v>
      </c>
      <c r="K282" s="227" t="s">
        <v>269</v>
      </c>
      <c r="L282" s="227" t="s">
        <v>1725</v>
      </c>
      <c r="M282" t="s">
        <v>1817</v>
      </c>
      <c r="N282" s="211">
        <v>-18.3</v>
      </c>
      <c r="O282" s="211">
        <v>-18.3</v>
      </c>
      <c r="P282" s="211">
        <v>5.7</v>
      </c>
      <c r="S282" s="211">
        <v>2.9</v>
      </c>
    </row>
    <row r="283" spans="1:19" ht="19">
      <c r="A283" s="212" t="s">
        <v>218</v>
      </c>
      <c r="B283" s="212" t="s">
        <v>221</v>
      </c>
      <c r="C283" s="233" t="s">
        <v>222</v>
      </c>
      <c r="D283" s="234" t="s">
        <v>151</v>
      </c>
      <c r="E283" s="212">
        <v>41229</v>
      </c>
      <c r="F283" s="212">
        <v>676</v>
      </c>
      <c r="G283" s="212" t="s">
        <v>1723</v>
      </c>
      <c r="H283" s="212" t="s">
        <v>1724</v>
      </c>
      <c r="I283" s="212" t="s">
        <v>1137</v>
      </c>
      <c r="J283" s="212" t="s">
        <v>225</v>
      </c>
      <c r="K283" s="227" t="s">
        <v>269</v>
      </c>
      <c r="L283" s="227" t="s">
        <v>1725</v>
      </c>
      <c r="M283" t="s">
        <v>1818</v>
      </c>
      <c r="N283" s="211">
        <v>-18.3</v>
      </c>
      <c r="O283" s="211">
        <v>-18.3</v>
      </c>
      <c r="P283" s="211">
        <v>5.8</v>
      </c>
      <c r="S283" s="211">
        <v>2.9</v>
      </c>
    </row>
    <row r="284" spans="1:19" ht="19">
      <c r="A284" s="212" t="s">
        <v>218</v>
      </c>
      <c r="B284" s="212" t="s">
        <v>221</v>
      </c>
      <c r="C284" s="233" t="s">
        <v>222</v>
      </c>
      <c r="D284" s="234" t="s">
        <v>151</v>
      </c>
      <c r="E284" s="212">
        <v>41229</v>
      </c>
      <c r="F284" s="212">
        <v>868</v>
      </c>
      <c r="G284" s="212" t="s">
        <v>1723</v>
      </c>
      <c r="H284" s="212" t="s">
        <v>1724</v>
      </c>
      <c r="I284" s="212" t="s">
        <v>1137</v>
      </c>
      <c r="J284" s="212" t="s">
        <v>225</v>
      </c>
      <c r="K284" s="227" t="s">
        <v>269</v>
      </c>
      <c r="L284" s="227" t="s">
        <v>1725</v>
      </c>
      <c r="M284" t="s">
        <v>1332</v>
      </c>
      <c r="N284" s="211">
        <v>-19.5</v>
      </c>
      <c r="O284" s="211">
        <v>-19.5</v>
      </c>
      <c r="P284" s="211">
        <v>5.9</v>
      </c>
      <c r="S284" s="211">
        <v>2.7</v>
      </c>
    </row>
    <row r="285" spans="1:19" ht="19">
      <c r="A285" s="212" t="s">
        <v>218</v>
      </c>
      <c r="B285" s="212" t="s">
        <v>221</v>
      </c>
      <c r="C285" s="233" t="s">
        <v>222</v>
      </c>
      <c r="D285" s="234" t="s">
        <v>151</v>
      </c>
      <c r="E285" s="212">
        <v>41229</v>
      </c>
      <c r="F285" s="212">
        <v>975</v>
      </c>
      <c r="G285" s="212" t="s">
        <v>1723</v>
      </c>
      <c r="H285" s="212" t="s">
        <v>1724</v>
      </c>
      <c r="I285" s="212" t="s">
        <v>1742</v>
      </c>
      <c r="J285" s="212" t="s">
        <v>1728</v>
      </c>
      <c r="K285" s="227" t="s">
        <v>269</v>
      </c>
      <c r="L285" s="227" t="s">
        <v>1725</v>
      </c>
      <c r="M285" t="s">
        <v>1819</v>
      </c>
      <c r="N285" s="211">
        <v>-18.8</v>
      </c>
      <c r="O285" s="211">
        <v>-18.8</v>
      </c>
      <c r="P285" s="211">
        <v>5</v>
      </c>
      <c r="S285" s="211">
        <v>2.8</v>
      </c>
    </row>
    <row r="286" spans="1:19" ht="19">
      <c r="A286" s="212" t="s">
        <v>218</v>
      </c>
      <c r="B286" s="212" t="s">
        <v>221</v>
      </c>
      <c r="C286" s="233" t="s">
        <v>222</v>
      </c>
      <c r="D286" s="234" t="s">
        <v>151</v>
      </c>
      <c r="E286" s="212">
        <v>41229</v>
      </c>
      <c r="F286" s="212">
        <v>1001</v>
      </c>
      <c r="G286" s="212" t="s">
        <v>1723</v>
      </c>
      <c r="H286" s="212" t="s">
        <v>1724</v>
      </c>
      <c r="I286" s="212" t="s">
        <v>1137</v>
      </c>
      <c r="J286" s="212" t="s">
        <v>225</v>
      </c>
      <c r="K286" s="212" t="s">
        <v>269</v>
      </c>
      <c r="L286" s="227" t="s">
        <v>1725</v>
      </c>
      <c r="M286" t="s">
        <v>205</v>
      </c>
      <c r="N286" s="211">
        <v>-17.2</v>
      </c>
      <c r="O286" s="211">
        <v>-17.2</v>
      </c>
      <c r="P286" s="211">
        <v>7.3</v>
      </c>
      <c r="S286" s="211">
        <v>2.8</v>
      </c>
    </row>
    <row r="287" spans="1:19" ht="19">
      <c r="A287" s="212" t="s">
        <v>218</v>
      </c>
      <c r="B287" s="212" t="s">
        <v>221</v>
      </c>
      <c r="C287" s="233" t="s">
        <v>222</v>
      </c>
      <c r="D287" s="234" t="s">
        <v>151</v>
      </c>
      <c r="E287" s="212">
        <v>41229</v>
      </c>
      <c r="F287" s="212">
        <v>1055</v>
      </c>
      <c r="G287" s="212" t="s">
        <v>1723</v>
      </c>
      <c r="H287" s="212" t="s">
        <v>1724</v>
      </c>
      <c r="I287" s="212" t="s">
        <v>1137</v>
      </c>
      <c r="J287" s="212" t="s">
        <v>225</v>
      </c>
      <c r="K287" s="227" t="s">
        <v>269</v>
      </c>
      <c r="L287" s="227" t="s">
        <v>1725</v>
      </c>
      <c r="M287" t="s">
        <v>308</v>
      </c>
      <c r="N287" s="211">
        <v>-20</v>
      </c>
      <c r="O287" s="211">
        <v>-20</v>
      </c>
      <c r="P287" s="211">
        <v>4.5</v>
      </c>
      <c r="S287" s="211">
        <v>2.7</v>
      </c>
    </row>
    <row r="288" spans="1:19" ht="19">
      <c r="A288" s="212" t="s">
        <v>218</v>
      </c>
      <c r="B288" s="212" t="s">
        <v>221</v>
      </c>
      <c r="C288" s="233" t="s">
        <v>222</v>
      </c>
      <c r="D288" s="234" t="s">
        <v>151</v>
      </c>
      <c r="E288" s="212">
        <v>41229</v>
      </c>
      <c r="F288" s="212">
        <v>8097</v>
      </c>
      <c r="G288" s="212" t="s">
        <v>1723</v>
      </c>
      <c r="H288" s="212" t="s">
        <v>1724</v>
      </c>
      <c r="I288" s="212" t="s">
        <v>1742</v>
      </c>
      <c r="J288" s="212" t="s">
        <v>1728</v>
      </c>
      <c r="K288" s="212" t="s">
        <v>269</v>
      </c>
      <c r="L288" s="227" t="s">
        <v>1725</v>
      </c>
      <c r="M288" t="s">
        <v>1820</v>
      </c>
      <c r="N288" s="211">
        <v>-19.62</v>
      </c>
      <c r="O288" s="211">
        <v>-19.600000000000001</v>
      </c>
      <c r="P288" s="211">
        <v>6.7</v>
      </c>
      <c r="S288" s="211">
        <v>2.9</v>
      </c>
    </row>
    <row r="289" spans="1:21" ht="19">
      <c r="A289" s="212" t="s">
        <v>218</v>
      </c>
      <c r="B289" s="212" t="s">
        <v>221</v>
      </c>
      <c r="C289" s="233" t="s">
        <v>222</v>
      </c>
      <c r="D289" s="234" t="s">
        <v>151</v>
      </c>
      <c r="E289" s="212">
        <v>41229</v>
      </c>
      <c r="F289" s="212">
        <v>9333</v>
      </c>
      <c r="G289" s="212" t="s">
        <v>1723</v>
      </c>
      <c r="H289" s="212" t="s">
        <v>1724</v>
      </c>
      <c r="I289" s="212" t="s">
        <v>1137</v>
      </c>
      <c r="J289" s="212" t="s">
        <v>225</v>
      </c>
      <c r="K289" s="227" t="s">
        <v>269</v>
      </c>
      <c r="L289" s="227" t="s">
        <v>1725</v>
      </c>
      <c r="M289" t="s">
        <v>1763</v>
      </c>
      <c r="N289" s="211">
        <v>-19.600000000000001</v>
      </c>
      <c r="O289" s="211">
        <v>-19.600000000000001</v>
      </c>
      <c r="P289" s="211">
        <v>5.8</v>
      </c>
      <c r="S289" s="211">
        <v>2.9</v>
      </c>
    </row>
    <row r="290" spans="1:21" ht="19">
      <c r="A290" s="212" t="s">
        <v>218</v>
      </c>
      <c r="B290" s="212" t="s">
        <v>221</v>
      </c>
      <c r="C290" s="233" t="s">
        <v>222</v>
      </c>
      <c r="D290" s="234" t="s">
        <v>151</v>
      </c>
      <c r="E290" s="212">
        <v>41229</v>
      </c>
      <c r="F290" s="212">
        <v>9869</v>
      </c>
      <c r="G290" s="212" t="s">
        <v>1723</v>
      </c>
      <c r="H290" s="212" t="s">
        <v>1724</v>
      </c>
      <c r="I290" s="241" t="s">
        <v>1742</v>
      </c>
      <c r="J290" s="212" t="s">
        <v>1728</v>
      </c>
      <c r="K290" s="227" t="s">
        <v>269</v>
      </c>
      <c r="L290" s="227" t="s">
        <v>1725</v>
      </c>
      <c r="M290" t="s">
        <v>1332</v>
      </c>
      <c r="N290" s="211">
        <v>-20.36</v>
      </c>
      <c r="O290" s="211">
        <v>-20.399999999999999</v>
      </c>
      <c r="P290" s="211">
        <v>5.9</v>
      </c>
      <c r="S290" s="211">
        <v>2.8</v>
      </c>
    </row>
    <row r="291" spans="1:21" ht="19">
      <c r="A291" s="212" t="s">
        <v>218</v>
      </c>
      <c r="B291" s="212" t="s">
        <v>221</v>
      </c>
      <c r="C291" s="233" t="s">
        <v>222</v>
      </c>
      <c r="D291" s="234" t="s">
        <v>151</v>
      </c>
      <c r="E291" s="212">
        <v>41229</v>
      </c>
      <c r="F291" s="212">
        <v>10810</v>
      </c>
      <c r="G291" s="212" t="s">
        <v>1723</v>
      </c>
      <c r="H291" s="212" t="s">
        <v>1724</v>
      </c>
      <c r="I291" s="212" t="s">
        <v>1137</v>
      </c>
      <c r="J291" s="212" t="s">
        <v>1744</v>
      </c>
      <c r="K291" s="227" t="s">
        <v>269</v>
      </c>
      <c r="L291" s="227" t="s">
        <v>1725</v>
      </c>
      <c r="M291" t="s">
        <v>1784</v>
      </c>
      <c r="N291" s="211">
        <v>-18.399999999999999</v>
      </c>
      <c r="O291" s="211">
        <v>-18.399999999999999</v>
      </c>
      <c r="P291" s="211">
        <v>10.3</v>
      </c>
      <c r="S291" s="211">
        <v>2.8</v>
      </c>
    </row>
    <row r="292" spans="1:21" ht="19">
      <c r="A292" s="212" t="s">
        <v>218</v>
      </c>
      <c r="B292" s="212" t="s">
        <v>221</v>
      </c>
      <c r="C292" s="233" t="s">
        <v>222</v>
      </c>
      <c r="D292" s="234" t="s">
        <v>151</v>
      </c>
      <c r="E292" s="212">
        <v>43133</v>
      </c>
      <c r="F292" s="212">
        <v>1112</v>
      </c>
      <c r="G292" s="212" t="s">
        <v>1723</v>
      </c>
      <c r="H292" s="212" t="s">
        <v>1724</v>
      </c>
      <c r="I292" s="212" t="s">
        <v>1183</v>
      </c>
      <c r="J292" s="212" t="s">
        <v>225</v>
      </c>
      <c r="K292" s="227" t="s">
        <v>269</v>
      </c>
      <c r="L292" s="227" t="s">
        <v>1725</v>
      </c>
      <c r="M292" t="s">
        <v>1738</v>
      </c>
      <c r="N292" s="211">
        <v>-19.8</v>
      </c>
      <c r="O292" s="211">
        <v>-19.8</v>
      </c>
      <c r="P292" s="211">
        <v>6.9</v>
      </c>
      <c r="S292" s="211">
        <v>3.1</v>
      </c>
    </row>
    <row r="293" spans="1:21">
      <c r="A293" s="212" t="s">
        <v>218</v>
      </c>
      <c r="B293" s="212" t="s">
        <v>221</v>
      </c>
      <c r="C293" s="233" t="s">
        <v>222</v>
      </c>
      <c r="D293" s="233" t="s">
        <v>151</v>
      </c>
      <c r="E293" s="212">
        <v>43133</v>
      </c>
      <c r="F293" s="212">
        <v>1113</v>
      </c>
      <c r="G293" s="212" t="s">
        <v>1723</v>
      </c>
      <c r="H293" s="212" t="s">
        <v>1724</v>
      </c>
      <c r="I293" s="212" t="s">
        <v>1821</v>
      </c>
      <c r="J293" s="212" t="s">
        <v>1728</v>
      </c>
      <c r="K293" s="227" t="s">
        <v>269</v>
      </c>
      <c r="L293" s="227" t="s">
        <v>1725</v>
      </c>
      <c r="M293" t="s">
        <v>1822</v>
      </c>
      <c r="N293" s="211">
        <v>-19.5</v>
      </c>
      <c r="O293" s="211">
        <v>-19.5</v>
      </c>
      <c r="P293" s="211">
        <v>8.3000000000000007</v>
      </c>
      <c r="S293" s="211">
        <v>2.9</v>
      </c>
    </row>
    <row r="294" spans="1:21" ht="19">
      <c r="A294" s="212" t="s">
        <v>218</v>
      </c>
      <c r="B294" s="212" t="s">
        <v>221</v>
      </c>
      <c r="C294" s="233" t="s">
        <v>222</v>
      </c>
      <c r="D294" s="234" t="s">
        <v>151</v>
      </c>
      <c r="E294" s="212">
        <v>43133</v>
      </c>
      <c r="F294" s="212">
        <v>1115</v>
      </c>
      <c r="G294" s="212" t="s">
        <v>1723</v>
      </c>
      <c r="H294" s="212" t="s">
        <v>1724</v>
      </c>
      <c r="I294" s="212" t="s">
        <v>1821</v>
      </c>
      <c r="J294" s="212" t="s">
        <v>1728</v>
      </c>
      <c r="K294" s="227" t="s">
        <v>269</v>
      </c>
      <c r="L294" s="227" t="s">
        <v>1725</v>
      </c>
      <c r="M294" t="s">
        <v>1822</v>
      </c>
      <c r="N294" s="211">
        <v>-18.66</v>
      </c>
      <c r="O294" s="211">
        <v>-18.7</v>
      </c>
      <c r="P294" s="211">
        <v>7</v>
      </c>
      <c r="S294" s="211">
        <v>3</v>
      </c>
    </row>
    <row r="295" spans="1:21" ht="19">
      <c r="A295" s="212" t="s">
        <v>218</v>
      </c>
      <c r="B295" s="212" t="s">
        <v>221</v>
      </c>
      <c r="C295" s="233" t="s">
        <v>222</v>
      </c>
      <c r="D295" s="234" t="s">
        <v>151</v>
      </c>
      <c r="E295" s="212">
        <v>43133</v>
      </c>
      <c r="F295" s="212">
        <v>1123</v>
      </c>
      <c r="G295" s="212" t="s">
        <v>1723</v>
      </c>
      <c r="H295" s="212" t="s">
        <v>1724</v>
      </c>
      <c r="I295" s="212" t="s">
        <v>1821</v>
      </c>
      <c r="J295" s="212" t="s">
        <v>1728</v>
      </c>
      <c r="K295" s="227" t="s">
        <v>269</v>
      </c>
      <c r="L295" s="227" t="s">
        <v>1725</v>
      </c>
      <c r="M295" t="s">
        <v>1738</v>
      </c>
      <c r="N295" s="211">
        <v>-18.16</v>
      </c>
      <c r="O295" s="211">
        <v>-18.2</v>
      </c>
      <c r="P295" s="211">
        <v>6.1</v>
      </c>
      <c r="S295" s="211">
        <v>3.1</v>
      </c>
      <c r="T295" s="218"/>
    </row>
    <row r="296" spans="1:21" ht="19">
      <c r="A296" s="212" t="s">
        <v>218</v>
      </c>
      <c r="B296" s="212" t="s">
        <v>221</v>
      </c>
      <c r="C296" s="233" t="s">
        <v>222</v>
      </c>
      <c r="D296" s="234" t="s">
        <v>151</v>
      </c>
      <c r="E296" s="212">
        <v>43136</v>
      </c>
      <c r="F296" s="212">
        <v>1</v>
      </c>
      <c r="G296" s="212" t="s">
        <v>1723</v>
      </c>
      <c r="H296" s="212" t="s">
        <v>1724</v>
      </c>
      <c r="I296" s="212" t="s">
        <v>1036</v>
      </c>
      <c r="J296" s="212" t="s">
        <v>104</v>
      </c>
      <c r="K296" s="227" t="s">
        <v>269</v>
      </c>
      <c r="L296" s="227" t="s">
        <v>1725</v>
      </c>
      <c r="M296" t="s">
        <v>1761</v>
      </c>
      <c r="N296" s="211">
        <v>-18.5</v>
      </c>
      <c r="O296" s="211">
        <v>-18.5</v>
      </c>
      <c r="P296" s="211">
        <v>7.7</v>
      </c>
      <c r="S296" s="211">
        <v>2.9</v>
      </c>
    </row>
    <row r="297" spans="1:21" ht="19">
      <c r="A297" s="212" t="s">
        <v>218</v>
      </c>
      <c r="B297" s="212" t="s">
        <v>221</v>
      </c>
      <c r="C297" s="233" t="s">
        <v>222</v>
      </c>
      <c r="D297" s="234" t="s">
        <v>151</v>
      </c>
      <c r="E297" s="212">
        <v>40449</v>
      </c>
      <c r="F297" s="212">
        <v>129</v>
      </c>
      <c r="G297" s="212" t="s">
        <v>1723</v>
      </c>
      <c r="H297" s="212" t="s">
        <v>1724</v>
      </c>
      <c r="I297" s="212" t="s">
        <v>1814</v>
      </c>
      <c r="J297" s="212" t="s">
        <v>225</v>
      </c>
      <c r="K297" s="227" t="s">
        <v>269</v>
      </c>
      <c r="L297" s="227" t="s">
        <v>1725</v>
      </c>
      <c r="M297" t="s">
        <v>1761</v>
      </c>
      <c r="N297" s="211">
        <v>-24.3</v>
      </c>
      <c r="O297" s="211" t="s">
        <v>1731</v>
      </c>
      <c r="P297" s="211">
        <v>-1.1000000000000001</v>
      </c>
      <c r="S297" s="211">
        <v>4.3</v>
      </c>
    </row>
    <row r="298" spans="1:21" ht="19">
      <c r="A298" s="212" t="s">
        <v>218</v>
      </c>
      <c r="B298" s="212" t="s">
        <v>221</v>
      </c>
      <c r="C298" s="233" t="s">
        <v>222</v>
      </c>
      <c r="D298" s="234" t="s">
        <v>151</v>
      </c>
      <c r="E298" s="212">
        <v>40449</v>
      </c>
      <c r="F298" s="212" t="s">
        <v>1823</v>
      </c>
      <c r="G298" s="212" t="s">
        <v>1723</v>
      </c>
      <c r="H298" s="212" t="s">
        <v>1724</v>
      </c>
      <c r="I298" s="212" t="s">
        <v>1814</v>
      </c>
      <c r="J298" s="212" t="s">
        <v>225</v>
      </c>
      <c r="K298" s="227" t="s">
        <v>269</v>
      </c>
      <c r="L298" s="227" t="s">
        <v>1725</v>
      </c>
      <c r="M298" t="s">
        <v>1738</v>
      </c>
      <c r="N298" s="211">
        <v>-24</v>
      </c>
      <c r="O298" s="211" t="s">
        <v>1731</v>
      </c>
      <c r="P298" s="211">
        <v>1.1000000000000001</v>
      </c>
      <c r="S298" s="211">
        <v>4</v>
      </c>
    </row>
    <row r="299" spans="1:21" ht="19">
      <c r="A299" s="212" t="s">
        <v>218</v>
      </c>
      <c r="B299" s="212" t="s">
        <v>221</v>
      </c>
      <c r="C299" s="233" t="s">
        <v>222</v>
      </c>
      <c r="D299" s="234" t="s">
        <v>151</v>
      </c>
      <c r="E299" s="212">
        <v>933</v>
      </c>
      <c r="F299" s="212">
        <v>3013</v>
      </c>
      <c r="G299" s="212" t="s">
        <v>1723</v>
      </c>
      <c r="H299" s="212" t="s">
        <v>1724</v>
      </c>
      <c r="I299" s="212" t="s">
        <v>249</v>
      </c>
      <c r="J299" s="212" t="s">
        <v>104</v>
      </c>
      <c r="K299" s="227" t="s">
        <v>269</v>
      </c>
      <c r="L299" s="227" t="s">
        <v>1725</v>
      </c>
      <c r="M299" t="s">
        <v>205</v>
      </c>
      <c r="N299" s="211">
        <v>-20.8</v>
      </c>
      <c r="O299" s="211">
        <v>-20.8</v>
      </c>
      <c r="P299" s="211">
        <v>8</v>
      </c>
      <c r="S299" s="211">
        <v>3.9</v>
      </c>
    </row>
    <row r="300" spans="1:21" ht="19">
      <c r="A300" s="212" t="s">
        <v>218</v>
      </c>
      <c r="B300" s="212" t="s">
        <v>221</v>
      </c>
      <c r="C300" s="233" t="s">
        <v>222</v>
      </c>
      <c r="D300" s="234" t="s">
        <v>151</v>
      </c>
      <c r="E300" s="212">
        <v>933</v>
      </c>
      <c r="F300" s="212">
        <v>458</v>
      </c>
      <c r="G300" s="212" t="s">
        <v>1723</v>
      </c>
      <c r="H300" s="212" t="s">
        <v>1724</v>
      </c>
      <c r="I300" s="212" t="s">
        <v>249</v>
      </c>
      <c r="J300" s="212" t="s">
        <v>104</v>
      </c>
      <c r="K300" s="227" t="s">
        <v>269</v>
      </c>
      <c r="L300" s="227" t="s">
        <v>1725</v>
      </c>
      <c r="M300" t="s">
        <v>205</v>
      </c>
      <c r="N300" s="211">
        <v>-20.100000000000001</v>
      </c>
      <c r="O300" s="211">
        <v>-20.100000000000001</v>
      </c>
      <c r="P300" s="211">
        <v>7.8</v>
      </c>
      <c r="S300" s="211">
        <v>3.5</v>
      </c>
    </row>
    <row r="301" spans="1:21">
      <c r="A301" s="212" t="s">
        <v>218</v>
      </c>
      <c r="B301" s="212" t="s">
        <v>221</v>
      </c>
      <c r="C301" s="233" t="s">
        <v>222</v>
      </c>
      <c r="D301" s="233" t="s">
        <v>151</v>
      </c>
      <c r="E301" s="212">
        <v>908</v>
      </c>
      <c r="F301" s="213">
        <v>1080</v>
      </c>
      <c r="G301" s="212" t="s">
        <v>1723</v>
      </c>
      <c r="H301" s="212" t="s">
        <v>1724</v>
      </c>
      <c r="I301" s="212" t="s">
        <v>250</v>
      </c>
      <c r="J301" s="212" t="s">
        <v>225</v>
      </c>
      <c r="K301" s="212" t="s">
        <v>269</v>
      </c>
      <c r="L301" s="227" t="s">
        <v>1725</v>
      </c>
      <c r="M301" t="s">
        <v>1738</v>
      </c>
      <c r="N301" s="211">
        <v>-18.739999999999998</v>
      </c>
      <c r="O301" s="211" t="s">
        <v>1731</v>
      </c>
      <c r="P301" s="211">
        <v>5.92</v>
      </c>
      <c r="S301" s="211">
        <v>7.31</v>
      </c>
    </row>
    <row r="302" spans="1:21">
      <c r="A302" s="212" t="s">
        <v>218</v>
      </c>
      <c r="B302" s="212" t="s">
        <v>221</v>
      </c>
      <c r="C302" s="233" t="s">
        <v>222</v>
      </c>
      <c r="D302" s="233" t="s">
        <v>151</v>
      </c>
      <c r="E302" s="212">
        <v>908</v>
      </c>
      <c r="F302" s="212">
        <v>3997</v>
      </c>
      <c r="G302" s="212" t="s">
        <v>1723</v>
      </c>
      <c r="H302" s="212" t="s">
        <v>1724</v>
      </c>
      <c r="I302" s="212" t="s">
        <v>250</v>
      </c>
      <c r="J302" s="212" t="s">
        <v>225</v>
      </c>
      <c r="K302" s="212" t="s">
        <v>269</v>
      </c>
      <c r="L302" s="227" t="s">
        <v>1725</v>
      </c>
      <c r="M302" t="s">
        <v>1727</v>
      </c>
      <c r="N302" s="211">
        <v>-18.7</v>
      </c>
      <c r="O302" s="211" t="s">
        <v>1731</v>
      </c>
      <c r="P302" s="211" t="s">
        <v>463</v>
      </c>
      <c r="S302" s="211">
        <v>9</v>
      </c>
      <c r="U302" s="212" t="s">
        <v>1743</v>
      </c>
    </row>
    <row r="303" spans="1:21">
      <c r="A303" s="212" t="s">
        <v>218</v>
      </c>
      <c r="B303" s="212" t="s">
        <v>221</v>
      </c>
      <c r="C303" s="233" t="s">
        <v>222</v>
      </c>
      <c r="D303" s="233" t="s">
        <v>151</v>
      </c>
      <c r="E303" s="212">
        <v>908</v>
      </c>
      <c r="F303" s="212">
        <v>1080</v>
      </c>
      <c r="G303" s="212" t="s">
        <v>1723</v>
      </c>
      <c r="H303" s="212" t="s">
        <v>1724</v>
      </c>
      <c r="I303" s="212" t="s">
        <v>250</v>
      </c>
      <c r="J303" s="212" t="s">
        <v>225</v>
      </c>
      <c r="K303" s="212" t="s">
        <v>269</v>
      </c>
      <c r="L303" s="227" t="s">
        <v>1725</v>
      </c>
      <c r="M303" t="s">
        <v>1738</v>
      </c>
      <c r="N303" s="211" t="s">
        <v>463</v>
      </c>
      <c r="O303" s="211" t="s">
        <v>1731</v>
      </c>
      <c r="P303" s="211" t="s">
        <v>463</v>
      </c>
      <c r="S303" s="211" t="s">
        <v>1731</v>
      </c>
    </row>
    <row r="304" spans="1:21">
      <c r="A304" s="212" t="s">
        <v>218</v>
      </c>
      <c r="B304" s="212" t="s">
        <v>221</v>
      </c>
      <c r="C304" s="233" t="s">
        <v>222</v>
      </c>
      <c r="D304" s="233" t="s">
        <v>151</v>
      </c>
      <c r="E304" s="212">
        <v>30967</v>
      </c>
      <c r="F304" s="212">
        <v>106</v>
      </c>
      <c r="G304" s="212" t="s">
        <v>1723</v>
      </c>
      <c r="H304" s="212" t="s">
        <v>1724</v>
      </c>
      <c r="I304" s="212" t="s">
        <v>110</v>
      </c>
      <c r="J304" s="212" t="s">
        <v>104</v>
      </c>
      <c r="K304" s="212" t="s">
        <v>269</v>
      </c>
      <c r="L304" s="227" t="s">
        <v>1725</v>
      </c>
      <c r="M304" t="s">
        <v>205</v>
      </c>
      <c r="N304" s="211" t="s">
        <v>463</v>
      </c>
      <c r="O304" s="211" t="s">
        <v>1731</v>
      </c>
      <c r="P304" s="211" t="s">
        <v>463</v>
      </c>
      <c r="S304" s="211" t="s">
        <v>1731</v>
      </c>
    </row>
    <row r="305" spans="1:20" ht="19">
      <c r="A305" s="212" t="s">
        <v>218</v>
      </c>
      <c r="B305" s="212" t="s">
        <v>187</v>
      </c>
      <c r="C305" s="234" t="s">
        <v>494</v>
      </c>
      <c r="D305" s="234" t="s">
        <v>495</v>
      </c>
      <c r="E305" s="212">
        <v>40685</v>
      </c>
      <c r="F305" s="212">
        <v>1</v>
      </c>
      <c r="G305" s="212" t="s">
        <v>1723</v>
      </c>
      <c r="H305" s="212" t="s">
        <v>1811</v>
      </c>
      <c r="I305" s="212" t="s">
        <v>134</v>
      </c>
      <c r="J305" s="212" t="s">
        <v>104</v>
      </c>
      <c r="K305" s="227" t="s">
        <v>269</v>
      </c>
      <c r="L305" s="227" t="s">
        <v>1725</v>
      </c>
      <c r="M305" t="s">
        <v>205</v>
      </c>
      <c r="N305" s="211">
        <v>-16.5</v>
      </c>
      <c r="O305" s="211">
        <v>-16.5</v>
      </c>
      <c r="P305" s="211">
        <v>7.3</v>
      </c>
      <c r="S305" s="211">
        <v>3</v>
      </c>
    </row>
    <row r="306" spans="1:20" ht="19">
      <c r="A306" s="212" t="s">
        <v>218</v>
      </c>
      <c r="B306" s="212" t="s">
        <v>187</v>
      </c>
      <c r="C306" s="234" t="s">
        <v>494</v>
      </c>
      <c r="D306" s="234" t="s">
        <v>495</v>
      </c>
      <c r="E306" s="236">
        <v>40685</v>
      </c>
      <c r="F306" s="236" t="s">
        <v>1824</v>
      </c>
      <c r="G306" s="236" t="s">
        <v>1723</v>
      </c>
      <c r="H306" s="212" t="s">
        <v>1811</v>
      </c>
      <c r="I306" s="212" t="s">
        <v>134</v>
      </c>
      <c r="J306" s="212" t="s">
        <v>104</v>
      </c>
      <c r="K306" s="227" t="s">
        <v>269</v>
      </c>
      <c r="L306" s="227" t="s">
        <v>1725</v>
      </c>
      <c r="M306" t="s">
        <v>205</v>
      </c>
      <c r="N306" s="214">
        <v>-15.8</v>
      </c>
      <c r="O306" s="214">
        <v>-15.8</v>
      </c>
      <c r="P306" s="211">
        <v>7</v>
      </c>
      <c r="S306" s="211">
        <v>3.3</v>
      </c>
    </row>
    <row r="307" spans="1:20" ht="19">
      <c r="A307" s="212" t="s">
        <v>218</v>
      </c>
      <c r="B307" s="212" t="s">
        <v>187</v>
      </c>
      <c r="C307" s="234" t="s">
        <v>494</v>
      </c>
      <c r="D307" s="234" t="s">
        <v>495</v>
      </c>
      <c r="E307" s="212">
        <v>41229</v>
      </c>
      <c r="F307" s="212">
        <v>8240</v>
      </c>
      <c r="G307" s="212" t="s">
        <v>1723</v>
      </c>
      <c r="H307" s="212" t="s">
        <v>1811</v>
      </c>
      <c r="I307" s="212" t="s">
        <v>1137</v>
      </c>
      <c r="J307" s="212" t="s">
        <v>225</v>
      </c>
      <c r="K307" s="227" t="s">
        <v>269</v>
      </c>
      <c r="L307" s="227" t="s">
        <v>1725</v>
      </c>
      <c r="M307" t="s">
        <v>308</v>
      </c>
      <c r="N307" s="211">
        <v>-16.41</v>
      </c>
      <c r="O307" s="211">
        <v>-16.399999999999999</v>
      </c>
      <c r="P307" s="211">
        <v>6.1</v>
      </c>
      <c r="S307" s="211">
        <v>2.9</v>
      </c>
    </row>
    <row r="308" spans="1:20" ht="19">
      <c r="A308" s="212" t="s">
        <v>218</v>
      </c>
      <c r="B308" s="212" t="s">
        <v>187</v>
      </c>
      <c r="C308" s="234" t="s">
        <v>494</v>
      </c>
      <c r="D308" s="234" t="s">
        <v>495</v>
      </c>
      <c r="E308" s="212">
        <v>41229</v>
      </c>
      <c r="F308" s="212">
        <v>10809</v>
      </c>
      <c r="G308" s="212" t="s">
        <v>1723</v>
      </c>
      <c r="H308" s="212" t="s">
        <v>1811</v>
      </c>
      <c r="I308" s="212" t="s">
        <v>1137</v>
      </c>
      <c r="J308" s="212" t="s">
        <v>225</v>
      </c>
      <c r="K308" s="227" t="s">
        <v>269</v>
      </c>
      <c r="L308" s="227" t="s">
        <v>1725</v>
      </c>
      <c r="M308" t="s">
        <v>205</v>
      </c>
      <c r="N308" s="211">
        <v>-16.600000000000001</v>
      </c>
      <c r="O308" s="211">
        <v>-16.600000000000001</v>
      </c>
      <c r="P308" s="211">
        <v>6.8</v>
      </c>
      <c r="S308" s="211">
        <v>3</v>
      </c>
      <c r="T308" s="216"/>
    </row>
    <row r="309" spans="1:20" ht="19">
      <c r="A309" s="212" t="s">
        <v>218</v>
      </c>
      <c r="B309" s="212" t="s">
        <v>187</v>
      </c>
      <c r="C309" s="233" t="s">
        <v>188</v>
      </c>
      <c r="D309" s="234" t="s">
        <v>189</v>
      </c>
      <c r="E309" s="212">
        <v>30967</v>
      </c>
      <c r="F309" s="212">
        <v>108</v>
      </c>
      <c r="G309" s="212" t="s">
        <v>1723</v>
      </c>
      <c r="H309" s="212" t="s">
        <v>1811</v>
      </c>
      <c r="I309" s="212" t="s">
        <v>110</v>
      </c>
      <c r="J309" s="212" t="s">
        <v>1744</v>
      </c>
      <c r="K309" s="227" t="s">
        <v>1745</v>
      </c>
      <c r="L309" s="227" t="s">
        <v>1729</v>
      </c>
      <c r="M309" t="s">
        <v>1730</v>
      </c>
      <c r="N309" s="211">
        <v>-9.1</v>
      </c>
      <c r="O309" s="211">
        <v>-17.899000000000001</v>
      </c>
      <c r="P309" s="211" t="s">
        <v>487</v>
      </c>
      <c r="Q309" s="211">
        <v>32.299999999999997</v>
      </c>
      <c r="R309" s="211">
        <v>1.4</v>
      </c>
      <c r="S309" s="211" t="s">
        <v>1731</v>
      </c>
    </row>
    <row r="310" spans="1:20" ht="19">
      <c r="A310" s="212" t="s">
        <v>218</v>
      </c>
      <c r="B310" s="212" t="s">
        <v>187</v>
      </c>
      <c r="C310" s="233" t="s">
        <v>188</v>
      </c>
      <c r="D310" s="234" t="s">
        <v>189</v>
      </c>
      <c r="E310" s="212">
        <v>30967</v>
      </c>
      <c r="F310" s="212">
        <v>918</v>
      </c>
      <c r="G310" s="212" t="s">
        <v>1723</v>
      </c>
      <c r="H310" s="212" t="s">
        <v>1811</v>
      </c>
      <c r="I310" s="212" t="s">
        <v>110</v>
      </c>
      <c r="J310" s="212" t="s">
        <v>1744</v>
      </c>
      <c r="K310" s="227" t="s">
        <v>1745</v>
      </c>
      <c r="L310" s="227" t="s">
        <v>1729</v>
      </c>
      <c r="M310" t="s">
        <v>1734</v>
      </c>
      <c r="N310" s="211">
        <v>-8.8000000000000007</v>
      </c>
      <c r="O310" s="211">
        <v>-17.599</v>
      </c>
      <c r="P310" s="211" t="s">
        <v>487</v>
      </c>
      <c r="Q310" s="211">
        <v>32.6</v>
      </c>
      <c r="R310" s="211">
        <v>1.7</v>
      </c>
      <c r="S310" s="211" t="s">
        <v>1731</v>
      </c>
    </row>
    <row r="311" spans="1:20">
      <c r="A311" s="212" t="s">
        <v>218</v>
      </c>
      <c r="B311" s="212" t="s">
        <v>187</v>
      </c>
      <c r="C311" s="233" t="s">
        <v>188</v>
      </c>
      <c r="D311" s="233" t="s">
        <v>189</v>
      </c>
      <c r="E311" s="212">
        <v>30967</v>
      </c>
      <c r="F311" s="212" t="s">
        <v>1825</v>
      </c>
      <c r="G311" s="212" t="s">
        <v>1723</v>
      </c>
      <c r="H311" s="212" t="s">
        <v>1811</v>
      </c>
      <c r="I311" s="212" t="s">
        <v>110</v>
      </c>
      <c r="J311" s="212" t="s">
        <v>104</v>
      </c>
      <c r="K311" s="227" t="s">
        <v>269</v>
      </c>
      <c r="L311" s="227" t="s">
        <v>1729</v>
      </c>
      <c r="M311" t="s">
        <v>1730</v>
      </c>
      <c r="N311" s="211">
        <v>-9.1</v>
      </c>
      <c r="O311" s="211">
        <v>-17.899000000000001</v>
      </c>
      <c r="P311" s="211" t="s">
        <v>487</v>
      </c>
      <c r="Q311" s="211">
        <v>32.299999999999997</v>
      </c>
      <c r="R311" s="211">
        <v>1.4</v>
      </c>
      <c r="S311" s="211" t="s">
        <v>1731</v>
      </c>
    </row>
    <row r="312" spans="1:20" ht="19">
      <c r="A312" s="212" t="s">
        <v>218</v>
      </c>
      <c r="B312" s="212" t="s">
        <v>187</v>
      </c>
      <c r="C312" s="233" t="s">
        <v>188</v>
      </c>
      <c r="D312" s="234" t="s">
        <v>189</v>
      </c>
      <c r="E312" s="212">
        <v>30967</v>
      </c>
      <c r="F312" s="212" t="s">
        <v>1826</v>
      </c>
      <c r="G312" s="212" t="s">
        <v>1723</v>
      </c>
      <c r="H312" s="212" t="s">
        <v>1811</v>
      </c>
      <c r="I312" s="212" t="s">
        <v>110</v>
      </c>
      <c r="J312" s="212" t="s">
        <v>104</v>
      </c>
      <c r="K312" s="212" t="s">
        <v>269</v>
      </c>
      <c r="L312" s="227" t="s">
        <v>1729</v>
      </c>
      <c r="M312" t="s">
        <v>1730</v>
      </c>
      <c r="N312" s="211">
        <v>-8.8000000000000007</v>
      </c>
      <c r="O312" s="211">
        <v>-17.599</v>
      </c>
      <c r="P312" s="211" t="s">
        <v>487</v>
      </c>
      <c r="Q312" s="211">
        <v>32.6</v>
      </c>
      <c r="R312" s="211">
        <v>1.7</v>
      </c>
      <c r="S312" s="211" t="s">
        <v>1731</v>
      </c>
    </row>
    <row r="313" spans="1:20" ht="19">
      <c r="A313" s="212" t="s">
        <v>218</v>
      </c>
      <c r="B313" s="212" t="s">
        <v>187</v>
      </c>
      <c r="C313" s="233" t="s">
        <v>188</v>
      </c>
      <c r="D313" s="234" t="s">
        <v>189</v>
      </c>
      <c r="E313" s="212">
        <v>41229</v>
      </c>
      <c r="F313" s="212">
        <v>1364</v>
      </c>
      <c r="G313" s="212" t="s">
        <v>1723</v>
      </c>
      <c r="H313" s="212" t="s">
        <v>1811</v>
      </c>
      <c r="I313" s="212" t="s">
        <v>1137</v>
      </c>
      <c r="J313" s="212" t="s">
        <v>1744</v>
      </c>
      <c r="K313" s="212" t="s">
        <v>269</v>
      </c>
      <c r="L313" s="227" t="s">
        <v>1725</v>
      </c>
      <c r="M313" t="s">
        <v>1738</v>
      </c>
      <c r="N313" s="211">
        <v>-13.21</v>
      </c>
      <c r="O313" s="211" t="s">
        <v>1731</v>
      </c>
      <c r="P313" s="211">
        <v>7.77</v>
      </c>
      <c r="S313" s="211">
        <v>5.12</v>
      </c>
    </row>
    <row r="314" spans="1:20" ht="19">
      <c r="A314" s="212" t="s">
        <v>273</v>
      </c>
      <c r="B314" s="212" t="s">
        <v>74</v>
      </c>
      <c r="C314" s="233" t="s">
        <v>266</v>
      </c>
      <c r="D314" s="234" t="s">
        <v>282</v>
      </c>
      <c r="E314" s="212">
        <v>908</v>
      </c>
      <c r="F314" s="212">
        <v>118</v>
      </c>
      <c r="G314" s="212" t="s">
        <v>1827</v>
      </c>
      <c r="H314" s="212" t="s">
        <v>1827</v>
      </c>
      <c r="I314" s="212" t="s">
        <v>250</v>
      </c>
      <c r="J314" s="212" t="s">
        <v>104</v>
      </c>
      <c r="K314" s="212" t="s">
        <v>269</v>
      </c>
      <c r="L314" s="227" t="s">
        <v>1725</v>
      </c>
      <c r="M314" t="s">
        <v>1828</v>
      </c>
      <c r="N314" s="211">
        <v>-10.8</v>
      </c>
      <c r="O314" s="211">
        <v>-10.8</v>
      </c>
      <c r="P314" s="211">
        <v>11.4</v>
      </c>
      <c r="S314" s="211">
        <v>2.9</v>
      </c>
    </row>
    <row r="315" spans="1:20">
      <c r="A315" s="212" t="s">
        <v>273</v>
      </c>
      <c r="B315" s="212" t="s">
        <v>74</v>
      </c>
      <c r="C315" s="233" t="s">
        <v>266</v>
      </c>
      <c r="D315" s="233" t="s">
        <v>282</v>
      </c>
      <c r="E315" s="212">
        <v>908</v>
      </c>
      <c r="F315" s="212">
        <v>2354</v>
      </c>
      <c r="G315" s="212" t="s">
        <v>1827</v>
      </c>
      <c r="H315" s="212" t="s">
        <v>1827</v>
      </c>
      <c r="I315" s="212" t="s">
        <v>250</v>
      </c>
      <c r="J315" s="212" t="s">
        <v>104</v>
      </c>
      <c r="K315" s="227" t="s">
        <v>269</v>
      </c>
      <c r="L315" s="227" t="s">
        <v>1729</v>
      </c>
      <c r="M315" t="s">
        <v>1829</v>
      </c>
      <c r="N315" s="211">
        <v>-4.22</v>
      </c>
      <c r="O315" s="211">
        <v>-9.2360000000000007</v>
      </c>
      <c r="P315" s="211" t="s">
        <v>487</v>
      </c>
      <c r="Q315" s="211">
        <v>29.1</v>
      </c>
      <c r="R315" s="211">
        <v>-1.7</v>
      </c>
      <c r="S315" s="211" t="s">
        <v>1731</v>
      </c>
    </row>
    <row r="316" spans="1:20">
      <c r="A316" s="212" t="s">
        <v>273</v>
      </c>
      <c r="B316" s="212" t="s">
        <v>74</v>
      </c>
      <c r="C316" s="233" t="s">
        <v>266</v>
      </c>
      <c r="D316" s="233" t="s">
        <v>282</v>
      </c>
      <c r="E316" s="212">
        <v>933</v>
      </c>
      <c r="F316" s="212">
        <v>326</v>
      </c>
      <c r="G316" s="212" t="s">
        <v>1827</v>
      </c>
      <c r="H316" s="212" t="s">
        <v>1827</v>
      </c>
      <c r="I316" s="212" t="s">
        <v>249</v>
      </c>
      <c r="J316" s="212" t="s">
        <v>104</v>
      </c>
      <c r="K316" s="227" t="s">
        <v>269</v>
      </c>
      <c r="L316" s="227" t="s">
        <v>1725</v>
      </c>
      <c r="M316" t="s">
        <v>1830</v>
      </c>
      <c r="N316" s="211">
        <v>-11.2</v>
      </c>
      <c r="O316" s="211">
        <v>-11.2</v>
      </c>
      <c r="P316" s="211">
        <v>12.7</v>
      </c>
      <c r="S316" s="211">
        <v>3.1</v>
      </c>
    </row>
    <row r="317" spans="1:20">
      <c r="A317" s="212" t="s">
        <v>273</v>
      </c>
      <c r="B317" s="212" t="s">
        <v>74</v>
      </c>
      <c r="C317" s="233" t="s">
        <v>266</v>
      </c>
      <c r="D317" s="233" t="s">
        <v>282</v>
      </c>
      <c r="E317" s="212">
        <v>933</v>
      </c>
      <c r="F317" s="212">
        <v>2201</v>
      </c>
      <c r="G317" s="212" t="s">
        <v>1827</v>
      </c>
      <c r="H317" s="212" t="s">
        <v>1827</v>
      </c>
      <c r="I317" s="212" t="s">
        <v>249</v>
      </c>
      <c r="J317" s="212" t="s">
        <v>104</v>
      </c>
      <c r="K317" s="227" t="s">
        <v>269</v>
      </c>
      <c r="L317" s="227" t="s">
        <v>1729</v>
      </c>
      <c r="M317" t="s">
        <v>1829</v>
      </c>
      <c r="N317" s="211">
        <v>-6.35</v>
      </c>
      <c r="O317" s="211">
        <v>-11.366</v>
      </c>
      <c r="P317" s="211" t="s">
        <v>487</v>
      </c>
      <c r="Q317" s="211">
        <v>27.8</v>
      </c>
      <c r="R317" s="211">
        <v>-3</v>
      </c>
      <c r="S317" s="211" t="s">
        <v>1731</v>
      </c>
    </row>
    <row r="318" spans="1:20" ht="19">
      <c r="A318" s="212" t="s">
        <v>273</v>
      </c>
      <c r="B318" s="212" t="s">
        <v>74</v>
      </c>
      <c r="C318" s="233" t="s">
        <v>266</v>
      </c>
      <c r="D318" s="234" t="s">
        <v>282</v>
      </c>
      <c r="E318" s="212">
        <v>933</v>
      </c>
      <c r="F318" s="212" t="s">
        <v>1831</v>
      </c>
      <c r="G318" s="212" t="s">
        <v>1827</v>
      </c>
      <c r="H318" s="212" t="s">
        <v>1827</v>
      </c>
      <c r="I318" s="212" t="s">
        <v>249</v>
      </c>
      <c r="J318" s="212" t="s">
        <v>104</v>
      </c>
      <c r="K318" s="227" t="s">
        <v>269</v>
      </c>
      <c r="L318" s="227" t="s">
        <v>1725</v>
      </c>
      <c r="M318" t="s">
        <v>1828</v>
      </c>
      <c r="N318" s="211">
        <v>-11.3</v>
      </c>
      <c r="O318" s="211">
        <v>-11.3</v>
      </c>
      <c r="P318" s="211">
        <v>12.9</v>
      </c>
      <c r="S318" s="211">
        <v>3.2</v>
      </c>
    </row>
    <row r="319" spans="1:20">
      <c r="A319" s="212" t="s">
        <v>273</v>
      </c>
      <c r="B319" s="212" t="s">
        <v>74</v>
      </c>
      <c r="C319" s="233" t="s">
        <v>266</v>
      </c>
      <c r="D319" s="233" t="s">
        <v>282</v>
      </c>
      <c r="E319" s="212">
        <v>31141</v>
      </c>
      <c r="F319" s="212">
        <v>62</v>
      </c>
      <c r="G319" s="212" t="s">
        <v>1827</v>
      </c>
      <c r="H319" s="212" t="s">
        <v>1827</v>
      </c>
      <c r="I319" s="212" t="s">
        <v>669</v>
      </c>
      <c r="J319" s="212" t="s">
        <v>104</v>
      </c>
      <c r="K319" s="227" t="s">
        <v>269</v>
      </c>
      <c r="L319" s="227" t="s">
        <v>1729</v>
      </c>
      <c r="M319" t="s">
        <v>1739</v>
      </c>
      <c r="N319" s="211">
        <v>-5.52</v>
      </c>
      <c r="O319" s="211">
        <v>-10.536</v>
      </c>
      <c r="P319" s="211" t="s">
        <v>487</v>
      </c>
      <c r="Q319" s="211">
        <v>29.9</v>
      </c>
      <c r="R319" s="211">
        <v>-1</v>
      </c>
      <c r="S319" s="211" t="s">
        <v>1731</v>
      </c>
    </row>
    <row r="320" spans="1:20" ht="19">
      <c r="A320" s="212" t="s">
        <v>273</v>
      </c>
      <c r="B320" s="212" t="s">
        <v>74</v>
      </c>
      <c r="C320" s="233" t="s">
        <v>266</v>
      </c>
      <c r="D320" s="234" t="s">
        <v>282</v>
      </c>
      <c r="E320" s="212">
        <v>41229</v>
      </c>
      <c r="F320" s="212">
        <v>3543</v>
      </c>
      <c r="G320" s="212" t="s">
        <v>1827</v>
      </c>
      <c r="H320" s="212" t="s">
        <v>1827</v>
      </c>
      <c r="I320" s="212" t="s">
        <v>1137</v>
      </c>
      <c r="J320" s="212" t="s">
        <v>104</v>
      </c>
      <c r="K320" s="227" t="s">
        <v>269</v>
      </c>
      <c r="L320" s="227" t="s">
        <v>1725</v>
      </c>
      <c r="M320" t="s">
        <v>205</v>
      </c>
      <c r="N320" s="211">
        <v>-12.7</v>
      </c>
      <c r="O320" s="211">
        <v>-12.7</v>
      </c>
      <c r="P320" s="211">
        <v>12.9</v>
      </c>
      <c r="S320" s="211">
        <v>2.7</v>
      </c>
    </row>
    <row r="321" spans="1:21">
      <c r="A321" s="212" t="s">
        <v>273</v>
      </c>
      <c r="B321" s="212" t="s">
        <v>74</v>
      </c>
      <c r="C321" s="233" t="s">
        <v>266</v>
      </c>
      <c r="D321" s="233" t="s">
        <v>282</v>
      </c>
      <c r="E321" s="212">
        <v>41229</v>
      </c>
      <c r="F321" s="212">
        <v>10802</v>
      </c>
      <c r="G321" s="212" t="s">
        <v>1827</v>
      </c>
      <c r="H321" s="212" t="s">
        <v>1827</v>
      </c>
      <c r="I321" s="212" t="s">
        <v>1137</v>
      </c>
      <c r="J321" s="212" t="s">
        <v>104</v>
      </c>
      <c r="K321" s="227" t="s">
        <v>269</v>
      </c>
      <c r="L321" s="227" t="s">
        <v>1725</v>
      </c>
      <c r="M321" t="s">
        <v>205</v>
      </c>
      <c r="N321" s="211">
        <v>-12.6</v>
      </c>
      <c r="O321" s="211">
        <v>-12.6</v>
      </c>
      <c r="P321" s="211">
        <v>13.7</v>
      </c>
      <c r="S321" s="211">
        <v>2.7</v>
      </c>
    </row>
    <row r="322" spans="1:21">
      <c r="A322" s="212" t="s">
        <v>273</v>
      </c>
      <c r="B322" s="212" t="s">
        <v>74</v>
      </c>
      <c r="C322" s="233" t="s">
        <v>266</v>
      </c>
      <c r="D322" s="233" t="s">
        <v>282</v>
      </c>
      <c r="E322" s="212">
        <v>908</v>
      </c>
      <c r="F322" s="212">
        <v>2430</v>
      </c>
      <c r="G322" s="212" t="s">
        <v>1827</v>
      </c>
      <c r="H322" s="212" t="s">
        <v>1827</v>
      </c>
      <c r="I322" s="212" t="s">
        <v>250</v>
      </c>
      <c r="J322" s="212" t="s">
        <v>104</v>
      </c>
      <c r="K322" s="227" t="s">
        <v>269</v>
      </c>
      <c r="L322" s="227" t="s">
        <v>1725</v>
      </c>
      <c r="M322" t="s">
        <v>1830</v>
      </c>
      <c r="N322" s="211">
        <v>-28.1</v>
      </c>
      <c r="O322" s="211" t="s">
        <v>1731</v>
      </c>
      <c r="P322" s="211" t="s">
        <v>463</v>
      </c>
      <c r="S322" s="211" t="s">
        <v>1731</v>
      </c>
    </row>
    <row r="323" spans="1:21" ht="19">
      <c r="A323" s="554" t="s">
        <v>273</v>
      </c>
      <c r="B323" s="554" t="s">
        <v>74</v>
      </c>
      <c r="C323" s="555" t="s">
        <v>266</v>
      </c>
      <c r="D323" s="556" t="s">
        <v>282</v>
      </c>
      <c r="E323" s="554">
        <v>908</v>
      </c>
      <c r="F323" s="554">
        <v>2428</v>
      </c>
      <c r="G323" s="554" t="s">
        <v>1827</v>
      </c>
      <c r="H323" s="554" t="s">
        <v>1827</v>
      </c>
      <c r="I323" s="554" t="s">
        <v>250</v>
      </c>
      <c r="J323" s="554" t="s">
        <v>104</v>
      </c>
      <c r="K323" s="554" t="s">
        <v>269</v>
      </c>
      <c r="L323" s="554" t="s">
        <v>1725</v>
      </c>
      <c r="M323" s="557" t="s">
        <v>1828</v>
      </c>
      <c r="N323" s="558">
        <v>-27.8</v>
      </c>
      <c r="O323" s="558" t="s">
        <v>1731</v>
      </c>
      <c r="P323" s="558" t="s">
        <v>463</v>
      </c>
      <c r="Q323" s="558"/>
      <c r="R323" s="558"/>
      <c r="S323" s="558" t="s">
        <v>1731</v>
      </c>
      <c r="T323" s="554"/>
      <c r="U323" s="554"/>
    </row>
    <row r="324" spans="1:21" ht="19">
      <c r="A324" s="212" t="s">
        <v>273</v>
      </c>
      <c r="B324" s="212" t="s">
        <v>74</v>
      </c>
      <c r="C324" s="233" t="s">
        <v>266</v>
      </c>
      <c r="D324" s="234" t="s">
        <v>282</v>
      </c>
      <c r="E324" s="212">
        <v>30967</v>
      </c>
      <c r="F324" s="212" t="s">
        <v>1173</v>
      </c>
      <c r="G324" s="212" t="s">
        <v>1827</v>
      </c>
      <c r="H324" s="212" t="s">
        <v>1827</v>
      </c>
      <c r="I324" s="212" t="s">
        <v>110</v>
      </c>
      <c r="J324" s="212" t="s">
        <v>104</v>
      </c>
      <c r="K324" s="227" t="s">
        <v>269</v>
      </c>
      <c r="L324" s="227" t="s">
        <v>1725</v>
      </c>
      <c r="M324" t="s">
        <v>1761</v>
      </c>
      <c r="N324" s="211">
        <v>-24.9</v>
      </c>
      <c r="O324" s="211" t="s">
        <v>1731</v>
      </c>
      <c r="P324" s="211" t="s">
        <v>463</v>
      </c>
      <c r="S324" s="211">
        <v>5.8</v>
      </c>
      <c r="U324" s="212" t="s">
        <v>1743</v>
      </c>
    </row>
    <row r="325" spans="1:21" ht="19">
      <c r="A325" s="212" t="s">
        <v>273</v>
      </c>
      <c r="B325" s="212" t="s">
        <v>74</v>
      </c>
      <c r="C325" s="233" t="s">
        <v>266</v>
      </c>
      <c r="D325" s="234" t="s">
        <v>282</v>
      </c>
      <c r="E325" s="212">
        <v>40449</v>
      </c>
      <c r="F325" s="212">
        <v>175</v>
      </c>
      <c r="G325" s="212" t="s">
        <v>1827</v>
      </c>
      <c r="H325" s="212" t="s">
        <v>1827</v>
      </c>
      <c r="I325" s="212" t="s">
        <v>1814</v>
      </c>
      <c r="J325" s="212" t="s">
        <v>104</v>
      </c>
      <c r="K325" s="227" t="s">
        <v>269</v>
      </c>
      <c r="L325" s="227" t="s">
        <v>1725</v>
      </c>
      <c r="M325" t="s">
        <v>205</v>
      </c>
      <c r="N325" s="211">
        <v>-19.7</v>
      </c>
      <c r="O325" s="211">
        <v>-19.7</v>
      </c>
      <c r="P325" s="211">
        <v>7.1</v>
      </c>
      <c r="S325" s="211">
        <v>3.3</v>
      </c>
    </row>
    <row r="326" spans="1:21" s="559" customFormat="1" ht="19">
      <c r="A326" s="212" t="s">
        <v>273</v>
      </c>
      <c r="B326" s="212" t="s">
        <v>74</v>
      </c>
      <c r="C326" s="233" t="s">
        <v>266</v>
      </c>
      <c r="D326" s="234" t="s">
        <v>282</v>
      </c>
      <c r="E326" s="212">
        <v>933</v>
      </c>
      <c r="F326" s="212" t="s">
        <v>1832</v>
      </c>
      <c r="G326" s="212" t="s">
        <v>1827</v>
      </c>
      <c r="H326" s="212" t="s">
        <v>1827</v>
      </c>
      <c r="I326" s="212" t="s">
        <v>249</v>
      </c>
      <c r="J326" s="212" t="s">
        <v>104</v>
      </c>
      <c r="K326" s="212" t="s">
        <v>269</v>
      </c>
      <c r="L326" s="227" t="s">
        <v>1725</v>
      </c>
      <c r="M326" t="s">
        <v>205</v>
      </c>
      <c r="N326" s="211">
        <v>-19.5</v>
      </c>
      <c r="O326" s="211" t="s">
        <v>1731</v>
      </c>
      <c r="P326" s="211" t="s">
        <v>463</v>
      </c>
      <c r="Q326" s="211"/>
      <c r="R326" s="211"/>
      <c r="S326" s="211">
        <v>4.3</v>
      </c>
      <c r="T326" s="212"/>
      <c r="U326" s="212" t="s">
        <v>1743</v>
      </c>
    </row>
    <row r="327" spans="1:21" ht="19">
      <c r="A327" s="212" t="s">
        <v>273</v>
      </c>
      <c r="B327" s="212" t="s">
        <v>74</v>
      </c>
      <c r="C327" s="233" t="s">
        <v>266</v>
      </c>
      <c r="D327" s="234" t="s">
        <v>282</v>
      </c>
      <c r="E327" s="212">
        <v>30967</v>
      </c>
      <c r="F327" s="212">
        <v>172</v>
      </c>
      <c r="G327" s="212" t="s">
        <v>1827</v>
      </c>
      <c r="H327" s="212" t="s">
        <v>1827</v>
      </c>
      <c r="I327" s="212" t="s">
        <v>110</v>
      </c>
      <c r="J327" s="212" t="s">
        <v>104</v>
      </c>
      <c r="K327" s="227" t="s">
        <v>269</v>
      </c>
      <c r="L327" s="227" t="s">
        <v>1725</v>
      </c>
      <c r="M327" t="s">
        <v>1727</v>
      </c>
      <c r="N327" s="211" t="s">
        <v>463</v>
      </c>
      <c r="O327" s="211" t="s">
        <v>1731</v>
      </c>
      <c r="P327" s="211" t="s">
        <v>463</v>
      </c>
      <c r="S327" s="211" t="s">
        <v>1731</v>
      </c>
    </row>
    <row r="328" spans="1:21" ht="19">
      <c r="A328" s="212" t="s">
        <v>273</v>
      </c>
      <c r="B328" s="212" t="s">
        <v>74</v>
      </c>
      <c r="C328" s="233" t="s">
        <v>266</v>
      </c>
      <c r="D328" s="234" t="s">
        <v>282</v>
      </c>
      <c r="E328" s="212">
        <v>908</v>
      </c>
      <c r="F328" s="212">
        <v>2429</v>
      </c>
      <c r="G328" s="212" t="s">
        <v>1827</v>
      </c>
      <c r="H328" s="212" t="s">
        <v>1827</v>
      </c>
      <c r="I328" s="212" t="s">
        <v>250</v>
      </c>
      <c r="J328" s="212" t="s">
        <v>104</v>
      </c>
      <c r="K328" s="227" t="s">
        <v>269</v>
      </c>
      <c r="L328" s="227" t="s">
        <v>1725</v>
      </c>
      <c r="M328" t="s">
        <v>1758</v>
      </c>
      <c r="N328" s="211" t="s">
        <v>463</v>
      </c>
      <c r="O328" s="211" t="s">
        <v>1731</v>
      </c>
      <c r="P328" s="211" t="s">
        <v>463</v>
      </c>
      <c r="S328" s="211" t="s">
        <v>1731</v>
      </c>
    </row>
    <row r="329" spans="1:21" ht="19">
      <c r="A329" s="212" t="s">
        <v>273</v>
      </c>
      <c r="B329" s="212" t="s">
        <v>74</v>
      </c>
      <c r="C329" s="233" t="s">
        <v>266</v>
      </c>
      <c r="D329" s="234" t="s">
        <v>1833</v>
      </c>
      <c r="E329" s="212">
        <v>40449</v>
      </c>
      <c r="F329" s="212">
        <v>563</v>
      </c>
      <c r="G329" s="212" t="s">
        <v>1827</v>
      </c>
      <c r="H329" s="212" t="s">
        <v>1827</v>
      </c>
      <c r="I329" s="212" t="s">
        <v>1814</v>
      </c>
      <c r="J329" s="212" t="s">
        <v>1744</v>
      </c>
      <c r="K329" s="227" t="s">
        <v>269</v>
      </c>
      <c r="L329" s="227" t="s">
        <v>1725</v>
      </c>
      <c r="M329" t="s">
        <v>1738</v>
      </c>
      <c r="N329" s="211" t="s">
        <v>463</v>
      </c>
      <c r="O329" s="211" t="s">
        <v>1731</v>
      </c>
      <c r="P329" s="211" t="s">
        <v>463</v>
      </c>
      <c r="S329" s="211" t="s">
        <v>463</v>
      </c>
      <c r="U329" s="212" t="s">
        <v>1743</v>
      </c>
    </row>
    <row r="330" spans="1:21" ht="19">
      <c r="A330" s="212" t="s">
        <v>273</v>
      </c>
      <c r="B330" s="212" t="s">
        <v>74</v>
      </c>
      <c r="C330" s="233" t="s">
        <v>266</v>
      </c>
      <c r="D330" s="234" t="s">
        <v>499</v>
      </c>
      <c r="E330" s="212">
        <v>908</v>
      </c>
      <c r="F330" s="212">
        <v>383</v>
      </c>
      <c r="G330" s="212" t="s">
        <v>1827</v>
      </c>
      <c r="H330" s="212" t="s">
        <v>1827</v>
      </c>
      <c r="I330" s="212" t="s">
        <v>250</v>
      </c>
      <c r="J330" s="212" t="s">
        <v>225</v>
      </c>
      <c r="K330" s="212" t="s">
        <v>269</v>
      </c>
      <c r="L330" s="227" t="s">
        <v>1725</v>
      </c>
      <c r="M330" s="205" t="s">
        <v>1738</v>
      </c>
      <c r="N330" s="211">
        <v>-14.5</v>
      </c>
      <c r="O330" s="211">
        <v>-14.5</v>
      </c>
      <c r="P330" s="211">
        <v>7.8</v>
      </c>
      <c r="S330" s="211">
        <v>3.1</v>
      </c>
    </row>
    <row r="331" spans="1:21" ht="19">
      <c r="A331" s="212" t="s">
        <v>273</v>
      </c>
      <c r="B331" s="212" t="s">
        <v>74</v>
      </c>
      <c r="C331" s="233" t="s">
        <v>266</v>
      </c>
      <c r="D331" s="234" t="s">
        <v>499</v>
      </c>
      <c r="E331" s="212">
        <v>43133</v>
      </c>
      <c r="F331" s="212">
        <v>220</v>
      </c>
      <c r="G331" s="212" t="s">
        <v>1827</v>
      </c>
      <c r="H331" s="212" t="s">
        <v>1827</v>
      </c>
      <c r="I331" s="212" t="s">
        <v>1821</v>
      </c>
      <c r="J331" s="212" t="s">
        <v>1728</v>
      </c>
      <c r="K331" s="227" t="s">
        <v>269</v>
      </c>
      <c r="L331" s="227" t="s">
        <v>1725</v>
      </c>
      <c r="M331" t="s">
        <v>1757</v>
      </c>
      <c r="N331" s="211">
        <v>-16.84</v>
      </c>
      <c r="O331" s="211">
        <v>-16.8</v>
      </c>
      <c r="P331" s="211">
        <v>9</v>
      </c>
      <c r="S331" s="211">
        <v>3</v>
      </c>
    </row>
    <row r="332" spans="1:21" ht="19">
      <c r="A332" s="212" t="s">
        <v>273</v>
      </c>
      <c r="B332" s="212" t="s">
        <v>74</v>
      </c>
      <c r="C332" s="233" t="s">
        <v>266</v>
      </c>
      <c r="D332" s="234" t="s">
        <v>499</v>
      </c>
      <c r="E332" s="212">
        <v>43202</v>
      </c>
      <c r="F332" s="212">
        <v>77</v>
      </c>
      <c r="G332" s="212" t="s">
        <v>1827</v>
      </c>
      <c r="H332" s="212" t="s">
        <v>1827</v>
      </c>
      <c r="I332" s="212" t="s">
        <v>1181</v>
      </c>
      <c r="J332" s="212" t="s">
        <v>225</v>
      </c>
      <c r="K332" s="227" t="s">
        <v>269</v>
      </c>
      <c r="L332" s="227" t="s">
        <v>1725</v>
      </c>
      <c r="M332" t="s">
        <v>1805</v>
      </c>
      <c r="N332" s="211">
        <v>-19.100000000000001</v>
      </c>
      <c r="O332" s="211">
        <v>-19.100000000000001</v>
      </c>
      <c r="P332" s="211">
        <v>8.4</v>
      </c>
      <c r="S332" s="211">
        <v>3.3</v>
      </c>
    </row>
    <row r="333" spans="1:21" ht="19">
      <c r="A333" s="212" t="s">
        <v>273</v>
      </c>
      <c r="B333" s="212" t="s">
        <v>74</v>
      </c>
      <c r="C333" s="233" t="s">
        <v>266</v>
      </c>
      <c r="D333" s="238" t="s">
        <v>499</v>
      </c>
      <c r="E333" s="212">
        <v>43202</v>
      </c>
      <c r="F333" s="212">
        <v>79</v>
      </c>
      <c r="G333" s="212" t="s">
        <v>1827</v>
      </c>
      <c r="H333" s="212" t="s">
        <v>1827</v>
      </c>
      <c r="I333" s="212" t="s">
        <v>1181</v>
      </c>
      <c r="J333" s="212" t="s">
        <v>225</v>
      </c>
      <c r="K333" s="227" t="s">
        <v>269</v>
      </c>
      <c r="L333" s="227" t="s">
        <v>1725</v>
      </c>
      <c r="M333" t="s">
        <v>1757</v>
      </c>
      <c r="N333" s="211">
        <v>-19.100000000000001</v>
      </c>
      <c r="O333" s="211">
        <v>-19.100000000000001</v>
      </c>
      <c r="P333" s="211">
        <v>8.3000000000000007</v>
      </c>
      <c r="S333" s="211">
        <v>3.1</v>
      </c>
    </row>
    <row r="334" spans="1:21" ht="19">
      <c r="A334" s="216" t="s">
        <v>273</v>
      </c>
      <c r="B334" s="216" t="s">
        <v>74</v>
      </c>
      <c r="C334" s="239" t="s">
        <v>266</v>
      </c>
      <c r="D334" s="238" t="s">
        <v>499</v>
      </c>
      <c r="E334" s="216">
        <v>43133</v>
      </c>
      <c r="F334" s="216">
        <v>219</v>
      </c>
      <c r="G334" s="216" t="s">
        <v>1827</v>
      </c>
      <c r="H334" s="216" t="s">
        <v>1827</v>
      </c>
      <c r="I334" s="216" t="s">
        <v>1821</v>
      </c>
      <c r="J334" s="216" t="s">
        <v>1728</v>
      </c>
      <c r="K334" s="216" t="s">
        <v>269</v>
      </c>
      <c r="L334" s="216" t="s">
        <v>1729</v>
      </c>
      <c r="M334" t="s">
        <v>1746</v>
      </c>
      <c r="N334" s="217" t="s">
        <v>463</v>
      </c>
      <c r="O334" s="217" t="s">
        <v>1731</v>
      </c>
      <c r="P334" s="217" t="s">
        <v>287</v>
      </c>
      <c r="R334" s="217"/>
      <c r="S334" s="217" t="s">
        <v>1731</v>
      </c>
      <c r="T334" s="216" t="s">
        <v>1834</v>
      </c>
      <c r="U334" s="216"/>
    </row>
    <row r="335" spans="1:21" ht="19">
      <c r="A335" s="212" t="s">
        <v>273</v>
      </c>
      <c r="B335" s="212" t="s">
        <v>74</v>
      </c>
      <c r="C335" s="233" t="s">
        <v>266</v>
      </c>
      <c r="D335" s="234" t="s">
        <v>1185</v>
      </c>
      <c r="E335" s="212">
        <v>220</v>
      </c>
      <c r="F335" s="212">
        <v>27</v>
      </c>
      <c r="G335" s="212" t="s">
        <v>1827</v>
      </c>
      <c r="H335" s="212" t="s">
        <v>1827</v>
      </c>
      <c r="I335" s="212" t="s">
        <v>1212</v>
      </c>
      <c r="J335" s="212" t="s">
        <v>225</v>
      </c>
      <c r="K335" s="212" t="s">
        <v>269</v>
      </c>
      <c r="L335" s="227" t="s">
        <v>1725</v>
      </c>
      <c r="M335" t="s">
        <v>1758</v>
      </c>
      <c r="N335" s="211">
        <v>-17.8</v>
      </c>
      <c r="O335" s="211">
        <v>-17.8</v>
      </c>
      <c r="P335" s="211">
        <v>10.5</v>
      </c>
      <c r="S335" s="211">
        <v>2.8</v>
      </c>
    </row>
    <row r="336" spans="1:21" ht="19">
      <c r="A336" s="212" t="s">
        <v>273</v>
      </c>
      <c r="B336" s="212" t="s">
        <v>74</v>
      </c>
      <c r="C336" s="233" t="s">
        <v>266</v>
      </c>
      <c r="D336" s="234" t="s">
        <v>1185</v>
      </c>
      <c r="E336" s="212">
        <v>908</v>
      </c>
      <c r="F336" s="212">
        <v>3938</v>
      </c>
      <c r="G336" s="212" t="s">
        <v>1827</v>
      </c>
      <c r="H336" s="212" t="s">
        <v>1827</v>
      </c>
      <c r="I336" s="212" t="s">
        <v>250</v>
      </c>
      <c r="J336" s="212" t="s">
        <v>225</v>
      </c>
      <c r="K336" s="227" t="s">
        <v>269</v>
      </c>
      <c r="L336" s="227" t="s">
        <v>1725</v>
      </c>
      <c r="M336" t="s">
        <v>1805</v>
      </c>
      <c r="N336" s="211">
        <v>-12</v>
      </c>
      <c r="O336" s="211">
        <v>-12</v>
      </c>
      <c r="P336" s="211">
        <v>10.1</v>
      </c>
      <c r="S336" s="211">
        <v>2.8</v>
      </c>
    </row>
    <row r="337" spans="1:21" ht="19">
      <c r="A337" s="212" t="s">
        <v>273</v>
      </c>
      <c r="B337" s="212" t="s">
        <v>74</v>
      </c>
      <c r="C337" s="233" t="s">
        <v>266</v>
      </c>
      <c r="D337" s="234" t="s">
        <v>1185</v>
      </c>
      <c r="E337" s="212">
        <v>908</v>
      </c>
      <c r="F337" s="212">
        <v>3939</v>
      </c>
      <c r="G337" s="212" t="s">
        <v>1827</v>
      </c>
      <c r="H337" s="212" t="s">
        <v>1827</v>
      </c>
      <c r="I337" s="212" t="s">
        <v>250</v>
      </c>
      <c r="J337" s="212" t="s">
        <v>225</v>
      </c>
      <c r="K337" s="227" t="s">
        <v>269</v>
      </c>
      <c r="L337" s="227" t="s">
        <v>1725</v>
      </c>
      <c r="M337" t="s">
        <v>205</v>
      </c>
      <c r="N337" s="211">
        <v>-13.8</v>
      </c>
      <c r="O337" s="211">
        <v>-13.8</v>
      </c>
      <c r="P337" s="211">
        <v>9.8000000000000007</v>
      </c>
      <c r="S337" s="211">
        <v>3</v>
      </c>
    </row>
    <row r="338" spans="1:21" ht="19">
      <c r="A338" s="212" t="s">
        <v>273</v>
      </c>
      <c r="B338" s="212" t="s">
        <v>74</v>
      </c>
      <c r="C338" s="233" t="s">
        <v>266</v>
      </c>
      <c r="D338" s="234" t="s">
        <v>1185</v>
      </c>
      <c r="E338" s="212">
        <v>908</v>
      </c>
      <c r="F338" s="212">
        <v>4262</v>
      </c>
      <c r="G338" s="212" t="s">
        <v>1827</v>
      </c>
      <c r="H338" s="212" t="s">
        <v>1827</v>
      </c>
      <c r="I338" s="212" t="s">
        <v>250</v>
      </c>
      <c r="J338" s="212" t="s">
        <v>225</v>
      </c>
      <c r="K338" s="227" t="s">
        <v>269</v>
      </c>
      <c r="L338" s="227" t="s">
        <v>1725</v>
      </c>
      <c r="M338" t="s">
        <v>1750</v>
      </c>
      <c r="N338" s="211">
        <v>-16.100000000000001</v>
      </c>
      <c r="O338" s="211">
        <v>-16.100000000000001</v>
      </c>
      <c r="P338" s="211">
        <v>7.1</v>
      </c>
      <c r="S338" s="211">
        <v>2.9</v>
      </c>
    </row>
    <row r="339" spans="1:21" ht="19">
      <c r="A339" s="212" t="s">
        <v>273</v>
      </c>
      <c r="B339" s="212" t="s">
        <v>74</v>
      </c>
      <c r="C339" s="233" t="s">
        <v>266</v>
      </c>
      <c r="D339" s="234" t="s">
        <v>1185</v>
      </c>
      <c r="E339" s="212">
        <v>908</v>
      </c>
      <c r="F339" s="212">
        <v>4294</v>
      </c>
      <c r="G339" s="212" t="s">
        <v>1827</v>
      </c>
      <c r="H339" s="212" t="s">
        <v>1827</v>
      </c>
      <c r="I339" s="212" t="s">
        <v>250</v>
      </c>
      <c r="J339" s="212" t="s">
        <v>225</v>
      </c>
      <c r="K339" s="227" t="s">
        <v>269</v>
      </c>
      <c r="L339" s="227" t="s">
        <v>1725</v>
      </c>
      <c r="M339" t="s">
        <v>1761</v>
      </c>
      <c r="N339" s="211">
        <v>-11.7</v>
      </c>
      <c r="O339" s="211">
        <v>-11.7</v>
      </c>
      <c r="P339" s="211">
        <v>9.1999999999999993</v>
      </c>
      <c r="S339" s="211">
        <v>2.8</v>
      </c>
    </row>
    <row r="340" spans="1:21" ht="19">
      <c r="A340" s="212" t="s">
        <v>273</v>
      </c>
      <c r="B340" s="212" t="s">
        <v>74</v>
      </c>
      <c r="C340" s="233" t="s">
        <v>266</v>
      </c>
      <c r="D340" s="234" t="s">
        <v>1185</v>
      </c>
      <c r="E340" s="212">
        <v>908</v>
      </c>
      <c r="F340" s="212">
        <v>4297</v>
      </c>
      <c r="G340" s="212" t="s">
        <v>1827</v>
      </c>
      <c r="H340" s="212" t="s">
        <v>1827</v>
      </c>
      <c r="I340" s="212" t="s">
        <v>250</v>
      </c>
      <c r="J340" s="212" t="s">
        <v>225</v>
      </c>
      <c r="K340" s="227" t="s">
        <v>269</v>
      </c>
      <c r="L340" s="227" t="s">
        <v>1725</v>
      </c>
      <c r="M340" t="s">
        <v>1733</v>
      </c>
      <c r="N340" s="211">
        <v>-16.899999999999999</v>
      </c>
      <c r="O340" s="211">
        <v>-16.899999999999999</v>
      </c>
      <c r="P340" s="211">
        <v>7.7</v>
      </c>
      <c r="S340" s="211">
        <v>3</v>
      </c>
    </row>
    <row r="341" spans="1:21" ht="19">
      <c r="A341" s="212" t="s">
        <v>273</v>
      </c>
      <c r="B341" s="212" t="s">
        <v>74</v>
      </c>
      <c r="C341" s="233" t="s">
        <v>266</v>
      </c>
      <c r="D341" s="234" t="s">
        <v>1185</v>
      </c>
      <c r="E341" s="212">
        <v>908</v>
      </c>
      <c r="F341" s="212">
        <v>4324</v>
      </c>
      <c r="G341" s="212" t="s">
        <v>1827</v>
      </c>
      <c r="H341" s="212" t="s">
        <v>1827</v>
      </c>
      <c r="I341" s="212" t="s">
        <v>250</v>
      </c>
      <c r="J341" s="212" t="s">
        <v>225</v>
      </c>
      <c r="K341" s="227" t="s">
        <v>269</v>
      </c>
      <c r="L341" s="227" t="s">
        <v>1725</v>
      </c>
      <c r="M341" t="s">
        <v>1738</v>
      </c>
      <c r="N341" s="211">
        <v>-15.1</v>
      </c>
      <c r="O341" s="211">
        <v>-15.1</v>
      </c>
      <c r="P341" s="211">
        <v>9.6999999999999993</v>
      </c>
      <c r="S341" s="211">
        <v>3</v>
      </c>
    </row>
    <row r="342" spans="1:21" ht="19">
      <c r="A342" s="212" t="s">
        <v>273</v>
      </c>
      <c r="B342" s="212" t="s">
        <v>74</v>
      </c>
      <c r="C342" s="233" t="s">
        <v>266</v>
      </c>
      <c r="D342" s="234" t="s">
        <v>1185</v>
      </c>
      <c r="E342" s="212">
        <v>908</v>
      </c>
      <c r="F342" s="212">
        <v>4469</v>
      </c>
      <c r="G342" s="212" t="s">
        <v>1827</v>
      </c>
      <c r="H342" s="212" t="s">
        <v>1827</v>
      </c>
      <c r="I342" s="212" t="s">
        <v>250</v>
      </c>
      <c r="J342" s="212" t="s">
        <v>225</v>
      </c>
      <c r="K342" s="227" t="s">
        <v>269</v>
      </c>
      <c r="L342" s="227" t="s">
        <v>1725</v>
      </c>
      <c r="M342" t="s">
        <v>1757</v>
      </c>
      <c r="N342" s="211">
        <v>-16.5</v>
      </c>
      <c r="O342" s="211">
        <v>-16.5</v>
      </c>
      <c r="P342" s="211">
        <v>9.9</v>
      </c>
      <c r="S342" s="211">
        <v>2.8</v>
      </c>
    </row>
    <row r="343" spans="1:21" ht="19">
      <c r="A343" s="212" t="s">
        <v>273</v>
      </c>
      <c r="B343" s="212" t="s">
        <v>74</v>
      </c>
      <c r="C343" s="233" t="s">
        <v>266</v>
      </c>
      <c r="D343" s="234" t="s">
        <v>1185</v>
      </c>
      <c r="E343" s="212">
        <v>41229</v>
      </c>
      <c r="F343" s="212">
        <v>6561</v>
      </c>
      <c r="G343" s="212" t="s">
        <v>1827</v>
      </c>
      <c r="H343" s="212" t="s">
        <v>1827</v>
      </c>
      <c r="I343" s="212" t="s">
        <v>1137</v>
      </c>
      <c r="J343" s="212" t="s">
        <v>225</v>
      </c>
      <c r="K343" s="227" t="s">
        <v>269</v>
      </c>
      <c r="L343" s="227" t="s">
        <v>1725</v>
      </c>
      <c r="M343" t="s">
        <v>205</v>
      </c>
      <c r="N343" s="211">
        <v>-16.600000000000001</v>
      </c>
      <c r="O343" s="211">
        <v>-16.600000000000001</v>
      </c>
      <c r="P343" s="211">
        <v>7.9</v>
      </c>
      <c r="S343" s="211">
        <v>2.8</v>
      </c>
    </row>
    <row r="344" spans="1:21">
      <c r="A344" s="212" t="s">
        <v>273</v>
      </c>
      <c r="B344" s="212" t="s">
        <v>74</v>
      </c>
      <c r="C344" s="233" t="s">
        <v>266</v>
      </c>
      <c r="D344" s="105" t="s">
        <v>1185</v>
      </c>
      <c r="E344" s="212">
        <v>43202</v>
      </c>
      <c r="F344" s="212">
        <v>5</v>
      </c>
      <c r="G344" s="212" t="s">
        <v>1827</v>
      </c>
      <c r="H344" s="212" t="s">
        <v>1827</v>
      </c>
      <c r="I344" s="212" t="s">
        <v>1181</v>
      </c>
      <c r="J344" s="212" t="s">
        <v>225</v>
      </c>
      <c r="K344" s="227" t="s">
        <v>269</v>
      </c>
      <c r="L344" s="227" t="s">
        <v>1725</v>
      </c>
      <c r="M344" t="s">
        <v>1758</v>
      </c>
      <c r="N344" s="211">
        <v>-17.100000000000001</v>
      </c>
      <c r="O344" s="211">
        <v>-17.100000000000001</v>
      </c>
      <c r="P344" s="211">
        <v>7.5</v>
      </c>
      <c r="S344" s="211">
        <v>2.8</v>
      </c>
    </row>
    <row r="345" spans="1:21" ht="19">
      <c r="A345" s="212" t="s">
        <v>273</v>
      </c>
      <c r="B345" s="212" t="s">
        <v>74</v>
      </c>
      <c r="C345" s="233" t="s">
        <v>266</v>
      </c>
      <c r="D345" s="234" t="s">
        <v>1185</v>
      </c>
      <c r="E345" s="212">
        <v>43202</v>
      </c>
      <c r="F345" s="212">
        <v>73</v>
      </c>
      <c r="G345" s="212" t="s">
        <v>1827</v>
      </c>
      <c r="H345" s="212" t="s">
        <v>1827</v>
      </c>
      <c r="I345" s="212" t="s">
        <v>1181</v>
      </c>
      <c r="J345" s="212" t="s">
        <v>225</v>
      </c>
      <c r="K345" s="227" t="s">
        <v>269</v>
      </c>
      <c r="L345" s="227" t="s">
        <v>1725</v>
      </c>
      <c r="M345" t="s">
        <v>1805</v>
      </c>
      <c r="N345" s="211">
        <v>-19.2</v>
      </c>
      <c r="O345" s="211">
        <v>-19.2</v>
      </c>
      <c r="P345" s="211">
        <v>9.6999999999999993</v>
      </c>
      <c r="S345" s="211">
        <v>3.3</v>
      </c>
    </row>
    <row r="346" spans="1:21">
      <c r="A346" s="212" t="s">
        <v>273</v>
      </c>
      <c r="B346" s="212" t="s">
        <v>74</v>
      </c>
      <c r="C346" s="233" t="s">
        <v>266</v>
      </c>
      <c r="D346" s="105" t="s">
        <v>1185</v>
      </c>
      <c r="E346" s="212">
        <v>908</v>
      </c>
      <c r="F346" s="212">
        <v>4267</v>
      </c>
      <c r="G346" s="212" t="s">
        <v>1827</v>
      </c>
      <c r="H346" s="212" t="s">
        <v>1827</v>
      </c>
      <c r="I346" s="212" t="s">
        <v>250</v>
      </c>
      <c r="J346" s="212" t="s">
        <v>225</v>
      </c>
      <c r="K346" s="227" t="s">
        <v>269</v>
      </c>
      <c r="L346" s="227" t="s">
        <v>1725</v>
      </c>
      <c r="M346" t="s">
        <v>1750</v>
      </c>
      <c r="N346" s="211" t="s">
        <v>463</v>
      </c>
      <c r="O346" s="211" t="s">
        <v>1731</v>
      </c>
      <c r="P346" s="211" t="s">
        <v>463</v>
      </c>
      <c r="S346" s="211">
        <v>13.1</v>
      </c>
      <c r="U346" s="212" t="s">
        <v>1743</v>
      </c>
    </row>
    <row r="347" spans="1:21" ht="19">
      <c r="A347" s="212" t="s">
        <v>273</v>
      </c>
      <c r="B347" s="212" t="s">
        <v>74</v>
      </c>
      <c r="C347" s="233" t="s">
        <v>266</v>
      </c>
      <c r="D347" s="234" t="s">
        <v>267</v>
      </c>
      <c r="E347" s="212">
        <v>220</v>
      </c>
      <c r="F347" s="212">
        <v>36</v>
      </c>
      <c r="G347" s="212" t="s">
        <v>1827</v>
      </c>
      <c r="H347" s="212" t="s">
        <v>1827</v>
      </c>
      <c r="I347" s="212" t="s">
        <v>1212</v>
      </c>
      <c r="J347" s="212" t="s">
        <v>225</v>
      </c>
      <c r="K347" s="212" t="s">
        <v>269</v>
      </c>
      <c r="L347" s="227" t="s">
        <v>1725</v>
      </c>
      <c r="M347" t="s">
        <v>1738</v>
      </c>
      <c r="N347" s="211">
        <v>-16.399999999999999</v>
      </c>
      <c r="O347" s="211">
        <v>-16.399999999999999</v>
      </c>
      <c r="P347" s="211">
        <v>8.4</v>
      </c>
      <c r="S347" s="211">
        <v>3</v>
      </c>
    </row>
    <row r="348" spans="1:21" ht="19">
      <c r="A348" s="212" t="s">
        <v>273</v>
      </c>
      <c r="B348" s="212" t="s">
        <v>74</v>
      </c>
      <c r="C348" s="233" t="s">
        <v>266</v>
      </c>
      <c r="D348" s="234" t="s">
        <v>267</v>
      </c>
      <c r="E348" s="212">
        <v>908</v>
      </c>
      <c r="F348" s="212">
        <v>341</v>
      </c>
      <c r="G348" s="212" t="s">
        <v>1827</v>
      </c>
      <c r="H348" s="212" t="s">
        <v>1827</v>
      </c>
      <c r="I348" s="212" t="s">
        <v>250</v>
      </c>
      <c r="J348" s="212" t="s">
        <v>225</v>
      </c>
      <c r="K348" s="212" t="s">
        <v>269</v>
      </c>
      <c r="L348" s="227" t="s">
        <v>1725</v>
      </c>
      <c r="M348" t="s">
        <v>1830</v>
      </c>
      <c r="N348" s="211">
        <v>-10.1</v>
      </c>
      <c r="O348" s="211">
        <v>-10.1</v>
      </c>
      <c r="P348" s="211">
        <v>11.4</v>
      </c>
      <c r="S348" s="211">
        <v>2.9</v>
      </c>
    </row>
    <row r="349" spans="1:21" ht="19">
      <c r="A349" s="212" t="s">
        <v>273</v>
      </c>
      <c r="B349" s="212" t="s">
        <v>74</v>
      </c>
      <c r="C349" s="233" t="s">
        <v>266</v>
      </c>
      <c r="D349" s="234" t="s">
        <v>267</v>
      </c>
      <c r="E349" s="212">
        <v>908</v>
      </c>
      <c r="F349" s="212">
        <v>347</v>
      </c>
      <c r="G349" s="212" t="s">
        <v>1827</v>
      </c>
      <c r="H349" s="212" t="s">
        <v>1827</v>
      </c>
      <c r="I349" s="212" t="s">
        <v>250</v>
      </c>
      <c r="J349" s="212" t="s">
        <v>225</v>
      </c>
      <c r="K349" s="212" t="s">
        <v>269</v>
      </c>
      <c r="L349" s="227" t="s">
        <v>1725</v>
      </c>
      <c r="M349" t="s">
        <v>1835</v>
      </c>
      <c r="N349" s="211">
        <v>-10.4</v>
      </c>
      <c r="O349" s="211">
        <v>-10.4</v>
      </c>
      <c r="P349" s="211">
        <v>10.1</v>
      </c>
      <c r="S349" s="211">
        <v>3</v>
      </c>
    </row>
    <row r="350" spans="1:21" ht="19">
      <c r="A350" s="212" t="s">
        <v>273</v>
      </c>
      <c r="B350" s="212" t="s">
        <v>74</v>
      </c>
      <c r="C350" s="233" t="s">
        <v>266</v>
      </c>
      <c r="D350" s="234" t="s">
        <v>267</v>
      </c>
      <c r="E350" s="212">
        <v>908</v>
      </c>
      <c r="F350" s="212">
        <v>382</v>
      </c>
      <c r="G350" s="212" t="s">
        <v>1827</v>
      </c>
      <c r="H350" s="212" t="s">
        <v>1827</v>
      </c>
      <c r="I350" s="212" t="s">
        <v>250</v>
      </c>
      <c r="J350" s="212" t="s">
        <v>225</v>
      </c>
      <c r="K350" s="212" t="s">
        <v>269</v>
      </c>
      <c r="L350" s="227" t="s">
        <v>1725</v>
      </c>
      <c r="M350" t="s">
        <v>1835</v>
      </c>
      <c r="N350" s="211">
        <v>-10.199999999999999</v>
      </c>
      <c r="O350" s="211">
        <v>-10.199999999999999</v>
      </c>
      <c r="P350" s="211">
        <v>9.6</v>
      </c>
      <c r="S350" s="211">
        <v>2.8</v>
      </c>
    </row>
    <row r="351" spans="1:21" ht="19">
      <c r="A351" s="212" t="s">
        <v>273</v>
      </c>
      <c r="B351" s="212" t="s">
        <v>74</v>
      </c>
      <c r="C351" s="233" t="s">
        <v>266</v>
      </c>
      <c r="D351" s="234" t="s">
        <v>267</v>
      </c>
      <c r="E351" s="212">
        <v>908</v>
      </c>
      <c r="F351" s="212">
        <v>437</v>
      </c>
      <c r="G351" s="212" t="s">
        <v>1827</v>
      </c>
      <c r="H351" s="212" t="s">
        <v>1827</v>
      </c>
      <c r="I351" s="212" t="s">
        <v>250</v>
      </c>
      <c r="J351" s="212" t="s">
        <v>225</v>
      </c>
      <c r="K351" s="212" t="s">
        <v>269</v>
      </c>
      <c r="L351" s="227" t="s">
        <v>1725</v>
      </c>
      <c r="M351" t="s">
        <v>1761</v>
      </c>
      <c r="N351" s="211">
        <v>-13.8</v>
      </c>
      <c r="O351" s="211">
        <v>-13.8</v>
      </c>
      <c r="P351" s="211">
        <v>7.8</v>
      </c>
      <c r="S351" s="211">
        <v>2.9</v>
      </c>
    </row>
    <row r="352" spans="1:21" ht="19">
      <c r="A352" s="212" t="s">
        <v>273</v>
      </c>
      <c r="B352" s="212" t="s">
        <v>74</v>
      </c>
      <c r="C352" s="233" t="s">
        <v>266</v>
      </c>
      <c r="D352" s="234" t="s">
        <v>267</v>
      </c>
      <c r="E352" s="212">
        <v>908</v>
      </c>
      <c r="F352" s="212">
        <v>820</v>
      </c>
      <c r="G352" s="212" t="s">
        <v>1827</v>
      </c>
      <c r="H352" s="212" t="s">
        <v>1827</v>
      </c>
      <c r="I352" s="212" t="s">
        <v>250</v>
      </c>
      <c r="J352" s="212" t="s">
        <v>225</v>
      </c>
      <c r="K352" s="212" t="s">
        <v>269</v>
      </c>
      <c r="L352" s="227" t="s">
        <v>1725</v>
      </c>
      <c r="M352" t="s">
        <v>1755</v>
      </c>
      <c r="N352" s="211">
        <v>-13</v>
      </c>
      <c r="O352" s="211">
        <v>-13</v>
      </c>
      <c r="P352" s="211">
        <v>8.8000000000000007</v>
      </c>
      <c r="S352" s="211">
        <v>2.9</v>
      </c>
    </row>
    <row r="353" spans="1:19" ht="19">
      <c r="A353" s="212" t="s">
        <v>273</v>
      </c>
      <c r="B353" s="212" t="s">
        <v>74</v>
      </c>
      <c r="C353" s="233" t="s">
        <v>266</v>
      </c>
      <c r="D353" s="234" t="s">
        <v>267</v>
      </c>
      <c r="E353" s="212">
        <v>908</v>
      </c>
      <c r="F353" s="212">
        <v>2113</v>
      </c>
      <c r="G353" s="212" t="s">
        <v>1827</v>
      </c>
      <c r="H353" s="212" t="s">
        <v>1827</v>
      </c>
      <c r="I353" s="212" t="s">
        <v>250</v>
      </c>
      <c r="J353" s="212" t="s">
        <v>225</v>
      </c>
      <c r="K353" s="212" t="s">
        <v>269</v>
      </c>
      <c r="L353" s="227" t="s">
        <v>1725</v>
      </c>
      <c r="M353" s="203" t="s">
        <v>1758</v>
      </c>
      <c r="N353" s="211">
        <v>-13.4</v>
      </c>
      <c r="O353" s="211">
        <v>-13.4</v>
      </c>
      <c r="P353" s="211">
        <v>11</v>
      </c>
      <c r="S353" s="211">
        <v>2.8</v>
      </c>
    </row>
    <row r="354" spans="1:19" ht="19">
      <c r="A354" s="212" t="s">
        <v>273</v>
      </c>
      <c r="B354" s="212" t="s">
        <v>74</v>
      </c>
      <c r="C354" s="233" t="s">
        <v>266</v>
      </c>
      <c r="D354" s="234" t="s">
        <v>267</v>
      </c>
      <c r="E354" s="212">
        <v>908</v>
      </c>
      <c r="F354" s="212">
        <v>2220</v>
      </c>
      <c r="G354" s="212" t="s">
        <v>1827</v>
      </c>
      <c r="H354" s="212" t="s">
        <v>1827</v>
      </c>
      <c r="I354" s="212" t="s">
        <v>250</v>
      </c>
      <c r="J354" s="212" t="s">
        <v>225</v>
      </c>
      <c r="K354" s="212" t="s">
        <v>269</v>
      </c>
      <c r="L354" s="227" t="s">
        <v>1725</v>
      </c>
      <c r="M354" s="203" t="s">
        <v>1836</v>
      </c>
      <c r="N354" s="211">
        <v>-10</v>
      </c>
      <c r="O354" s="211">
        <v>-10</v>
      </c>
      <c r="P354" s="211">
        <v>9.6999999999999993</v>
      </c>
      <c r="S354" s="211">
        <v>2.8</v>
      </c>
    </row>
    <row r="355" spans="1:19" ht="19">
      <c r="A355" s="212" t="s">
        <v>273</v>
      </c>
      <c r="B355" s="212" t="s">
        <v>74</v>
      </c>
      <c r="C355" s="233" t="s">
        <v>266</v>
      </c>
      <c r="D355" s="234" t="s">
        <v>267</v>
      </c>
      <c r="E355" s="212">
        <v>908</v>
      </c>
      <c r="F355" s="212">
        <v>3465</v>
      </c>
      <c r="G355" s="212" t="s">
        <v>1827</v>
      </c>
      <c r="H355" s="212" t="s">
        <v>1827</v>
      </c>
      <c r="I355" s="212" t="s">
        <v>250</v>
      </c>
      <c r="J355" s="212" t="s">
        <v>225</v>
      </c>
      <c r="K355" s="227" t="s">
        <v>269</v>
      </c>
      <c r="L355" s="227" t="s">
        <v>1725</v>
      </c>
      <c r="M355" t="s">
        <v>1837</v>
      </c>
      <c r="N355" s="211">
        <v>-8.3000000000000007</v>
      </c>
      <c r="O355" s="211">
        <v>-8.3000000000000007</v>
      </c>
      <c r="P355" s="211">
        <v>10.5</v>
      </c>
      <c r="S355" s="211">
        <v>2.9</v>
      </c>
    </row>
    <row r="356" spans="1:19" ht="19">
      <c r="A356" s="212" t="s">
        <v>273</v>
      </c>
      <c r="B356" s="212" t="s">
        <v>74</v>
      </c>
      <c r="C356" s="233" t="s">
        <v>266</v>
      </c>
      <c r="D356" s="234" t="s">
        <v>267</v>
      </c>
      <c r="E356" s="212">
        <v>908</v>
      </c>
      <c r="F356" s="212">
        <v>3521</v>
      </c>
      <c r="G356" s="212" t="s">
        <v>1827</v>
      </c>
      <c r="H356" s="212" t="s">
        <v>1827</v>
      </c>
      <c r="I356" s="212" t="s">
        <v>250</v>
      </c>
      <c r="J356" s="212" t="s">
        <v>225</v>
      </c>
      <c r="K356" s="227" t="s">
        <v>269</v>
      </c>
      <c r="L356" s="227" t="s">
        <v>1725</v>
      </c>
      <c r="M356" t="s">
        <v>1828</v>
      </c>
      <c r="N356" s="211">
        <v>-15.1</v>
      </c>
      <c r="O356" s="211">
        <v>-15.1</v>
      </c>
      <c r="P356" s="211">
        <v>12.6</v>
      </c>
      <c r="S356" s="211">
        <v>3.2</v>
      </c>
    </row>
    <row r="357" spans="1:19" ht="19">
      <c r="A357" s="212" t="s">
        <v>273</v>
      </c>
      <c r="B357" s="212" t="s">
        <v>74</v>
      </c>
      <c r="C357" s="233" t="s">
        <v>266</v>
      </c>
      <c r="D357" s="234" t="s">
        <v>267</v>
      </c>
      <c r="E357" s="212">
        <v>40450</v>
      </c>
      <c r="F357" s="212">
        <v>345</v>
      </c>
      <c r="G357" s="212" t="s">
        <v>1827</v>
      </c>
      <c r="H357" s="212" t="s">
        <v>1827</v>
      </c>
      <c r="I357" s="212" t="s">
        <v>1783</v>
      </c>
      <c r="J357" s="212" t="s">
        <v>104</v>
      </c>
      <c r="K357" s="227" t="s">
        <v>269</v>
      </c>
      <c r="L357" s="227" t="s">
        <v>1725</v>
      </c>
      <c r="M357" t="s">
        <v>1737</v>
      </c>
      <c r="N357" s="211">
        <v>-14.7</v>
      </c>
      <c r="O357" s="211">
        <v>-14.7</v>
      </c>
      <c r="P357" s="211">
        <v>9</v>
      </c>
      <c r="S357" s="211">
        <v>3</v>
      </c>
    </row>
    <row r="358" spans="1:19" ht="19">
      <c r="A358" s="212" t="s">
        <v>273</v>
      </c>
      <c r="B358" s="212" t="s">
        <v>74</v>
      </c>
      <c r="C358" s="233" t="s">
        <v>266</v>
      </c>
      <c r="D358" s="234" t="s">
        <v>267</v>
      </c>
      <c r="E358" s="212">
        <v>40450</v>
      </c>
      <c r="F358" s="212">
        <v>1603</v>
      </c>
      <c r="G358" s="212" t="s">
        <v>1827</v>
      </c>
      <c r="H358" s="212" t="s">
        <v>1827</v>
      </c>
      <c r="I358" s="212" t="s">
        <v>1783</v>
      </c>
      <c r="J358" s="212" t="s">
        <v>104</v>
      </c>
      <c r="K358" s="227" t="s">
        <v>269</v>
      </c>
      <c r="L358" s="227" t="s">
        <v>1725</v>
      </c>
      <c r="M358" t="s">
        <v>205</v>
      </c>
      <c r="N358" s="211">
        <v>-15.1</v>
      </c>
      <c r="O358" s="211">
        <v>-15.1</v>
      </c>
      <c r="P358" s="211">
        <v>9.6999999999999993</v>
      </c>
      <c r="S358" s="211">
        <v>3.1</v>
      </c>
    </row>
    <row r="359" spans="1:19" ht="19">
      <c r="A359" s="212" t="s">
        <v>273</v>
      </c>
      <c r="B359" s="212" t="s">
        <v>74</v>
      </c>
      <c r="C359" s="233" t="s">
        <v>266</v>
      </c>
      <c r="D359" s="234" t="s">
        <v>267</v>
      </c>
      <c r="E359" s="212">
        <v>40450</v>
      </c>
      <c r="F359" s="212">
        <v>1608</v>
      </c>
      <c r="G359" s="212" t="s">
        <v>1827</v>
      </c>
      <c r="H359" s="212" t="s">
        <v>1827</v>
      </c>
      <c r="I359" s="212" t="s">
        <v>1783</v>
      </c>
      <c r="J359" s="212" t="s">
        <v>104</v>
      </c>
      <c r="K359" s="227" t="s">
        <v>269</v>
      </c>
      <c r="L359" s="227" t="s">
        <v>1725</v>
      </c>
      <c r="M359" t="s">
        <v>205</v>
      </c>
      <c r="N359" s="211">
        <v>-17.2</v>
      </c>
      <c r="O359" s="211">
        <v>-17.2</v>
      </c>
      <c r="P359" s="211">
        <v>8.1</v>
      </c>
      <c r="S359" s="211">
        <v>3</v>
      </c>
    </row>
    <row r="360" spans="1:19" ht="19">
      <c r="A360" s="212" t="s">
        <v>273</v>
      </c>
      <c r="B360" s="212" t="s">
        <v>74</v>
      </c>
      <c r="C360" s="233" t="s">
        <v>266</v>
      </c>
      <c r="D360" s="234" t="s">
        <v>267</v>
      </c>
      <c r="E360" s="212">
        <v>40450</v>
      </c>
      <c r="F360" s="212">
        <v>1609</v>
      </c>
      <c r="G360" s="212" t="s">
        <v>1827</v>
      </c>
      <c r="H360" s="212" t="s">
        <v>1827</v>
      </c>
      <c r="I360" s="212" t="s">
        <v>1783</v>
      </c>
      <c r="J360" s="212" t="s">
        <v>104</v>
      </c>
      <c r="K360" s="227" t="s">
        <v>269</v>
      </c>
      <c r="L360" s="227" t="s">
        <v>1725</v>
      </c>
      <c r="M360" t="s">
        <v>1738</v>
      </c>
      <c r="N360" s="211">
        <v>-15.6</v>
      </c>
      <c r="O360" s="211">
        <v>-15.6</v>
      </c>
      <c r="P360" s="211">
        <v>9.1</v>
      </c>
      <c r="S360" s="211">
        <v>3</v>
      </c>
    </row>
    <row r="361" spans="1:19" ht="19">
      <c r="A361" s="212" t="s">
        <v>273</v>
      </c>
      <c r="B361" s="212" t="s">
        <v>74</v>
      </c>
      <c r="C361" s="233" t="s">
        <v>266</v>
      </c>
      <c r="D361" s="234" t="s">
        <v>267</v>
      </c>
      <c r="E361" s="212">
        <v>41229</v>
      </c>
      <c r="F361" s="212">
        <v>294</v>
      </c>
      <c r="G361" s="212" t="s">
        <v>1827</v>
      </c>
      <c r="H361" s="212" t="s">
        <v>1827</v>
      </c>
      <c r="I361" s="212" t="s">
        <v>1137</v>
      </c>
      <c r="J361" s="212" t="s">
        <v>225</v>
      </c>
      <c r="K361" s="227" t="s">
        <v>269</v>
      </c>
      <c r="L361" s="227" t="s">
        <v>1725</v>
      </c>
      <c r="M361" t="s">
        <v>205</v>
      </c>
      <c r="N361" s="211">
        <v>-16.100000000000001</v>
      </c>
      <c r="O361" s="211">
        <v>-16.100000000000001</v>
      </c>
      <c r="P361" s="211">
        <v>10.6</v>
      </c>
      <c r="S361" s="211">
        <v>2.7</v>
      </c>
    </row>
    <row r="362" spans="1:19" ht="19">
      <c r="A362" s="212" t="s">
        <v>273</v>
      </c>
      <c r="B362" s="212" t="s">
        <v>74</v>
      </c>
      <c r="C362" s="233" t="s">
        <v>266</v>
      </c>
      <c r="D362" s="234" t="s">
        <v>267</v>
      </c>
      <c r="E362" s="212">
        <v>41229</v>
      </c>
      <c r="F362" s="212">
        <v>644</v>
      </c>
      <c r="G362" s="212" t="s">
        <v>1827</v>
      </c>
      <c r="H362" s="212" t="s">
        <v>1827</v>
      </c>
      <c r="I362" s="212" t="s">
        <v>1137</v>
      </c>
      <c r="J362" s="212" t="s">
        <v>1728</v>
      </c>
      <c r="K362" s="227" t="s">
        <v>269</v>
      </c>
      <c r="L362" s="227" t="s">
        <v>1725</v>
      </c>
      <c r="M362" t="s">
        <v>1838</v>
      </c>
      <c r="N362" s="211">
        <v>-15.53</v>
      </c>
      <c r="O362" s="211">
        <v>-15.5</v>
      </c>
      <c r="P362" s="211">
        <v>14.2</v>
      </c>
      <c r="S362" s="211">
        <v>2.8</v>
      </c>
    </row>
    <row r="363" spans="1:19" ht="19">
      <c r="A363" s="212" t="s">
        <v>273</v>
      </c>
      <c r="B363" s="212" t="s">
        <v>74</v>
      </c>
      <c r="C363" s="233" t="s">
        <v>266</v>
      </c>
      <c r="D363" s="234" t="s">
        <v>267</v>
      </c>
      <c r="E363" s="212">
        <v>41229</v>
      </c>
      <c r="F363" s="212">
        <v>697</v>
      </c>
      <c r="G363" s="212" t="s">
        <v>1827</v>
      </c>
      <c r="H363" s="212" t="s">
        <v>1827</v>
      </c>
      <c r="I363" s="212" t="s">
        <v>1137</v>
      </c>
      <c r="J363" s="212" t="s">
        <v>225</v>
      </c>
      <c r="K363" s="227" t="s">
        <v>269</v>
      </c>
      <c r="L363" s="227" t="s">
        <v>1725</v>
      </c>
      <c r="M363" t="s">
        <v>205</v>
      </c>
      <c r="N363" s="211">
        <v>-17.100000000000001</v>
      </c>
      <c r="O363" s="211">
        <v>-17.100000000000001</v>
      </c>
      <c r="P363" s="211">
        <v>8.1</v>
      </c>
      <c r="S363" s="211">
        <v>2.7</v>
      </c>
    </row>
    <row r="364" spans="1:19" ht="19">
      <c r="A364" s="212" t="s">
        <v>273</v>
      </c>
      <c r="B364" s="212" t="s">
        <v>74</v>
      </c>
      <c r="C364" s="233" t="s">
        <v>266</v>
      </c>
      <c r="D364" s="234" t="s">
        <v>267</v>
      </c>
      <c r="E364" s="212">
        <v>41229</v>
      </c>
      <c r="F364" s="212">
        <v>1358</v>
      </c>
      <c r="G364" s="212" t="s">
        <v>1827</v>
      </c>
      <c r="H364" s="212" t="s">
        <v>1827</v>
      </c>
      <c r="I364" s="212" t="s">
        <v>1137</v>
      </c>
      <c r="J364" s="212" t="s">
        <v>1728</v>
      </c>
      <c r="K364" s="227" t="s">
        <v>269</v>
      </c>
      <c r="L364" s="227" t="s">
        <v>1725</v>
      </c>
      <c r="M364" t="s">
        <v>1735</v>
      </c>
      <c r="N364" s="211">
        <v>-13.15</v>
      </c>
      <c r="O364" s="211">
        <v>-13.2</v>
      </c>
      <c r="P364" s="211">
        <v>7.9</v>
      </c>
      <c r="S364" s="211">
        <v>2.8</v>
      </c>
    </row>
    <row r="365" spans="1:19" ht="19">
      <c r="A365" s="212" t="s">
        <v>273</v>
      </c>
      <c r="B365" s="212" t="s">
        <v>74</v>
      </c>
      <c r="C365" s="233" t="s">
        <v>266</v>
      </c>
      <c r="D365" s="234" t="s">
        <v>267</v>
      </c>
      <c r="E365" s="212">
        <v>41229</v>
      </c>
      <c r="F365" s="212">
        <v>2539</v>
      </c>
      <c r="G365" s="212" t="s">
        <v>1827</v>
      </c>
      <c r="H365" s="212" t="s">
        <v>1827</v>
      </c>
      <c r="I365" s="212" t="s">
        <v>1137</v>
      </c>
      <c r="J365" s="212" t="s">
        <v>225</v>
      </c>
      <c r="K365" s="227" t="s">
        <v>269</v>
      </c>
      <c r="L365" s="227" t="s">
        <v>1725</v>
      </c>
      <c r="M365" t="s">
        <v>1763</v>
      </c>
      <c r="N365" s="211">
        <v>-12.5</v>
      </c>
      <c r="O365" s="211">
        <v>-12.5</v>
      </c>
      <c r="P365" s="211">
        <v>8.1</v>
      </c>
      <c r="S365" s="211">
        <v>2.8</v>
      </c>
    </row>
    <row r="366" spans="1:19" ht="19">
      <c r="A366" s="212" t="s">
        <v>273</v>
      </c>
      <c r="B366" s="212" t="s">
        <v>74</v>
      </c>
      <c r="C366" s="233" t="s">
        <v>266</v>
      </c>
      <c r="D366" s="234" t="s">
        <v>267</v>
      </c>
      <c r="E366" s="212">
        <v>41229</v>
      </c>
      <c r="F366" s="212">
        <v>2554</v>
      </c>
      <c r="G366" s="212" t="s">
        <v>1827</v>
      </c>
      <c r="H366" s="212" t="s">
        <v>1827</v>
      </c>
      <c r="I366" s="212" t="s">
        <v>1137</v>
      </c>
      <c r="J366" s="212" t="s">
        <v>225</v>
      </c>
      <c r="K366" s="227" t="s">
        <v>269</v>
      </c>
      <c r="L366" s="227" t="s">
        <v>1725</v>
      </c>
      <c r="M366" t="s">
        <v>1838</v>
      </c>
      <c r="N366" s="211">
        <v>-16.2</v>
      </c>
      <c r="O366" s="211">
        <v>-16.2</v>
      </c>
      <c r="P366" s="211">
        <v>9.4</v>
      </c>
      <c r="S366" s="211">
        <v>2.8</v>
      </c>
    </row>
    <row r="367" spans="1:19" ht="19">
      <c r="A367" s="212" t="s">
        <v>273</v>
      </c>
      <c r="B367" s="212" t="s">
        <v>74</v>
      </c>
      <c r="C367" s="233" t="s">
        <v>266</v>
      </c>
      <c r="D367" s="234" t="s">
        <v>267</v>
      </c>
      <c r="E367" s="212">
        <v>41229</v>
      </c>
      <c r="F367" s="212">
        <v>2588</v>
      </c>
      <c r="G367" s="212" t="s">
        <v>1827</v>
      </c>
      <c r="H367" s="212" t="s">
        <v>1827</v>
      </c>
      <c r="I367" s="212" t="s">
        <v>1137</v>
      </c>
      <c r="J367" s="212" t="s">
        <v>225</v>
      </c>
      <c r="K367" s="227" t="s">
        <v>269</v>
      </c>
      <c r="L367" s="227" t="s">
        <v>1725</v>
      </c>
      <c r="M367" t="s">
        <v>1784</v>
      </c>
      <c r="N367" s="211">
        <v>-14.2</v>
      </c>
      <c r="O367" s="211">
        <v>-14.2</v>
      </c>
      <c r="P367" s="211">
        <v>7</v>
      </c>
      <c r="S367" s="211">
        <v>2.8</v>
      </c>
    </row>
    <row r="368" spans="1:19" ht="19">
      <c r="A368" s="212" t="s">
        <v>273</v>
      </c>
      <c r="B368" s="212" t="s">
        <v>74</v>
      </c>
      <c r="C368" s="233" t="s">
        <v>266</v>
      </c>
      <c r="D368" s="234" t="s">
        <v>267</v>
      </c>
      <c r="E368" s="212">
        <v>41229</v>
      </c>
      <c r="F368" s="212">
        <v>2598</v>
      </c>
      <c r="G368" s="212" t="s">
        <v>1827</v>
      </c>
      <c r="H368" s="212" t="s">
        <v>1827</v>
      </c>
      <c r="I368" s="212" t="s">
        <v>1742</v>
      </c>
      <c r="J368" s="212" t="s">
        <v>1728</v>
      </c>
      <c r="K368" s="227" t="s">
        <v>269</v>
      </c>
      <c r="L368" s="227" t="s">
        <v>1725</v>
      </c>
      <c r="M368" t="s">
        <v>1839</v>
      </c>
      <c r="N368" s="211">
        <v>-17</v>
      </c>
      <c r="O368" s="211">
        <v>-17</v>
      </c>
      <c r="P368" s="211">
        <v>7.2</v>
      </c>
      <c r="S368" s="211">
        <v>2.8</v>
      </c>
    </row>
    <row r="369" spans="1:21" ht="19">
      <c r="A369" s="212" t="s">
        <v>273</v>
      </c>
      <c r="B369" s="212" t="s">
        <v>74</v>
      </c>
      <c r="C369" s="233" t="s">
        <v>266</v>
      </c>
      <c r="D369" s="234" t="s">
        <v>267</v>
      </c>
      <c r="E369" s="212">
        <v>41229</v>
      </c>
      <c r="F369" s="212">
        <v>4004</v>
      </c>
      <c r="G369" s="212" t="s">
        <v>1827</v>
      </c>
      <c r="H369" s="212" t="s">
        <v>1827</v>
      </c>
      <c r="I369" s="212" t="s">
        <v>1137</v>
      </c>
      <c r="J369" s="212" t="s">
        <v>225</v>
      </c>
      <c r="K369" s="227" t="s">
        <v>269</v>
      </c>
      <c r="L369" s="227" t="s">
        <v>1725</v>
      </c>
      <c r="M369" t="s">
        <v>205</v>
      </c>
      <c r="N369" s="211">
        <v>-11.6</v>
      </c>
      <c r="O369" s="211">
        <v>-11.6</v>
      </c>
      <c r="P369" s="211">
        <v>9.6</v>
      </c>
      <c r="S369" s="211">
        <v>2.8</v>
      </c>
    </row>
    <row r="370" spans="1:21">
      <c r="A370" s="212" t="s">
        <v>273</v>
      </c>
      <c r="B370" s="212" t="s">
        <v>74</v>
      </c>
      <c r="C370" s="233" t="s">
        <v>266</v>
      </c>
      <c r="D370" s="233" t="s">
        <v>267</v>
      </c>
      <c r="E370" s="212">
        <v>41229</v>
      </c>
      <c r="F370" s="212">
        <v>11094</v>
      </c>
      <c r="G370" s="212" t="s">
        <v>1827</v>
      </c>
      <c r="H370" s="212" t="s">
        <v>1827</v>
      </c>
      <c r="I370" s="212" t="s">
        <v>1137</v>
      </c>
      <c r="J370" s="212" t="s">
        <v>104</v>
      </c>
      <c r="K370" s="212" t="s">
        <v>269</v>
      </c>
      <c r="L370" s="227" t="s">
        <v>1725</v>
      </c>
      <c r="M370" t="s">
        <v>205</v>
      </c>
      <c r="N370" s="211">
        <v>-11.9</v>
      </c>
      <c r="O370" s="211">
        <v>-11.9</v>
      </c>
      <c r="P370" s="211">
        <v>12.3</v>
      </c>
      <c r="S370" s="211">
        <v>2.7</v>
      </c>
    </row>
    <row r="371" spans="1:21" ht="19">
      <c r="A371" s="212" t="s">
        <v>273</v>
      </c>
      <c r="B371" s="212" t="s">
        <v>74</v>
      </c>
      <c r="C371" s="233" t="s">
        <v>266</v>
      </c>
      <c r="D371" s="234" t="s">
        <v>267</v>
      </c>
      <c r="E371" s="212">
        <v>43133</v>
      </c>
      <c r="F371" s="212">
        <v>1413</v>
      </c>
      <c r="G371" s="212" t="s">
        <v>1827</v>
      </c>
      <c r="H371" s="212" t="s">
        <v>1827</v>
      </c>
      <c r="I371" s="212" t="s">
        <v>1183</v>
      </c>
      <c r="J371" s="212" t="s">
        <v>225</v>
      </c>
      <c r="K371" s="227" t="s">
        <v>269</v>
      </c>
      <c r="L371" s="227" t="s">
        <v>1725</v>
      </c>
      <c r="M371" t="s">
        <v>1761</v>
      </c>
      <c r="N371" s="211">
        <v>-17.7</v>
      </c>
      <c r="O371" s="211">
        <v>-17.7</v>
      </c>
      <c r="P371" s="211">
        <v>7.2</v>
      </c>
      <c r="S371" s="211">
        <v>2.9</v>
      </c>
    </row>
    <row r="372" spans="1:21" ht="19">
      <c r="A372" s="212" t="s">
        <v>273</v>
      </c>
      <c r="B372" s="212" t="s">
        <v>74</v>
      </c>
      <c r="C372" s="233" t="s">
        <v>266</v>
      </c>
      <c r="D372" s="234" t="s">
        <v>267</v>
      </c>
      <c r="E372" s="212">
        <v>43133</v>
      </c>
      <c r="F372" s="212">
        <v>1426</v>
      </c>
      <c r="G372" s="212" t="s">
        <v>1827</v>
      </c>
      <c r="H372" s="212" t="s">
        <v>1827</v>
      </c>
      <c r="I372" s="212" t="s">
        <v>1183</v>
      </c>
      <c r="J372" s="212" t="s">
        <v>225</v>
      </c>
      <c r="K372" s="227" t="s">
        <v>269</v>
      </c>
      <c r="L372" s="227" t="s">
        <v>1725</v>
      </c>
      <c r="M372" t="s">
        <v>205</v>
      </c>
      <c r="N372" s="211">
        <v>-11.6</v>
      </c>
      <c r="O372" s="211">
        <v>-11.6</v>
      </c>
      <c r="P372" s="211">
        <v>9.1999999999999993</v>
      </c>
      <c r="S372" s="211">
        <v>2.7</v>
      </c>
    </row>
    <row r="373" spans="1:21">
      <c r="A373" s="212" t="s">
        <v>273</v>
      </c>
      <c r="B373" s="212" t="s">
        <v>74</v>
      </c>
      <c r="C373" s="233" t="s">
        <v>266</v>
      </c>
      <c r="D373" s="233" t="s">
        <v>267</v>
      </c>
      <c r="E373" s="212">
        <v>43202</v>
      </c>
      <c r="F373" s="212">
        <v>43</v>
      </c>
      <c r="G373" s="212" t="s">
        <v>1827</v>
      </c>
      <c r="H373" s="212" t="s">
        <v>1827</v>
      </c>
      <c r="I373" s="212" t="s">
        <v>1181</v>
      </c>
      <c r="J373" s="212" t="s">
        <v>225</v>
      </c>
      <c r="K373" s="227" t="s">
        <v>269</v>
      </c>
      <c r="L373" s="227" t="s">
        <v>1725</v>
      </c>
      <c r="M373" t="s">
        <v>1757</v>
      </c>
      <c r="N373" s="211">
        <v>-14.6</v>
      </c>
      <c r="O373" s="211">
        <v>-14.6</v>
      </c>
      <c r="P373" s="211">
        <v>8.1</v>
      </c>
      <c r="S373" s="211">
        <v>2.7</v>
      </c>
    </row>
    <row r="374" spans="1:21" ht="19">
      <c r="A374" s="212" t="s">
        <v>273</v>
      </c>
      <c r="B374" s="212" t="s">
        <v>74</v>
      </c>
      <c r="C374" s="233" t="s">
        <v>266</v>
      </c>
      <c r="D374" s="234" t="s">
        <v>267</v>
      </c>
      <c r="E374" s="212">
        <v>43481</v>
      </c>
      <c r="F374" s="212">
        <v>4</v>
      </c>
      <c r="G374" s="212" t="s">
        <v>1827</v>
      </c>
      <c r="H374" s="212" t="s">
        <v>1827</v>
      </c>
      <c r="I374" s="212" t="s">
        <v>1840</v>
      </c>
      <c r="J374" s="212" t="s">
        <v>225</v>
      </c>
      <c r="K374" s="227" t="s">
        <v>269</v>
      </c>
      <c r="L374" s="227" t="s">
        <v>1725</v>
      </c>
      <c r="M374" t="s">
        <v>1757</v>
      </c>
      <c r="N374" s="211">
        <v>-12.3</v>
      </c>
      <c r="O374" s="211">
        <v>-12.3</v>
      </c>
      <c r="P374" s="211">
        <v>8.6</v>
      </c>
      <c r="S374" s="211">
        <v>2.8</v>
      </c>
    </row>
    <row r="375" spans="1:21" ht="19">
      <c r="A375" s="212" t="s">
        <v>273</v>
      </c>
      <c r="B375" s="212" t="s">
        <v>74</v>
      </c>
      <c r="C375" s="233" t="s">
        <v>266</v>
      </c>
      <c r="D375" s="234" t="s">
        <v>267</v>
      </c>
      <c r="E375" s="212">
        <v>908</v>
      </c>
      <c r="F375" s="212">
        <v>2316</v>
      </c>
      <c r="G375" s="212" t="s">
        <v>1827</v>
      </c>
      <c r="H375" s="212" t="s">
        <v>1827</v>
      </c>
      <c r="I375" s="212" t="s">
        <v>250</v>
      </c>
      <c r="J375" s="212" t="s">
        <v>104</v>
      </c>
      <c r="K375" s="227" t="s">
        <v>269</v>
      </c>
      <c r="L375" s="227" t="s">
        <v>1725</v>
      </c>
      <c r="M375" t="s">
        <v>1757</v>
      </c>
      <c r="N375" s="211">
        <v>-27.7</v>
      </c>
      <c r="O375" s="211" t="s">
        <v>1731</v>
      </c>
      <c r="P375" s="211" t="s">
        <v>463</v>
      </c>
      <c r="S375" s="211" t="s">
        <v>1731</v>
      </c>
    </row>
    <row r="376" spans="1:21" ht="19">
      <c r="A376" s="212" t="s">
        <v>273</v>
      </c>
      <c r="B376" s="212" t="s">
        <v>74</v>
      </c>
      <c r="C376" s="233" t="s">
        <v>266</v>
      </c>
      <c r="D376" s="234" t="s">
        <v>267</v>
      </c>
      <c r="E376" s="212">
        <v>933</v>
      </c>
      <c r="F376" s="212">
        <v>1625</v>
      </c>
      <c r="G376" s="212" t="s">
        <v>1827</v>
      </c>
      <c r="H376" s="212" t="s">
        <v>1827</v>
      </c>
      <c r="I376" s="212" t="s">
        <v>249</v>
      </c>
      <c r="J376" s="212" t="s">
        <v>104</v>
      </c>
      <c r="K376" s="227" t="s">
        <v>269</v>
      </c>
      <c r="L376" s="227" t="s">
        <v>1725</v>
      </c>
      <c r="M376" t="s">
        <v>205</v>
      </c>
      <c r="N376" s="211">
        <v>-16.5</v>
      </c>
      <c r="O376" s="211">
        <v>-16.5</v>
      </c>
      <c r="P376" s="211">
        <v>10.7</v>
      </c>
      <c r="S376" s="211">
        <v>3.5</v>
      </c>
    </row>
    <row r="377" spans="1:21" ht="19">
      <c r="A377" s="212" t="s">
        <v>273</v>
      </c>
      <c r="B377" s="212" t="s">
        <v>74</v>
      </c>
      <c r="C377" s="233" t="s">
        <v>266</v>
      </c>
      <c r="D377" s="234" t="s">
        <v>267</v>
      </c>
      <c r="E377" s="212">
        <v>933</v>
      </c>
      <c r="F377" s="212">
        <v>670</v>
      </c>
      <c r="G377" s="212" t="s">
        <v>1827</v>
      </c>
      <c r="H377" s="212" t="s">
        <v>1827</v>
      </c>
      <c r="I377" s="212" t="s">
        <v>249</v>
      </c>
      <c r="J377" s="212" t="s">
        <v>104</v>
      </c>
      <c r="K377" s="227" t="s">
        <v>269</v>
      </c>
      <c r="L377" s="227" t="s">
        <v>1725</v>
      </c>
      <c r="M377" t="s">
        <v>1738</v>
      </c>
      <c r="N377" s="211">
        <v>-16.2</v>
      </c>
      <c r="O377" s="211">
        <v>-16.2</v>
      </c>
      <c r="P377" s="211">
        <v>10.1</v>
      </c>
      <c r="S377" s="211">
        <v>3.4</v>
      </c>
    </row>
    <row r="378" spans="1:21">
      <c r="A378" s="212" t="s">
        <v>273</v>
      </c>
      <c r="B378" s="212" t="s">
        <v>74</v>
      </c>
      <c r="C378" s="233" t="s">
        <v>266</v>
      </c>
      <c r="D378" s="233" t="s">
        <v>267</v>
      </c>
      <c r="E378" s="212">
        <v>1295</v>
      </c>
      <c r="F378" s="212">
        <v>1</v>
      </c>
      <c r="G378" s="212" t="s">
        <v>1827</v>
      </c>
      <c r="H378" s="212" t="s">
        <v>1827</v>
      </c>
      <c r="I378" s="212" t="s">
        <v>1171</v>
      </c>
      <c r="J378" s="212" t="s">
        <v>104</v>
      </c>
      <c r="K378" s="227" t="s">
        <v>269</v>
      </c>
      <c r="L378" s="227" t="s">
        <v>1725</v>
      </c>
      <c r="M378" t="s">
        <v>1738</v>
      </c>
      <c r="N378" s="211" t="s">
        <v>463</v>
      </c>
      <c r="O378" s="211" t="s">
        <v>1731</v>
      </c>
      <c r="P378" s="211" t="s">
        <v>463</v>
      </c>
      <c r="S378" s="211">
        <v>5</v>
      </c>
      <c r="U378" s="212" t="s">
        <v>1743</v>
      </c>
    </row>
    <row r="379" spans="1:21" ht="19">
      <c r="A379" s="212" t="s">
        <v>273</v>
      </c>
      <c r="B379" s="212" t="s">
        <v>74</v>
      </c>
      <c r="C379" s="233" t="s">
        <v>266</v>
      </c>
      <c r="D379" s="234" t="s">
        <v>267</v>
      </c>
      <c r="E379" s="212">
        <v>40685</v>
      </c>
      <c r="F379" s="212">
        <v>773</v>
      </c>
      <c r="G379" s="212" t="s">
        <v>1827</v>
      </c>
      <c r="H379" s="212" t="s">
        <v>1827</v>
      </c>
      <c r="I379" s="212" t="s">
        <v>134</v>
      </c>
      <c r="J379" s="212" t="s">
        <v>104</v>
      </c>
      <c r="K379" s="227" t="s">
        <v>269</v>
      </c>
      <c r="L379" s="227" t="s">
        <v>1725</v>
      </c>
      <c r="M379" t="s">
        <v>1750</v>
      </c>
      <c r="N379" s="211" t="s">
        <v>463</v>
      </c>
      <c r="O379" s="211" t="s">
        <v>1731</v>
      </c>
      <c r="P379" s="211" t="s">
        <v>463</v>
      </c>
      <c r="S379" s="211" t="s">
        <v>1731</v>
      </c>
    </row>
    <row r="380" spans="1:21" ht="19">
      <c r="A380" s="212" t="s">
        <v>273</v>
      </c>
      <c r="B380" s="212" t="s">
        <v>74</v>
      </c>
      <c r="C380" s="233" t="s">
        <v>266</v>
      </c>
      <c r="D380" s="234" t="s">
        <v>1841</v>
      </c>
      <c r="E380" s="212" t="s">
        <v>487</v>
      </c>
      <c r="F380" s="212">
        <v>567407</v>
      </c>
      <c r="G380" s="212" t="s">
        <v>1827</v>
      </c>
      <c r="H380" s="212" t="s">
        <v>1827</v>
      </c>
      <c r="I380" s="212" t="s">
        <v>206</v>
      </c>
      <c r="J380" s="212" t="s">
        <v>289</v>
      </c>
      <c r="K380" s="227" t="s">
        <v>269</v>
      </c>
      <c r="L380" s="227" t="s">
        <v>1725</v>
      </c>
      <c r="M380" t="s">
        <v>1786</v>
      </c>
      <c r="N380" s="211">
        <v>-20.6</v>
      </c>
      <c r="O380" s="211">
        <v>-20.6</v>
      </c>
      <c r="P380" s="211">
        <v>11.3</v>
      </c>
      <c r="S380" s="211">
        <v>3.5</v>
      </c>
    </row>
    <row r="381" spans="1:21" ht="19">
      <c r="A381" s="212" t="s">
        <v>273</v>
      </c>
      <c r="B381" s="212" t="s">
        <v>74</v>
      </c>
      <c r="C381" s="233" t="s">
        <v>266</v>
      </c>
      <c r="D381" s="234" t="s">
        <v>1841</v>
      </c>
      <c r="E381" s="212" t="s">
        <v>487</v>
      </c>
      <c r="F381" s="212">
        <v>567403</v>
      </c>
      <c r="G381" s="212" t="s">
        <v>1827</v>
      </c>
      <c r="H381" s="212" t="s">
        <v>1827</v>
      </c>
      <c r="I381" s="212" t="s">
        <v>206</v>
      </c>
      <c r="J381" s="212" t="s">
        <v>289</v>
      </c>
      <c r="K381" s="227" t="s">
        <v>269</v>
      </c>
      <c r="L381" s="227" t="s">
        <v>1725</v>
      </c>
      <c r="M381" t="s">
        <v>1786</v>
      </c>
      <c r="N381" s="211">
        <v>-18.2</v>
      </c>
      <c r="O381" s="211">
        <v>-18.2</v>
      </c>
      <c r="P381" s="211">
        <v>12.7</v>
      </c>
      <c r="S381" s="211">
        <v>3.1</v>
      </c>
    </row>
    <row r="382" spans="1:21" ht="19">
      <c r="A382" s="212" t="s">
        <v>273</v>
      </c>
      <c r="B382" s="212" t="s">
        <v>74</v>
      </c>
      <c r="C382" s="233" t="s">
        <v>266</v>
      </c>
      <c r="D382" s="234" t="s">
        <v>1841</v>
      </c>
      <c r="E382" s="212" t="s">
        <v>487</v>
      </c>
      <c r="F382" s="212">
        <v>567408</v>
      </c>
      <c r="G382" s="212" t="s">
        <v>1827</v>
      </c>
      <c r="H382" s="212" t="s">
        <v>1827</v>
      </c>
      <c r="I382" s="212" t="s">
        <v>206</v>
      </c>
      <c r="J382" s="212" t="s">
        <v>289</v>
      </c>
      <c r="K382" s="227" t="s">
        <v>269</v>
      </c>
      <c r="L382" s="227" t="s">
        <v>1725</v>
      </c>
      <c r="M382" t="s">
        <v>1786</v>
      </c>
      <c r="N382" s="211">
        <v>-17.899999999999999</v>
      </c>
      <c r="O382" s="211">
        <v>-17.899999999999999</v>
      </c>
      <c r="P382" s="211">
        <v>9.6999999999999993</v>
      </c>
      <c r="S382" s="211">
        <v>2.7</v>
      </c>
    </row>
    <row r="383" spans="1:21" ht="19">
      <c r="A383" s="212" t="s">
        <v>273</v>
      </c>
      <c r="B383" s="212" t="s">
        <v>74</v>
      </c>
      <c r="C383" s="233" t="s">
        <v>266</v>
      </c>
      <c r="D383" s="234" t="s">
        <v>1841</v>
      </c>
      <c r="E383" s="212" t="s">
        <v>487</v>
      </c>
      <c r="F383" s="212">
        <v>567398</v>
      </c>
      <c r="G383" s="212" t="s">
        <v>1827</v>
      </c>
      <c r="H383" s="212" t="s">
        <v>1827</v>
      </c>
      <c r="I383" s="212" t="s">
        <v>206</v>
      </c>
      <c r="J383" s="212" t="s">
        <v>289</v>
      </c>
      <c r="K383" s="227" t="s">
        <v>269</v>
      </c>
      <c r="L383" s="227" t="s">
        <v>1725</v>
      </c>
      <c r="M383" t="s">
        <v>1786</v>
      </c>
      <c r="N383" s="211">
        <v>-17.600000000000001</v>
      </c>
      <c r="O383" s="211">
        <v>-17.600000000000001</v>
      </c>
      <c r="P383" s="211">
        <v>11</v>
      </c>
      <c r="S383" s="211">
        <v>3</v>
      </c>
    </row>
    <row r="384" spans="1:21" ht="19">
      <c r="A384" s="212" t="s">
        <v>273</v>
      </c>
      <c r="B384" s="212" t="s">
        <v>74</v>
      </c>
      <c r="C384" s="233" t="s">
        <v>266</v>
      </c>
      <c r="D384" s="234" t="s">
        <v>1841</v>
      </c>
      <c r="E384" s="212" t="s">
        <v>487</v>
      </c>
      <c r="F384" s="212">
        <v>567409</v>
      </c>
      <c r="G384" s="212" t="s">
        <v>1827</v>
      </c>
      <c r="H384" s="212" t="s">
        <v>1827</v>
      </c>
      <c r="I384" s="212" t="s">
        <v>206</v>
      </c>
      <c r="J384" s="212" t="s">
        <v>289</v>
      </c>
      <c r="K384" s="227" t="s">
        <v>269</v>
      </c>
      <c r="L384" s="227" t="s">
        <v>1725</v>
      </c>
      <c r="M384" t="s">
        <v>1786</v>
      </c>
      <c r="N384" s="211">
        <v>-17.5</v>
      </c>
      <c r="O384" s="211">
        <v>-17.5</v>
      </c>
      <c r="P384" s="211">
        <v>11.4</v>
      </c>
      <c r="S384" s="211">
        <v>2.8</v>
      </c>
    </row>
    <row r="385" spans="1:20" ht="19">
      <c r="A385" s="212" t="s">
        <v>273</v>
      </c>
      <c r="B385" s="212" t="s">
        <v>74</v>
      </c>
      <c r="C385" s="233" t="s">
        <v>266</v>
      </c>
      <c r="D385" s="234" t="s">
        <v>1841</v>
      </c>
      <c r="E385" s="212" t="s">
        <v>487</v>
      </c>
      <c r="F385" s="212">
        <v>567385</v>
      </c>
      <c r="G385" s="212" t="s">
        <v>1827</v>
      </c>
      <c r="H385" s="212" t="s">
        <v>1827</v>
      </c>
      <c r="I385" s="212" t="s">
        <v>206</v>
      </c>
      <c r="J385" s="212" t="s">
        <v>289</v>
      </c>
      <c r="K385" s="227" t="s">
        <v>269</v>
      </c>
      <c r="L385" s="227" t="s">
        <v>1725</v>
      </c>
      <c r="M385" t="s">
        <v>1786</v>
      </c>
      <c r="N385" s="211">
        <v>-17.5</v>
      </c>
      <c r="O385" s="211">
        <v>-17.5</v>
      </c>
      <c r="P385" s="211">
        <v>12.7</v>
      </c>
      <c r="S385" s="211">
        <v>3.1</v>
      </c>
    </row>
    <row r="386" spans="1:20" ht="19">
      <c r="A386" s="212" t="s">
        <v>273</v>
      </c>
      <c r="B386" s="212" t="s">
        <v>74</v>
      </c>
      <c r="C386" s="233" t="s">
        <v>266</v>
      </c>
      <c r="D386" s="234" t="s">
        <v>1841</v>
      </c>
      <c r="E386" s="212" t="s">
        <v>487</v>
      </c>
      <c r="F386" s="212">
        <v>567396</v>
      </c>
      <c r="G386" s="212" t="s">
        <v>1827</v>
      </c>
      <c r="H386" s="212" t="s">
        <v>1827</v>
      </c>
      <c r="I386" s="212" t="s">
        <v>206</v>
      </c>
      <c r="J386" s="212" t="s">
        <v>289</v>
      </c>
      <c r="K386" s="227" t="s">
        <v>269</v>
      </c>
      <c r="L386" s="227" t="s">
        <v>1725</v>
      </c>
      <c r="M386" t="s">
        <v>1786</v>
      </c>
      <c r="N386" s="211">
        <v>-16.7</v>
      </c>
      <c r="O386" s="211">
        <v>-16.7</v>
      </c>
      <c r="P386" s="211">
        <v>11.2</v>
      </c>
      <c r="S386" s="211">
        <v>3</v>
      </c>
      <c r="T386" s="215"/>
    </row>
    <row r="387" spans="1:20" ht="19">
      <c r="A387" s="212" t="s">
        <v>273</v>
      </c>
      <c r="B387" s="212" t="s">
        <v>74</v>
      </c>
      <c r="C387" s="233" t="s">
        <v>266</v>
      </c>
      <c r="D387" s="234" t="s">
        <v>1841</v>
      </c>
      <c r="E387" s="212" t="s">
        <v>487</v>
      </c>
      <c r="F387" s="212">
        <v>567394</v>
      </c>
      <c r="G387" s="212" t="s">
        <v>1827</v>
      </c>
      <c r="H387" s="212" t="s">
        <v>1827</v>
      </c>
      <c r="I387" s="212" t="s">
        <v>206</v>
      </c>
      <c r="J387" s="212" t="s">
        <v>289</v>
      </c>
      <c r="K387" s="227" t="s">
        <v>269</v>
      </c>
      <c r="L387" s="227" t="s">
        <v>1725</v>
      </c>
      <c r="M387" t="s">
        <v>1786</v>
      </c>
      <c r="N387" s="211">
        <v>-16.2</v>
      </c>
      <c r="O387" s="211">
        <v>-16.2</v>
      </c>
      <c r="P387" s="211">
        <v>10.4</v>
      </c>
      <c r="S387" s="211">
        <v>2.9</v>
      </c>
    </row>
    <row r="388" spans="1:20" ht="19">
      <c r="A388" s="212" t="s">
        <v>273</v>
      </c>
      <c r="B388" s="212" t="s">
        <v>74</v>
      </c>
      <c r="C388" s="233" t="s">
        <v>266</v>
      </c>
      <c r="D388" s="234" t="s">
        <v>1841</v>
      </c>
      <c r="E388" s="212" t="s">
        <v>487</v>
      </c>
      <c r="F388" s="212">
        <v>567410</v>
      </c>
      <c r="G388" s="212" t="s">
        <v>1827</v>
      </c>
      <c r="H388" s="212" t="s">
        <v>1827</v>
      </c>
      <c r="I388" s="212" t="s">
        <v>206</v>
      </c>
      <c r="J388" s="212" t="s">
        <v>289</v>
      </c>
      <c r="K388" s="227" t="s">
        <v>269</v>
      </c>
      <c r="L388" s="227" t="s">
        <v>1725</v>
      </c>
      <c r="M388" t="s">
        <v>1786</v>
      </c>
      <c r="N388" s="211">
        <v>-16.100000000000001</v>
      </c>
      <c r="O388" s="211">
        <v>-16.100000000000001</v>
      </c>
      <c r="P388" s="211">
        <v>10.3</v>
      </c>
      <c r="S388" s="211">
        <v>2.7</v>
      </c>
    </row>
    <row r="389" spans="1:20" ht="19">
      <c r="A389" s="212" t="s">
        <v>273</v>
      </c>
      <c r="B389" s="212" t="s">
        <v>74</v>
      </c>
      <c r="C389" s="233" t="s">
        <v>266</v>
      </c>
      <c r="D389" s="234" t="s">
        <v>1841</v>
      </c>
      <c r="E389" s="212" t="s">
        <v>487</v>
      </c>
      <c r="F389" s="212">
        <v>567393</v>
      </c>
      <c r="G389" s="212" t="s">
        <v>1827</v>
      </c>
      <c r="H389" s="212" t="s">
        <v>1827</v>
      </c>
      <c r="I389" s="212" t="s">
        <v>206</v>
      </c>
      <c r="J389" s="212" t="s">
        <v>289</v>
      </c>
      <c r="K389" s="227" t="s">
        <v>269</v>
      </c>
      <c r="L389" s="227" t="s">
        <v>1725</v>
      </c>
      <c r="M389" t="s">
        <v>1786</v>
      </c>
      <c r="N389" s="211">
        <v>-16</v>
      </c>
      <c r="O389" s="211">
        <v>-16</v>
      </c>
      <c r="P389" s="211">
        <v>11.9</v>
      </c>
      <c r="S389" s="211">
        <v>2.9</v>
      </c>
    </row>
    <row r="390" spans="1:20" ht="19">
      <c r="A390" s="212" t="s">
        <v>273</v>
      </c>
      <c r="B390" s="212" t="s">
        <v>74</v>
      </c>
      <c r="C390" s="233" t="s">
        <v>266</v>
      </c>
      <c r="D390" s="234" t="s">
        <v>1841</v>
      </c>
      <c r="E390" s="212" t="s">
        <v>487</v>
      </c>
      <c r="F390" s="212">
        <v>567411</v>
      </c>
      <c r="G390" s="212" t="s">
        <v>1827</v>
      </c>
      <c r="H390" s="212" t="s">
        <v>1827</v>
      </c>
      <c r="I390" s="212" t="s">
        <v>206</v>
      </c>
      <c r="J390" s="212" t="s">
        <v>289</v>
      </c>
      <c r="K390" s="227" t="s">
        <v>269</v>
      </c>
      <c r="L390" s="227" t="s">
        <v>1725</v>
      </c>
      <c r="M390" t="s">
        <v>1786</v>
      </c>
      <c r="N390" s="211">
        <v>-15.7</v>
      </c>
      <c r="O390" s="211">
        <v>-15.7</v>
      </c>
      <c r="P390" s="211">
        <v>10.199999999999999</v>
      </c>
      <c r="S390" s="211">
        <v>2.7</v>
      </c>
    </row>
    <row r="391" spans="1:20" ht="19">
      <c r="A391" s="212" t="s">
        <v>273</v>
      </c>
      <c r="B391" s="212" t="s">
        <v>74</v>
      </c>
      <c r="C391" s="233" t="s">
        <v>266</v>
      </c>
      <c r="D391" s="234" t="s">
        <v>1841</v>
      </c>
      <c r="E391" s="212" t="s">
        <v>487</v>
      </c>
      <c r="F391" s="212">
        <v>567383</v>
      </c>
      <c r="G391" s="212" t="s">
        <v>1827</v>
      </c>
      <c r="H391" s="212" t="s">
        <v>1827</v>
      </c>
      <c r="I391" s="212" t="s">
        <v>206</v>
      </c>
      <c r="J391" s="212" t="s">
        <v>289</v>
      </c>
      <c r="K391" s="227" t="s">
        <v>269</v>
      </c>
      <c r="L391" s="227" t="s">
        <v>1725</v>
      </c>
      <c r="M391" t="s">
        <v>1786</v>
      </c>
      <c r="N391" s="211">
        <v>-15.5</v>
      </c>
      <c r="O391" s="211">
        <v>-15.5</v>
      </c>
      <c r="P391" s="211">
        <v>10.1</v>
      </c>
      <c r="S391" s="211">
        <v>2.7</v>
      </c>
    </row>
    <row r="392" spans="1:20" ht="19">
      <c r="A392" s="212" t="s">
        <v>273</v>
      </c>
      <c r="B392" s="212" t="s">
        <v>74</v>
      </c>
      <c r="C392" s="233" t="s">
        <v>266</v>
      </c>
      <c r="D392" s="234" t="s">
        <v>1841</v>
      </c>
      <c r="E392" s="212" t="s">
        <v>487</v>
      </c>
      <c r="F392" s="212">
        <v>567382</v>
      </c>
      <c r="G392" s="212" t="s">
        <v>1827</v>
      </c>
      <c r="H392" s="212" t="s">
        <v>1827</v>
      </c>
      <c r="I392" s="212" t="s">
        <v>206</v>
      </c>
      <c r="J392" s="212" t="s">
        <v>289</v>
      </c>
      <c r="K392" s="227" t="s">
        <v>269</v>
      </c>
      <c r="L392" s="227" t="s">
        <v>1725</v>
      </c>
      <c r="M392" t="s">
        <v>1786</v>
      </c>
      <c r="N392" s="211">
        <v>-15.3</v>
      </c>
      <c r="O392" s="211">
        <v>-15.3</v>
      </c>
      <c r="P392" s="211">
        <v>11.4</v>
      </c>
      <c r="S392" s="211">
        <v>2.7</v>
      </c>
    </row>
    <row r="393" spans="1:20" ht="19">
      <c r="A393" s="212" t="s">
        <v>273</v>
      </c>
      <c r="B393" s="212" t="s">
        <v>74</v>
      </c>
      <c r="C393" s="233" t="s">
        <v>266</v>
      </c>
      <c r="D393" s="234" t="s">
        <v>1841</v>
      </c>
      <c r="E393" s="212" t="s">
        <v>487</v>
      </c>
      <c r="F393" s="212">
        <v>567395</v>
      </c>
      <c r="G393" s="212" t="s">
        <v>1827</v>
      </c>
      <c r="H393" s="212" t="s">
        <v>1827</v>
      </c>
      <c r="I393" s="212" t="s">
        <v>206</v>
      </c>
      <c r="J393" s="212" t="s">
        <v>289</v>
      </c>
      <c r="K393" s="227" t="s">
        <v>269</v>
      </c>
      <c r="L393" s="227" t="s">
        <v>1725</v>
      </c>
      <c r="M393" t="s">
        <v>1786</v>
      </c>
      <c r="N393" s="211">
        <v>-14</v>
      </c>
      <c r="O393" s="211">
        <v>-14</v>
      </c>
      <c r="P393" s="211">
        <v>10</v>
      </c>
      <c r="S393" s="211">
        <v>2.9</v>
      </c>
    </row>
    <row r="394" spans="1:20" ht="19">
      <c r="A394" s="212" t="s">
        <v>273</v>
      </c>
      <c r="B394" s="212" t="s">
        <v>74</v>
      </c>
      <c r="C394" s="233" t="s">
        <v>266</v>
      </c>
      <c r="D394" s="234" t="s">
        <v>505</v>
      </c>
      <c r="E394" s="212">
        <v>892</v>
      </c>
      <c r="F394" s="212">
        <v>256</v>
      </c>
      <c r="G394" s="212" t="s">
        <v>1827</v>
      </c>
      <c r="H394" s="212" t="s">
        <v>1827</v>
      </c>
      <c r="I394" s="212" t="s">
        <v>276</v>
      </c>
      <c r="J394" s="212" t="s">
        <v>104</v>
      </c>
      <c r="K394" s="227" t="s">
        <v>269</v>
      </c>
      <c r="L394" s="227" t="s">
        <v>1725</v>
      </c>
      <c r="M394" t="s">
        <v>1805</v>
      </c>
      <c r="N394" s="211">
        <v>-11.9</v>
      </c>
      <c r="O394" s="211">
        <v>-11.9</v>
      </c>
      <c r="P394" s="211">
        <v>10.1</v>
      </c>
      <c r="S394" s="211">
        <v>3</v>
      </c>
    </row>
    <row r="395" spans="1:20" ht="19">
      <c r="A395" s="212" t="s">
        <v>273</v>
      </c>
      <c r="B395" s="212" t="s">
        <v>74</v>
      </c>
      <c r="C395" s="233" t="s">
        <v>266</v>
      </c>
      <c r="D395" s="234" t="s">
        <v>505</v>
      </c>
      <c r="E395" s="212">
        <v>41229</v>
      </c>
      <c r="F395" s="212">
        <v>700</v>
      </c>
      <c r="G395" s="212" t="s">
        <v>1827</v>
      </c>
      <c r="H395" s="212" t="s">
        <v>1827</v>
      </c>
      <c r="I395" s="212" t="s">
        <v>1137</v>
      </c>
      <c r="J395" s="212" t="s">
        <v>225</v>
      </c>
      <c r="K395" s="227" t="s">
        <v>269</v>
      </c>
      <c r="L395" s="227" t="s">
        <v>1725</v>
      </c>
      <c r="M395" t="s">
        <v>1748</v>
      </c>
      <c r="N395" s="211">
        <v>-9.4</v>
      </c>
      <c r="O395" s="211">
        <v>-9.4</v>
      </c>
      <c r="P395" s="211">
        <v>10.4</v>
      </c>
      <c r="S395" s="211">
        <v>2.8</v>
      </c>
    </row>
    <row r="396" spans="1:20" ht="19">
      <c r="A396" s="212" t="s">
        <v>273</v>
      </c>
      <c r="B396" s="212" t="s">
        <v>74</v>
      </c>
      <c r="C396" s="233" t="s">
        <v>266</v>
      </c>
      <c r="D396" s="234" t="s">
        <v>505</v>
      </c>
      <c r="E396" s="212">
        <v>41229</v>
      </c>
      <c r="F396" s="212">
        <v>3575</v>
      </c>
      <c r="G396" s="212" t="s">
        <v>1827</v>
      </c>
      <c r="H396" s="212" t="s">
        <v>1827</v>
      </c>
      <c r="I396" s="212" t="s">
        <v>1137</v>
      </c>
      <c r="J396" s="212" t="s">
        <v>225</v>
      </c>
      <c r="K396" s="227" t="s">
        <v>269</v>
      </c>
      <c r="L396" s="227" t="s">
        <v>1725</v>
      </c>
      <c r="M396" t="s">
        <v>205</v>
      </c>
      <c r="N396" s="211">
        <v>-7.7</v>
      </c>
      <c r="O396" s="211">
        <v>-7.7</v>
      </c>
      <c r="P396" s="211">
        <v>11.7</v>
      </c>
      <c r="S396" s="211">
        <v>2.8</v>
      </c>
    </row>
    <row r="397" spans="1:20" ht="19">
      <c r="A397" s="212" t="s">
        <v>273</v>
      </c>
      <c r="B397" s="212" t="s">
        <v>74</v>
      </c>
      <c r="C397" s="233" t="s">
        <v>266</v>
      </c>
      <c r="D397" s="234" t="s">
        <v>505</v>
      </c>
      <c r="E397" s="212">
        <v>41229</v>
      </c>
      <c r="F397" s="212">
        <v>3743</v>
      </c>
      <c r="G397" s="212" t="s">
        <v>1827</v>
      </c>
      <c r="H397" s="212" t="s">
        <v>1827</v>
      </c>
      <c r="I397" s="212" t="s">
        <v>1137</v>
      </c>
      <c r="J397" s="212" t="s">
        <v>104</v>
      </c>
      <c r="K397" s="227" t="s">
        <v>269</v>
      </c>
      <c r="L397" s="227" t="s">
        <v>1725</v>
      </c>
      <c r="M397" t="s">
        <v>205</v>
      </c>
      <c r="N397" s="211">
        <v>-16.5</v>
      </c>
      <c r="O397" s="211">
        <v>-16.5</v>
      </c>
      <c r="P397" s="211">
        <v>12.6</v>
      </c>
      <c r="S397" s="211">
        <v>2.8</v>
      </c>
    </row>
    <row r="398" spans="1:20">
      <c r="A398" s="212" t="s">
        <v>273</v>
      </c>
      <c r="B398" s="212" t="s">
        <v>74</v>
      </c>
      <c r="C398" s="235" t="s">
        <v>266</v>
      </c>
      <c r="D398" s="235" t="s">
        <v>505</v>
      </c>
      <c r="E398" s="236">
        <v>41229</v>
      </c>
      <c r="F398" s="236">
        <v>10812</v>
      </c>
      <c r="G398" s="212" t="s">
        <v>1827</v>
      </c>
      <c r="H398" s="212" t="s">
        <v>1827</v>
      </c>
      <c r="I398" s="212" t="s">
        <v>1137</v>
      </c>
      <c r="J398" s="212" t="s">
        <v>1744</v>
      </c>
      <c r="K398" s="227" t="s">
        <v>269</v>
      </c>
      <c r="L398" s="227" t="s">
        <v>1725</v>
      </c>
      <c r="M398" t="s">
        <v>1835</v>
      </c>
      <c r="N398" s="214">
        <v>-11.55</v>
      </c>
      <c r="O398" s="214">
        <v>-11.5</v>
      </c>
      <c r="P398" s="211">
        <v>12.6</v>
      </c>
      <c r="S398" s="211">
        <v>2.9</v>
      </c>
    </row>
    <row r="399" spans="1:20" ht="19">
      <c r="A399" s="212" t="s">
        <v>273</v>
      </c>
      <c r="B399" s="212" t="s">
        <v>74</v>
      </c>
      <c r="C399" s="233" t="s">
        <v>266</v>
      </c>
      <c r="D399" s="234" t="s">
        <v>505</v>
      </c>
      <c r="E399" s="212">
        <v>41229</v>
      </c>
      <c r="F399" s="212">
        <v>12042</v>
      </c>
      <c r="G399" s="212" t="s">
        <v>1827</v>
      </c>
      <c r="H399" s="212" t="s">
        <v>1827</v>
      </c>
      <c r="I399" s="212" t="s">
        <v>1137</v>
      </c>
      <c r="J399" s="212" t="s">
        <v>225</v>
      </c>
      <c r="K399" s="227" t="s">
        <v>269</v>
      </c>
      <c r="L399" s="227" t="s">
        <v>1725</v>
      </c>
      <c r="M399" t="s">
        <v>1738</v>
      </c>
      <c r="N399" s="211">
        <v>-10.6</v>
      </c>
      <c r="O399" s="211">
        <v>-10.6</v>
      </c>
      <c r="P399" s="211">
        <v>10.9</v>
      </c>
      <c r="S399" s="211">
        <v>2.9</v>
      </c>
    </row>
    <row r="400" spans="1:20" ht="19">
      <c r="A400" s="212" t="s">
        <v>273</v>
      </c>
      <c r="B400" s="212" t="s">
        <v>74</v>
      </c>
      <c r="C400" s="233" t="s">
        <v>266</v>
      </c>
      <c r="D400" s="234" t="s">
        <v>505</v>
      </c>
      <c r="E400" s="212">
        <v>41229</v>
      </c>
      <c r="F400" s="212">
        <v>15781</v>
      </c>
      <c r="G400" s="212" t="s">
        <v>1827</v>
      </c>
      <c r="H400" s="212" t="s">
        <v>1827</v>
      </c>
      <c r="I400" s="212" t="s">
        <v>1137</v>
      </c>
      <c r="J400" s="212" t="s">
        <v>225</v>
      </c>
      <c r="K400" s="227" t="s">
        <v>269</v>
      </c>
      <c r="L400" s="227" t="s">
        <v>1725</v>
      </c>
      <c r="M400" t="s">
        <v>1738</v>
      </c>
      <c r="N400" s="211">
        <v>-17.7</v>
      </c>
      <c r="O400" s="211">
        <v>-17.7</v>
      </c>
      <c r="P400" s="211">
        <v>6.3</v>
      </c>
      <c r="S400" s="211">
        <v>2.9</v>
      </c>
    </row>
    <row r="401" spans="1:19" ht="19">
      <c r="A401" s="212" t="s">
        <v>273</v>
      </c>
      <c r="B401" s="212" t="s">
        <v>74</v>
      </c>
      <c r="C401" s="233" t="s">
        <v>266</v>
      </c>
      <c r="D401" s="234" t="s">
        <v>505</v>
      </c>
      <c r="E401" s="212">
        <v>41229</v>
      </c>
      <c r="F401" s="212">
        <v>19882</v>
      </c>
      <c r="G401" s="212" t="s">
        <v>1827</v>
      </c>
      <c r="H401" s="212" t="s">
        <v>1827</v>
      </c>
      <c r="I401" s="212" t="s">
        <v>1137</v>
      </c>
      <c r="J401" s="212" t="s">
        <v>225</v>
      </c>
      <c r="K401" s="227" t="s">
        <v>269</v>
      </c>
      <c r="L401" s="227" t="s">
        <v>1725</v>
      </c>
      <c r="M401" t="s">
        <v>1332</v>
      </c>
      <c r="N401" s="211">
        <v>-17.260000000000002</v>
      </c>
      <c r="O401" s="211">
        <v>-17.3</v>
      </c>
      <c r="P401" s="211">
        <v>7.7</v>
      </c>
      <c r="S401" s="211">
        <v>2.9</v>
      </c>
    </row>
    <row r="402" spans="1:19" ht="19">
      <c r="A402" s="212" t="s">
        <v>273</v>
      </c>
      <c r="B402" s="212" t="s">
        <v>74</v>
      </c>
      <c r="C402" s="233" t="s">
        <v>266</v>
      </c>
      <c r="D402" s="234" t="s">
        <v>505</v>
      </c>
      <c r="E402" s="212">
        <v>41352</v>
      </c>
      <c r="F402" s="212">
        <v>1</v>
      </c>
      <c r="G402" s="212" t="s">
        <v>1827</v>
      </c>
      <c r="H402" s="212" t="s">
        <v>1827</v>
      </c>
      <c r="I402" s="212" t="s">
        <v>1842</v>
      </c>
      <c r="J402" s="212" t="s">
        <v>1728</v>
      </c>
      <c r="K402" s="212" t="s">
        <v>269</v>
      </c>
      <c r="L402" s="227" t="s">
        <v>1725</v>
      </c>
      <c r="M402" t="s">
        <v>1738</v>
      </c>
      <c r="N402" s="211">
        <v>-9.68</v>
      </c>
      <c r="O402" s="211">
        <v>-9.6999999999999993</v>
      </c>
      <c r="P402" s="211">
        <v>11.4</v>
      </c>
      <c r="S402" s="211">
        <v>2.9</v>
      </c>
    </row>
    <row r="403" spans="1:19" ht="19">
      <c r="A403" s="212" t="s">
        <v>273</v>
      </c>
      <c r="B403" s="212" t="s">
        <v>74</v>
      </c>
      <c r="C403" s="233" t="s">
        <v>266</v>
      </c>
      <c r="D403" s="234" t="s">
        <v>505</v>
      </c>
      <c r="E403" s="212">
        <v>43133</v>
      </c>
      <c r="F403" s="212">
        <v>232</v>
      </c>
      <c r="G403" s="212" t="s">
        <v>1827</v>
      </c>
      <c r="H403" s="212" t="s">
        <v>1827</v>
      </c>
      <c r="I403" s="212" t="s">
        <v>1183</v>
      </c>
      <c r="J403" s="212" t="s">
        <v>225</v>
      </c>
      <c r="K403" s="227" t="s">
        <v>269</v>
      </c>
      <c r="L403" s="227" t="s">
        <v>1725</v>
      </c>
      <c r="M403" t="s">
        <v>1750</v>
      </c>
      <c r="N403" s="211">
        <v>-10.4</v>
      </c>
      <c r="O403" s="211">
        <v>-10.4</v>
      </c>
      <c r="P403" s="211">
        <v>10.1</v>
      </c>
      <c r="S403" s="211">
        <v>2.9</v>
      </c>
    </row>
    <row r="404" spans="1:19" ht="19">
      <c r="A404" s="212" t="s">
        <v>273</v>
      </c>
      <c r="B404" s="212" t="s">
        <v>74</v>
      </c>
      <c r="C404" s="233" t="s">
        <v>266</v>
      </c>
      <c r="D404" s="234" t="s">
        <v>505</v>
      </c>
      <c r="E404" s="212">
        <v>43133</v>
      </c>
      <c r="F404" s="212">
        <v>236</v>
      </c>
      <c r="G404" s="212" t="s">
        <v>1827</v>
      </c>
      <c r="H404" s="212" t="s">
        <v>1827</v>
      </c>
      <c r="I404" s="212" t="s">
        <v>1183</v>
      </c>
      <c r="J404" s="212" t="s">
        <v>225</v>
      </c>
      <c r="K404" s="227" t="s">
        <v>269</v>
      </c>
      <c r="L404" s="227" t="s">
        <v>1725</v>
      </c>
      <c r="M404" t="s">
        <v>1738</v>
      </c>
      <c r="N404" s="211">
        <v>-9.5</v>
      </c>
      <c r="O404" s="211">
        <v>-9.5</v>
      </c>
      <c r="P404" s="211">
        <v>9.9</v>
      </c>
      <c r="S404" s="211">
        <v>2.7</v>
      </c>
    </row>
    <row r="405" spans="1:19" ht="19">
      <c r="A405" s="212" t="s">
        <v>273</v>
      </c>
      <c r="B405" s="212" t="s">
        <v>74</v>
      </c>
      <c r="C405" s="233" t="s">
        <v>266</v>
      </c>
      <c r="D405" s="234" t="s">
        <v>151</v>
      </c>
      <c r="E405" s="212">
        <v>908</v>
      </c>
      <c r="F405" s="212">
        <v>3627</v>
      </c>
      <c r="G405" s="212" t="s">
        <v>1827</v>
      </c>
      <c r="H405" s="212" t="s">
        <v>1827</v>
      </c>
      <c r="I405" s="212" t="s">
        <v>250</v>
      </c>
      <c r="J405" s="212" t="s">
        <v>225</v>
      </c>
      <c r="K405" s="227" t="s">
        <v>269</v>
      </c>
      <c r="L405" s="227" t="s">
        <v>1725</v>
      </c>
      <c r="M405" t="s">
        <v>1838</v>
      </c>
      <c r="N405" s="211">
        <v>-16</v>
      </c>
      <c r="O405" s="211">
        <v>-16</v>
      </c>
      <c r="P405" s="211">
        <v>7.1</v>
      </c>
      <c r="S405" s="211">
        <v>2.8</v>
      </c>
    </row>
    <row r="406" spans="1:19" ht="19">
      <c r="A406" s="212" t="s">
        <v>273</v>
      </c>
      <c r="B406" s="212" t="s">
        <v>74</v>
      </c>
      <c r="C406" s="233" t="s">
        <v>266</v>
      </c>
      <c r="D406" s="234" t="s">
        <v>151</v>
      </c>
      <c r="E406" s="212">
        <v>908</v>
      </c>
      <c r="F406" s="212">
        <v>4282</v>
      </c>
      <c r="G406" s="212" t="s">
        <v>1827</v>
      </c>
      <c r="H406" s="212" t="s">
        <v>1827</v>
      </c>
      <c r="I406" s="212" t="s">
        <v>250</v>
      </c>
      <c r="J406" s="212" t="s">
        <v>225</v>
      </c>
      <c r="K406" s="227" t="s">
        <v>269</v>
      </c>
      <c r="L406" s="227" t="s">
        <v>1725</v>
      </c>
      <c r="M406" t="s">
        <v>1843</v>
      </c>
      <c r="N406" s="211">
        <v>-11.1</v>
      </c>
      <c r="O406" s="211">
        <v>-11.1</v>
      </c>
      <c r="P406" s="211">
        <v>11.5</v>
      </c>
      <c r="S406" s="211">
        <v>2.9</v>
      </c>
    </row>
    <row r="407" spans="1:19" ht="19">
      <c r="A407" s="212" t="s">
        <v>273</v>
      </c>
      <c r="B407" s="212" t="s">
        <v>74</v>
      </c>
      <c r="C407" s="233" t="s">
        <v>266</v>
      </c>
      <c r="D407" s="234" t="s">
        <v>151</v>
      </c>
      <c r="E407" s="212">
        <v>908</v>
      </c>
      <c r="F407" s="212">
        <v>4283</v>
      </c>
      <c r="G407" s="212" t="s">
        <v>1827</v>
      </c>
      <c r="H407" s="212" t="s">
        <v>1827</v>
      </c>
      <c r="I407" s="212" t="s">
        <v>250</v>
      </c>
      <c r="J407" s="212" t="s">
        <v>225</v>
      </c>
      <c r="K407" s="227" t="s">
        <v>269</v>
      </c>
      <c r="L407" s="227" t="s">
        <v>1725</v>
      </c>
      <c r="M407" t="s">
        <v>1830</v>
      </c>
      <c r="N407" s="211">
        <v>-12.7</v>
      </c>
      <c r="O407" s="211">
        <v>-12.7</v>
      </c>
      <c r="P407" s="211">
        <v>10</v>
      </c>
      <c r="S407" s="211">
        <v>2.8</v>
      </c>
    </row>
    <row r="408" spans="1:19" ht="19">
      <c r="A408" s="212" t="s">
        <v>273</v>
      </c>
      <c r="B408" s="212" t="s">
        <v>74</v>
      </c>
      <c r="C408" s="233" t="s">
        <v>266</v>
      </c>
      <c r="D408" s="234" t="s">
        <v>151</v>
      </c>
      <c r="E408" s="212">
        <v>908</v>
      </c>
      <c r="F408" s="212">
        <v>4291</v>
      </c>
      <c r="G408" s="212" t="s">
        <v>1827</v>
      </c>
      <c r="H408" s="212" t="s">
        <v>1827</v>
      </c>
      <c r="I408" s="212" t="s">
        <v>250</v>
      </c>
      <c r="J408" s="212" t="s">
        <v>225</v>
      </c>
      <c r="K408" s="227" t="s">
        <v>269</v>
      </c>
      <c r="L408" s="227" t="s">
        <v>1725</v>
      </c>
      <c r="M408" t="s">
        <v>1761</v>
      </c>
      <c r="N408" s="211">
        <v>-13.6</v>
      </c>
      <c r="O408" s="211">
        <v>-13.6</v>
      </c>
      <c r="P408" s="211">
        <v>8.4</v>
      </c>
      <c r="S408" s="211">
        <v>2.8</v>
      </c>
    </row>
    <row r="409" spans="1:19" ht="19">
      <c r="A409" s="212" t="s">
        <v>273</v>
      </c>
      <c r="B409" s="212" t="s">
        <v>74</v>
      </c>
      <c r="C409" s="233" t="s">
        <v>266</v>
      </c>
      <c r="D409" s="234" t="s">
        <v>151</v>
      </c>
      <c r="E409" s="212">
        <v>908</v>
      </c>
      <c r="F409" s="212">
        <v>4308</v>
      </c>
      <c r="G409" s="212" t="s">
        <v>1827</v>
      </c>
      <c r="H409" s="212" t="s">
        <v>1827</v>
      </c>
      <c r="I409" s="212" t="s">
        <v>250</v>
      </c>
      <c r="J409" s="212" t="s">
        <v>225</v>
      </c>
      <c r="K409" s="227" t="s">
        <v>269</v>
      </c>
      <c r="L409" s="227" t="s">
        <v>1725</v>
      </c>
      <c r="M409" t="s">
        <v>1819</v>
      </c>
      <c r="N409" s="211">
        <v>-13.7</v>
      </c>
      <c r="O409" s="211">
        <v>-13.7</v>
      </c>
      <c r="P409" s="211">
        <v>8.9</v>
      </c>
      <c r="S409" s="211">
        <v>2.8</v>
      </c>
    </row>
    <row r="410" spans="1:19">
      <c r="A410" s="212" t="s">
        <v>273</v>
      </c>
      <c r="B410" s="212" t="s">
        <v>74</v>
      </c>
      <c r="C410" s="233" t="s">
        <v>266</v>
      </c>
      <c r="D410" s="233" t="s">
        <v>151</v>
      </c>
      <c r="E410" s="212">
        <v>908</v>
      </c>
      <c r="F410" s="212">
        <v>4309</v>
      </c>
      <c r="G410" s="212" t="s">
        <v>1827</v>
      </c>
      <c r="H410" s="212" t="s">
        <v>1827</v>
      </c>
      <c r="I410" s="212" t="s">
        <v>250</v>
      </c>
      <c r="J410" s="212" t="s">
        <v>225</v>
      </c>
      <c r="K410" s="227" t="s">
        <v>269</v>
      </c>
      <c r="L410" s="227" t="s">
        <v>1725</v>
      </c>
      <c r="M410" t="s">
        <v>1726</v>
      </c>
      <c r="N410" s="211">
        <v>-14.1</v>
      </c>
      <c r="O410" s="211">
        <v>-14.1</v>
      </c>
      <c r="P410" s="211">
        <v>10.3</v>
      </c>
      <c r="S410" s="211">
        <v>3</v>
      </c>
    </row>
    <row r="411" spans="1:19" ht="19">
      <c r="A411" s="212" t="s">
        <v>273</v>
      </c>
      <c r="B411" s="212" t="s">
        <v>74</v>
      </c>
      <c r="C411" s="233" t="s">
        <v>266</v>
      </c>
      <c r="D411" s="234" t="s">
        <v>151</v>
      </c>
      <c r="E411" s="212">
        <v>908</v>
      </c>
      <c r="F411" s="212">
        <v>4521</v>
      </c>
      <c r="G411" s="212" t="s">
        <v>1827</v>
      </c>
      <c r="H411" s="212" t="s">
        <v>1827</v>
      </c>
      <c r="I411" s="212" t="s">
        <v>250</v>
      </c>
      <c r="J411" s="212" t="s">
        <v>225</v>
      </c>
      <c r="K411" s="227" t="s">
        <v>269</v>
      </c>
      <c r="L411" s="227" t="s">
        <v>1725</v>
      </c>
      <c r="M411" t="s">
        <v>1748</v>
      </c>
      <c r="N411" s="211">
        <v>-13</v>
      </c>
      <c r="O411" s="211">
        <v>-13</v>
      </c>
      <c r="P411" s="211">
        <v>9.6</v>
      </c>
      <c r="S411" s="211">
        <v>3.1</v>
      </c>
    </row>
    <row r="412" spans="1:19" ht="19">
      <c r="A412" s="212" t="s">
        <v>273</v>
      </c>
      <c r="B412" s="212" t="s">
        <v>74</v>
      </c>
      <c r="C412" s="233" t="s">
        <v>266</v>
      </c>
      <c r="D412" s="234" t="s">
        <v>151</v>
      </c>
      <c r="E412" s="212">
        <v>908</v>
      </c>
      <c r="F412" s="212">
        <v>4522</v>
      </c>
      <c r="G412" s="212" t="s">
        <v>1827</v>
      </c>
      <c r="H412" s="212" t="s">
        <v>1827</v>
      </c>
      <c r="I412" s="212" t="s">
        <v>250</v>
      </c>
      <c r="J412" s="212" t="s">
        <v>225</v>
      </c>
      <c r="K412" s="227" t="s">
        <v>269</v>
      </c>
      <c r="L412" s="227" t="s">
        <v>1725</v>
      </c>
      <c r="M412" t="s">
        <v>1748</v>
      </c>
      <c r="N412" s="211">
        <v>-10.6</v>
      </c>
      <c r="O412" s="211">
        <v>-10.6</v>
      </c>
      <c r="P412" s="211">
        <v>10.3</v>
      </c>
      <c r="S412" s="211">
        <v>2.9</v>
      </c>
    </row>
    <row r="413" spans="1:19" ht="19">
      <c r="A413" s="212" t="s">
        <v>273</v>
      </c>
      <c r="B413" s="212" t="s">
        <v>74</v>
      </c>
      <c r="C413" s="233" t="s">
        <v>266</v>
      </c>
      <c r="D413" s="234" t="s">
        <v>151</v>
      </c>
      <c r="E413" s="212">
        <v>41229</v>
      </c>
      <c r="F413" s="212">
        <v>720</v>
      </c>
      <c r="G413" s="212" t="s">
        <v>1827</v>
      </c>
      <c r="H413" s="212" t="s">
        <v>1827</v>
      </c>
      <c r="I413" s="212" t="s">
        <v>1137</v>
      </c>
      <c r="J413" s="212" t="s">
        <v>225</v>
      </c>
      <c r="K413" s="227" t="s">
        <v>269</v>
      </c>
      <c r="L413" s="227" t="s">
        <v>1725</v>
      </c>
      <c r="M413" t="s">
        <v>1748</v>
      </c>
      <c r="N413" s="211">
        <v>-15.6</v>
      </c>
      <c r="O413" s="211">
        <v>-15.6</v>
      </c>
      <c r="P413" s="211">
        <v>6.9</v>
      </c>
      <c r="S413" s="211">
        <v>2.9</v>
      </c>
    </row>
    <row r="414" spans="1:19" ht="19">
      <c r="A414" s="212" t="s">
        <v>273</v>
      </c>
      <c r="B414" s="212" t="s">
        <v>74</v>
      </c>
      <c r="C414" s="233" t="s">
        <v>266</v>
      </c>
      <c r="D414" s="234" t="s">
        <v>151</v>
      </c>
      <c r="E414" s="212">
        <v>41229</v>
      </c>
      <c r="F414" s="212">
        <v>721</v>
      </c>
      <c r="G414" s="212" t="s">
        <v>1827</v>
      </c>
      <c r="H414" s="212" t="s">
        <v>1827</v>
      </c>
      <c r="I414" s="212" t="s">
        <v>1137</v>
      </c>
      <c r="J414" s="212" t="s">
        <v>225</v>
      </c>
      <c r="K414" s="227" t="s">
        <v>269</v>
      </c>
      <c r="L414" s="227" t="s">
        <v>1725</v>
      </c>
      <c r="M414" t="s">
        <v>1733</v>
      </c>
      <c r="N414" s="211">
        <v>-16.3</v>
      </c>
      <c r="O414" s="211">
        <v>-16.3</v>
      </c>
      <c r="P414" s="211">
        <v>7.2</v>
      </c>
      <c r="S414" s="211">
        <v>2.8</v>
      </c>
    </row>
    <row r="415" spans="1:19" ht="19">
      <c r="A415" s="212" t="s">
        <v>273</v>
      </c>
      <c r="B415" s="212" t="s">
        <v>74</v>
      </c>
      <c r="C415" s="233" t="s">
        <v>266</v>
      </c>
      <c r="D415" s="234" t="s">
        <v>151</v>
      </c>
      <c r="E415" s="212">
        <v>41229</v>
      </c>
      <c r="F415" s="212">
        <v>2777</v>
      </c>
      <c r="G415" s="212" t="s">
        <v>1827</v>
      </c>
      <c r="H415" s="212" t="s">
        <v>1827</v>
      </c>
      <c r="I415" s="212" t="s">
        <v>1137</v>
      </c>
      <c r="J415" s="212" t="s">
        <v>225</v>
      </c>
      <c r="K415" s="227" t="s">
        <v>269</v>
      </c>
      <c r="L415" s="227" t="s">
        <v>1725</v>
      </c>
      <c r="M415" t="s">
        <v>1784</v>
      </c>
      <c r="N415" s="211">
        <v>-15.2</v>
      </c>
      <c r="O415" s="211">
        <v>-15.2</v>
      </c>
      <c r="P415" s="211">
        <v>9</v>
      </c>
      <c r="S415" s="211">
        <v>2.8</v>
      </c>
    </row>
    <row r="416" spans="1:19" ht="19">
      <c r="A416" s="212" t="s">
        <v>273</v>
      </c>
      <c r="B416" s="212" t="s">
        <v>74</v>
      </c>
      <c r="C416" s="233" t="s">
        <v>266</v>
      </c>
      <c r="D416" s="234" t="s">
        <v>151</v>
      </c>
      <c r="E416" s="212">
        <v>41229</v>
      </c>
      <c r="F416" s="212">
        <v>6153</v>
      </c>
      <c r="G416" s="212" t="s">
        <v>1827</v>
      </c>
      <c r="H416" s="212" t="s">
        <v>1827</v>
      </c>
      <c r="I416" s="212" t="s">
        <v>1137</v>
      </c>
      <c r="J416" s="212" t="s">
        <v>1728</v>
      </c>
      <c r="K416" s="227" t="s">
        <v>269</v>
      </c>
      <c r="L416" s="227" t="s">
        <v>1725</v>
      </c>
      <c r="M416" t="s">
        <v>1839</v>
      </c>
      <c r="N416" s="211">
        <v>-16.16</v>
      </c>
      <c r="O416" s="211">
        <v>-16.2</v>
      </c>
      <c r="P416" s="211">
        <v>7.8</v>
      </c>
      <c r="S416" s="211">
        <v>2.8</v>
      </c>
    </row>
    <row r="417" spans="1:21" ht="19">
      <c r="A417" s="212" t="s">
        <v>273</v>
      </c>
      <c r="B417" s="212" t="s">
        <v>74</v>
      </c>
      <c r="C417" s="233" t="s">
        <v>266</v>
      </c>
      <c r="D417" s="234" t="s">
        <v>151</v>
      </c>
      <c r="E417" s="212">
        <v>41229</v>
      </c>
      <c r="F417" s="212">
        <v>6562</v>
      </c>
      <c r="G417" s="212" t="s">
        <v>1827</v>
      </c>
      <c r="H417" s="212" t="s">
        <v>1827</v>
      </c>
      <c r="I417" s="212" t="s">
        <v>1137</v>
      </c>
      <c r="J417" s="212" t="s">
        <v>225</v>
      </c>
      <c r="K417" s="227" t="s">
        <v>269</v>
      </c>
      <c r="L417" s="227" t="s">
        <v>1725</v>
      </c>
      <c r="M417" t="s">
        <v>1844</v>
      </c>
      <c r="N417" s="211">
        <v>-15.9</v>
      </c>
      <c r="O417" s="211">
        <v>-15.9</v>
      </c>
      <c r="P417" s="211">
        <v>7.5</v>
      </c>
      <c r="S417" s="211">
        <v>2.8</v>
      </c>
    </row>
    <row r="418" spans="1:21" ht="19">
      <c r="A418" s="212" t="s">
        <v>273</v>
      </c>
      <c r="B418" s="212" t="s">
        <v>74</v>
      </c>
      <c r="C418" s="233" t="s">
        <v>266</v>
      </c>
      <c r="D418" s="234" t="s">
        <v>151</v>
      </c>
      <c r="E418" s="212">
        <v>41229</v>
      </c>
      <c r="F418" s="212">
        <v>8326</v>
      </c>
      <c r="G418" s="212" t="s">
        <v>1827</v>
      </c>
      <c r="H418" s="212" t="s">
        <v>1827</v>
      </c>
      <c r="I418" s="212" t="s">
        <v>1137</v>
      </c>
      <c r="J418" s="212" t="s">
        <v>225</v>
      </c>
      <c r="K418" s="227" t="s">
        <v>269</v>
      </c>
      <c r="L418" s="227" t="s">
        <v>1725</v>
      </c>
      <c r="M418" t="s">
        <v>205</v>
      </c>
      <c r="N418" s="211">
        <v>-12.6</v>
      </c>
      <c r="O418" s="211">
        <v>-12.6</v>
      </c>
      <c r="P418" s="211">
        <v>8.5</v>
      </c>
      <c r="S418" s="211">
        <v>2.8</v>
      </c>
    </row>
    <row r="419" spans="1:21" ht="19">
      <c r="A419" s="212" t="s">
        <v>273</v>
      </c>
      <c r="B419" s="212" t="s">
        <v>74</v>
      </c>
      <c r="C419" s="233" t="s">
        <v>266</v>
      </c>
      <c r="D419" s="234" t="s">
        <v>151</v>
      </c>
      <c r="E419" s="212">
        <v>41229</v>
      </c>
      <c r="F419" s="212">
        <v>9849</v>
      </c>
      <c r="G419" s="212" t="s">
        <v>1827</v>
      </c>
      <c r="H419" s="212" t="s">
        <v>1827</v>
      </c>
      <c r="I419" s="212" t="s">
        <v>1137</v>
      </c>
      <c r="J419" s="212" t="s">
        <v>225</v>
      </c>
      <c r="K419" s="227" t="s">
        <v>269</v>
      </c>
      <c r="L419" s="227" t="s">
        <v>1725</v>
      </c>
      <c r="M419" t="s">
        <v>1845</v>
      </c>
      <c r="N419" s="211">
        <v>-16.399999999999999</v>
      </c>
      <c r="O419" s="211">
        <v>-16.399999999999999</v>
      </c>
      <c r="P419" s="211">
        <v>7.7</v>
      </c>
      <c r="S419" s="211">
        <v>2.7</v>
      </c>
    </row>
    <row r="420" spans="1:21" ht="19">
      <c r="A420" s="212" t="s">
        <v>273</v>
      </c>
      <c r="B420" s="212" t="s">
        <v>74</v>
      </c>
      <c r="C420" s="233" t="s">
        <v>266</v>
      </c>
      <c r="D420" s="234" t="s">
        <v>151</v>
      </c>
      <c r="E420" s="212">
        <v>41229</v>
      </c>
      <c r="F420" s="212">
        <v>9881</v>
      </c>
      <c r="G420" s="212" t="s">
        <v>1827</v>
      </c>
      <c r="H420" s="212" t="s">
        <v>1827</v>
      </c>
      <c r="I420" s="212" t="s">
        <v>1137</v>
      </c>
      <c r="J420" s="212" t="s">
        <v>225</v>
      </c>
      <c r="K420" s="227" t="s">
        <v>269</v>
      </c>
      <c r="L420" s="227" t="s">
        <v>1725</v>
      </c>
      <c r="M420" t="s">
        <v>1846</v>
      </c>
      <c r="N420" s="211">
        <v>-16.2</v>
      </c>
      <c r="O420" s="211">
        <v>-16.2</v>
      </c>
      <c r="P420" s="211">
        <v>8.1</v>
      </c>
      <c r="S420" s="211">
        <v>2.7</v>
      </c>
    </row>
    <row r="421" spans="1:21" ht="19">
      <c r="A421" s="212" t="s">
        <v>273</v>
      </c>
      <c r="B421" s="212" t="s">
        <v>74</v>
      </c>
      <c r="C421" s="233" t="s">
        <v>266</v>
      </c>
      <c r="D421" s="234" t="s">
        <v>151</v>
      </c>
      <c r="E421" s="212">
        <v>41229</v>
      </c>
      <c r="F421" s="212">
        <v>9951</v>
      </c>
      <c r="G421" s="212" t="s">
        <v>1827</v>
      </c>
      <c r="H421" s="212" t="s">
        <v>1827</v>
      </c>
      <c r="I421" s="212" t="s">
        <v>1137</v>
      </c>
      <c r="J421" s="212" t="s">
        <v>225</v>
      </c>
      <c r="K421" s="227" t="s">
        <v>269</v>
      </c>
      <c r="L421" s="227" t="s">
        <v>1725</v>
      </c>
      <c r="M421" t="s">
        <v>205</v>
      </c>
      <c r="N421" s="211">
        <v>-13.1</v>
      </c>
      <c r="O421" s="211">
        <v>-13.1</v>
      </c>
      <c r="P421" s="211">
        <v>9.6999999999999993</v>
      </c>
      <c r="S421" s="211">
        <v>2.7</v>
      </c>
    </row>
    <row r="422" spans="1:21" ht="19">
      <c r="A422" s="212" t="s">
        <v>273</v>
      </c>
      <c r="B422" s="212" t="s">
        <v>74</v>
      </c>
      <c r="C422" s="233" t="s">
        <v>266</v>
      </c>
      <c r="D422" s="234" t="s">
        <v>151</v>
      </c>
      <c r="E422" s="212">
        <v>41229</v>
      </c>
      <c r="F422" s="212">
        <v>10278</v>
      </c>
      <c r="G422" s="212" t="s">
        <v>1847</v>
      </c>
      <c r="H422" s="212" t="s">
        <v>1827</v>
      </c>
      <c r="I422" s="212" t="s">
        <v>1137</v>
      </c>
      <c r="J422" s="212" t="s">
        <v>104</v>
      </c>
      <c r="K422" s="227" t="s">
        <v>269</v>
      </c>
      <c r="L422" s="227" t="s">
        <v>1725</v>
      </c>
      <c r="M422" t="s">
        <v>1784</v>
      </c>
      <c r="N422" s="211">
        <v>-16</v>
      </c>
      <c r="O422" s="211">
        <v>-16</v>
      </c>
      <c r="P422" s="211">
        <v>9.1</v>
      </c>
      <c r="S422" s="211">
        <v>2.7</v>
      </c>
    </row>
    <row r="423" spans="1:21" ht="19">
      <c r="A423" s="212" t="s">
        <v>273</v>
      </c>
      <c r="B423" s="212" t="s">
        <v>74</v>
      </c>
      <c r="C423" s="233" t="s">
        <v>266</v>
      </c>
      <c r="D423" s="234" t="s">
        <v>151</v>
      </c>
      <c r="E423" s="212">
        <v>41229</v>
      </c>
      <c r="F423" s="212">
        <v>10357</v>
      </c>
      <c r="G423" s="212" t="s">
        <v>1827</v>
      </c>
      <c r="H423" s="212" t="s">
        <v>1827</v>
      </c>
      <c r="I423" s="212" t="s">
        <v>1137</v>
      </c>
      <c r="J423" s="212" t="s">
        <v>225</v>
      </c>
      <c r="K423" s="227" t="s">
        <v>269</v>
      </c>
      <c r="L423" s="227" t="s">
        <v>1725</v>
      </c>
      <c r="M423" t="s">
        <v>205</v>
      </c>
      <c r="N423" s="211">
        <v>-15</v>
      </c>
      <c r="O423" s="211">
        <v>-15</v>
      </c>
      <c r="P423" s="211">
        <v>13.4</v>
      </c>
      <c r="S423" s="211">
        <v>2.8</v>
      </c>
    </row>
    <row r="424" spans="1:21" ht="19">
      <c r="A424" s="212" t="s">
        <v>273</v>
      </c>
      <c r="B424" s="212" t="s">
        <v>74</v>
      </c>
      <c r="C424" s="233" t="s">
        <v>266</v>
      </c>
      <c r="D424" s="234" t="s">
        <v>151</v>
      </c>
      <c r="E424" s="212">
        <v>41229</v>
      </c>
      <c r="F424" s="212">
        <v>10778</v>
      </c>
      <c r="G424" s="212" t="s">
        <v>1827</v>
      </c>
      <c r="H424" s="212" t="s">
        <v>1827</v>
      </c>
      <c r="I424" s="212" t="s">
        <v>1137</v>
      </c>
      <c r="J424" s="212" t="s">
        <v>225</v>
      </c>
      <c r="K424" s="227" t="s">
        <v>269</v>
      </c>
      <c r="L424" s="227" t="s">
        <v>1725</v>
      </c>
      <c r="M424" t="s">
        <v>205</v>
      </c>
      <c r="N424" s="211">
        <v>-17</v>
      </c>
      <c r="O424" s="211">
        <v>-17</v>
      </c>
      <c r="P424" s="211">
        <v>10.5</v>
      </c>
      <c r="S424" s="211">
        <v>2.7</v>
      </c>
    </row>
    <row r="425" spans="1:21" ht="19">
      <c r="A425" s="212" t="s">
        <v>273</v>
      </c>
      <c r="B425" s="212" t="s">
        <v>74</v>
      </c>
      <c r="C425" s="233" t="s">
        <v>266</v>
      </c>
      <c r="D425" s="234" t="s">
        <v>151</v>
      </c>
      <c r="E425" s="212">
        <v>41229</v>
      </c>
      <c r="F425" s="212">
        <v>10876</v>
      </c>
      <c r="G425" s="212" t="s">
        <v>1827</v>
      </c>
      <c r="H425" s="212" t="s">
        <v>1827</v>
      </c>
      <c r="I425" s="212" t="s">
        <v>1137</v>
      </c>
      <c r="J425" s="212" t="s">
        <v>104</v>
      </c>
      <c r="K425" s="227" t="s">
        <v>269</v>
      </c>
      <c r="L425" s="227" t="s">
        <v>1725</v>
      </c>
      <c r="M425" t="s">
        <v>1736</v>
      </c>
      <c r="N425" s="211">
        <v>-11.8</v>
      </c>
      <c r="O425" s="211">
        <v>-11.8</v>
      </c>
      <c r="P425" s="211">
        <v>12.3</v>
      </c>
      <c r="S425" s="211">
        <v>2.8</v>
      </c>
    </row>
    <row r="426" spans="1:21" ht="19">
      <c r="A426" s="212" t="s">
        <v>273</v>
      </c>
      <c r="B426" s="212" t="s">
        <v>74</v>
      </c>
      <c r="C426" s="233" t="s">
        <v>266</v>
      </c>
      <c r="D426" s="234" t="s">
        <v>151</v>
      </c>
      <c r="E426" s="212">
        <v>41229</v>
      </c>
      <c r="F426" s="212">
        <v>11182</v>
      </c>
      <c r="G426" s="212" t="s">
        <v>1827</v>
      </c>
      <c r="H426" s="212" t="s">
        <v>1827</v>
      </c>
      <c r="I426" s="212" t="s">
        <v>1137</v>
      </c>
      <c r="J426" s="212" t="s">
        <v>104</v>
      </c>
      <c r="K426" s="227" t="s">
        <v>269</v>
      </c>
      <c r="L426" s="227" t="s">
        <v>1725</v>
      </c>
      <c r="M426" t="s">
        <v>205</v>
      </c>
      <c r="N426" s="211">
        <v>-18.7</v>
      </c>
      <c r="O426" s="211">
        <v>-18.7</v>
      </c>
      <c r="P426" s="211">
        <v>5</v>
      </c>
      <c r="S426" s="211">
        <v>2.8</v>
      </c>
    </row>
    <row r="427" spans="1:21" ht="19">
      <c r="A427" s="212" t="s">
        <v>273</v>
      </c>
      <c r="B427" s="212" t="s">
        <v>74</v>
      </c>
      <c r="C427" s="233" t="s">
        <v>266</v>
      </c>
      <c r="D427" s="234" t="s">
        <v>151</v>
      </c>
      <c r="E427" s="212">
        <v>908</v>
      </c>
      <c r="F427" s="212">
        <v>4311</v>
      </c>
      <c r="G427" s="212" t="s">
        <v>1827</v>
      </c>
      <c r="H427" s="212" t="s">
        <v>1827</v>
      </c>
      <c r="I427" s="212" t="s">
        <v>250</v>
      </c>
      <c r="J427" s="212" t="s">
        <v>225</v>
      </c>
      <c r="K427" s="227" t="s">
        <v>269</v>
      </c>
      <c r="L427" s="227" t="s">
        <v>1725</v>
      </c>
      <c r="M427" t="s">
        <v>1848</v>
      </c>
      <c r="N427" s="211">
        <v>-16.5</v>
      </c>
      <c r="O427" s="211">
        <v>-16.5</v>
      </c>
      <c r="P427" s="211">
        <v>9.8000000000000007</v>
      </c>
      <c r="S427" s="211">
        <v>3.7</v>
      </c>
    </row>
    <row r="428" spans="1:21" ht="19">
      <c r="A428" s="212" t="s">
        <v>273</v>
      </c>
      <c r="B428" s="212" t="s">
        <v>74</v>
      </c>
      <c r="C428" s="233" t="s">
        <v>266</v>
      </c>
      <c r="D428" s="234" t="s">
        <v>151</v>
      </c>
      <c r="E428" s="212">
        <v>908</v>
      </c>
      <c r="F428" s="212">
        <v>3591</v>
      </c>
      <c r="G428" s="212" t="s">
        <v>1827</v>
      </c>
      <c r="H428" s="212" t="s">
        <v>1827</v>
      </c>
      <c r="I428" s="212" t="s">
        <v>250</v>
      </c>
      <c r="J428" s="212" t="s">
        <v>225</v>
      </c>
      <c r="K428" s="227" t="s">
        <v>269</v>
      </c>
      <c r="L428" s="227" t="s">
        <v>1725</v>
      </c>
      <c r="M428" t="s">
        <v>1750</v>
      </c>
      <c r="N428" s="211">
        <v>-15.8</v>
      </c>
      <c r="O428" s="211">
        <v>-15.8</v>
      </c>
      <c r="P428" s="211">
        <v>10.4</v>
      </c>
      <c r="S428" s="211">
        <v>3.5</v>
      </c>
    </row>
    <row r="429" spans="1:21" ht="19">
      <c r="A429" s="212" t="s">
        <v>273</v>
      </c>
      <c r="B429" s="212" t="s">
        <v>74</v>
      </c>
      <c r="C429" s="233" t="s">
        <v>266</v>
      </c>
      <c r="D429" s="234" t="s">
        <v>151</v>
      </c>
      <c r="E429" s="212">
        <v>908</v>
      </c>
      <c r="F429" s="212">
        <v>4300</v>
      </c>
      <c r="G429" s="212" t="s">
        <v>1827</v>
      </c>
      <c r="H429" s="212" t="s">
        <v>1827</v>
      </c>
      <c r="I429" s="212" t="s">
        <v>250</v>
      </c>
      <c r="J429" s="212" t="s">
        <v>225</v>
      </c>
      <c r="K429" s="227" t="s">
        <v>269</v>
      </c>
      <c r="L429" s="227" t="s">
        <v>1725</v>
      </c>
      <c r="M429" t="s">
        <v>1733</v>
      </c>
      <c r="N429" s="211" t="s">
        <v>463</v>
      </c>
      <c r="O429" s="211" t="s">
        <v>1731</v>
      </c>
      <c r="P429" s="211" t="s">
        <v>463</v>
      </c>
      <c r="S429" s="211">
        <v>12.9</v>
      </c>
      <c r="U429" s="212" t="s">
        <v>1743</v>
      </c>
    </row>
    <row r="430" spans="1:21" ht="19">
      <c r="A430" s="212" t="s">
        <v>273</v>
      </c>
      <c r="B430" s="212" t="s">
        <v>74</v>
      </c>
      <c r="C430" s="233" t="s">
        <v>1120</v>
      </c>
      <c r="D430" s="234" t="s">
        <v>151</v>
      </c>
      <c r="E430" s="212">
        <v>41229</v>
      </c>
      <c r="F430" s="212">
        <v>9826</v>
      </c>
      <c r="G430" s="212" t="s">
        <v>1847</v>
      </c>
      <c r="H430" s="212" t="s">
        <v>1827</v>
      </c>
      <c r="I430" s="212" t="s">
        <v>1137</v>
      </c>
      <c r="J430" s="212" t="s">
        <v>104</v>
      </c>
      <c r="K430" s="227" t="s">
        <v>269</v>
      </c>
      <c r="L430" s="227" t="s">
        <v>1725</v>
      </c>
      <c r="M430" t="s">
        <v>1846</v>
      </c>
      <c r="N430" s="211">
        <v>-18.8</v>
      </c>
      <c r="O430" s="211">
        <v>-18.8</v>
      </c>
      <c r="P430" s="211">
        <v>6.8</v>
      </c>
      <c r="S430" s="211">
        <v>2.7</v>
      </c>
    </row>
    <row r="431" spans="1:21" ht="19">
      <c r="A431" s="212" t="s">
        <v>273</v>
      </c>
      <c r="B431" s="212" t="s">
        <v>74</v>
      </c>
      <c r="C431" s="233" t="s">
        <v>1849</v>
      </c>
      <c r="D431" s="234" t="s">
        <v>151</v>
      </c>
      <c r="E431" s="212">
        <v>41229</v>
      </c>
      <c r="F431" s="212">
        <v>719</v>
      </c>
      <c r="G431" s="212" t="s">
        <v>1847</v>
      </c>
      <c r="H431" s="212" t="s">
        <v>1827</v>
      </c>
      <c r="I431" s="212" t="s">
        <v>1137</v>
      </c>
      <c r="J431" s="212" t="s">
        <v>225</v>
      </c>
      <c r="K431" s="227" t="s">
        <v>269</v>
      </c>
      <c r="L431" s="227" t="s">
        <v>1725</v>
      </c>
      <c r="M431" t="s">
        <v>205</v>
      </c>
      <c r="N431" s="211">
        <v>-19.2</v>
      </c>
      <c r="O431" s="211">
        <v>-19.2</v>
      </c>
      <c r="P431" s="211">
        <v>8.8000000000000007</v>
      </c>
      <c r="S431" s="211">
        <v>2.8</v>
      </c>
      <c r="U431" s="212" t="s">
        <v>1850</v>
      </c>
    </row>
    <row r="432" spans="1:21" ht="19">
      <c r="A432" s="212" t="s">
        <v>273</v>
      </c>
      <c r="B432" s="212" t="s">
        <v>74</v>
      </c>
      <c r="C432" s="233" t="s">
        <v>274</v>
      </c>
      <c r="D432" s="234" t="s">
        <v>151</v>
      </c>
      <c r="E432" s="212">
        <v>40449</v>
      </c>
      <c r="F432" s="212">
        <v>258</v>
      </c>
      <c r="G432" s="212" t="s">
        <v>1851</v>
      </c>
      <c r="H432" s="212" t="s">
        <v>1827</v>
      </c>
      <c r="I432" s="212" t="s">
        <v>1814</v>
      </c>
      <c r="J432" s="212" t="s">
        <v>225</v>
      </c>
      <c r="K432" s="227" t="s">
        <v>269</v>
      </c>
      <c r="L432" s="227" t="s">
        <v>1725</v>
      </c>
      <c r="M432" t="s">
        <v>1748</v>
      </c>
      <c r="N432" s="211" t="s">
        <v>463</v>
      </c>
      <c r="O432" s="211" t="s">
        <v>1731</v>
      </c>
      <c r="P432" s="211" t="s">
        <v>463</v>
      </c>
      <c r="S432" s="211">
        <v>2.71</v>
      </c>
      <c r="U432" s="212" t="s">
        <v>1743</v>
      </c>
    </row>
    <row r="433" spans="1:21" ht="19">
      <c r="A433" s="212" t="s">
        <v>273</v>
      </c>
      <c r="B433" s="212" t="s">
        <v>74</v>
      </c>
      <c r="C433" s="233" t="s">
        <v>1852</v>
      </c>
      <c r="D433" s="234" t="s">
        <v>151</v>
      </c>
      <c r="E433" s="212">
        <v>41229</v>
      </c>
      <c r="F433" s="212">
        <v>10469</v>
      </c>
      <c r="G433" s="212" t="s">
        <v>1847</v>
      </c>
      <c r="H433" s="212" t="s">
        <v>1827</v>
      </c>
      <c r="I433" s="212" t="s">
        <v>1137</v>
      </c>
      <c r="J433" s="212" t="s">
        <v>104</v>
      </c>
      <c r="K433" s="227" t="s">
        <v>269</v>
      </c>
      <c r="L433" s="227" t="s">
        <v>1725</v>
      </c>
      <c r="M433" t="s">
        <v>1738</v>
      </c>
      <c r="N433" s="211">
        <v>-15.6</v>
      </c>
      <c r="O433" s="211">
        <v>-15.6</v>
      </c>
      <c r="P433" s="211">
        <v>9.9</v>
      </c>
      <c r="S433" s="211">
        <v>2.8</v>
      </c>
    </row>
    <row r="434" spans="1:21" ht="19">
      <c r="A434" s="212" t="s">
        <v>273</v>
      </c>
      <c r="B434" s="212" t="s">
        <v>74</v>
      </c>
      <c r="C434" s="233" t="s">
        <v>1852</v>
      </c>
      <c r="D434" s="234" t="s">
        <v>151</v>
      </c>
      <c r="E434" s="212">
        <v>41229</v>
      </c>
      <c r="F434" s="212">
        <v>12071</v>
      </c>
      <c r="G434" s="212" t="s">
        <v>1847</v>
      </c>
      <c r="H434" s="212" t="s">
        <v>1827</v>
      </c>
      <c r="I434" s="212" t="s">
        <v>1137</v>
      </c>
      <c r="J434" s="212" t="s">
        <v>104</v>
      </c>
      <c r="K434" s="227" t="s">
        <v>269</v>
      </c>
      <c r="L434" s="227" t="s">
        <v>1725</v>
      </c>
      <c r="M434" t="s">
        <v>205</v>
      </c>
      <c r="N434" s="211">
        <v>-16.100000000000001</v>
      </c>
      <c r="O434" s="211">
        <v>-16.100000000000001</v>
      </c>
      <c r="P434" s="211">
        <v>10.3</v>
      </c>
      <c r="S434" s="211">
        <v>2.8</v>
      </c>
    </row>
    <row r="435" spans="1:21">
      <c r="A435" s="212" t="s">
        <v>273</v>
      </c>
      <c r="B435" s="212" t="s">
        <v>74</v>
      </c>
      <c r="C435" s="233" t="s">
        <v>299</v>
      </c>
      <c r="D435" s="233" t="s">
        <v>151</v>
      </c>
      <c r="E435" s="212">
        <v>41229</v>
      </c>
      <c r="F435" s="212">
        <v>10867</v>
      </c>
      <c r="G435" s="212" t="s">
        <v>1847</v>
      </c>
      <c r="H435" s="212" t="s">
        <v>1827</v>
      </c>
      <c r="I435" s="212" t="s">
        <v>1137</v>
      </c>
      <c r="J435" s="212" t="s">
        <v>225</v>
      </c>
      <c r="K435" s="227" t="s">
        <v>269</v>
      </c>
      <c r="L435" s="227" t="s">
        <v>1725</v>
      </c>
      <c r="M435" t="s">
        <v>1738</v>
      </c>
      <c r="N435" s="211">
        <v>-14.4</v>
      </c>
      <c r="O435" s="211">
        <v>-14.4</v>
      </c>
      <c r="P435" s="211">
        <v>11.7</v>
      </c>
      <c r="S435" s="211">
        <v>2.8</v>
      </c>
    </row>
    <row r="436" spans="1:21" ht="19">
      <c r="A436" s="212" t="s">
        <v>273</v>
      </c>
      <c r="B436" s="212" t="s">
        <v>74</v>
      </c>
      <c r="C436" s="233" t="s">
        <v>299</v>
      </c>
      <c r="D436" s="234" t="s">
        <v>151</v>
      </c>
      <c r="E436" s="212">
        <v>1295</v>
      </c>
      <c r="F436" s="212">
        <v>9</v>
      </c>
      <c r="G436" s="212" t="s">
        <v>1847</v>
      </c>
      <c r="H436" s="212" t="s">
        <v>1827</v>
      </c>
      <c r="I436" s="212" t="s">
        <v>1171</v>
      </c>
      <c r="J436" s="212" t="s">
        <v>104</v>
      </c>
      <c r="K436" s="227" t="s">
        <v>269</v>
      </c>
      <c r="L436" s="227" t="s">
        <v>1725</v>
      </c>
      <c r="M436" t="s">
        <v>1738</v>
      </c>
      <c r="N436" s="211">
        <v>-23.9</v>
      </c>
      <c r="O436" s="211" t="s">
        <v>1731</v>
      </c>
      <c r="P436" s="211">
        <v>3.2</v>
      </c>
      <c r="S436" s="211">
        <v>4.4000000000000004</v>
      </c>
    </row>
    <row r="437" spans="1:21">
      <c r="A437" s="212" t="s">
        <v>273</v>
      </c>
      <c r="B437" s="212" t="s">
        <v>74</v>
      </c>
      <c r="C437" s="233" t="s">
        <v>299</v>
      </c>
      <c r="D437" s="233" t="s">
        <v>151</v>
      </c>
      <c r="E437" s="212">
        <v>1295</v>
      </c>
      <c r="F437" s="212">
        <v>2</v>
      </c>
      <c r="G437" s="212" t="s">
        <v>1847</v>
      </c>
      <c r="H437" s="212" t="s">
        <v>1827</v>
      </c>
      <c r="I437" s="212" t="s">
        <v>1171</v>
      </c>
      <c r="J437" s="212" t="s">
        <v>104</v>
      </c>
      <c r="K437" s="227" t="s">
        <v>269</v>
      </c>
      <c r="L437" s="227" t="s">
        <v>1725</v>
      </c>
      <c r="M437" t="s">
        <v>1738</v>
      </c>
      <c r="N437" s="211" t="s">
        <v>463</v>
      </c>
      <c r="O437" s="211" t="s">
        <v>1731</v>
      </c>
      <c r="P437" s="211" t="s">
        <v>463</v>
      </c>
      <c r="S437" s="211">
        <v>6</v>
      </c>
      <c r="U437" s="212" t="s">
        <v>1743</v>
      </c>
    </row>
    <row r="438" spans="1:21">
      <c r="A438" s="212" t="s">
        <v>273</v>
      </c>
      <c r="B438" s="212" t="s">
        <v>74</v>
      </c>
      <c r="C438" s="233" t="s">
        <v>299</v>
      </c>
      <c r="D438" s="233" t="s">
        <v>151</v>
      </c>
      <c r="E438" s="212">
        <v>1295</v>
      </c>
      <c r="F438" s="212">
        <v>8</v>
      </c>
      <c r="G438" s="212" t="s">
        <v>1847</v>
      </c>
      <c r="H438" s="212" t="s">
        <v>1827</v>
      </c>
      <c r="I438" s="212" t="s">
        <v>1171</v>
      </c>
      <c r="J438" s="212" t="s">
        <v>104</v>
      </c>
      <c r="K438" s="227" t="s">
        <v>269</v>
      </c>
      <c r="L438" s="227" t="s">
        <v>1725</v>
      </c>
      <c r="M438" t="s">
        <v>1738</v>
      </c>
      <c r="N438" s="211" t="s">
        <v>463</v>
      </c>
      <c r="O438" s="211" t="s">
        <v>1731</v>
      </c>
      <c r="P438" s="211" t="s">
        <v>463</v>
      </c>
      <c r="S438" s="211">
        <v>6.2</v>
      </c>
      <c r="U438" s="212" t="s">
        <v>1743</v>
      </c>
    </row>
    <row r="439" spans="1:21">
      <c r="A439" s="212" t="s">
        <v>273</v>
      </c>
      <c r="B439" s="212" t="s">
        <v>74</v>
      </c>
      <c r="C439" s="233" t="s">
        <v>299</v>
      </c>
      <c r="D439" s="233" t="s">
        <v>151</v>
      </c>
      <c r="E439" s="212">
        <v>908</v>
      </c>
      <c r="F439" s="212">
        <v>3622</v>
      </c>
      <c r="G439" s="212" t="s">
        <v>1847</v>
      </c>
      <c r="H439" s="212" t="s">
        <v>1827</v>
      </c>
      <c r="I439" s="212" t="s">
        <v>250</v>
      </c>
      <c r="J439" s="212" t="s">
        <v>225</v>
      </c>
      <c r="K439" s="227" t="s">
        <v>269</v>
      </c>
      <c r="L439" s="227" t="s">
        <v>1725</v>
      </c>
      <c r="M439" t="s">
        <v>1757</v>
      </c>
      <c r="N439" s="211" t="s">
        <v>463</v>
      </c>
      <c r="O439" s="211" t="s">
        <v>1731</v>
      </c>
      <c r="P439" s="211" t="s">
        <v>463</v>
      </c>
      <c r="S439" s="211" t="s">
        <v>1731</v>
      </c>
    </row>
    <row r="440" spans="1:21" ht="38">
      <c r="A440" s="212" t="s">
        <v>273</v>
      </c>
      <c r="B440" s="212" t="s">
        <v>76</v>
      </c>
      <c r="C440" s="233" t="s">
        <v>1582</v>
      </c>
      <c r="D440" s="234" t="s">
        <v>1853</v>
      </c>
      <c r="E440" s="212">
        <v>41229</v>
      </c>
      <c r="F440" s="212">
        <v>3539</v>
      </c>
      <c r="G440" s="212" t="s">
        <v>1847</v>
      </c>
      <c r="H440" s="212" t="s">
        <v>1827</v>
      </c>
      <c r="I440" s="212" t="s">
        <v>1137</v>
      </c>
      <c r="J440" s="212" t="s">
        <v>104</v>
      </c>
      <c r="K440" s="227" t="s">
        <v>269</v>
      </c>
      <c r="L440" s="227" t="s">
        <v>1725</v>
      </c>
      <c r="M440" t="s">
        <v>205</v>
      </c>
      <c r="N440" s="211">
        <v>-18.8</v>
      </c>
      <c r="O440" s="211">
        <v>-18.8</v>
      </c>
      <c r="P440" s="211">
        <v>12.7</v>
      </c>
      <c r="S440" s="211">
        <v>2.9</v>
      </c>
    </row>
    <row r="441" spans="1:21" ht="19">
      <c r="A441" s="212" t="s">
        <v>273</v>
      </c>
      <c r="B441" s="212" t="s">
        <v>76</v>
      </c>
      <c r="C441" s="233" t="s">
        <v>517</v>
      </c>
      <c r="D441" s="234" t="s">
        <v>101</v>
      </c>
      <c r="E441" s="212">
        <v>933</v>
      </c>
      <c r="F441" s="212">
        <v>3387</v>
      </c>
      <c r="G441" s="212" t="s">
        <v>1847</v>
      </c>
      <c r="H441" s="212" t="s">
        <v>1827</v>
      </c>
      <c r="I441" s="212" t="s">
        <v>249</v>
      </c>
      <c r="J441" s="212" t="s">
        <v>104</v>
      </c>
      <c r="K441" s="227" t="s">
        <v>269</v>
      </c>
      <c r="L441" s="227" t="s">
        <v>1725</v>
      </c>
      <c r="M441" t="s">
        <v>1726</v>
      </c>
      <c r="N441" s="211">
        <v>-8.5</v>
      </c>
      <c r="O441" s="211">
        <v>-8.5</v>
      </c>
      <c r="P441" s="211">
        <v>14.3</v>
      </c>
      <c r="S441" s="211">
        <v>3.2</v>
      </c>
    </row>
    <row r="442" spans="1:21">
      <c r="A442" s="212" t="s">
        <v>273</v>
      </c>
      <c r="B442" s="212" t="s">
        <v>76</v>
      </c>
      <c r="C442" s="233" t="s">
        <v>517</v>
      </c>
      <c r="D442" s="233" t="s">
        <v>101</v>
      </c>
      <c r="E442" s="212">
        <v>933</v>
      </c>
      <c r="F442" s="212">
        <v>2110</v>
      </c>
      <c r="G442" s="212" t="s">
        <v>1847</v>
      </c>
      <c r="H442" s="212" t="s">
        <v>1827</v>
      </c>
      <c r="I442" s="212" t="s">
        <v>249</v>
      </c>
      <c r="J442" s="212" t="s">
        <v>104</v>
      </c>
      <c r="K442" s="227" t="s">
        <v>269</v>
      </c>
      <c r="L442" s="227" t="s">
        <v>1725</v>
      </c>
      <c r="M442" t="s">
        <v>1726</v>
      </c>
      <c r="N442" s="211">
        <v>-28.3</v>
      </c>
      <c r="O442" s="211" t="s">
        <v>1731</v>
      </c>
      <c r="P442" s="211" t="s">
        <v>463</v>
      </c>
      <c r="S442" s="211" t="s">
        <v>1731</v>
      </c>
    </row>
    <row r="443" spans="1:21">
      <c r="A443" s="212" t="s">
        <v>273</v>
      </c>
      <c r="B443" s="212" t="s">
        <v>76</v>
      </c>
      <c r="C443" s="233" t="s">
        <v>517</v>
      </c>
      <c r="D443" s="233" t="s">
        <v>101</v>
      </c>
      <c r="E443" s="212">
        <v>933</v>
      </c>
      <c r="F443" s="212">
        <v>2297</v>
      </c>
      <c r="G443" s="212" t="s">
        <v>1847</v>
      </c>
      <c r="H443" s="212" t="s">
        <v>1827</v>
      </c>
      <c r="I443" s="212" t="s">
        <v>249</v>
      </c>
      <c r="J443" s="212" t="s">
        <v>104</v>
      </c>
      <c r="K443" s="227" t="s">
        <v>269</v>
      </c>
      <c r="L443" s="227" t="s">
        <v>1725</v>
      </c>
      <c r="M443" t="s">
        <v>1761</v>
      </c>
      <c r="N443" s="211">
        <v>-22</v>
      </c>
      <c r="O443" s="211" t="s">
        <v>1731</v>
      </c>
      <c r="P443" s="211">
        <v>9.8000000000000007</v>
      </c>
      <c r="S443" s="211">
        <v>6.2</v>
      </c>
    </row>
    <row r="444" spans="1:21">
      <c r="A444" s="212" t="s">
        <v>273</v>
      </c>
      <c r="B444" s="212" t="s">
        <v>76</v>
      </c>
      <c r="C444" s="233" t="s">
        <v>517</v>
      </c>
      <c r="D444" s="233" t="s">
        <v>101</v>
      </c>
      <c r="E444" s="212">
        <v>933</v>
      </c>
      <c r="F444" s="212">
        <v>2084</v>
      </c>
      <c r="G444" s="212" t="s">
        <v>1847</v>
      </c>
      <c r="H444" s="212" t="s">
        <v>1827</v>
      </c>
      <c r="I444" s="212" t="s">
        <v>249</v>
      </c>
      <c r="J444" s="212" t="s">
        <v>104</v>
      </c>
      <c r="K444" s="227" t="s">
        <v>269</v>
      </c>
      <c r="L444" s="227" t="s">
        <v>1725</v>
      </c>
      <c r="M444" t="s">
        <v>1819</v>
      </c>
      <c r="N444" s="211" t="s">
        <v>463</v>
      </c>
      <c r="O444" s="211" t="s">
        <v>1731</v>
      </c>
      <c r="P444" s="211" t="s">
        <v>463</v>
      </c>
      <c r="S444" s="211" t="s">
        <v>1731</v>
      </c>
    </row>
    <row r="445" spans="1:21">
      <c r="A445" s="212" t="s">
        <v>273</v>
      </c>
      <c r="B445" s="212" t="s">
        <v>76</v>
      </c>
      <c r="C445" s="233" t="s">
        <v>517</v>
      </c>
      <c r="D445" s="233" t="s">
        <v>101</v>
      </c>
      <c r="E445" s="212">
        <v>933</v>
      </c>
      <c r="F445" s="212">
        <v>3934</v>
      </c>
      <c r="G445" s="212" t="s">
        <v>1847</v>
      </c>
      <c r="H445" s="212" t="s">
        <v>1827</v>
      </c>
      <c r="I445" s="212" t="s">
        <v>249</v>
      </c>
      <c r="J445" s="212" t="s">
        <v>104</v>
      </c>
      <c r="K445" s="227" t="s">
        <v>269</v>
      </c>
      <c r="L445" s="227" t="s">
        <v>1725</v>
      </c>
      <c r="M445" t="s">
        <v>1733</v>
      </c>
      <c r="N445" s="211" t="s">
        <v>463</v>
      </c>
      <c r="O445" s="211" t="s">
        <v>1731</v>
      </c>
      <c r="P445" s="211" t="s">
        <v>463</v>
      </c>
      <c r="S445" s="211" t="s">
        <v>1731</v>
      </c>
    </row>
    <row r="446" spans="1:21">
      <c r="A446" s="212" t="s">
        <v>273</v>
      </c>
      <c r="B446" s="212" t="s">
        <v>76</v>
      </c>
      <c r="C446" s="233" t="s">
        <v>517</v>
      </c>
      <c r="D446" s="233" t="s">
        <v>101</v>
      </c>
      <c r="E446" s="212">
        <v>933</v>
      </c>
      <c r="F446" s="212">
        <v>2149</v>
      </c>
      <c r="G446" s="212" t="s">
        <v>1847</v>
      </c>
      <c r="H446" s="212" t="s">
        <v>1827</v>
      </c>
      <c r="I446" s="212" t="s">
        <v>249</v>
      </c>
      <c r="J446" s="212" t="s">
        <v>104</v>
      </c>
      <c r="K446" s="227" t="s">
        <v>269</v>
      </c>
      <c r="L446" s="227" t="s">
        <v>1725</v>
      </c>
      <c r="M446" t="s">
        <v>1756</v>
      </c>
      <c r="N446" s="211" t="s">
        <v>463</v>
      </c>
      <c r="O446" s="211" t="s">
        <v>1731</v>
      </c>
      <c r="P446" s="211" t="s">
        <v>463</v>
      </c>
      <c r="S446" s="211">
        <v>10</v>
      </c>
      <c r="U446" s="212" t="s">
        <v>1743</v>
      </c>
    </row>
    <row r="447" spans="1:21">
      <c r="A447" s="212" t="s">
        <v>273</v>
      </c>
      <c r="B447" s="212" t="s">
        <v>76</v>
      </c>
      <c r="C447" s="233" t="s">
        <v>517</v>
      </c>
      <c r="D447" s="233" t="s">
        <v>101</v>
      </c>
      <c r="E447" s="212">
        <v>933</v>
      </c>
      <c r="F447" s="212">
        <v>2899</v>
      </c>
      <c r="G447" s="212" t="s">
        <v>1847</v>
      </c>
      <c r="H447" s="212" t="s">
        <v>1827</v>
      </c>
      <c r="I447" s="212" t="s">
        <v>249</v>
      </c>
      <c r="J447" s="212" t="s">
        <v>1744</v>
      </c>
      <c r="K447" s="227" t="s">
        <v>269</v>
      </c>
      <c r="L447" s="227" t="s">
        <v>1725</v>
      </c>
      <c r="M447" t="s">
        <v>1726</v>
      </c>
      <c r="N447" s="211" t="s">
        <v>463</v>
      </c>
      <c r="O447" s="211" t="s">
        <v>1731</v>
      </c>
      <c r="P447" s="211" t="s">
        <v>463</v>
      </c>
      <c r="S447" s="211" t="s">
        <v>1731</v>
      </c>
    </row>
    <row r="448" spans="1:21">
      <c r="A448" s="212" t="s">
        <v>273</v>
      </c>
      <c r="B448" s="212" t="s">
        <v>76</v>
      </c>
      <c r="C448" s="233" t="s">
        <v>100</v>
      </c>
      <c r="D448" s="233" t="s">
        <v>1854</v>
      </c>
      <c r="E448" s="212">
        <v>933</v>
      </c>
      <c r="F448" s="212">
        <v>61</v>
      </c>
      <c r="G448" s="212" t="s">
        <v>1827</v>
      </c>
      <c r="H448" s="212" t="s">
        <v>1827</v>
      </c>
      <c r="I448" s="212" t="s">
        <v>249</v>
      </c>
      <c r="J448" s="212" t="s">
        <v>1744</v>
      </c>
      <c r="K448" s="227" t="s">
        <v>269</v>
      </c>
      <c r="L448" s="227" t="s">
        <v>1725</v>
      </c>
      <c r="M448" t="s">
        <v>1843</v>
      </c>
      <c r="N448" s="211">
        <v>-8.8000000000000007</v>
      </c>
      <c r="O448" s="211">
        <v>-8.8000000000000007</v>
      </c>
      <c r="P448" s="211">
        <v>14.3</v>
      </c>
      <c r="S448" s="211">
        <v>3.2</v>
      </c>
    </row>
    <row r="449" spans="1:21" ht="19">
      <c r="A449" s="212" t="s">
        <v>273</v>
      </c>
      <c r="B449" s="212" t="s">
        <v>76</v>
      </c>
      <c r="C449" s="233" t="s">
        <v>100</v>
      </c>
      <c r="D449" s="234" t="s">
        <v>1854</v>
      </c>
      <c r="E449" s="212">
        <v>933</v>
      </c>
      <c r="F449" s="212">
        <v>2283</v>
      </c>
      <c r="G449" s="212" t="s">
        <v>1827</v>
      </c>
      <c r="H449" s="212" t="s">
        <v>1827</v>
      </c>
      <c r="I449" s="212" t="s">
        <v>249</v>
      </c>
      <c r="J449" s="212" t="s">
        <v>1744</v>
      </c>
      <c r="K449" s="227" t="s">
        <v>269</v>
      </c>
      <c r="L449" s="227" t="s">
        <v>1725</v>
      </c>
      <c r="M449" t="s">
        <v>1756</v>
      </c>
      <c r="N449" s="211">
        <v>-8.86</v>
      </c>
      <c r="O449" s="211">
        <v>-8.9</v>
      </c>
      <c r="P449" s="211">
        <v>13.8</v>
      </c>
      <c r="S449" s="211">
        <v>3</v>
      </c>
    </row>
    <row r="450" spans="1:21" ht="19">
      <c r="A450" s="212" t="s">
        <v>273</v>
      </c>
      <c r="B450" s="212" t="s">
        <v>76</v>
      </c>
      <c r="C450" s="233" t="s">
        <v>100</v>
      </c>
      <c r="D450" s="234" t="s">
        <v>1854</v>
      </c>
      <c r="E450" s="212">
        <v>933</v>
      </c>
      <c r="F450" s="212">
        <v>2927</v>
      </c>
      <c r="G450" s="212" t="s">
        <v>1827</v>
      </c>
      <c r="H450" s="212" t="s">
        <v>1827</v>
      </c>
      <c r="I450" s="212" t="s">
        <v>249</v>
      </c>
      <c r="J450" s="212" t="s">
        <v>1744</v>
      </c>
      <c r="K450" s="227" t="s">
        <v>269</v>
      </c>
      <c r="L450" s="227" t="s">
        <v>1725</v>
      </c>
      <c r="M450" t="s">
        <v>1843</v>
      </c>
      <c r="N450" s="211">
        <v>-9</v>
      </c>
      <c r="O450" s="211">
        <v>-9</v>
      </c>
      <c r="P450" s="211">
        <v>14.4</v>
      </c>
      <c r="S450" s="211">
        <v>3.1</v>
      </c>
    </row>
    <row r="451" spans="1:21" ht="19">
      <c r="A451" s="212" t="s">
        <v>273</v>
      </c>
      <c r="B451" s="212" t="s">
        <v>76</v>
      </c>
      <c r="C451" s="233" t="s">
        <v>100</v>
      </c>
      <c r="D451" s="234" t="s">
        <v>1854</v>
      </c>
      <c r="E451" s="212">
        <v>933</v>
      </c>
      <c r="F451" s="212">
        <v>1750</v>
      </c>
      <c r="G451" s="212" t="s">
        <v>1827</v>
      </c>
      <c r="H451" s="212" t="s">
        <v>1827</v>
      </c>
      <c r="I451" s="212" t="s">
        <v>249</v>
      </c>
      <c r="J451" s="212" t="s">
        <v>1744</v>
      </c>
      <c r="K451" s="227" t="s">
        <v>269</v>
      </c>
      <c r="L451" s="227" t="s">
        <v>1725</v>
      </c>
      <c r="M451" t="s">
        <v>1738</v>
      </c>
      <c r="N451" s="211">
        <v>-10.66</v>
      </c>
      <c r="O451" s="211">
        <v>-10.66</v>
      </c>
      <c r="P451" s="211">
        <v>13.38</v>
      </c>
      <c r="S451" s="211">
        <v>3.74</v>
      </c>
    </row>
    <row r="452" spans="1:21">
      <c r="A452" s="212" t="s">
        <v>273</v>
      </c>
      <c r="B452" s="212" t="s">
        <v>76</v>
      </c>
      <c r="C452" s="233" t="s">
        <v>100</v>
      </c>
      <c r="D452" s="233" t="s">
        <v>1854</v>
      </c>
      <c r="E452" s="212">
        <v>933</v>
      </c>
      <c r="F452" s="212">
        <v>29</v>
      </c>
      <c r="G452" s="212" t="s">
        <v>1827</v>
      </c>
      <c r="H452" s="212" t="s">
        <v>1827</v>
      </c>
      <c r="I452" s="212" t="s">
        <v>249</v>
      </c>
      <c r="J452" s="212" t="s">
        <v>1744</v>
      </c>
      <c r="K452" s="227" t="s">
        <v>269</v>
      </c>
      <c r="L452" s="227" t="s">
        <v>1725</v>
      </c>
      <c r="M452" t="s">
        <v>1843</v>
      </c>
      <c r="N452" s="211" t="s">
        <v>463</v>
      </c>
      <c r="O452" s="211" t="s">
        <v>1731</v>
      </c>
      <c r="P452" s="211" t="s">
        <v>463</v>
      </c>
      <c r="S452" s="211" t="s">
        <v>1731</v>
      </c>
    </row>
    <row r="453" spans="1:21">
      <c r="A453" s="212" t="s">
        <v>273</v>
      </c>
      <c r="B453" s="212" t="s">
        <v>76</v>
      </c>
      <c r="C453" s="233" t="s">
        <v>100</v>
      </c>
      <c r="D453" s="233" t="s">
        <v>1854</v>
      </c>
      <c r="E453" s="212">
        <v>933</v>
      </c>
      <c r="F453" s="212">
        <v>2257</v>
      </c>
      <c r="G453" s="212" t="s">
        <v>1827</v>
      </c>
      <c r="H453" s="212" t="s">
        <v>1827</v>
      </c>
      <c r="I453" s="212" t="s">
        <v>249</v>
      </c>
      <c r="J453" s="212" t="s">
        <v>1744</v>
      </c>
      <c r="K453" s="227" t="s">
        <v>269</v>
      </c>
      <c r="L453" s="227" t="s">
        <v>1725</v>
      </c>
      <c r="M453" t="s">
        <v>1843</v>
      </c>
      <c r="N453" s="211" t="s">
        <v>463</v>
      </c>
      <c r="O453" s="211" t="s">
        <v>1731</v>
      </c>
      <c r="P453" s="211" t="s">
        <v>463</v>
      </c>
      <c r="S453" s="211" t="s">
        <v>463</v>
      </c>
      <c r="U453" s="212" t="s">
        <v>1855</v>
      </c>
    </row>
    <row r="454" spans="1:21" ht="38">
      <c r="A454" s="216" t="s">
        <v>273</v>
      </c>
      <c r="B454" s="216" t="s">
        <v>76</v>
      </c>
      <c r="C454" s="238" t="s">
        <v>1856</v>
      </c>
      <c r="D454" s="238" t="s">
        <v>151</v>
      </c>
      <c r="E454" s="216">
        <v>41229</v>
      </c>
      <c r="F454" s="216">
        <v>11185</v>
      </c>
      <c r="G454" s="216" t="s">
        <v>1827</v>
      </c>
      <c r="H454" s="212" t="s">
        <v>1827</v>
      </c>
      <c r="I454" s="216" t="s">
        <v>1742</v>
      </c>
      <c r="J454" s="216" t="s">
        <v>1744</v>
      </c>
      <c r="K454" s="227" t="s">
        <v>269</v>
      </c>
      <c r="L454" s="227" t="s">
        <v>1725</v>
      </c>
      <c r="M454" t="s">
        <v>1819</v>
      </c>
      <c r="N454" s="211">
        <v>-15.93</v>
      </c>
      <c r="O454" s="211">
        <v>-15.9</v>
      </c>
      <c r="P454" s="211">
        <v>14.2</v>
      </c>
      <c r="S454" s="217">
        <v>2.8</v>
      </c>
    </row>
    <row r="455" spans="1:21" ht="19">
      <c r="A455" s="212" t="s">
        <v>273</v>
      </c>
      <c r="B455" s="212" t="s">
        <v>76</v>
      </c>
      <c r="C455" s="233" t="s">
        <v>344</v>
      </c>
      <c r="D455" s="234" t="s">
        <v>345</v>
      </c>
      <c r="E455" s="212">
        <v>908</v>
      </c>
      <c r="F455" s="212">
        <v>1643</v>
      </c>
      <c r="G455" s="212" t="s">
        <v>1847</v>
      </c>
      <c r="H455" s="212" t="s">
        <v>1827</v>
      </c>
      <c r="I455" s="212" t="s">
        <v>250</v>
      </c>
      <c r="J455" s="212" t="s">
        <v>225</v>
      </c>
      <c r="K455" s="227" t="s">
        <v>269</v>
      </c>
      <c r="L455" s="227" t="s">
        <v>1725</v>
      </c>
      <c r="M455" t="s">
        <v>1733</v>
      </c>
      <c r="N455" s="211">
        <v>-14.5</v>
      </c>
      <c r="O455" s="211">
        <v>-14.5</v>
      </c>
      <c r="P455" s="211">
        <v>9.9</v>
      </c>
      <c r="S455" s="211">
        <v>3.2</v>
      </c>
    </row>
    <row r="456" spans="1:21" ht="19">
      <c r="A456" s="212" t="s">
        <v>273</v>
      </c>
      <c r="B456" s="212" t="s">
        <v>76</v>
      </c>
      <c r="C456" s="233" t="s">
        <v>344</v>
      </c>
      <c r="D456" s="234" t="s">
        <v>345</v>
      </c>
      <c r="E456" s="212">
        <v>908</v>
      </c>
      <c r="F456" s="212">
        <v>3310</v>
      </c>
      <c r="G456" s="212" t="s">
        <v>1847</v>
      </c>
      <c r="H456" s="212" t="s">
        <v>1827</v>
      </c>
      <c r="I456" s="212" t="s">
        <v>250</v>
      </c>
      <c r="J456" s="212" t="s">
        <v>225</v>
      </c>
      <c r="K456" s="227" t="s">
        <v>269</v>
      </c>
      <c r="L456" s="227" t="s">
        <v>1725</v>
      </c>
      <c r="M456" t="s">
        <v>1838</v>
      </c>
      <c r="N456" s="211">
        <v>-15.9</v>
      </c>
      <c r="O456" s="211">
        <v>-15.9</v>
      </c>
      <c r="P456" s="211">
        <v>8.6</v>
      </c>
      <c r="S456" s="211">
        <v>3</v>
      </c>
    </row>
    <row r="457" spans="1:21" ht="19">
      <c r="A457" s="212" t="s">
        <v>273</v>
      </c>
      <c r="B457" s="212" t="s">
        <v>76</v>
      </c>
      <c r="C457" s="233" t="s">
        <v>344</v>
      </c>
      <c r="D457" s="234" t="s">
        <v>345</v>
      </c>
      <c r="E457" s="212">
        <v>908</v>
      </c>
      <c r="F457" s="212">
        <v>3931</v>
      </c>
      <c r="G457" s="212" t="s">
        <v>1847</v>
      </c>
      <c r="H457" s="212" t="s">
        <v>1827</v>
      </c>
      <c r="I457" s="212" t="s">
        <v>250</v>
      </c>
      <c r="J457" s="212" t="s">
        <v>225</v>
      </c>
      <c r="K457" s="227" t="s">
        <v>269</v>
      </c>
      <c r="L457" s="227" t="s">
        <v>1725</v>
      </c>
      <c r="M457" t="s">
        <v>1738</v>
      </c>
      <c r="N457" s="211">
        <v>-12.8</v>
      </c>
      <c r="O457" s="211">
        <v>-12.8</v>
      </c>
      <c r="P457" s="211">
        <v>10.1</v>
      </c>
      <c r="S457" s="211">
        <v>2.9</v>
      </c>
    </row>
    <row r="458" spans="1:21" ht="19">
      <c r="A458" s="212" t="s">
        <v>273</v>
      </c>
      <c r="B458" s="212" t="s">
        <v>76</v>
      </c>
      <c r="C458" s="233" t="s">
        <v>344</v>
      </c>
      <c r="D458" s="234" t="s">
        <v>345</v>
      </c>
      <c r="E458" s="212">
        <v>908</v>
      </c>
      <c r="F458" s="212">
        <v>4179</v>
      </c>
      <c r="G458" s="212" t="s">
        <v>1847</v>
      </c>
      <c r="H458" s="212" t="s">
        <v>1827</v>
      </c>
      <c r="I458" s="212" t="s">
        <v>250</v>
      </c>
      <c r="J458" s="212" t="s">
        <v>225</v>
      </c>
      <c r="K458" s="227" t="s">
        <v>269</v>
      </c>
      <c r="L458" s="227" t="s">
        <v>1725</v>
      </c>
      <c r="M458" t="s">
        <v>1738</v>
      </c>
      <c r="N458" s="211">
        <v>-17.600000000000001</v>
      </c>
      <c r="O458" s="211">
        <v>-17.600000000000001</v>
      </c>
      <c r="P458" s="211">
        <v>7.9</v>
      </c>
      <c r="S458" s="211">
        <v>2.8</v>
      </c>
    </row>
    <row r="459" spans="1:21" ht="19">
      <c r="A459" s="212" t="s">
        <v>273</v>
      </c>
      <c r="B459" s="212" t="s">
        <v>76</v>
      </c>
      <c r="C459" s="233" t="s">
        <v>344</v>
      </c>
      <c r="D459" s="234" t="s">
        <v>345</v>
      </c>
      <c r="E459" s="212">
        <v>908</v>
      </c>
      <c r="F459" s="212">
        <v>4180</v>
      </c>
      <c r="G459" s="212" t="s">
        <v>1847</v>
      </c>
      <c r="H459" s="212" t="s">
        <v>1827</v>
      </c>
      <c r="I459" s="212" t="s">
        <v>250</v>
      </c>
      <c r="J459" s="212" t="s">
        <v>225</v>
      </c>
      <c r="K459" s="227" t="s">
        <v>269</v>
      </c>
      <c r="L459" s="227" t="s">
        <v>1725</v>
      </c>
      <c r="M459" t="s">
        <v>1738</v>
      </c>
      <c r="N459" s="211">
        <v>-16.8</v>
      </c>
      <c r="O459" s="211">
        <v>-16.8</v>
      </c>
      <c r="P459" s="211">
        <v>8</v>
      </c>
      <c r="S459" s="211">
        <v>2.9</v>
      </c>
    </row>
    <row r="460" spans="1:21" ht="19">
      <c r="A460" s="212" t="s">
        <v>273</v>
      </c>
      <c r="B460" s="212" t="s">
        <v>76</v>
      </c>
      <c r="C460" s="233" t="s">
        <v>344</v>
      </c>
      <c r="D460" s="234" t="s">
        <v>345</v>
      </c>
      <c r="E460" s="212">
        <v>908</v>
      </c>
      <c r="F460" s="212">
        <v>4181</v>
      </c>
      <c r="G460" s="212" t="s">
        <v>1847</v>
      </c>
      <c r="H460" s="212" t="s">
        <v>1827</v>
      </c>
      <c r="I460" s="212" t="s">
        <v>250</v>
      </c>
      <c r="J460" s="212" t="s">
        <v>225</v>
      </c>
      <c r="K460" s="227" t="s">
        <v>269</v>
      </c>
      <c r="L460" s="227" t="s">
        <v>1725</v>
      </c>
      <c r="M460" t="s">
        <v>1738</v>
      </c>
      <c r="N460" s="211">
        <v>-15.3</v>
      </c>
      <c r="O460" s="211">
        <v>-15.3</v>
      </c>
      <c r="P460" s="211">
        <v>10.6</v>
      </c>
      <c r="S460" s="211">
        <v>3.2</v>
      </c>
    </row>
    <row r="461" spans="1:21" ht="19">
      <c r="A461" s="212" t="s">
        <v>273</v>
      </c>
      <c r="B461" s="212" t="s">
        <v>76</v>
      </c>
      <c r="C461" s="233" t="s">
        <v>344</v>
      </c>
      <c r="D461" s="234" t="s">
        <v>345</v>
      </c>
      <c r="E461" s="212">
        <v>908</v>
      </c>
      <c r="F461" s="212">
        <v>4182</v>
      </c>
      <c r="G461" s="212" t="s">
        <v>1847</v>
      </c>
      <c r="H461" s="212" t="s">
        <v>1827</v>
      </c>
      <c r="I461" s="212" t="s">
        <v>250</v>
      </c>
      <c r="J461" s="212" t="s">
        <v>225</v>
      </c>
      <c r="K461" s="227" t="s">
        <v>269</v>
      </c>
      <c r="L461" s="227" t="s">
        <v>1725</v>
      </c>
      <c r="M461" t="s">
        <v>1738</v>
      </c>
      <c r="N461" s="211">
        <v>-15.1</v>
      </c>
      <c r="O461" s="211">
        <v>-15.1</v>
      </c>
      <c r="P461" s="211">
        <v>10.1</v>
      </c>
      <c r="S461" s="211">
        <v>3.2</v>
      </c>
    </row>
    <row r="462" spans="1:21" ht="19">
      <c r="A462" s="212" t="s">
        <v>273</v>
      </c>
      <c r="B462" s="212" t="s">
        <v>76</v>
      </c>
      <c r="C462" s="233" t="s">
        <v>344</v>
      </c>
      <c r="D462" s="234" t="s">
        <v>345</v>
      </c>
      <c r="E462" s="212">
        <v>908</v>
      </c>
      <c r="F462" s="212">
        <v>4184</v>
      </c>
      <c r="G462" s="212" t="s">
        <v>1847</v>
      </c>
      <c r="H462" s="212" t="s">
        <v>1827</v>
      </c>
      <c r="I462" s="212" t="s">
        <v>250</v>
      </c>
      <c r="J462" s="212" t="s">
        <v>225</v>
      </c>
      <c r="K462" s="227" t="s">
        <v>269</v>
      </c>
      <c r="L462" s="227" t="s">
        <v>1725</v>
      </c>
      <c r="M462" t="s">
        <v>1738</v>
      </c>
      <c r="N462" s="211">
        <v>-16.399999999999999</v>
      </c>
      <c r="O462" s="211">
        <v>-16.399999999999999</v>
      </c>
      <c r="P462" s="211">
        <v>8.3000000000000007</v>
      </c>
      <c r="S462" s="211">
        <v>2.9</v>
      </c>
    </row>
    <row r="463" spans="1:21">
      <c r="A463" s="212" t="s">
        <v>273</v>
      </c>
      <c r="B463" s="212" t="s">
        <v>76</v>
      </c>
      <c r="C463" s="233" t="s">
        <v>344</v>
      </c>
      <c r="D463" s="233" t="s">
        <v>345</v>
      </c>
      <c r="E463" s="212">
        <v>933</v>
      </c>
      <c r="F463" s="212">
        <v>3916</v>
      </c>
      <c r="G463" s="212" t="s">
        <v>1847</v>
      </c>
      <c r="H463" s="212" t="s">
        <v>1827</v>
      </c>
      <c r="I463" s="212" t="s">
        <v>249</v>
      </c>
      <c r="J463" s="212" t="s">
        <v>104</v>
      </c>
      <c r="K463" s="227" t="s">
        <v>269</v>
      </c>
      <c r="L463" s="227" t="s">
        <v>1725</v>
      </c>
      <c r="M463" t="s">
        <v>1118</v>
      </c>
      <c r="N463" s="211">
        <v>-15</v>
      </c>
      <c r="O463" s="211">
        <v>-15</v>
      </c>
      <c r="P463" s="211">
        <v>8.5</v>
      </c>
      <c r="S463" s="211">
        <v>2.9</v>
      </c>
    </row>
    <row r="464" spans="1:21">
      <c r="A464" s="212" t="s">
        <v>273</v>
      </c>
      <c r="B464" s="212" t="s">
        <v>76</v>
      </c>
      <c r="C464" s="233" t="s">
        <v>344</v>
      </c>
      <c r="D464" s="233" t="s">
        <v>345</v>
      </c>
      <c r="E464" s="212">
        <v>40450</v>
      </c>
      <c r="F464" s="212">
        <v>584</v>
      </c>
      <c r="G464" s="212" t="s">
        <v>1847</v>
      </c>
      <c r="H464" s="212" t="s">
        <v>1827</v>
      </c>
      <c r="I464" s="212" t="s">
        <v>1783</v>
      </c>
      <c r="J464" s="212" t="s">
        <v>104</v>
      </c>
      <c r="K464" s="227" t="s">
        <v>269</v>
      </c>
      <c r="L464" s="227" t="s">
        <v>1725</v>
      </c>
      <c r="M464" t="s">
        <v>1738</v>
      </c>
      <c r="N464" s="211">
        <v>-19.5</v>
      </c>
      <c r="O464" s="211">
        <v>-19.5</v>
      </c>
      <c r="P464" s="211">
        <v>7.4</v>
      </c>
      <c r="S464" s="211">
        <v>2.9</v>
      </c>
    </row>
    <row r="465" spans="1:21" ht="19">
      <c r="A465" s="212" t="s">
        <v>273</v>
      </c>
      <c r="B465" s="212" t="s">
        <v>76</v>
      </c>
      <c r="C465" s="233" t="s">
        <v>344</v>
      </c>
      <c r="D465" s="234" t="s">
        <v>345</v>
      </c>
      <c r="E465" s="212">
        <v>40450</v>
      </c>
      <c r="F465" s="212">
        <v>617</v>
      </c>
      <c r="G465" s="212" t="s">
        <v>1847</v>
      </c>
      <c r="H465" s="212" t="s">
        <v>1827</v>
      </c>
      <c r="I465" s="212" t="s">
        <v>1783</v>
      </c>
      <c r="J465" s="212" t="s">
        <v>104</v>
      </c>
      <c r="K465" s="227" t="s">
        <v>269</v>
      </c>
      <c r="L465" s="227" t="s">
        <v>1725</v>
      </c>
      <c r="M465" t="s">
        <v>1738</v>
      </c>
      <c r="N465" s="211">
        <v>-17.8</v>
      </c>
      <c r="O465" s="211">
        <v>-17.8</v>
      </c>
      <c r="P465" s="211">
        <v>5.7</v>
      </c>
      <c r="S465" s="211">
        <v>2.9</v>
      </c>
    </row>
    <row r="466" spans="1:21" ht="19">
      <c r="A466" s="212" t="s">
        <v>273</v>
      </c>
      <c r="B466" s="212" t="s">
        <v>76</v>
      </c>
      <c r="C466" s="233" t="s">
        <v>344</v>
      </c>
      <c r="D466" s="234" t="s">
        <v>345</v>
      </c>
      <c r="E466" s="212">
        <v>40450</v>
      </c>
      <c r="F466" s="212">
        <v>1604</v>
      </c>
      <c r="G466" s="212" t="s">
        <v>1847</v>
      </c>
      <c r="H466" s="212" t="s">
        <v>1827</v>
      </c>
      <c r="I466" s="212" t="s">
        <v>1783</v>
      </c>
      <c r="J466" s="212" t="s">
        <v>104</v>
      </c>
      <c r="K466" s="227" t="s">
        <v>269</v>
      </c>
      <c r="L466" s="227" t="s">
        <v>1725</v>
      </c>
      <c r="M466" t="s">
        <v>1757</v>
      </c>
      <c r="N466" s="211">
        <v>-18.100000000000001</v>
      </c>
      <c r="O466" s="211">
        <v>-18.100000000000001</v>
      </c>
      <c r="P466" s="211">
        <v>6.2</v>
      </c>
      <c r="S466" s="211">
        <v>2.9</v>
      </c>
    </row>
    <row r="467" spans="1:21" ht="19">
      <c r="A467" s="212" t="s">
        <v>273</v>
      </c>
      <c r="B467" s="212" t="s">
        <v>76</v>
      </c>
      <c r="C467" s="233" t="s">
        <v>344</v>
      </c>
      <c r="D467" s="234" t="s">
        <v>345</v>
      </c>
      <c r="E467" s="212">
        <v>40450</v>
      </c>
      <c r="F467" s="212">
        <v>1607</v>
      </c>
      <c r="G467" s="212" t="s">
        <v>1847</v>
      </c>
      <c r="H467" s="212" t="s">
        <v>1827</v>
      </c>
      <c r="I467" s="212" t="s">
        <v>1783</v>
      </c>
      <c r="J467" s="212" t="s">
        <v>104</v>
      </c>
      <c r="K467" s="227" t="s">
        <v>269</v>
      </c>
      <c r="L467" s="227" t="s">
        <v>1725</v>
      </c>
      <c r="M467" t="s">
        <v>1805</v>
      </c>
      <c r="N467" s="211">
        <v>-18.2</v>
      </c>
      <c r="O467" s="211">
        <v>-18.2</v>
      </c>
      <c r="P467" s="211">
        <v>6.3</v>
      </c>
      <c r="S467" s="211">
        <v>3</v>
      </c>
    </row>
    <row r="468" spans="1:21" ht="19">
      <c r="A468" s="212" t="s">
        <v>273</v>
      </c>
      <c r="B468" s="212" t="s">
        <v>76</v>
      </c>
      <c r="C468" s="233" t="s">
        <v>344</v>
      </c>
      <c r="D468" s="234" t="s">
        <v>345</v>
      </c>
      <c r="E468" s="212">
        <v>41229</v>
      </c>
      <c r="F468" s="212">
        <v>2788</v>
      </c>
      <c r="G468" s="212" t="s">
        <v>1847</v>
      </c>
      <c r="H468" s="212" t="s">
        <v>1827</v>
      </c>
      <c r="I468" s="212" t="s">
        <v>1137</v>
      </c>
      <c r="J468" s="212" t="s">
        <v>1728</v>
      </c>
      <c r="K468" s="227" t="s">
        <v>269</v>
      </c>
      <c r="L468" s="227" t="s">
        <v>1725</v>
      </c>
      <c r="M468" t="s">
        <v>1857</v>
      </c>
      <c r="N468" s="211">
        <v>-15.44</v>
      </c>
      <c r="O468" s="211">
        <v>-15.4</v>
      </c>
      <c r="P468" s="211">
        <v>8.5</v>
      </c>
      <c r="S468" s="211">
        <v>2.8</v>
      </c>
    </row>
    <row r="469" spans="1:21" ht="19">
      <c r="A469" s="212" t="s">
        <v>273</v>
      </c>
      <c r="B469" s="212" t="s">
        <v>76</v>
      </c>
      <c r="C469" s="233" t="s">
        <v>344</v>
      </c>
      <c r="D469" s="234" t="s">
        <v>345</v>
      </c>
      <c r="E469" s="212">
        <v>41229</v>
      </c>
      <c r="F469" s="212">
        <v>6356</v>
      </c>
      <c r="G469" s="212" t="s">
        <v>1847</v>
      </c>
      <c r="H469" s="212" t="s">
        <v>1827</v>
      </c>
      <c r="I469" s="212" t="s">
        <v>1137</v>
      </c>
      <c r="J469" s="212" t="s">
        <v>1728</v>
      </c>
      <c r="K469" s="227" t="s">
        <v>269</v>
      </c>
      <c r="L469" s="227" t="s">
        <v>1725</v>
      </c>
      <c r="M469" t="s">
        <v>1738</v>
      </c>
      <c r="N469" s="211">
        <v>-15.67</v>
      </c>
      <c r="O469" s="211">
        <v>-15.7</v>
      </c>
      <c r="P469" s="211">
        <v>9.1999999999999993</v>
      </c>
      <c r="S469" s="211">
        <v>2.8</v>
      </c>
    </row>
    <row r="470" spans="1:21" ht="19">
      <c r="A470" s="212" t="s">
        <v>273</v>
      </c>
      <c r="B470" s="212" t="s">
        <v>76</v>
      </c>
      <c r="C470" s="233" t="s">
        <v>344</v>
      </c>
      <c r="D470" s="234" t="s">
        <v>345</v>
      </c>
      <c r="E470" s="212">
        <v>908</v>
      </c>
      <c r="F470" s="212">
        <v>3476</v>
      </c>
      <c r="G470" s="212" t="s">
        <v>1847</v>
      </c>
      <c r="H470" s="212" t="s">
        <v>1827</v>
      </c>
      <c r="I470" s="212" t="s">
        <v>250</v>
      </c>
      <c r="J470" s="212" t="s">
        <v>225</v>
      </c>
      <c r="K470" s="227" t="s">
        <v>269</v>
      </c>
      <c r="L470" s="227" t="s">
        <v>1725</v>
      </c>
      <c r="M470" t="s">
        <v>1738</v>
      </c>
      <c r="N470" s="211">
        <v>-17.399999999999999</v>
      </c>
      <c r="O470" s="211" t="s">
        <v>1731</v>
      </c>
      <c r="P470" s="211">
        <v>10</v>
      </c>
      <c r="S470" s="211">
        <v>4.8</v>
      </c>
    </row>
    <row r="471" spans="1:21" ht="19">
      <c r="A471" s="212" t="s">
        <v>273</v>
      </c>
      <c r="B471" s="212" t="s">
        <v>76</v>
      </c>
      <c r="C471" s="233" t="s">
        <v>344</v>
      </c>
      <c r="D471" s="234" t="s">
        <v>345</v>
      </c>
      <c r="E471" s="212">
        <v>40449</v>
      </c>
      <c r="F471" s="212">
        <v>101</v>
      </c>
      <c r="G471" s="212" t="s">
        <v>1827</v>
      </c>
      <c r="H471" s="212" t="s">
        <v>1827</v>
      </c>
      <c r="I471" s="212" t="s">
        <v>1814</v>
      </c>
      <c r="J471" s="212" t="s">
        <v>225</v>
      </c>
      <c r="K471" s="227" t="s">
        <v>269</v>
      </c>
      <c r="L471" s="227" t="s">
        <v>1725</v>
      </c>
      <c r="M471" t="s">
        <v>1738</v>
      </c>
      <c r="N471" s="211" t="s">
        <v>463</v>
      </c>
      <c r="O471" s="211" t="s">
        <v>1731</v>
      </c>
      <c r="P471" s="211" t="s">
        <v>463</v>
      </c>
      <c r="S471" s="211" t="s">
        <v>1731</v>
      </c>
    </row>
    <row r="472" spans="1:21" s="204" customFormat="1" ht="19">
      <c r="A472" s="212" t="s">
        <v>273</v>
      </c>
      <c r="B472" s="212" t="s">
        <v>76</v>
      </c>
      <c r="C472" s="233" t="s">
        <v>524</v>
      </c>
      <c r="D472" s="234" t="s">
        <v>525</v>
      </c>
      <c r="E472" s="212">
        <v>908</v>
      </c>
      <c r="F472" s="212">
        <v>2418</v>
      </c>
      <c r="G472" s="212" t="s">
        <v>1827</v>
      </c>
      <c r="H472" s="212" t="s">
        <v>1827</v>
      </c>
      <c r="I472" s="212" t="s">
        <v>250</v>
      </c>
      <c r="J472" s="212" t="s">
        <v>104</v>
      </c>
      <c r="K472" s="227" t="s">
        <v>269</v>
      </c>
      <c r="L472" s="227" t="s">
        <v>1729</v>
      </c>
      <c r="M472" s="210" t="s">
        <v>1829</v>
      </c>
      <c r="N472" s="211">
        <v>-4.53</v>
      </c>
      <c r="O472" s="211">
        <v>-8.9469999999999992</v>
      </c>
      <c r="P472" s="211" t="s">
        <v>487</v>
      </c>
      <c r="Q472" s="211"/>
      <c r="R472" s="211">
        <v>0.4</v>
      </c>
      <c r="S472" s="211" t="s">
        <v>1731</v>
      </c>
      <c r="T472" s="212"/>
      <c r="U472" s="212"/>
    </row>
    <row r="473" spans="1:21" ht="19">
      <c r="A473" s="212" t="s">
        <v>273</v>
      </c>
      <c r="B473" s="212" t="s">
        <v>76</v>
      </c>
      <c r="C473" s="233" t="s">
        <v>524</v>
      </c>
      <c r="D473" s="234" t="s">
        <v>525</v>
      </c>
      <c r="E473" s="212">
        <v>30967</v>
      </c>
      <c r="F473" s="212">
        <v>1613</v>
      </c>
      <c r="G473" s="212" t="s">
        <v>1827</v>
      </c>
      <c r="H473" s="212" t="s">
        <v>1827</v>
      </c>
      <c r="I473" s="212" t="s">
        <v>110</v>
      </c>
      <c r="J473" s="212" t="s">
        <v>104</v>
      </c>
      <c r="K473" s="227" t="s">
        <v>269</v>
      </c>
      <c r="L473" s="227" t="s">
        <v>1729</v>
      </c>
      <c r="M473" t="s">
        <v>1829</v>
      </c>
      <c r="N473" s="211">
        <v>-8.32</v>
      </c>
      <c r="O473" s="211">
        <v>-12.737</v>
      </c>
      <c r="P473" s="211" t="s">
        <v>487</v>
      </c>
      <c r="Q473" s="211">
        <v>29.3</v>
      </c>
      <c r="R473" s="211">
        <v>-1.5</v>
      </c>
      <c r="S473" s="211" t="s">
        <v>1731</v>
      </c>
    </row>
    <row r="474" spans="1:21" ht="19">
      <c r="A474" s="212" t="s">
        <v>273</v>
      </c>
      <c r="B474" s="212" t="s">
        <v>76</v>
      </c>
      <c r="C474" s="233" t="s">
        <v>524</v>
      </c>
      <c r="D474" s="234" t="s">
        <v>527</v>
      </c>
      <c r="E474" s="212">
        <v>41229</v>
      </c>
      <c r="F474" s="212">
        <v>900</v>
      </c>
      <c r="G474" s="212" t="s">
        <v>1827</v>
      </c>
      <c r="H474" s="212" t="s">
        <v>1827</v>
      </c>
      <c r="I474" s="212" t="s">
        <v>1137</v>
      </c>
      <c r="J474" s="212" t="s">
        <v>225</v>
      </c>
      <c r="K474" s="227" t="s">
        <v>269</v>
      </c>
      <c r="L474" s="227" t="s">
        <v>1725</v>
      </c>
      <c r="M474" t="s">
        <v>205</v>
      </c>
      <c r="N474" s="211">
        <v>-10.3</v>
      </c>
      <c r="O474" s="211">
        <v>-10.3</v>
      </c>
      <c r="P474" s="211">
        <v>13.6</v>
      </c>
      <c r="S474" s="211">
        <v>2.8</v>
      </c>
    </row>
    <row r="475" spans="1:21" ht="19">
      <c r="A475" s="212" t="s">
        <v>273</v>
      </c>
      <c r="B475" s="212" t="s">
        <v>76</v>
      </c>
      <c r="C475" s="233" t="s">
        <v>524</v>
      </c>
      <c r="D475" s="234" t="s">
        <v>527</v>
      </c>
      <c r="E475" s="212">
        <v>41229</v>
      </c>
      <c r="F475" s="212">
        <v>3537</v>
      </c>
      <c r="G475" s="212" t="s">
        <v>1827</v>
      </c>
      <c r="H475" s="212" t="s">
        <v>1827</v>
      </c>
      <c r="I475" s="212" t="s">
        <v>1137</v>
      </c>
      <c r="J475" s="212" t="s">
        <v>104</v>
      </c>
      <c r="K475" s="227" t="s">
        <v>269</v>
      </c>
      <c r="L475" s="227" t="s">
        <v>1725</v>
      </c>
      <c r="M475" t="s">
        <v>1839</v>
      </c>
      <c r="N475" s="211">
        <v>-14</v>
      </c>
      <c r="O475" s="211">
        <v>-14</v>
      </c>
      <c r="P475" s="211">
        <v>12.7</v>
      </c>
      <c r="S475" s="211">
        <v>2.9</v>
      </c>
    </row>
    <row r="476" spans="1:21" ht="19">
      <c r="A476" s="212" t="s">
        <v>273</v>
      </c>
      <c r="B476" s="212" t="s">
        <v>76</v>
      </c>
      <c r="C476" s="233" t="s">
        <v>524</v>
      </c>
      <c r="D476" s="234" t="s">
        <v>527</v>
      </c>
      <c r="E476" s="212">
        <v>41229</v>
      </c>
      <c r="F476" s="212">
        <v>10797</v>
      </c>
      <c r="G476" s="212" t="s">
        <v>1827</v>
      </c>
      <c r="H476" s="212" t="s">
        <v>1827</v>
      </c>
      <c r="I476" s="212" t="s">
        <v>1137</v>
      </c>
      <c r="J476" s="212" t="s">
        <v>1728</v>
      </c>
      <c r="K476" s="227" t="s">
        <v>269</v>
      </c>
      <c r="L476" s="227" t="s">
        <v>1725</v>
      </c>
      <c r="M476" t="s">
        <v>1118</v>
      </c>
      <c r="N476" s="211">
        <v>-10.31</v>
      </c>
      <c r="O476" s="211">
        <v>-10.3</v>
      </c>
      <c r="P476" s="211">
        <v>12.8</v>
      </c>
      <c r="S476" s="211">
        <v>2.9</v>
      </c>
    </row>
    <row r="477" spans="1:21" ht="19">
      <c r="A477" s="212" t="s">
        <v>273</v>
      </c>
      <c r="B477" s="212" t="s">
        <v>76</v>
      </c>
      <c r="C477" s="233" t="s">
        <v>524</v>
      </c>
      <c r="D477" s="234" t="s">
        <v>527</v>
      </c>
      <c r="E477" s="212">
        <v>41229</v>
      </c>
      <c r="F477" s="212">
        <v>10799</v>
      </c>
      <c r="G477" s="212" t="s">
        <v>1827</v>
      </c>
      <c r="H477" s="212" t="s">
        <v>1827</v>
      </c>
      <c r="I477" s="212" t="s">
        <v>1137</v>
      </c>
      <c r="J477" s="212" t="s">
        <v>225</v>
      </c>
      <c r="K477" s="227" t="s">
        <v>269</v>
      </c>
      <c r="L477" s="227" t="s">
        <v>1725</v>
      </c>
      <c r="M477" t="s">
        <v>1756</v>
      </c>
      <c r="N477" s="211">
        <v>-10.1</v>
      </c>
      <c r="O477" s="211">
        <v>-10.1</v>
      </c>
      <c r="P477" s="211">
        <v>13</v>
      </c>
      <c r="S477" s="211">
        <v>2.9</v>
      </c>
    </row>
    <row r="478" spans="1:21" ht="19">
      <c r="A478" s="212" t="s">
        <v>273</v>
      </c>
      <c r="B478" s="212" t="s">
        <v>76</v>
      </c>
      <c r="C478" s="233" t="s">
        <v>524</v>
      </c>
      <c r="D478" s="234" t="s">
        <v>527</v>
      </c>
      <c r="E478" s="212">
        <v>41229</v>
      </c>
      <c r="F478" s="212">
        <v>10866</v>
      </c>
      <c r="G478" s="212" t="s">
        <v>1827</v>
      </c>
      <c r="H478" s="212" t="s">
        <v>1827</v>
      </c>
      <c r="I478" s="212" t="s">
        <v>1137</v>
      </c>
      <c r="J478" s="212" t="s">
        <v>104</v>
      </c>
      <c r="K478" s="227" t="s">
        <v>269</v>
      </c>
      <c r="L478" s="227" t="s">
        <v>1725</v>
      </c>
      <c r="M478" t="s">
        <v>1763</v>
      </c>
      <c r="N478" s="211">
        <v>-17.73</v>
      </c>
      <c r="O478" s="211">
        <v>-17.7</v>
      </c>
      <c r="P478" s="211">
        <v>12.5</v>
      </c>
      <c r="S478" s="211">
        <v>2.8</v>
      </c>
    </row>
    <row r="479" spans="1:21" ht="19">
      <c r="A479" s="212" t="s">
        <v>273</v>
      </c>
      <c r="B479" s="212" t="s">
        <v>76</v>
      </c>
      <c r="C479" s="233" t="s">
        <v>524</v>
      </c>
      <c r="D479" s="234" t="s">
        <v>527</v>
      </c>
      <c r="E479" s="212">
        <v>41229</v>
      </c>
      <c r="F479" s="212">
        <v>10875</v>
      </c>
      <c r="G479" s="212" t="s">
        <v>1827</v>
      </c>
      <c r="H479" s="212" t="s">
        <v>1827</v>
      </c>
      <c r="I479" s="212" t="s">
        <v>1137</v>
      </c>
      <c r="J479" s="212" t="s">
        <v>104</v>
      </c>
      <c r="K479" s="227" t="s">
        <v>269</v>
      </c>
      <c r="L479" s="227" t="s">
        <v>1725</v>
      </c>
      <c r="M479" t="s">
        <v>1748</v>
      </c>
      <c r="N479" s="211">
        <v>-14.2</v>
      </c>
      <c r="O479" s="211">
        <v>-14.2</v>
      </c>
      <c r="P479" s="211">
        <v>11.1</v>
      </c>
      <c r="S479" s="211">
        <v>2.8</v>
      </c>
    </row>
    <row r="480" spans="1:21" ht="19">
      <c r="A480" s="212" t="s">
        <v>273</v>
      </c>
      <c r="B480" s="212" t="s">
        <v>76</v>
      </c>
      <c r="C480" s="233" t="s">
        <v>524</v>
      </c>
      <c r="D480" s="234" t="s">
        <v>527</v>
      </c>
      <c r="E480" s="212">
        <v>41229</v>
      </c>
      <c r="F480" s="212">
        <v>10905</v>
      </c>
      <c r="G480" s="212" t="s">
        <v>1827</v>
      </c>
      <c r="H480" s="212" t="s">
        <v>1827</v>
      </c>
      <c r="I480" s="212" t="s">
        <v>1137</v>
      </c>
      <c r="J480" s="212" t="s">
        <v>225</v>
      </c>
      <c r="K480" s="227" t="s">
        <v>269</v>
      </c>
      <c r="L480" s="227" t="s">
        <v>1725</v>
      </c>
      <c r="M480" t="s">
        <v>1846</v>
      </c>
      <c r="N480" s="211">
        <v>-10.7</v>
      </c>
      <c r="O480" s="211">
        <v>-10.7</v>
      </c>
      <c r="P480" s="211">
        <v>13.1</v>
      </c>
      <c r="S480" s="211">
        <v>2.9</v>
      </c>
    </row>
    <row r="481" spans="1:21">
      <c r="A481" s="212" t="s">
        <v>273</v>
      </c>
      <c r="B481" s="212" t="s">
        <v>76</v>
      </c>
      <c r="C481" s="233" t="s">
        <v>524</v>
      </c>
      <c r="D481" s="233" t="s">
        <v>527</v>
      </c>
      <c r="E481" s="212">
        <v>43407</v>
      </c>
      <c r="F481" s="212">
        <v>31</v>
      </c>
      <c r="G481" s="212" t="s">
        <v>1827</v>
      </c>
      <c r="H481" s="212" t="s">
        <v>1827</v>
      </c>
      <c r="I481" s="212" t="s">
        <v>682</v>
      </c>
      <c r="J481" s="212" t="s">
        <v>104</v>
      </c>
      <c r="K481" s="227" t="s">
        <v>269</v>
      </c>
      <c r="L481" s="227" t="s">
        <v>1729</v>
      </c>
      <c r="M481" t="s">
        <v>1739</v>
      </c>
      <c r="N481" s="211">
        <v>-12.04</v>
      </c>
      <c r="O481" s="211">
        <v>-16.457000000000001</v>
      </c>
      <c r="P481" s="211" t="s">
        <v>487</v>
      </c>
      <c r="Q481" s="211">
        <v>27.3</v>
      </c>
      <c r="R481" s="211">
        <v>-3.4</v>
      </c>
      <c r="S481" s="211" t="s">
        <v>1731</v>
      </c>
    </row>
    <row r="482" spans="1:21" ht="19">
      <c r="A482" s="212" t="s">
        <v>273</v>
      </c>
      <c r="B482" s="212" t="s">
        <v>76</v>
      </c>
      <c r="C482" s="233" t="s">
        <v>524</v>
      </c>
      <c r="D482" s="234" t="s">
        <v>527</v>
      </c>
      <c r="E482" s="212">
        <v>40673</v>
      </c>
      <c r="F482" s="212">
        <v>52</v>
      </c>
      <c r="G482" s="212" t="s">
        <v>1827</v>
      </c>
      <c r="H482" s="212" t="s">
        <v>1827</v>
      </c>
      <c r="I482" s="212" t="s">
        <v>1858</v>
      </c>
      <c r="J482" s="212" t="s">
        <v>104</v>
      </c>
      <c r="K482" s="227" t="s">
        <v>269</v>
      </c>
      <c r="L482" s="227" t="s">
        <v>1725</v>
      </c>
      <c r="M482" t="s">
        <v>1859</v>
      </c>
      <c r="N482" s="211" t="s">
        <v>463</v>
      </c>
      <c r="O482" s="211" t="s">
        <v>1731</v>
      </c>
      <c r="P482" s="211" t="s">
        <v>463</v>
      </c>
      <c r="S482" s="211" t="s">
        <v>1731</v>
      </c>
    </row>
    <row r="483" spans="1:21" ht="19">
      <c r="A483" s="212" t="s">
        <v>273</v>
      </c>
      <c r="B483" s="212" t="s">
        <v>76</v>
      </c>
      <c r="C483" s="233" t="s">
        <v>529</v>
      </c>
      <c r="D483" s="234" t="s">
        <v>530</v>
      </c>
      <c r="E483" s="212">
        <v>908</v>
      </c>
      <c r="F483" s="212">
        <v>2181</v>
      </c>
      <c r="G483" s="212" t="s">
        <v>1847</v>
      </c>
      <c r="H483" s="212" t="s">
        <v>1827</v>
      </c>
      <c r="I483" s="212" t="s">
        <v>250</v>
      </c>
      <c r="J483" s="212" t="s">
        <v>225</v>
      </c>
      <c r="K483" s="227" t="s">
        <v>269</v>
      </c>
      <c r="L483" s="227" t="s">
        <v>1725</v>
      </c>
      <c r="M483" t="s">
        <v>1837</v>
      </c>
      <c r="N483" s="211">
        <v>-18.2</v>
      </c>
      <c r="O483" s="211">
        <v>-18.2</v>
      </c>
      <c r="P483" s="211">
        <v>8.1999999999999993</v>
      </c>
      <c r="S483" s="211">
        <v>2.8</v>
      </c>
    </row>
    <row r="484" spans="1:21" ht="19">
      <c r="A484" s="212" t="s">
        <v>273</v>
      </c>
      <c r="B484" s="212" t="s">
        <v>76</v>
      </c>
      <c r="C484" s="233" t="s">
        <v>529</v>
      </c>
      <c r="D484" s="234" t="s">
        <v>530</v>
      </c>
      <c r="E484" s="212">
        <v>908</v>
      </c>
      <c r="F484" s="212">
        <v>2254</v>
      </c>
      <c r="G484" s="212" t="s">
        <v>1847</v>
      </c>
      <c r="H484" s="212" t="s">
        <v>1827</v>
      </c>
      <c r="I484" s="212" t="s">
        <v>250</v>
      </c>
      <c r="J484" s="212" t="s">
        <v>225</v>
      </c>
      <c r="K484" s="227" t="s">
        <v>269</v>
      </c>
      <c r="L484" s="227" t="s">
        <v>1725</v>
      </c>
      <c r="M484" t="s">
        <v>1860</v>
      </c>
      <c r="N484" s="211">
        <v>-20.6</v>
      </c>
      <c r="O484" s="211">
        <v>-20.6</v>
      </c>
      <c r="P484" s="211">
        <v>7.2</v>
      </c>
      <c r="S484" s="211">
        <v>3.2</v>
      </c>
    </row>
    <row r="485" spans="1:21" ht="19">
      <c r="A485" s="212" t="s">
        <v>273</v>
      </c>
      <c r="B485" s="212" t="s">
        <v>76</v>
      </c>
      <c r="C485" s="233" t="s">
        <v>529</v>
      </c>
      <c r="D485" s="234" t="s">
        <v>530</v>
      </c>
      <c r="E485" s="212">
        <v>41229</v>
      </c>
      <c r="F485" s="212">
        <v>10800</v>
      </c>
      <c r="G485" s="212" t="s">
        <v>1847</v>
      </c>
      <c r="H485" s="212" t="s">
        <v>1827</v>
      </c>
      <c r="I485" s="212" t="s">
        <v>1137</v>
      </c>
      <c r="J485" s="212" t="s">
        <v>1728</v>
      </c>
      <c r="K485" s="227" t="s">
        <v>269</v>
      </c>
      <c r="L485" s="227" t="s">
        <v>1725</v>
      </c>
      <c r="M485" t="s">
        <v>1118</v>
      </c>
      <c r="N485" s="211">
        <v>-11.11</v>
      </c>
      <c r="O485" s="211">
        <v>-11.1</v>
      </c>
      <c r="P485" s="211">
        <v>10.8</v>
      </c>
      <c r="S485" s="211">
        <v>2.9</v>
      </c>
    </row>
    <row r="486" spans="1:21" ht="19">
      <c r="A486" s="212" t="s">
        <v>273</v>
      </c>
      <c r="B486" s="212" t="s">
        <v>76</v>
      </c>
      <c r="C486" s="233" t="s">
        <v>529</v>
      </c>
      <c r="D486" s="234" t="s">
        <v>530</v>
      </c>
      <c r="E486" s="212">
        <v>41229</v>
      </c>
      <c r="F486" s="212">
        <v>11704</v>
      </c>
      <c r="G486" s="212" t="s">
        <v>1847</v>
      </c>
      <c r="H486" s="212" t="s">
        <v>1827</v>
      </c>
      <c r="I486" s="212" t="s">
        <v>1137</v>
      </c>
      <c r="J486" s="212" t="s">
        <v>1728</v>
      </c>
      <c r="K486" s="227" t="s">
        <v>269</v>
      </c>
      <c r="L486" s="227" t="s">
        <v>1725</v>
      </c>
      <c r="M486" t="s">
        <v>1738</v>
      </c>
      <c r="N486" s="211">
        <v>-12.96</v>
      </c>
      <c r="O486" s="211">
        <v>-13</v>
      </c>
      <c r="P486" s="211">
        <v>10.7</v>
      </c>
      <c r="S486" s="211">
        <v>2.8</v>
      </c>
    </row>
    <row r="487" spans="1:21" ht="19">
      <c r="A487" s="212" t="s">
        <v>273</v>
      </c>
      <c r="B487" s="212" t="s">
        <v>76</v>
      </c>
      <c r="C487" s="233" t="s">
        <v>529</v>
      </c>
      <c r="D487" s="234" t="s">
        <v>530</v>
      </c>
      <c r="E487" s="212">
        <v>41229</v>
      </c>
      <c r="F487" s="212">
        <v>15780</v>
      </c>
      <c r="G487" s="212" t="s">
        <v>1847</v>
      </c>
      <c r="H487" s="212" t="s">
        <v>1827</v>
      </c>
      <c r="I487" s="212" t="s">
        <v>1137</v>
      </c>
      <c r="J487" s="212" t="s">
        <v>225</v>
      </c>
      <c r="K487" s="227" t="s">
        <v>269</v>
      </c>
      <c r="L487" s="227" t="s">
        <v>1725</v>
      </c>
      <c r="M487" t="s">
        <v>1738</v>
      </c>
      <c r="N487" s="211">
        <v>-16.7</v>
      </c>
      <c r="O487" s="211">
        <v>-16.7</v>
      </c>
      <c r="P487" s="211">
        <v>8.6</v>
      </c>
      <c r="S487" s="211">
        <v>2.9</v>
      </c>
    </row>
    <row r="488" spans="1:21">
      <c r="A488" s="212" t="s">
        <v>273</v>
      </c>
      <c r="B488" s="212" t="s">
        <v>76</v>
      </c>
      <c r="C488" s="233" t="s">
        <v>1861</v>
      </c>
      <c r="D488" s="233" t="s">
        <v>1862</v>
      </c>
      <c r="E488" s="212">
        <v>40449</v>
      </c>
      <c r="F488" s="212">
        <v>149</v>
      </c>
      <c r="G488" s="212" t="s">
        <v>1827</v>
      </c>
      <c r="H488" s="212" t="s">
        <v>1827</v>
      </c>
      <c r="I488" s="212" t="s">
        <v>1814</v>
      </c>
      <c r="J488" s="212" t="s">
        <v>225</v>
      </c>
      <c r="K488" s="227" t="s">
        <v>269</v>
      </c>
      <c r="L488" s="227" t="s">
        <v>1725</v>
      </c>
      <c r="M488" t="s">
        <v>1786</v>
      </c>
      <c r="N488" s="211" t="s">
        <v>463</v>
      </c>
      <c r="O488" s="211" t="s">
        <v>1731</v>
      </c>
      <c r="P488" s="211" t="s">
        <v>463</v>
      </c>
      <c r="S488" s="211">
        <v>26.96</v>
      </c>
      <c r="U488" s="212" t="s">
        <v>1743</v>
      </c>
    </row>
    <row r="489" spans="1:21" ht="19">
      <c r="A489" s="212" t="s">
        <v>273</v>
      </c>
      <c r="B489" s="212" t="s">
        <v>76</v>
      </c>
      <c r="C489" s="233" t="s">
        <v>95</v>
      </c>
      <c r="D489" s="234" t="s">
        <v>96</v>
      </c>
      <c r="E489" s="212">
        <v>933</v>
      </c>
      <c r="F489" s="212">
        <v>2688</v>
      </c>
      <c r="G489" s="212" t="s">
        <v>1827</v>
      </c>
      <c r="H489" s="212" t="s">
        <v>1827</v>
      </c>
      <c r="I489" s="212" t="s">
        <v>249</v>
      </c>
      <c r="J489" s="212" t="s">
        <v>104</v>
      </c>
      <c r="K489" s="227" t="s">
        <v>269</v>
      </c>
      <c r="L489" s="227" t="s">
        <v>1729</v>
      </c>
      <c r="M489" s="203" t="s">
        <v>1829</v>
      </c>
      <c r="N489" s="211">
        <v>-3.97</v>
      </c>
      <c r="O489" s="211">
        <v>-8.3870000000000005</v>
      </c>
      <c r="P489" s="211" t="s">
        <v>487</v>
      </c>
      <c r="R489" s="211">
        <v>-3.2</v>
      </c>
      <c r="S489" s="211" t="s">
        <v>1731</v>
      </c>
    </row>
    <row r="490" spans="1:21" ht="19">
      <c r="A490" s="212" t="s">
        <v>273</v>
      </c>
      <c r="B490" s="212" t="s">
        <v>76</v>
      </c>
      <c r="C490" s="233" t="s">
        <v>95</v>
      </c>
      <c r="D490" s="234" t="s">
        <v>96</v>
      </c>
      <c r="E490" s="212">
        <v>933</v>
      </c>
      <c r="F490" s="212">
        <v>2690</v>
      </c>
      <c r="G490" s="212" t="s">
        <v>1827</v>
      </c>
      <c r="H490" s="212" t="s">
        <v>1827</v>
      </c>
      <c r="I490" s="212" t="s">
        <v>249</v>
      </c>
      <c r="J490" s="212" t="s">
        <v>104</v>
      </c>
      <c r="K490" s="227" t="s">
        <v>269</v>
      </c>
      <c r="L490" s="227" t="s">
        <v>1729</v>
      </c>
      <c r="M490" t="s">
        <v>1746</v>
      </c>
      <c r="N490" s="211">
        <v>-2.37</v>
      </c>
      <c r="O490" s="211">
        <v>-6.7869999999999999</v>
      </c>
      <c r="P490" s="211" t="s">
        <v>487</v>
      </c>
      <c r="Q490" s="211">
        <v>30.2</v>
      </c>
      <c r="R490" s="211">
        <v>-0.6</v>
      </c>
      <c r="S490" s="211" t="s">
        <v>1731</v>
      </c>
    </row>
    <row r="491" spans="1:21">
      <c r="A491" s="212" t="s">
        <v>273</v>
      </c>
      <c r="B491" s="212" t="s">
        <v>76</v>
      </c>
      <c r="C491" s="233" t="s">
        <v>95</v>
      </c>
      <c r="D491" s="233" t="s">
        <v>96</v>
      </c>
      <c r="E491" s="212">
        <v>933</v>
      </c>
      <c r="F491" s="212">
        <v>3956</v>
      </c>
      <c r="G491" s="212" t="s">
        <v>1827</v>
      </c>
      <c r="H491" s="212" t="s">
        <v>1827</v>
      </c>
      <c r="I491" s="212" t="s">
        <v>249</v>
      </c>
      <c r="J491" s="212" t="s">
        <v>104</v>
      </c>
      <c r="K491" s="227" t="s">
        <v>269</v>
      </c>
      <c r="L491" s="227" t="s">
        <v>1729</v>
      </c>
      <c r="M491" t="s">
        <v>1746</v>
      </c>
      <c r="N491" s="211">
        <v>-10</v>
      </c>
      <c r="O491" s="211">
        <v>-14.417</v>
      </c>
      <c r="P491" s="211" t="s">
        <v>487</v>
      </c>
      <c r="Q491" s="211">
        <v>27.1</v>
      </c>
      <c r="R491" s="211">
        <v>-3.7</v>
      </c>
      <c r="S491" s="211" t="s">
        <v>1731</v>
      </c>
    </row>
    <row r="492" spans="1:21">
      <c r="A492" s="212" t="s">
        <v>273</v>
      </c>
      <c r="B492" s="212" t="s">
        <v>76</v>
      </c>
      <c r="C492" s="233" t="s">
        <v>95</v>
      </c>
      <c r="D492" s="233" t="s">
        <v>96</v>
      </c>
      <c r="E492" s="212">
        <v>933</v>
      </c>
      <c r="F492" s="212">
        <v>5704</v>
      </c>
      <c r="G492" s="212" t="s">
        <v>1827</v>
      </c>
      <c r="H492" s="212" t="s">
        <v>1827</v>
      </c>
      <c r="I492" s="212" t="s">
        <v>249</v>
      </c>
      <c r="J492" s="212" t="s">
        <v>104</v>
      </c>
      <c r="K492" s="227" t="s">
        <v>269</v>
      </c>
      <c r="L492" s="227" t="s">
        <v>1725</v>
      </c>
      <c r="M492" t="s">
        <v>1761</v>
      </c>
      <c r="N492" s="211">
        <v>-8.8000000000000007</v>
      </c>
      <c r="O492" s="211">
        <v>-8.8000000000000007</v>
      </c>
      <c r="P492" s="211">
        <v>13.5</v>
      </c>
      <c r="S492" s="211">
        <v>3.1</v>
      </c>
    </row>
    <row r="493" spans="1:21">
      <c r="A493" s="212" t="s">
        <v>273</v>
      </c>
      <c r="B493" s="212" t="s">
        <v>76</v>
      </c>
      <c r="C493" s="233" t="s">
        <v>95</v>
      </c>
      <c r="D493" s="233" t="s">
        <v>96</v>
      </c>
      <c r="E493" s="212">
        <v>30967</v>
      </c>
      <c r="F493" s="212">
        <v>1034</v>
      </c>
      <c r="G493" s="212" t="s">
        <v>1827</v>
      </c>
      <c r="H493" s="212" t="s">
        <v>1827</v>
      </c>
      <c r="I493" s="212" t="s">
        <v>110</v>
      </c>
      <c r="J493" s="212" t="s">
        <v>104</v>
      </c>
      <c r="K493" s="227" t="s">
        <v>269</v>
      </c>
      <c r="L493" s="227" t="s">
        <v>1729</v>
      </c>
      <c r="M493" t="s">
        <v>1829</v>
      </c>
      <c r="N493" s="211">
        <v>-5.77</v>
      </c>
      <c r="O493" s="211">
        <v>-10.186999999999999</v>
      </c>
      <c r="P493" s="211" t="s">
        <v>487</v>
      </c>
      <c r="R493" s="211">
        <v>-3.3</v>
      </c>
      <c r="S493" s="211" t="s">
        <v>1731</v>
      </c>
    </row>
    <row r="494" spans="1:21">
      <c r="A494" s="212" t="s">
        <v>273</v>
      </c>
      <c r="B494" s="212" t="s">
        <v>76</v>
      </c>
      <c r="C494" s="233" t="s">
        <v>95</v>
      </c>
      <c r="D494" s="233" t="s">
        <v>96</v>
      </c>
      <c r="E494" s="212">
        <v>933</v>
      </c>
      <c r="F494" s="212">
        <v>2691</v>
      </c>
      <c r="G494" s="212" t="s">
        <v>1827</v>
      </c>
      <c r="H494" s="212" t="s">
        <v>1827</v>
      </c>
      <c r="I494" s="212" t="s">
        <v>249</v>
      </c>
      <c r="J494" s="212" t="s">
        <v>104</v>
      </c>
      <c r="K494" s="227" t="s">
        <v>269</v>
      </c>
      <c r="L494" s="227" t="s">
        <v>1725</v>
      </c>
      <c r="M494" t="s">
        <v>1785</v>
      </c>
      <c r="N494" s="211">
        <v>-27.6</v>
      </c>
      <c r="O494" s="211" t="s">
        <v>1731</v>
      </c>
      <c r="P494" s="211" t="s">
        <v>463</v>
      </c>
      <c r="S494" s="211" t="s">
        <v>1731</v>
      </c>
    </row>
    <row r="495" spans="1:21">
      <c r="A495" s="212" t="s">
        <v>273</v>
      </c>
      <c r="B495" s="212" t="s">
        <v>76</v>
      </c>
      <c r="C495" s="233" t="s">
        <v>95</v>
      </c>
      <c r="D495" s="233" t="s">
        <v>96</v>
      </c>
      <c r="E495" s="212">
        <v>933</v>
      </c>
      <c r="F495" s="212">
        <v>3955</v>
      </c>
      <c r="G495" s="212" t="s">
        <v>1827</v>
      </c>
      <c r="H495" s="212" t="s">
        <v>1827</v>
      </c>
      <c r="I495" s="212" t="s">
        <v>249</v>
      </c>
      <c r="J495" s="212" t="s">
        <v>104</v>
      </c>
      <c r="K495" s="227" t="s">
        <v>269</v>
      </c>
      <c r="L495" s="227" t="s">
        <v>1725</v>
      </c>
      <c r="M495" t="s">
        <v>1754</v>
      </c>
      <c r="N495" s="211">
        <v>-18.600000000000001</v>
      </c>
      <c r="O495" s="211">
        <v>-18.600000000000001</v>
      </c>
      <c r="P495" s="211">
        <v>11.5</v>
      </c>
      <c r="S495" s="211">
        <v>3.7</v>
      </c>
    </row>
    <row r="496" spans="1:21">
      <c r="A496" s="212" t="s">
        <v>273</v>
      </c>
      <c r="B496" s="212" t="s">
        <v>76</v>
      </c>
      <c r="C496" s="233" t="s">
        <v>95</v>
      </c>
      <c r="D496" s="233" t="s">
        <v>96</v>
      </c>
      <c r="E496" s="212">
        <v>933</v>
      </c>
      <c r="F496" s="212">
        <v>2206</v>
      </c>
      <c r="G496" s="212" t="s">
        <v>1827</v>
      </c>
      <c r="H496" s="212" t="s">
        <v>1827</v>
      </c>
      <c r="I496" s="212" t="s">
        <v>249</v>
      </c>
      <c r="J496" s="212" t="s">
        <v>104</v>
      </c>
      <c r="K496" s="227" t="s">
        <v>269</v>
      </c>
      <c r="L496" s="227" t="s">
        <v>1725</v>
      </c>
      <c r="M496" t="s">
        <v>1761</v>
      </c>
      <c r="N496" s="211" t="s">
        <v>463</v>
      </c>
      <c r="O496" s="211" t="s">
        <v>1731</v>
      </c>
      <c r="P496" s="211" t="s">
        <v>463</v>
      </c>
      <c r="S496" s="211" t="s">
        <v>1731</v>
      </c>
    </row>
    <row r="497" spans="1:19" ht="19">
      <c r="A497" s="212" t="s">
        <v>273</v>
      </c>
      <c r="B497" s="212" t="s">
        <v>76</v>
      </c>
      <c r="C497" s="233" t="s">
        <v>95</v>
      </c>
      <c r="D497" s="234" t="s">
        <v>96</v>
      </c>
      <c r="E497" s="212">
        <v>933</v>
      </c>
      <c r="F497" s="212">
        <v>2506</v>
      </c>
      <c r="G497" s="212" t="s">
        <v>1827</v>
      </c>
      <c r="H497" s="212" t="s">
        <v>1827</v>
      </c>
      <c r="I497" s="212" t="s">
        <v>249</v>
      </c>
      <c r="J497" s="212" t="s">
        <v>104</v>
      </c>
      <c r="K497" s="227" t="s">
        <v>269</v>
      </c>
      <c r="L497" s="227" t="s">
        <v>1725</v>
      </c>
      <c r="M497" t="s">
        <v>1761</v>
      </c>
      <c r="N497" s="211" t="s">
        <v>463</v>
      </c>
      <c r="O497" s="211" t="s">
        <v>1731</v>
      </c>
      <c r="P497" s="211" t="s">
        <v>463</v>
      </c>
      <c r="S497" s="211" t="s">
        <v>1731</v>
      </c>
    </row>
    <row r="498" spans="1:19" ht="19">
      <c r="A498" s="212" t="s">
        <v>273</v>
      </c>
      <c r="B498" s="212" t="s">
        <v>76</v>
      </c>
      <c r="C498" s="233" t="s">
        <v>95</v>
      </c>
      <c r="D498" s="234" t="s">
        <v>96</v>
      </c>
      <c r="E498" s="212">
        <v>933</v>
      </c>
      <c r="F498" s="212">
        <v>3339</v>
      </c>
      <c r="G498" s="212" t="s">
        <v>1827</v>
      </c>
      <c r="H498" s="212" t="s">
        <v>1827</v>
      </c>
      <c r="I498" s="212" t="s">
        <v>249</v>
      </c>
      <c r="J498" s="212" t="s">
        <v>104</v>
      </c>
      <c r="K498" s="227" t="s">
        <v>269</v>
      </c>
      <c r="L498" s="227" t="s">
        <v>1725</v>
      </c>
      <c r="M498" t="s">
        <v>1761</v>
      </c>
      <c r="N498" s="211" t="s">
        <v>463</v>
      </c>
      <c r="O498" s="211" t="s">
        <v>1731</v>
      </c>
      <c r="P498" s="211" t="s">
        <v>463</v>
      </c>
      <c r="S498" s="211" t="s">
        <v>1731</v>
      </c>
    </row>
    <row r="499" spans="1:19" ht="19">
      <c r="A499" s="212" t="s">
        <v>273</v>
      </c>
      <c r="B499" s="212" t="s">
        <v>76</v>
      </c>
      <c r="C499" s="233" t="s">
        <v>95</v>
      </c>
      <c r="D499" s="234" t="s">
        <v>96</v>
      </c>
      <c r="E499" s="212">
        <v>933</v>
      </c>
      <c r="F499" s="212">
        <v>2690</v>
      </c>
      <c r="G499" s="212" t="s">
        <v>1827</v>
      </c>
      <c r="H499" s="212" t="s">
        <v>1827</v>
      </c>
      <c r="I499" s="212" t="s">
        <v>249</v>
      </c>
      <c r="J499" s="212" t="s">
        <v>104</v>
      </c>
      <c r="K499" s="227" t="s">
        <v>269</v>
      </c>
      <c r="L499" s="227" t="s">
        <v>1725</v>
      </c>
      <c r="M499" t="s">
        <v>1785</v>
      </c>
      <c r="N499" s="211" t="s">
        <v>463</v>
      </c>
      <c r="O499" s="211" t="s">
        <v>1731</v>
      </c>
      <c r="P499" s="211" t="s">
        <v>463</v>
      </c>
      <c r="S499" s="211" t="s">
        <v>1731</v>
      </c>
    </row>
    <row r="500" spans="1:19" ht="19">
      <c r="A500" s="212" t="s">
        <v>273</v>
      </c>
      <c r="B500" s="212" t="s">
        <v>76</v>
      </c>
      <c r="C500" s="233" t="s">
        <v>95</v>
      </c>
      <c r="D500" s="234" t="s">
        <v>96</v>
      </c>
      <c r="E500" s="212">
        <v>933</v>
      </c>
      <c r="F500" s="212">
        <v>898</v>
      </c>
      <c r="G500" s="212" t="s">
        <v>1827</v>
      </c>
      <c r="H500" s="212" t="s">
        <v>1827</v>
      </c>
      <c r="I500" s="212" t="s">
        <v>249</v>
      </c>
      <c r="J500" s="212" t="s">
        <v>104</v>
      </c>
      <c r="K500" s="227" t="s">
        <v>269</v>
      </c>
      <c r="L500" s="227" t="s">
        <v>1725</v>
      </c>
      <c r="M500" t="s">
        <v>1830</v>
      </c>
      <c r="N500" s="211" t="s">
        <v>463</v>
      </c>
      <c r="O500" s="211" t="s">
        <v>1731</v>
      </c>
      <c r="P500" s="211" t="s">
        <v>463</v>
      </c>
      <c r="S500" s="211" t="s">
        <v>1731</v>
      </c>
    </row>
    <row r="501" spans="1:19" ht="19">
      <c r="A501" s="212" t="s">
        <v>273</v>
      </c>
      <c r="B501" s="212" t="s">
        <v>534</v>
      </c>
      <c r="C501" s="233" t="s">
        <v>539</v>
      </c>
      <c r="D501" s="234" t="s">
        <v>540</v>
      </c>
      <c r="E501" s="212">
        <v>908</v>
      </c>
      <c r="F501" s="212">
        <v>858</v>
      </c>
      <c r="G501" s="212" t="s">
        <v>1847</v>
      </c>
      <c r="H501" s="212" t="s">
        <v>1827</v>
      </c>
      <c r="I501" s="212" t="s">
        <v>250</v>
      </c>
      <c r="J501" s="212" t="s">
        <v>225</v>
      </c>
      <c r="K501" s="227" t="s">
        <v>269</v>
      </c>
      <c r="L501" s="227" t="s">
        <v>1725</v>
      </c>
      <c r="M501" t="s">
        <v>1738</v>
      </c>
      <c r="N501" s="211">
        <v>-17.2</v>
      </c>
      <c r="O501" s="211">
        <v>-17.2</v>
      </c>
      <c r="P501" s="211">
        <v>11</v>
      </c>
      <c r="S501" s="211">
        <v>3</v>
      </c>
    </row>
    <row r="502" spans="1:19" ht="19">
      <c r="A502" s="212" t="s">
        <v>273</v>
      </c>
      <c r="B502" s="212" t="s">
        <v>534</v>
      </c>
      <c r="C502" s="233" t="s">
        <v>539</v>
      </c>
      <c r="D502" s="234" t="s">
        <v>540</v>
      </c>
      <c r="E502" s="212">
        <v>908</v>
      </c>
      <c r="F502" s="212">
        <v>989</v>
      </c>
      <c r="G502" s="212" t="s">
        <v>1847</v>
      </c>
      <c r="H502" s="212" t="s">
        <v>1827</v>
      </c>
      <c r="I502" s="212" t="s">
        <v>250</v>
      </c>
      <c r="J502" s="212" t="s">
        <v>225</v>
      </c>
      <c r="K502" s="227" t="s">
        <v>269</v>
      </c>
      <c r="L502" s="227" t="s">
        <v>1725</v>
      </c>
      <c r="M502" t="s">
        <v>1738</v>
      </c>
      <c r="N502" s="211">
        <v>-12.6</v>
      </c>
      <c r="O502" s="211">
        <v>-12.6</v>
      </c>
      <c r="P502" s="211">
        <v>9.3000000000000007</v>
      </c>
      <c r="S502" s="211">
        <v>2.9</v>
      </c>
    </row>
    <row r="503" spans="1:19" ht="19">
      <c r="A503" s="212" t="s">
        <v>273</v>
      </c>
      <c r="B503" s="212" t="s">
        <v>534</v>
      </c>
      <c r="C503" s="233" t="s">
        <v>539</v>
      </c>
      <c r="D503" s="234" t="s">
        <v>540</v>
      </c>
      <c r="E503" s="212">
        <v>908</v>
      </c>
      <c r="F503" s="212">
        <v>1204</v>
      </c>
      <c r="G503" s="212" t="s">
        <v>1847</v>
      </c>
      <c r="H503" s="212" t="s">
        <v>1827</v>
      </c>
      <c r="I503" s="212" t="s">
        <v>250</v>
      </c>
      <c r="J503" s="212" t="s">
        <v>225</v>
      </c>
      <c r="K503" s="227" t="s">
        <v>269</v>
      </c>
      <c r="L503" s="227" t="s">
        <v>1725</v>
      </c>
      <c r="M503" t="s">
        <v>1738</v>
      </c>
      <c r="N503" s="211">
        <v>-15.7</v>
      </c>
      <c r="O503" s="211">
        <v>-15.7</v>
      </c>
      <c r="P503" s="211">
        <v>10</v>
      </c>
      <c r="S503" s="211">
        <v>2.9</v>
      </c>
    </row>
    <row r="504" spans="1:19" ht="19">
      <c r="A504" s="212" t="s">
        <v>273</v>
      </c>
      <c r="B504" s="212" t="s">
        <v>534</v>
      </c>
      <c r="C504" s="233" t="s">
        <v>539</v>
      </c>
      <c r="D504" s="234" t="s">
        <v>540</v>
      </c>
      <c r="E504" s="212">
        <v>908</v>
      </c>
      <c r="F504" s="212">
        <v>3264</v>
      </c>
      <c r="G504" s="212" t="s">
        <v>1847</v>
      </c>
      <c r="H504" s="212" t="s">
        <v>1827</v>
      </c>
      <c r="I504" s="212" t="s">
        <v>250</v>
      </c>
      <c r="J504" s="212" t="s">
        <v>225</v>
      </c>
      <c r="K504" s="227" t="s">
        <v>269</v>
      </c>
      <c r="L504" s="227" t="s">
        <v>1725</v>
      </c>
      <c r="M504" t="s">
        <v>1761</v>
      </c>
      <c r="N504" s="211">
        <v>-15.2</v>
      </c>
      <c r="O504" s="211">
        <v>-15.2</v>
      </c>
      <c r="P504" s="211">
        <v>9.3000000000000007</v>
      </c>
      <c r="S504" s="211">
        <v>2.9</v>
      </c>
    </row>
    <row r="505" spans="1:19" ht="19">
      <c r="A505" s="212" t="s">
        <v>273</v>
      </c>
      <c r="B505" s="212" t="s">
        <v>534</v>
      </c>
      <c r="C505" s="233" t="s">
        <v>539</v>
      </c>
      <c r="D505" s="234" t="s">
        <v>540</v>
      </c>
      <c r="E505" s="212">
        <v>908</v>
      </c>
      <c r="F505" s="212">
        <v>4253</v>
      </c>
      <c r="G505" s="212" t="s">
        <v>1847</v>
      </c>
      <c r="H505" s="212" t="s">
        <v>1827</v>
      </c>
      <c r="I505" s="212" t="s">
        <v>250</v>
      </c>
      <c r="J505" s="212" t="s">
        <v>225</v>
      </c>
      <c r="K505" s="227" t="s">
        <v>269</v>
      </c>
      <c r="L505" s="227" t="s">
        <v>1725</v>
      </c>
      <c r="M505" t="s">
        <v>1761</v>
      </c>
      <c r="N505" s="211">
        <v>-16.5</v>
      </c>
      <c r="O505" s="211">
        <v>-16.5</v>
      </c>
      <c r="P505" s="211">
        <v>7.5</v>
      </c>
      <c r="S505" s="211">
        <v>2.9</v>
      </c>
    </row>
    <row r="506" spans="1:19" ht="19">
      <c r="A506" s="212" t="s">
        <v>273</v>
      </c>
      <c r="B506" s="212" t="s">
        <v>534</v>
      </c>
      <c r="C506" s="233" t="s">
        <v>539</v>
      </c>
      <c r="D506" s="234" t="s">
        <v>540</v>
      </c>
      <c r="E506" s="236">
        <v>908</v>
      </c>
      <c r="F506" s="236">
        <v>4257</v>
      </c>
      <c r="G506" s="212" t="s">
        <v>1847</v>
      </c>
      <c r="H506" s="212" t="s">
        <v>1827</v>
      </c>
      <c r="I506" s="212" t="s">
        <v>250</v>
      </c>
      <c r="J506" s="212" t="s">
        <v>225</v>
      </c>
      <c r="K506" s="227" t="s">
        <v>269</v>
      </c>
      <c r="L506" s="227" t="s">
        <v>1725</v>
      </c>
      <c r="M506" t="s">
        <v>1750</v>
      </c>
      <c r="N506" s="214">
        <v>-13.9</v>
      </c>
      <c r="O506" s="214">
        <v>-13.9</v>
      </c>
      <c r="P506" s="211">
        <v>7.1</v>
      </c>
      <c r="S506" s="211">
        <v>2.9</v>
      </c>
    </row>
    <row r="507" spans="1:19" ht="19">
      <c r="A507" s="212" t="s">
        <v>273</v>
      </c>
      <c r="B507" s="212" t="s">
        <v>534</v>
      </c>
      <c r="C507" s="233" t="s">
        <v>539</v>
      </c>
      <c r="D507" s="234" t="s">
        <v>540</v>
      </c>
      <c r="E507" s="212">
        <v>933</v>
      </c>
      <c r="F507" s="212">
        <v>4494</v>
      </c>
      <c r="G507" s="212" t="s">
        <v>1847</v>
      </c>
      <c r="H507" s="212" t="s">
        <v>1827</v>
      </c>
      <c r="I507" s="212" t="s">
        <v>249</v>
      </c>
      <c r="J507" s="212" t="s">
        <v>104</v>
      </c>
      <c r="K507" s="227" t="s">
        <v>269</v>
      </c>
      <c r="L507" s="227" t="s">
        <v>1725</v>
      </c>
      <c r="M507" t="s">
        <v>1738</v>
      </c>
      <c r="N507" s="211">
        <v>-15.6</v>
      </c>
      <c r="O507" s="211">
        <v>-15.6</v>
      </c>
      <c r="P507" s="211">
        <v>7.5</v>
      </c>
      <c r="S507" s="211">
        <v>3.2</v>
      </c>
    </row>
    <row r="508" spans="1:19" ht="19">
      <c r="A508" s="212" t="s">
        <v>273</v>
      </c>
      <c r="B508" s="212" t="s">
        <v>534</v>
      </c>
      <c r="C508" s="233" t="s">
        <v>539</v>
      </c>
      <c r="D508" s="234" t="s">
        <v>540</v>
      </c>
      <c r="E508" s="236">
        <v>41229</v>
      </c>
      <c r="F508" s="236">
        <v>3736</v>
      </c>
      <c r="G508" s="212" t="s">
        <v>1827</v>
      </c>
      <c r="H508" s="212" t="s">
        <v>1827</v>
      </c>
      <c r="I508" s="212" t="s">
        <v>1137</v>
      </c>
      <c r="J508" s="212" t="s">
        <v>104</v>
      </c>
      <c r="K508" s="227" t="s">
        <v>269</v>
      </c>
      <c r="L508" s="227" t="s">
        <v>1725</v>
      </c>
      <c r="M508" t="s">
        <v>1786</v>
      </c>
      <c r="N508" s="214">
        <v>-16.41</v>
      </c>
      <c r="O508" s="214">
        <v>-16.399999999999999</v>
      </c>
      <c r="P508" s="211">
        <v>7.6</v>
      </c>
      <c r="S508" s="211">
        <v>2.9</v>
      </c>
    </row>
    <row r="509" spans="1:19" ht="19">
      <c r="A509" s="212" t="s">
        <v>273</v>
      </c>
      <c r="B509" s="212" t="s">
        <v>534</v>
      </c>
      <c r="C509" s="233" t="s">
        <v>539</v>
      </c>
      <c r="D509" s="234" t="s">
        <v>540</v>
      </c>
      <c r="E509" s="212">
        <v>41229</v>
      </c>
      <c r="F509" s="212">
        <v>10602</v>
      </c>
      <c r="G509" s="212" t="s">
        <v>1827</v>
      </c>
      <c r="H509" s="212" t="s">
        <v>1827</v>
      </c>
      <c r="I509" s="212" t="s">
        <v>1137</v>
      </c>
      <c r="J509" s="212" t="s">
        <v>104</v>
      </c>
      <c r="K509" s="227" t="s">
        <v>269</v>
      </c>
      <c r="L509" s="227" t="s">
        <v>1725</v>
      </c>
      <c r="M509" t="s">
        <v>1738</v>
      </c>
      <c r="N509" s="211">
        <v>-14.34</v>
      </c>
      <c r="O509" s="211">
        <v>-14.3</v>
      </c>
      <c r="P509" s="211">
        <v>13.2</v>
      </c>
      <c r="S509" s="211">
        <v>2.9</v>
      </c>
    </row>
    <row r="510" spans="1:19" ht="19">
      <c r="A510" s="212" t="s">
        <v>273</v>
      </c>
      <c r="B510" s="212" t="s">
        <v>534</v>
      </c>
      <c r="C510" s="233" t="s">
        <v>539</v>
      </c>
      <c r="D510" s="234" t="s">
        <v>540</v>
      </c>
      <c r="E510" s="236">
        <v>41229</v>
      </c>
      <c r="F510" s="236">
        <v>11219</v>
      </c>
      <c r="G510" s="212" t="s">
        <v>1827</v>
      </c>
      <c r="H510" s="212" t="s">
        <v>1827</v>
      </c>
      <c r="I510" s="212" t="s">
        <v>1137</v>
      </c>
      <c r="J510" s="212" t="s">
        <v>104</v>
      </c>
      <c r="K510" s="227" t="s">
        <v>269</v>
      </c>
      <c r="L510" s="227" t="s">
        <v>1725</v>
      </c>
      <c r="M510" t="s">
        <v>1738</v>
      </c>
      <c r="N510" s="214">
        <v>-15.07</v>
      </c>
      <c r="O510" s="214">
        <v>-15.1</v>
      </c>
      <c r="P510" s="211">
        <v>9.9</v>
      </c>
      <c r="S510" s="211">
        <v>2.9</v>
      </c>
    </row>
    <row r="511" spans="1:19" ht="19">
      <c r="A511" s="212" t="s">
        <v>273</v>
      </c>
      <c r="B511" s="212" t="s">
        <v>534</v>
      </c>
      <c r="C511" s="233" t="s">
        <v>539</v>
      </c>
      <c r="D511" s="234" t="s">
        <v>540</v>
      </c>
      <c r="E511" s="236">
        <v>41229</v>
      </c>
      <c r="F511" s="236">
        <v>19885</v>
      </c>
      <c r="G511" s="212" t="s">
        <v>1827</v>
      </c>
      <c r="H511" s="212" t="s">
        <v>1827</v>
      </c>
      <c r="I511" s="212" t="s">
        <v>1137</v>
      </c>
      <c r="J511" s="212" t="s">
        <v>225</v>
      </c>
      <c r="K511" s="227" t="s">
        <v>269</v>
      </c>
      <c r="L511" s="227" t="s">
        <v>1725</v>
      </c>
      <c r="M511" t="s">
        <v>1738</v>
      </c>
      <c r="N511" s="214">
        <v>-12.91</v>
      </c>
      <c r="O511" s="214">
        <v>-12.9</v>
      </c>
      <c r="P511" s="211">
        <v>12.1</v>
      </c>
      <c r="S511" s="211">
        <v>2.9</v>
      </c>
    </row>
    <row r="512" spans="1:19">
      <c r="A512" s="212" t="s">
        <v>273</v>
      </c>
      <c r="B512" s="212" t="s">
        <v>534</v>
      </c>
      <c r="C512" s="235" t="s">
        <v>544</v>
      </c>
      <c r="D512" s="235" t="s">
        <v>151</v>
      </c>
      <c r="E512" s="236">
        <v>41229</v>
      </c>
      <c r="F512" s="236">
        <v>1021</v>
      </c>
      <c r="G512" s="212" t="s">
        <v>1847</v>
      </c>
      <c r="H512" s="212" t="s">
        <v>1827</v>
      </c>
      <c r="I512" s="212" t="s">
        <v>1137</v>
      </c>
      <c r="J512" s="212" t="s">
        <v>104</v>
      </c>
      <c r="K512" s="227" t="s">
        <v>269</v>
      </c>
      <c r="L512" s="227" t="s">
        <v>1725</v>
      </c>
      <c r="M512" t="s">
        <v>1738</v>
      </c>
      <c r="N512" s="214">
        <v>-18</v>
      </c>
      <c r="O512" s="214">
        <v>-18</v>
      </c>
      <c r="P512" s="211">
        <v>11.4</v>
      </c>
      <c r="S512" s="211">
        <v>2.9</v>
      </c>
    </row>
    <row r="513" spans="1:19">
      <c r="A513" s="212" t="s">
        <v>273</v>
      </c>
      <c r="B513" s="212" t="s">
        <v>534</v>
      </c>
      <c r="C513" s="235" t="s">
        <v>544</v>
      </c>
      <c r="D513" s="235" t="s">
        <v>151</v>
      </c>
      <c r="E513" s="236">
        <v>41229</v>
      </c>
      <c r="F513" s="236">
        <v>1442</v>
      </c>
      <c r="G513" s="212" t="s">
        <v>1827</v>
      </c>
      <c r="H513" s="212" t="s">
        <v>1827</v>
      </c>
      <c r="I513" s="212" t="s">
        <v>1137</v>
      </c>
      <c r="J513" s="212" t="s">
        <v>104</v>
      </c>
      <c r="K513" s="227" t="s">
        <v>269</v>
      </c>
      <c r="L513" s="227" t="s">
        <v>1725</v>
      </c>
      <c r="M513" t="s">
        <v>1738</v>
      </c>
      <c r="N513" s="214">
        <v>-18.34</v>
      </c>
      <c r="O513" s="214">
        <v>-18.3</v>
      </c>
      <c r="P513" s="211">
        <v>7.3</v>
      </c>
      <c r="S513" s="211">
        <v>3</v>
      </c>
    </row>
    <row r="514" spans="1:19">
      <c r="A514" s="212" t="s">
        <v>273</v>
      </c>
      <c r="B514" s="212" t="s">
        <v>534</v>
      </c>
      <c r="C514" s="235" t="s">
        <v>544</v>
      </c>
      <c r="D514" s="235" t="s">
        <v>151</v>
      </c>
      <c r="E514" s="236">
        <v>41229</v>
      </c>
      <c r="F514" s="236">
        <v>1782</v>
      </c>
      <c r="G514" s="212" t="s">
        <v>1827</v>
      </c>
      <c r="H514" s="212" t="s">
        <v>1827</v>
      </c>
      <c r="I514" s="212" t="s">
        <v>1137</v>
      </c>
      <c r="J514" s="212" t="s">
        <v>104</v>
      </c>
      <c r="K514" s="227" t="s">
        <v>269</v>
      </c>
      <c r="L514" s="227" t="s">
        <v>1725</v>
      </c>
      <c r="M514" t="s">
        <v>1761</v>
      </c>
      <c r="N514" s="214">
        <v>-16.329999999999998</v>
      </c>
      <c r="O514" s="214">
        <v>-16.3</v>
      </c>
      <c r="P514" s="211">
        <v>10.3</v>
      </c>
      <c r="S514" s="211">
        <v>2.8</v>
      </c>
    </row>
    <row r="515" spans="1:19">
      <c r="A515" s="212" t="s">
        <v>273</v>
      </c>
      <c r="B515" s="212" t="s">
        <v>534</v>
      </c>
      <c r="C515" s="235" t="s">
        <v>544</v>
      </c>
      <c r="D515" s="235" t="s">
        <v>151</v>
      </c>
      <c r="E515" s="236">
        <v>41229</v>
      </c>
      <c r="F515" s="236">
        <v>1783</v>
      </c>
      <c r="G515" s="212" t="s">
        <v>1827</v>
      </c>
      <c r="H515" s="212" t="s">
        <v>1827</v>
      </c>
      <c r="I515" s="212" t="s">
        <v>1137</v>
      </c>
      <c r="J515" s="212" t="s">
        <v>104</v>
      </c>
      <c r="K515" s="227" t="s">
        <v>269</v>
      </c>
      <c r="L515" s="227" t="s">
        <v>1725</v>
      </c>
      <c r="M515" t="s">
        <v>1786</v>
      </c>
      <c r="N515" s="214">
        <v>-18</v>
      </c>
      <c r="O515" s="214">
        <v>-18</v>
      </c>
      <c r="P515" s="211">
        <v>10.8</v>
      </c>
      <c r="S515" s="211">
        <v>2.9</v>
      </c>
    </row>
    <row r="516" spans="1:19">
      <c r="A516" s="212" t="s">
        <v>273</v>
      </c>
      <c r="B516" s="212" t="s">
        <v>534</v>
      </c>
      <c r="C516" s="235" t="s">
        <v>544</v>
      </c>
      <c r="D516" s="235" t="s">
        <v>151</v>
      </c>
      <c r="E516" s="236">
        <v>41229</v>
      </c>
      <c r="F516" s="236">
        <v>3455</v>
      </c>
      <c r="G516" s="212" t="s">
        <v>1827</v>
      </c>
      <c r="H516" s="212" t="s">
        <v>1827</v>
      </c>
      <c r="I516" s="212" t="s">
        <v>1137</v>
      </c>
      <c r="J516" s="212" t="s">
        <v>104</v>
      </c>
      <c r="K516" s="227" t="s">
        <v>269</v>
      </c>
      <c r="L516" s="227" t="s">
        <v>1725</v>
      </c>
      <c r="M516" t="s">
        <v>1738</v>
      </c>
      <c r="N516" s="214">
        <v>-19.38</v>
      </c>
      <c r="O516" s="214">
        <v>-19.399999999999999</v>
      </c>
      <c r="P516" s="211">
        <v>7.5</v>
      </c>
      <c r="S516" s="211">
        <v>2.9</v>
      </c>
    </row>
    <row r="517" spans="1:19">
      <c r="A517" s="212" t="s">
        <v>273</v>
      </c>
      <c r="B517" s="212" t="s">
        <v>534</v>
      </c>
      <c r="C517" s="235" t="s">
        <v>544</v>
      </c>
      <c r="D517" s="233" t="s">
        <v>151</v>
      </c>
      <c r="E517" s="236">
        <v>41229</v>
      </c>
      <c r="F517" s="236">
        <v>3744</v>
      </c>
      <c r="G517" s="212" t="s">
        <v>1847</v>
      </c>
      <c r="H517" s="212" t="s">
        <v>1827</v>
      </c>
      <c r="I517" s="212" t="s">
        <v>1137</v>
      </c>
      <c r="J517" s="212" t="s">
        <v>104</v>
      </c>
      <c r="K517" s="227" t="s">
        <v>269</v>
      </c>
      <c r="L517" s="227" t="s">
        <v>1725</v>
      </c>
      <c r="M517" t="s">
        <v>1738</v>
      </c>
      <c r="N517" s="214">
        <v>-16</v>
      </c>
      <c r="O517" s="214">
        <v>-16</v>
      </c>
      <c r="P517" s="211">
        <v>12.5</v>
      </c>
      <c r="S517" s="211">
        <v>2.8</v>
      </c>
    </row>
    <row r="518" spans="1:19">
      <c r="A518" s="212" t="s">
        <v>273</v>
      </c>
      <c r="B518" s="212" t="s">
        <v>534</v>
      </c>
      <c r="C518" s="235" t="s">
        <v>544</v>
      </c>
      <c r="D518" s="235" t="s">
        <v>151</v>
      </c>
      <c r="E518" s="236">
        <v>41229</v>
      </c>
      <c r="F518" s="236">
        <v>11197</v>
      </c>
      <c r="G518" s="212" t="s">
        <v>1827</v>
      </c>
      <c r="H518" s="212" t="s">
        <v>1827</v>
      </c>
      <c r="I518" s="212" t="s">
        <v>1137</v>
      </c>
      <c r="J518" s="212" t="s">
        <v>104</v>
      </c>
      <c r="K518" s="227" t="s">
        <v>269</v>
      </c>
      <c r="L518" s="227" t="s">
        <v>1725</v>
      </c>
      <c r="M518" t="s">
        <v>1805</v>
      </c>
      <c r="N518" s="214">
        <v>-17.22</v>
      </c>
      <c r="O518" s="214">
        <v>-17.2</v>
      </c>
      <c r="P518" s="211">
        <v>8.8000000000000007</v>
      </c>
      <c r="S518" s="211">
        <v>3</v>
      </c>
    </row>
    <row r="519" spans="1:19" ht="19">
      <c r="A519" s="212" t="s">
        <v>273</v>
      </c>
      <c r="B519" s="212" t="s">
        <v>534</v>
      </c>
      <c r="C519" s="233" t="s">
        <v>544</v>
      </c>
      <c r="D519" s="234" t="s">
        <v>151</v>
      </c>
      <c r="E519" s="212">
        <v>41229</v>
      </c>
      <c r="F519" s="212">
        <v>11220</v>
      </c>
      <c r="G519" s="212" t="s">
        <v>1827</v>
      </c>
      <c r="H519" s="212" t="s">
        <v>1827</v>
      </c>
      <c r="I519" s="212" t="s">
        <v>1137</v>
      </c>
      <c r="J519" s="212" t="s">
        <v>104</v>
      </c>
      <c r="K519" s="227" t="s">
        <v>269</v>
      </c>
      <c r="L519" s="227" t="s">
        <v>1725</v>
      </c>
      <c r="M519" t="s">
        <v>1786</v>
      </c>
      <c r="N519" s="211">
        <v>-17.5</v>
      </c>
      <c r="O519" s="211">
        <v>-17.5</v>
      </c>
      <c r="P519" s="211">
        <v>10.199999999999999</v>
      </c>
      <c r="S519" s="211">
        <v>2.8</v>
      </c>
    </row>
    <row r="520" spans="1:19">
      <c r="A520" s="212" t="s">
        <v>273</v>
      </c>
      <c r="B520" s="212" t="s">
        <v>534</v>
      </c>
      <c r="C520" s="235" t="s">
        <v>544</v>
      </c>
      <c r="D520" s="235" t="s">
        <v>151</v>
      </c>
      <c r="E520" s="236">
        <v>41229</v>
      </c>
      <c r="F520" s="236">
        <v>19884</v>
      </c>
      <c r="G520" s="212" t="s">
        <v>1827</v>
      </c>
      <c r="H520" s="212" t="s">
        <v>1827</v>
      </c>
      <c r="I520" s="212" t="s">
        <v>1137</v>
      </c>
      <c r="J520" s="212" t="s">
        <v>225</v>
      </c>
      <c r="K520" s="227" t="s">
        <v>269</v>
      </c>
      <c r="L520" s="227" t="s">
        <v>1725</v>
      </c>
      <c r="M520" t="s">
        <v>1828</v>
      </c>
      <c r="N520" s="214">
        <v>-17.170000000000002</v>
      </c>
      <c r="O520" s="214">
        <v>-17.2</v>
      </c>
      <c r="P520" s="211">
        <v>7.9</v>
      </c>
      <c r="S520" s="211">
        <v>2.9</v>
      </c>
    </row>
    <row r="521" spans="1:19">
      <c r="A521" s="212" t="s">
        <v>273</v>
      </c>
      <c r="B521" s="212" t="s">
        <v>534</v>
      </c>
      <c r="C521" s="235" t="s">
        <v>544</v>
      </c>
      <c r="D521" s="235" t="s">
        <v>151</v>
      </c>
      <c r="E521" s="236">
        <v>41229</v>
      </c>
      <c r="F521" s="236">
        <v>19886</v>
      </c>
      <c r="G521" s="212" t="s">
        <v>1827</v>
      </c>
      <c r="H521" s="212" t="s">
        <v>1827</v>
      </c>
      <c r="I521" s="212" t="s">
        <v>1137</v>
      </c>
      <c r="J521" s="212" t="s">
        <v>225</v>
      </c>
      <c r="K521" s="227" t="s">
        <v>269</v>
      </c>
      <c r="L521" s="227" t="s">
        <v>1725</v>
      </c>
      <c r="M521" t="s">
        <v>1738</v>
      </c>
      <c r="N521" s="214">
        <v>-16.09</v>
      </c>
      <c r="O521" s="214">
        <v>-16.100000000000001</v>
      </c>
      <c r="P521" s="211">
        <v>12.2</v>
      </c>
      <c r="S521" s="211">
        <v>2.8</v>
      </c>
    </row>
    <row r="522" spans="1:19">
      <c r="A522" s="212" t="s">
        <v>273</v>
      </c>
      <c r="B522" s="212" t="s">
        <v>534</v>
      </c>
      <c r="C522" s="235" t="s">
        <v>544</v>
      </c>
      <c r="D522" s="235" t="s">
        <v>151</v>
      </c>
      <c r="E522" s="236">
        <v>41229</v>
      </c>
      <c r="F522" s="236">
        <v>19887</v>
      </c>
      <c r="G522" s="212" t="s">
        <v>1827</v>
      </c>
      <c r="H522" s="212" t="s">
        <v>1827</v>
      </c>
      <c r="I522" s="212" t="s">
        <v>1137</v>
      </c>
      <c r="J522" s="212" t="s">
        <v>104</v>
      </c>
      <c r="K522" s="227" t="s">
        <v>269</v>
      </c>
      <c r="L522" s="227" t="s">
        <v>1725</v>
      </c>
      <c r="M522" t="s">
        <v>1738</v>
      </c>
      <c r="N522" s="214">
        <v>-17.03</v>
      </c>
      <c r="O522" s="214">
        <v>-17</v>
      </c>
      <c r="P522" s="211">
        <v>10.7</v>
      </c>
      <c r="S522" s="211">
        <v>2.8</v>
      </c>
    </row>
    <row r="523" spans="1:19">
      <c r="A523" s="212" t="s">
        <v>273</v>
      </c>
      <c r="B523" s="212" t="s">
        <v>534</v>
      </c>
      <c r="C523" s="235" t="s">
        <v>544</v>
      </c>
      <c r="D523" s="235" t="s">
        <v>151</v>
      </c>
      <c r="E523" s="236">
        <v>41229</v>
      </c>
      <c r="F523" s="236">
        <v>19888</v>
      </c>
      <c r="G523" s="212" t="s">
        <v>1827</v>
      </c>
      <c r="H523" s="212" t="s">
        <v>1827</v>
      </c>
      <c r="I523" s="212" t="s">
        <v>1137</v>
      </c>
      <c r="J523" s="212" t="s">
        <v>225</v>
      </c>
      <c r="K523" s="227" t="s">
        <v>269</v>
      </c>
      <c r="L523" s="227" t="s">
        <v>1725</v>
      </c>
      <c r="M523" t="s">
        <v>1738</v>
      </c>
      <c r="N523" s="214">
        <v>-15.73</v>
      </c>
      <c r="O523" s="214">
        <v>-15.7</v>
      </c>
      <c r="P523" s="211">
        <v>12.6</v>
      </c>
      <c r="S523" s="211">
        <v>2.8</v>
      </c>
    </row>
    <row r="524" spans="1:19" ht="19">
      <c r="A524" s="212" t="s">
        <v>273</v>
      </c>
      <c r="B524" s="212" t="s">
        <v>534</v>
      </c>
      <c r="C524" s="234" t="s">
        <v>544</v>
      </c>
      <c r="D524" s="234" t="s">
        <v>151</v>
      </c>
      <c r="E524" s="212">
        <v>41229</v>
      </c>
      <c r="F524" s="212">
        <v>19890</v>
      </c>
      <c r="G524" s="212" t="s">
        <v>1827</v>
      </c>
      <c r="H524" s="212" t="s">
        <v>1827</v>
      </c>
      <c r="I524" s="212" t="s">
        <v>1137</v>
      </c>
      <c r="J524" s="212" t="s">
        <v>225</v>
      </c>
      <c r="K524" s="227" t="s">
        <v>269</v>
      </c>
      <c r="L524" s="227" t="s">
        <v>1725</v>
      </c>
      <c r="M524" t="s">
        <v>1738</v>
      </c>
      <c r="N524" s="211">
        <v>-18.71</v>
      </c>
      <c r="O524" s="211">
        <v>-18.7</v>
      </c>
      <c r="P524" s="211">
        <v>11.3</v>
      </c>
      <c r="S524" s="211">
        <v>2.9</v>
      </c>
    </row>
    <row r="525" spans="1:19" ht="19">
      <c r="A525" s="212" t="s">
        <v>273</v>
      </c>
      <c r="B525" s="212" t="s">
        <v>534</v>
      </c>
      <c r="C525" s="233" t="s">
        <v>1863</v>
      </c>
      <c r="D525" s="234" t="s">
        <v>151</v>
      </c>
      <c r="E525" s="212">
        <v>41229</v>
      </c>
      <c r="F525" s="212">
        <v>1365</v>
      </c>
      <c r="G525" s="212" t="s">
        <v>1827</v>
      </c>
      <c r="H525" s="212" t="s">
        <v>1827</v>
      </c>
      <c r="I525" s="212" t="s">
        <v>1137</v>
      </c>
      <c r="J525" s="212" t="s">
        <v>1744</v>
      </c>
      <c r="K525" s="227" t="s">
        <v>269</v>
      </c>
      <c r="L525" s="227" t="s">
        <v>1725</v>
      </c>
      <c r="M525" t="s">
        <v>1738</v>
      </c>
      <c r="N525" s="211">
        <v>-15.87</v>
      </c>
      <c r="O525" s="211">
        <v>-15.9</v>
      </c>
      <c r="P525" s="211">
        <v>9.8000000000000007</v>
      </c>
      <c r="S525" s="211">
        <v>2.9</v>
      </c>
    </row>
    <row r="526" spans="1:19" ht="19">
      <c r="A526" s="212" t="s">
        <v>273</v>
      </c>
      <c r="B526" s="212" t="s">
        <v>77</v>
      </c>
      <c r="C526" s="233" t="s">
        <v>1120</v>
      </c>
      <c r="D526" s="234" t="s">
        <v>151</v>
      </c>
      <c r="E526" s="212">
        <v>41229</v>
      </c>
      <c r="F526" s="212">
        <v>15778</v>
      </c>
      <c r="G526" s="212" t="s">
        <v>1847</v>
      </c>
      <c r="H526" s="212" t="s">
        <v>1827</v>
      </c>
      <c r="I526" s="212" t="s">
        <v>1137</v>
      </c>
      <c r="J526" s="212" t="s">
        <v>225</v>
      </c>
      <c r="K526" s="227" t="s">
        <v>269</v>
      </c>
      <c r="L526" s="227" t="s">
        <v>1725</v>
      </c>
      <c r="M526" t="s">
        <v>1738</v>
      </c>
      <c r="N526" s="211">
        <v>-17</v>
      </c>
      <c r="O526" s="211">
        <v>-17</v>
      </c>
      <c r="P526" s="211">
        <v>11.9</v>
      </c>
      <c r="S526" s="211">
        <v>3.1</v>
      </c>
    </row>
    <row r="527" spans="1:19" ht="19">
      <c r="A527" s="212" t="s">
        <v>273</v>
      </c>
      <c r="B527" s="212" t="s">
        <v>77</v>
      </c>
      <c r="C527" s="233" t="s">
        <v>1120</v>
      </c>
      <c r="D527" s="234" t="s">
        <v>151</v>
      </c>
      <c r="E527" s="212">
        <v>41229</v>
      </c>
      <c r="F527" s="212">
        <v>15779</v>
      </c>
      <c r="G527" s="212" t="s">
        <v>1847</v>
      </c>
      <c r="H527" s="212" t="s">
        <v>1827</v>
      </c>
      <c r="I527" s="212" t="s">
        <v>1137</v>
      </c>
      <c r="J527" s="212" t="s">
        <v>225</v>
      </c>
      <c r="K527" s="227" t="s">
        <v>269</v>
      </c>
      <c r="L527" s="227" t="s">
        <v>1725</v>
      </c>
      <c r="M527" t="s">
        <v>1738</v>
      </c>
      <c r="N527" s="211">
        <v>-17.600000000000001</v>
      </c>
      <c r="O527" s="211">
        <v>-17.600000000000001</v>
      </c>
      <c r="P527" s="211">
        <v>10.3</v>
      </c>
      <c r="S527" s="211">
        <v>2.7</v>
      </c>
    </row>
    <row r="528" spans="1:19" ht="19">
      <c r="A528" s="212" t="s">
        <v>273</v>
      </c>
      <c r="B528" s="212" t="s">
        <v>77</v>
      </c>
      <c r="C528" s="233" t="s">
        <v>1605</v>
      </c>
      <c r="D528" s="234" t="s">
        <v>589</v>
      </c>
      <c r="E528" s="212">
        <v>41229</v>
      </c>
      <c r="F528" s="212">
        <v>10262</v>
      </c>
      <c r="G528" s="212" t="s">
        <v>1847</v>
      </c>
      <c r="H528" s="212" t="s">
        <v>1827</v>
      </c>
      <c r="I528" s="212" t="s">
        <v>1137</v>
      </c>
      <c r="J528" s="212" t="s">
        <v>104</v>
      </c>
      <c r="K528" s="227" t="s">
        <v>269</v>
      </c>
      <c r="L528" s="227" t="s">
        <v>1725</v>
      </c>
      <c r="M528" t="s">
        <v>205</v>
      </c>
      <c r="N528" s="211">
        <v>-16.100000000000001</v>
      </c>
      <c r="O528" s="211">
        <v>-16.100000000000001</v>
      </c>
      <c r="P528" s="211">
        <v>12.6</v>
      </c>
      <c r="S528" s="211">
        <v>2.8</v>
      </c>
    </row>
    <row r="529" spans="1:20" ht="19">
      <c r="A529" s="212" t="s">
        <v>273</v>
      </c>
      <c r="B529" s="212" t="s">
        <v>77</v>
      </c>
      <c r="C529" s="237" t="s">
        <v>1304</v>
      </c>
      <c r="D529" s="234" t="s">
        <v>549</v>
      </c>
      <c r="E529" s="212">
        <v>908</v>
      </c>
      <c r="F529" s="212">
        <v>593</v>
      </c>
      <c r="G529" s="212" t="s">
        <v>1847</v>
      </c>
      <c r="H529" s="212" t="s">
        <v>1827</v>
      </c>
      <c r="I529" s="212" t="s">
        <v>250</v>
      </c>
      <c r="J529" s="212" t="s">
        <v>225</v>
      </c>
      <c r="K529" s="227" t="s">
        <v>269</v>
      </c>
      <c r="L529" s="227" t="s">
        <v>1725</v>
      </c>
      <c r="M529" t="s">
        <v>1738</v>
      </c>
      <c r="N529" s="211">
        <v>-13</v>
      </c>
      <c r="O529" s="211">
        <v>-13</v>
      </c>
      <c r="P529" s="211">
        <v>9.8000000000000007</v>
      </c>
      <c r="S529" s="211">
        <v>2.8</v>
      </c>
    </row>
    <row r="530" spans="1:20" ht="19">
      <c r="A530" s="212" t="s">
        <v>273</v>
      </c>
      <c r="B530" s="212" t="s">
        <v>77</v>
      </c>
      <c r="C530" s="237" t="s">
        <v>1304</v>
      </c>
      <c r="D530" s="234" t="s">
        <v>549</v>
      </c>
      <c r="E530" s="212">
        <v>908</v>
      </c>
      <c r="F530" s="212">
        <v>3278</v>
      </c>
      <c r="G530" s="212" t="s">
        <v>1847</v>
      </c>
      <c r="H530" s="212" t="s">
        <v>1827</v>
      </c>
      <c r="I530" s="212" t="s">
        <v>250</v>
      </c>
      <c r="J530" s="212" t="s">
        <v>225</v>
      </c>
      <c r="K530" s="227" t="s">
        <v>269</v>
      </c>
      <c r="L530" s="227" t="s">
        <v>1725</v>
      </c>
      <c r="M530" t="s">
        <v>1757</v>
      </c>
      <c r="N530" s="211">
        <v>-17</v>
      </c>
      <c r="O530" s="211">
        <v>-17</v>
      </c>
      <c r="P530" s="211">
        <v>9</v>
      </c>
      <c r="S530" s="211">
        <v>2.9</v>
      </c>
    </row>
    <row r="531" spans="1:20" ht="19">
      <c r="A531" s="212" t="s">
        <v>273</v>
      </c>
      <c r="B531" s="212" t="s">
        <v>77</v>
      </c>
      <c r="C531" s="237" t="s">
        <v>1304</v>
      </c>
      <c r="D531" s="234" t="s">
        <v>549</v>
      </c>
      <c r="E531" s="212">
        <v>908</v>
      </c>
      <c r="F531" s="212">
        <v>3337</v>
      </c>
      <c r="G531" s="212" t="s">
        <v>1847</v>
      </c>
      <c r="H531" s="212" t="s">
        <v>1827</v>
      </c>
      <c r="I531" s="212" t="s">
        <v>250</v>
      </c>
      <c r="J531" s="212" t="s">
        <v>225</v>
      </c>
      <c r="K531" s="227" t="s">
        <v>269</v>
      </c>
      <c r="L531" s="227" t="s">
        <v>1725</v>
      </c>
      <c r="M531" t="s">
        <v>1726</v>
      </c>
      <c r="N531" s="211">
        <v>-15.8</v>
      </c>
      <c r="O531" s="211">
        <v>-15.8</v>
      </c>
      <c r="P531" s="211">
        <v>9.1</v>
      </c>
      <c r="S531" s="211">
        <v>2.9</v>
      </c>
    </row>
    <row r="532" spans="1:20" ht="19">
      <c r="A532" s="212" t="s">
        <v>273</v>
      </c>
      <c r="B532" s="212" t="s">
        <v>77</v>
      </c>
      <c r="C532" s="237" t="s">
        <v>1304</v>
      </c>
      <c r="D532" s="234" t="s">
        <v>549</v>
      </c>
      <c r="E532" s="212">
        <v>908</v>
      </c>
      <c r="F532" s="212">
        <v>3898</v>
      </c>
      <c r="G532" s="212" t="s">
        <v>1847</v>
      </c>
      <c r="H532" s="212" t="s">
        <v>1827</v>
      </c>
      <c r="I532" s="212" t="s">
        <v>250</v>
      </c>
      <c r="J532" s="212" t="s">
        <v>225</v>
      </c>
      <c r="K532" s="227" t="s">
        <v>269</v>
      </c>
      <c r="L532" s="227" t="s">
        <v>1725</v>
      </c>
      <c r="M532" t="s">
        <v>1757</v>
      </c>
      <c r="N532" s="211">
        <v>-10.9</v>
      </c>
      <c r="O532" s="211">
        <v>-10.9</v>
      </c>
      <c r="P532" s="211">
        <v>11.7</v>
      </c>
      <c r="S532" s="211">
        <v>3</v>
      </c>
    </row>
    <row r="533" spans="1:20" ht="19">
      <c r="A533" s="212" t="s">
        <v>273</v>
      </c>
      <c r="B533" s="212" t="s">
        <v>77</v>
      </c>
      <c r="C533" s="237" t="s">
        <v>1304</v>
      </c>
      <c r="D533" s="234" t="s">
        <v>549</v>
      </c>
      <c r="E533" s="212">
        <v>908</v>
      </c>
      <c r="F533" s="212">
        <v>3899</v>
      </c>
      <c r="G533" s="212" t="s">
        <v>1847</v>
      </c>
      <c r="H533" s="212" t="s">
        <v>1827</v>
      </c>
      <c r="I533" s="212" t="s">
        <v>250</v>
      </c>
      <c r="J533" s="212" t="s">
        <v>225</v>
      </c>
      <c r="K533" s="227" t="s">
        <v>269</v>
      </c>
      <c r="L533" s="227" t="s">
        <v>1725</v>
      </c>
      <c r="M533" t="s">
        <v>1738</v>
      </c>
      <c r="N533" s="211">
        <v>-15.2</v>
      </c>
      <c r="O533" s="211">
        <v>-15.2</v>
      </c>
      <c r="P533" s="211">
        <v>11.9</v>
      </c>
      <c r="S533" s="211">
        <v>2.9</v>
      </c>
      <c r="T533" s="216"/>
    </row>
    <row r="534" spans="1:20" ht="19">
      <c r="A534" s="212" t="s">
        <v>273</v>
      </c>
      <c r="B534" s="212" t="s">
        <v>77</v>
      </c>
      <c r="C534" s="237" t="s">
        <v>1304</v>
      </c>
      <c r="D534" s="234" t="s">
        <v>549</v>
      </c>
      <c r="E534" s="212">
        <v>908</v>
      </c>
      <c r="F534" s="212">
        <v>3901</v>
      </c>
      <c r="G534" s="212" t="s">
        <v>1847</v>
      </c>
      <c r="H534" s="212" t="s">
        <v>1827</v>
      </c>
      <c r="I534" s="212" t="s">
        <v>250</v>
      </c>
      <c r="J534" s="212" t="s">
        <v>225</v>
      </c>
      <c r="K534" s="227" t="s">
        <v>269</v>
      </c>
      <c r="L534" s="227" t="s">
        <v>1725</v>
      </c>
      <c r="M534" t="s">
        <v>1805</v>
      </c>
      <c r="N534" s="211">
        <v>-15.4</v>
      </c>
      <c r="O534" s="211">
        <v>-15.4</v>
      </c>
      <c r="P534" s="211">
        <v>9.4</v>
      </c>
      <c r="S534" s="211">
        <v>2.8</v>
      </c>
    </row>
    <row r="535" spans="1:20" ht="19">
      <c r="A535" s="212" t="s">
        <v>273</v>
      </c>
      <c r="B535" s="212" t="s">
        <v>77</v>
      </c>
      <c r="C535" s="237" t="s">
        <v>1304</v>
      </c>
      <c r="D535" s="234" t="s">
        <v>549</v>
      </c>
      <c r="E535" s="212">
        <v>908</v>
      </c>
      <c r="F535" s="212">
        <v>3917</v>
      </c>
      <c r="G535" s="212" t="s">
        <v>1847</v>
      </c>
      <c r="H535" s="212" t="s">
        <v>1827</v>
      </c>
      <c r="I535" s="212" t="s">
        <v>250</v>
      </c>
      <c r="J535" s="212" t="s">
        <v>225</v>
      </c>
      <c r="K535" s="227" t="s">
        <v>269</v>
      </c>
      <c r="L535" s="227" t="s">
        <v>1725</v>
      </c>
      <c r="M535" t="s">
        <v>1738</v>
      </c>
      <c r="N535" s="211">
        <v>-15.9</v>
      </c>
      <c r="O535" s="211">
        <v>-15.9</v>
      </c>
      <c r="P535" s="211">
        <v>12.8</v>
      </c>
      <c r="S535" s="211">
        <v>3.1</v>
      </c>
    </row>
    <row r="536" spans="1:20" ht="19">
      <c r="A536" s="212" t="s">
        <v>273</v>
      </c>
      <c r="B536" s="212" t="s">
        <v>77</v>
      </c>
      <c r="C536" s="237" t="s">
        <v>1304</v>
      </c>
      <c r="D536" s="234" t="s">
        <v>549</v>
      </c>
      <c r="E536" s="212">
        <v>908</v>
      </c>
      <c r="F536" s="212">
        <v>3918</v>
      </c>
      <c r="G536" s="212" t="s">
        <v>1847</v>
      </c>
      <c r="H536" s="212" t="s">
        <v>1827</v>
      </c>
      <c r="I536" s="212" t="s">
        <v>250</v>
      </c>
      <c r="J536" s="212" t="s">
        <v>225</v>
      </c>
      <c r="K536" s="227" t="s">
        <v>269</v>
      </c>
      <c r="L536" s="227" t="s">
        <v>1725</v>
      </c>
      <c r="M536" t="s">
        <v>1738</v>
      </c>
      <c r="N536" s="211">
        <v>-15.6</v>
      </c>
      <c r="O536" s="211">
        <v>-15.6</v>
      </c>
      <c r="P536" s="211">
        <v>10.5</v>
      </c>
      <c r="S536" s="211">
        <v>2.8</v>
      </c>
    </row>
    <row r="537" spans="1:20">
      <c r="A537" s="212" t="s">
        <v>273</v>
      </c>
      <c r="B537" s="212" t="s">
        <v>551</v>
      </c>
      <c r="C537" s="233" t="s">
        <v>117</v>
      </c>
      <c r="D537" s="233" t="s">
        <v>118</v>
      </c>
      <c r="E537" s="212">
        <v>908</v>
      </c>
      <c r="F537" s="212">
        <v>2442</v>
      </c>
      <c r="G537" s="212" t="s">
        <v>1847</v>
      </c>
      <c r="H537" s="212" t="s">
        <v>1827</v>
      </c>
      <c r="I537" s="212" t="s">
        <v>250</v>
      </c>
      <c r="J537" s="212" t="s">
        <v>1744</v>
      </c>
      <c r="K537" s="227" t="s">
        <v>269</v>
      </c>
      <c r="L537" s="227" t="s">
        <v>1725</v>
      </c>
      <c r="M537" t="s">
        <v>1805</v>
      </c>
      <c r="N537" s="211">
        <v>-18.399999999999999</v>
      </c>
      <c r="O537" s="211">
        <v>-18.399999999999999</v>
      </c>
      <c r="P537" s="211">
        <v>9.1999999999999993</v>
      </c>
      <c r="S537" s="211">
        <v>3.1</v>
      </c>
    </row>
    <row r="538" spans="1:20">
      <c r="A538" s="212" t="s">
        <v>273</v>
      </c>
      <c r="B538" s="212" t="s">
        <v>551</v>
      </c>
      <c r="C538" s="233" t="s">
        <v>117</v>
      </c>
      <c r="D538" s="235" t="s">
        <v>118</v>
      </c>
      <c r="E538" s="236">
        <v>908</v>
      </c>
      <c r="F538" s="236">
        <v>3940</v>
      </c>
      <c r="G538" s="212" t="s">
        <v>1847</v>
      </c>
      <c r="H538" s="212" t="s">
        <v>1827</v>
      </c>
      <c r="I538" s="212" t="s">
        <v>250</v>
      </c>
      <c r="J538" s="212" t="s">
        <v>225</v>
      </c>
      <c r="K538" s="227" t="s">
        <v>269</v>
      </c>
      <c r="L538" s="227" t="s">
        <v>1725</v>
      </c>
      <c r="M538" t="s">
        <v>1738</v>
      </c>
      <c r="N538" s="214">
        <v>-15.5</v>
      </c>
      <c r="O538" s="214">
        <v>-15.5</v>
      </c>
      <c r="P538" s="211">
        <v>12.7</v>
      </c>
      <c r="S538" s="211">
        <v>3.2</v>
      </c>
    </row>
    <row r="539" spans="1:20">
      <c r="A539" s="212" t="s">
        <v>273</v>
      </c>
      <c r="B539" s="212" t="s">
        <v>551</v>
      </c>
      <c r="C539" s="233" t="s">
        <v>117</v>
      </c>
      <c r="D539" s="233" t="s">
        <v>118</v>
      </c>
      <c r="E539" s="212">
        <v>908</v>
      </c>
      <c r="F539" s="212">
        <v>4344</v>
      </c>
      <c r="G539" s="212" t="s">
        <v>1847</v>
      </c>
      <c r="H539" s="212" t="s">
        <v>1827</v>
      </c>
      <c r="I539" s="212" t="s">
        <v>250</v>
      </c>
      <c r="J539" s="212" t="s">
        <v>225</v>
      </c>
      <c r="K539" s="227" t="s">
        <v>269</v>
      </c>
      <c r="L539" s="227" t="s">
        <v>1725</v>
      </c>
      <c r="M539" t="s">
        <v>1733</v>
      </c>
      <c r="N539" s="211">
        <v>-17.100000000000001</v>
      </c>
      <c r="O539" s="211">
        <v>-17.100000000000001</v>
      </c>
      <c r="P539" s="211">
        <v>9.8000000000000007</v>
      </c>
      <c r="S539" s="211">
        <v>3.1</v>
      </c>
    </row>
    <row r="540" spans="1:20">
      <c r="A540" s="212" t="s">
        <v>273</v>
      </c>
      <c r="B540" s="212" t="s">
        <v>551</v>
      </c>
      <c r="C540" s="233" t="s">
        <v>117</v>
      </c>
      <c r="D540" s="235" t="s">
        <v>118</v>
      </c>
      <c r="E540" s="236">
        <v>41229</v>
      </c>
      <c r="F540" s="236">
        <v>1345</v>
      </c>
      <c r="G540" s="212" t="s">
        <v>1827</v>
      </c>
      <c r="H540" s="212" t="s">
        <v>1827</v>
      </c>
      <c r="I540" s="212" t="s">
        <v>1137</v>
      </c>
      <c r="J540" s="212" t="s">
        <v>225</v>
      </c>
      <c r="K540" s="227" t="s">
        <v>269</v>
      </c>
      <c r="L540" s="227" t="s">
        <v>1725</v>
      </c>
      <c r="M540" t="s">
        <v>1758</v>
      </c>
      <c r="N540" s="214">
        <v>-16.37</v>
      </c>
      <c r="O540" s="214">
        <v>-16.399999999999999</v>
      </c>
      <c r="P540" s="211">
        <v>10.6</v>
      </c>
      <c r="S540" s="211">
        <v>2.8</v>
      </c>
    </row>
    <row r="541" spans="1:20" ht="19">
      <c r="A541" s="212" t="s">
        <v>273</v>
      </c>
      <c r="B541" s="212" t="s">
        <v>551</v>
      </c>
      <c r="C541" s="237" t="s">
        <v>117</v>
      </c>
      <c r="D541" s="234" t="s">
        <v>118</v>
      </c>
      <c r="E541" s="212">
        <v>41229</v>
      </c>
      <c r="F541" s="212">
        <v>3767</v>
      </c>
      <c r="G541" s="212" t="s">
        <v>1827</v>
      </c>
      <c r="H541" s="212" t="s">
        <v>1827</v>
      </c>
      <c r="I541" s="212" t="s">
        <v>1137</v>
      </c>
      <c r="J541" s="212" t="s">
        <v>225</v>
      </c>
      <c r="K541" s="227" t="s">
        <v>269</v>
      </c>
      <c r="L541" s="227" t="s">
        <v>1725</v>
      </c>
      <c r="M541" t="s">
        <v>1738</v>
      </c>
      <c r="N541" s="211">
        <v>-16.23</v>
      </c>
      <c r="O541" s="211">
        <v>-16.2</v>
      </c>
      <c r="P541" s="211">
        <v>10.3</v>
      </c>
      <c r="S541" s="211">
        <v>2.7</v>
      </c>
    </row>
    <row r="542" spans="1:20">
      <c r="A542" s="212" t="s">
        <v>273</v>
      </c>
      <c r="B542" s="212" t="s">
        <v>551</v>
      </c>
      <c r="C542" s="233" t="s">
        <v>117</v>
      </c>
      <c r="D542" s="235" t="s">
        <v>118</v>
      </c>
      <c r="E542" s="236">
        <v>41229</v>
      </c>
      <c r="F542" s="236">
        <v>10730</v>
      </c>
      <c r="G542" s="212" t="s">
        <v>1827</v>
      </c>
      <c r="H542" s="212" t="s">
        <v>1827</v>
      </c>
      <c r="I542" s="212" t="s">
        <v>1137</v>
      </c>
      <c r="J542" s="212" t="s">
        <v>225</v>
      </c>
      <c r="K542" s="227" t="s">
        <v>269</v>
      </c>
      <c r="L542" s="227" t="s">
        <v>1725</v>
      </c>
      <c r="M542" t="s">
        <v>308</v>
      </c>
      <c r="N542" s="214">
        <v>-13.84</v>
      </c>
      <c r="O542" s="214">
        <v>-13.8</v>
      </c>
      <c r="P542" s="211">
        <v>9.8000000000000007</v>
      </c>
      <c r="S542" s="211">
        <v>2.7</v>
      </c>
    </row>
    <row r="543" spans="1:20">
      <c r="A543" s="212" t="s">
        <v>273</v>
      </c>
      <c r="B543" s="212" t="s">
        <v>551</v>
      </c>
      <c r="C543" s="233" t="s">
        <v>117</v>
      </c>
      <c r="D543" s="235" t="s">
        <v>118</v>
      </c>
      <c r="E543" s="236">
        <v>41229</v>
      </c>
      <c r="F543" s="236">
        <v>19881</v>
      </c>
      <c r="G543" s="212" t="s">
        <v>1827</v>
      </c>
      <c r="H543" s="212" t="s">
        <v>1827</v>
      </c>
      <c r="I543" s="212" t="s">
        <v>1137</v>
      </c>
      <c r="J543" s="212" t="s">
        <v>225</v>
      </c>
      <c r="K543" s="227" t="s">
        <v>269</v>
      </c>
      <c r="L543" s="227" t="s">
        <v>1725</v>
      </c>
      <c r="M543" t="s">
        <v>1758</v>
      </c>
      <c r="N543" s="214">
        <v>-17.29</v>
      </c>
      <c r="O543" s="214">
        <v>-17.3</v>
      </c>
      <c r="P543" s="211">
        <v>7.6</v>
      </c>
      <c r="S543" s="211">
        <v>3</v>
      </c>
    </row>
    <row r="544" spans="1:20">
      <c r="A544" s="212" t="s">
        <v>273</v>
      </c>
      <c r="B544" s="212" t="s">
        <v>551</v>
      </c>
      <c r="C544" s="233" t="s">
        <v>117</v>
      </c>
      <c r="D544" s="235" t="s">
        <v>118</v>
      </c>
      <c r="E544" s="236">
        <v>41229</v>
      </c>
      <c r="F544" s="236">
        <v>19889</v>
      </c>
      <c r="G544" s="212" t="s">
        <v>1827</v>
      </c>
      <c r="H544" s="212" t="s">
        <v>1827</v>
      </c>
      <c r="I544" s="212" t="s">
        <v>1137</v>
      </c>
      <c r="J544" s="212" t="s">
        <v>225</v>
      </c>
      <c r="K544" s="227" t="s">
        <v>269</v>
      </c>
      <c r="L544" s="227" t="s">
        <v>1725</v>
      </c>
      <c r="M544" t="s">
        <v>1754</v>
      </c>
      <c r="N544" s="214">
        <v>-19.91</v>
      </c>
      <c r="O544" s="214">
        <v>-19.899999999999999</v>
      </c>
      <c r="P544" s="211">
        <v>4.9000000000000004</v>
      </c>
      <c r="S544" s="211">
        <v>2.9</v>
      </c>
    </row>
    <row r="545" spans="1:21">
      <c r="A545" s="212" t="s">
        <v>273</v>
      </c>
      <c r="B545" s="212" t="s">
        <v>551</v>
      </c>
      <c r="C545" s="233" t="s">
        <v>117</v>
      </c>
      <c r="D545" s="235" t="s">
        <v>118</v>
      </c>
      <c r="E545" s="236">
        <v>41229</v>
      </c>
      <c r="F545" s="236">
        <v>19891</v>
      </c>
      <c r="G545" s="212" t="s">
        <v>1827</v>
      </c>
      <c r="H545" s="212" t="s">
        <v>1827</v>
      </c>
      <c r="I545" s="212" t="s">
        <v>1137</v>
      </c>
      <c r="J545" s="212" t="s">
        <v>225</v>
      </c>
      <c r="K545" s="227" t="s">
        <v>269</v>
      </c>
      <c r="L545" s="227" t="s">
        <v>1725</v>
      </c>
      <c r="M545" t="s">
        <v>1733</v>
      </c>
      <c r="N545" s="214">
        <v>-15.6</v>
      </c>
      <c r="O545" s="214">
        <v>-15.6</v>
      </c>
      <c r="P545" s="211">
        <v>5.7</v>
      </c>
      <c r="S545" s="211">
        <v>2.7</v>
      </c>
    </row>
    <row r="546" spans="1:21">
      <c r="A546" s="212" t="s">
        <v>273</v>
      </c>
      <c r="B546" s="212" t="s">
        <v>551</v>
      </c>
      <c r="C546" s="233" t="s">
        <v>117</v>
      </c>
      <c r="D546" s="235" t="s">
        <v>118</v>
      </c>
      <c r="E546" s="236">
        <v>41229</v>
      </c>
      <c r="F546" s="236">
        <v>19892</v>
      </c>
      <c r="G546" s="212" t="s">
        <v>1827</v>
      </c>
      <c r="H546" s="212" t="s">
        <v>1827</v>
      </c>
      <c r="I546" s="212" t="s">
        <v>1137</v>
      </c>
      <c r="J546" s="212" t="s">
        <v>225</v>
      </c>
      <c r="K546" s="227" t="s">
        <v>269</v>
      </c>
      <c r="L546" s="227" t="s">
        <v>1725</v>
      </c>
      <c r="M546" t="s">
        <v>1755</v>
      </c>
      <c r="N546" s="214">
        <v>-17</v>
      </c>
      <c r="O546" s="214">
        <v>-17</v>
      </c>
      <c r="P546" s="211">
        <v>8.4</v>
      </c>
      <c r="S546" s="211">
        <v>2.7</v>
      </c>
    </row>
    <row r="547" spans="1:21" ht="19">
      <c r="A547" s="212" t="s">
        <v>273</v>
      </c>
      <c r="B547" s="212" t="s">
        <v>551</v>
      </c>
      <c r="C547" s="237" t="s">
        <v>117</v>
      </c>
      <c r="D547" s="234" t="s">
        <v>118</v>
      </c>
      <c r="E547" s="212">
        <v>41229</v>
      </c>
      <c r="F547" s="212">
        <v>19893</v>
      </c>
      <c r="G547" s="212" t="s">
        <v>1827</v>
      </c>
      <c r="H547" s="212" t="s">
        <v>1827</v>
      </c>
      <c r="I547" s="212" t="s">
        <v>1137</v>
      </c>
      <c r="J547" s="212" t="s">
        <v>104</v>
      </c>
      <c r="K547" s="227" t="s">
        <v>269</v>
      </c>
      <c r="L547" s="227" t="s">
        <v>1725</v>
      </c>
      <c r="M547" t="s">
        <v>1803</v>
      </c>
      <c r="N547" s="211">
        <v>-16.47</v>
      </c>
      <c r="O547" s="211">
        <v>-16.5</v>
      </c>
      <c r="P547" s="211">
        <v>8.1999999999999993</v>
      </c>
      <c r="S547" s="211">
        <v>2.7</v>
      </c>
    </row>
    <row r="548" spans="1:21">
      <c r="A548" s="212" t="s">
        <v>273</v>
      </c>
      <c r="B548" s="212" t="s">
        <v>551</v>
      </c>
      <c r="C548" s="233" t="s">
        <v>117</v>
      </c>
      <c r="D548" s="235" t="s">
        <v>118</v>
      </c>
      <c r="E548" s="236">
        <v>41339</v>
      </c>
      <c r="F548" s="236">
        <v>3710</v>
      </c>
      <c r="G548" s="212" t="s">
        <v>1827</v>
      </c>
      <c r="H548" s="212" t="s">
        <v>1827</v>
      </c>
      <c r="I548" s="212" t="s">
        <v>1137</v>
      </c>
      <c r="J548" s="212" t="s">
        <v>225</v>
      </c>
      <c r="K548" s="227" t="s">
        <v>269</v>
      </c>
      <c r="L548" s="227" t="s">
        <v>1725</v>
      </c>
      <c r="M548" t="s">
        <v>205</v>
      </c>
      <c r="N548" s="214">
        <v>-15.61</v>
      </c>
      <c r="O548" s="214">
        <v>-15.6</v>
      </c>
      <c r="P548" s="211">
        <v>7.2</v>
      </c>
      <c r="S548" s="211">
        <v>2.7</v>
      </c>
    </row>
    <row r="549" spans="1:21" ht="19">
      <c r="A549" s="212" t="s">
        <v>273</v>
      </c>
      <c r="B549" s="212" t="s">
        <v>551</v>
      </c>
      <c r="C549" s="237" t="s">
        <v>117</v>
      </c>
      <c r="D549" s="234" t="s">
        <v>118</v>
      </c>
      <c r="E549" s="212">
        <v>43133</v>
      </c>
      <c r="F549" s="212">
        <v>244</v>
      </c>
      <c r="G549" s="212" t="s">
        <v>1847</v>
      </c>
      <c r="H549" s="212" t="s">
        <v>1827</v>
      </c>
      <c r="I549" s="212" t="s">
        <v>1183</v>
      </c>
      <c r="J549" s="212" t="s">
        <v>1728</v>
      </c>
      <c r="K549" s="227" t="s">
        <v>269</v>
      </c>
      <c r="L549" s="227" t="s">
        <v>1725</v>
      </c>
      <c r="M549" t="s">
        <v>1738</v>
      </c>
      <c r="N549" s="211">
        <v>-16.37</v>
      </c>
      <c r="O549" s="211">
        <v>-16.399999999999999</v>
      </c>
      <c r="P549" s="211">
        <v>7.6</v>
      </c>
      <c r="S549" s="211">
        <v>3</v>
      </c>
    </row>
    <row r="550" spans="1:21" ht="19">
      <c r="A550" s="212" t="s">
        <v>273</v>
      </c>
      <c r="B550" s="212" t="s">
        <v>551</v>
      </c>
      <c r="C550" s="237" t="s">
        <v>117</v>
      </c>
      <c r="D550" s="234" t="s">
        <v>118</v>
      </c>
      <c r="E550" s="212">
        <v>43133</v>
      </c>
      <c r="F550" s="212">
        <v>245</v>
      </c>
      <c r="G550" s="212" t="s">
        <v>1827</v>
      </c>
      <c r="H550" s="212" t="s">
        <v>1827</v>
      </c>
      <c r="I550" s="212" t="s">
        <v>1183</v>
      </c>
      <c r="J550" s="212" t="s">
        <v>1728</v>
      </c>
      <c r="K550" s="227" t="s">
        <v>269</v>
      </c>
      <c r="L550" s="227" t="s">
        <v>1725</v>
      </c>
      <c r="M550" t="s">
        <v>1738</v>
      </c>
      <c r="N550" s="211">
        <v>-13.68</v>
      </c>
      <c r="O550" s="211">
        <v>-13.7</v>
      </c>
      <c r="P550" s="211">
        <v>9.8000000000000007</v>
      </c>
      <c r="S550" s="211">
        <v>3.2</v>
      </c>
    </row>
    <row r="551" spans="1:21">
      <c r="A551" s="212" t="s">
        <v>273</v>
      </c>
      <c r="B551" s="212" t="s">
        <v>551</v>
      </c>
      <c r="C551" s="233" t="s">
        <v>117</v>
      </c>
      <c r="D551" s="235" t="s">
        <v>118</v>
      </c>
      <c r="E551" s="236">
        <v>908</v>
      </c>
      <c r="F551" s="236">
        <v>4348</v>
      </c>
      <c r="G551" s="212" t="s">
        <v>1847</v>
      </c>
      <c r="H551" s="212" t="s">
        <v>1827</v>
      </c>
      <c r="I551" s="212" t="s">
        <v>250</v>
      </c>
      <c r="J551" s="212" t="s">
        <v>225</v>
      </c>
      <c r="K551" s="227" t="s">
        <v>269</v>
      </c>
      <c r="L551" s="227" t="s">
        <v>1725</v>
      </c>
      <c r="M551" t="s">
        <v>1805</v>
      </c>
      <c r="N551" s="214">
        <v>-21.3</v>
      </c>
      <c r="O551" s="214">
        <v>-21.3</v>
      </c>
      <c r="P551" s="211">
        <v>6.7</v>
      </c>
      <c r="S551" s="211">
        <v>3.9</v>
      </c>
    </row>
    <row r="552" spans="1:21" ht="19">
      <c r="A552" s="212" t="s">
        <v>273</v>
      </c>
      <c r="B552" s="212" t="s">
        <v>551</v>
      </c>
      <c r="C552" s="237" t="s">
        <v>117</v>
      </c>
      <c r="D552" s="234" t="s">
        <v>118</v>
      </c>
      <c r="E552" s="212">
        <v>908</v>
      </c>
      <c r="F552" s="212">
        <v>1164</v>
      </c>
      <c r="G552" s="212" t="s">
        <v>1847</v>
      </c>
      <c r="H552" s="212" t="s">
        <v>1827</v>
      </c>
      <c r="I552" s="212" t="s">
        <v>250</v>
      </c>
      <c r="J552" s="212" t="s">
        <v>225</v>
      </c>
      <c r="K552" s="227" t="s">
        <v>269</v>
      </c>
      <c r="L552" s="227" t="s">
        <v>1725</v>
      </c>
      <c r="M552" t="s">
        <v>1757</v>
      </c>
      <c r="N552" s="211">
        <v>-18.2</v>
      </c>
      <c r="O552" s="211">
        <v>-18.2</v>
      </c>
      <c r="P552" s="211">
        <v>8.1</v>
      </c>
      <c r="S552" s="211">
        <v>3.8</v>
      </c>
    </row>
    <row r="553" spans="1:21" s="559" customFormat="1" ht="19">
      <c r="A553" s="554" t="s">
        <v>273</v>
      </c>
      <c r="B553" s="554" t="s">
        <v>80</v>
      </c>
      <c r="C553" s="555" t="s">
        <v>557</v>
      </c>
      <c r="D553" s="556" t="s">
        <v>558</v>
      </c>
      <c r="E553" s="554">
        <v>933</v>
      </c>
      <c r="F553" s="554">
        <v>2963</v>
      </c>
      <c r="G553" s="554" t="s">
        <v>1847</v>
      </c>
      <c r="H553" s="554" t="s">
        <v>1827</v>
      </c>
      <c r="I553" s="554" t="s">
        <v>249</v>
      </c>
      <c r="J553" s="554" t="s">
        <v>104</v>
      </c>
      <c r="K553" s="554" t="s">
        <v>269</v>
      </c>
      <c r="L553" s="554" t="s">
        <v>1725</v>
      </c>
      <c r="M553" s="557" t="s">
        <v>1864</v>
      </c>
      <c r="N553" s="558">
        <v>-16.5</v>
      </c>
      <c r="O553" s="558">
        <v>-16.5</v>
      </c>
      <c r="P553" s="558">
        <v>9.6999999999999993</v>
      </c>
      <c r="Q553" s="558"/>
      <c r="R553" s="558"/>
      <c r="S553" s="558">
        <v>3.3</v>
      </c>
      <c r="T553" s="554"/>
      <c r="U553" s="554"/>
    </row>
    <row r="554" spans="1:21" ht="19">
      <c r="A554" s="212" t="s">
        <v>273</v>
      </c>
      <c r="B554" s="212" t="s">
        <v>80</v>
      </c>
      <c r="C554" s="233" t="s">
        <v>557</v>
      </c>
      <c r="D554" s="234" t="s">
        <v>558</v>
      </c>
      <c r="E554" s="212">
        <v>933</v>
      </c>
      <c r="F554" s="212">
        <v>2156</v>
      </c>
      <c r="G554" s="212" t="s">
        <v>1847</v>
      </c>
      <c r="H554" s="212" t="s">
        <v>1827</v>
      </c>
      <c r="I554" s="212" t="s">
        <v>249</v>
      </c>
      <c r="J554" s="212" t="s">
        <v>104</v>
      </c>
      <c r="K554" s="227" t="s">
        <v>269</v>
      </c>
      <c r="L554" s="227" t="s">
        <v>1725</v>
      </c>
      <c r="M554" t="s">
        <v>1822</v>
      </c>
      <c r="N554" s="211">
        <v>-17.3</v>
      </c>
      <c r="O554" s="211">
        <v>-17.3</v>
      </c>
      <c r="P554" s="211">
        <v>7.6</v>
      </c>
      <c r="S554" s="211">
        <v>3.5</v>
      </c>
    </row>
    <row r="555" spans="1:21" ht="19">
      <c r="A555" s="212" t="s">
        <v>273</v>
      </c>
      <c r="B555" s="212" t="s">
        <v>80</v>
      </c>
      <c r="C555" s="233" t="s">
        <v>132</v>
      </c>
      <c r="D555" s="234" t="s">
        <v>133</v>
      </c>
      <c r="E555" s="212">
        <v>41229</v>
      </c>
      <c r="F555" s="212">
        <v>2729</v>
      </c>
      <c r="G555" s="212" t="s">
        <v>1827</v>
      </c>
      <c r="H555" s="212" t="s">
        <v>1827</v>
      </c>
      <c r="I555" s="212" t="s">
        <v>1137</v>
      </c>
      <c r="J555" s="212" t="s">
        <v>225</v>
      </c>
      <c r="K555" s="227" t="s">
        <v>269</v>
      </c>
      <c r="L555" s="227" t="s">
        <v>1725</v>
      </c>
      <c r="M555" t="s">
        <v>1838</v>
      </c>
      <c r="N555" s="211">
        <v>-18.899999999999999</v>
      </c>
      <c r="O555" s="211">
        <v>-18.899999999999999</v>
      </c>
      <c r="P555" s="211">
        <v>5.4</v>
      </c>
      <c r="S555" s="211">
        <v>3</v>
      </c>
    </row>
    <row r="556" spans="1:21" ht="19">
      <c r="A556" s="212" t="s">
        <v>273</v>
      </c>
      <c r="B556" s="212" t="s">
        <v>80</v>
      </c>
      <c r="C556" s="233" t="s">
        <v>132</v>
      </c>
      <c r="D556" s="234" t="s">
        <v>133</v>
      </c>
      <c r="E556" s="212">
        <v>41229</v>
      </c>
      <c r="F556" s="212">
        <v>2731</v>
      </c>
      <c r="G556" s="212" t="s">
        <v>1827</v>
      </c>
      <c r="H556" s="212" t="s">
        <v>1827</v>
      </c>
      <c r="I556" s="212" t="s">
        <v>1137</v>
      </c>
      <c r="J556" s="212" t="s">
        <v>104</v>
      </c>
      <c r="K556" s="227" t="s">
        <v>269</v>
      </c>
      <c r="L556" s="227" t="s">
        <v>1725</v>
      </c>
      <c r="M556" t="s">
        <v>1857</v>
      </c>
      <c r="N556" s="211">
        <v>-17.8</v>
      </c>
      <c r="O556" s="211">
        <v>-17.8</v>
      </c>
      <c r="P556" s="211">
        <v>5.0999999999999996</v>
      </c>
      <c r="S556" s="211">
        <v>2.7</v>
      </c>
    </row>
    <row r="557" spans="1:21" ht="19">
      <c r="A557" s="212" t="s">
        <v>273</v>
      </c>
      <c r="B557" s="212" t="s">
        <v>80</v>
      </c>
      <c r="C557" s="233" t="s">
        <v>132</v>
      </c>
      <c r="D557" s="234" t="s">
        <v>133</v>
      </c>
      <c r="E557" s="212">
        <v>41229</v>
      </c>
      <c r="F557" s="212">
        <v>11029</v>
      </c>
      <c r="G557" s="212" t="s">
        <v>1827</v>
      </c>
      <c r="H557" s="212" t="s">
        <v>1827</v>
      </c>
      <c r="I557" s="212" t="s">
        <v>1137</v>
      </c>
      <c r="J557" s="212" t="s">
        <v>225</v>
      </c>
      <c r="K557" s="227" t="s">
        <v>269</v>
      </c>
      <c r="L557" s="227" t="s">
        <v>1725</v>
      </c>
      <c r="M557" t="s">
        <v>1763</v>
      </c>
      <c r="N557" s="211">
        <v>-19.5</v>
      </c>
      <c r="O557" s="211">
        <v>-19.5</v>
      </c>
      <c r="P557" s="211">
        <v>3.7</v>
      </c>
      <c r="S557" s="211">
        <v>3.1</v>
      </c>
    </row>
    <row r="558" spans="1:21" ht="19">
      <c r="A558" s="212" t="s">
        <v>273</v>
      </c>
      <c r="B558" s="212" t="s">
        <v>80</v>
      </c>
      <c r="C558" s="233" t="s">
        <v>132</v>
      </c>
      <c r="D558" s="234" t="s">
        <v>133</v>
      </c>
      <c r="E558" s="212">
        <v>41229</v>
      </c>
      <c r="F558" s="212">
        <v>11754</v>
      </c>
      <c r="G558" s="212" t="s">
        <v>1827</v>
      </c>
      <c r="H558" s="212" t="s">
        <v>1827</v>
      </c>
      <c r="I558" s="212" t="s">
        <v>1137</v>
      </c>
      <c r="J558" s="212" t="s">
        <v>104</v>
      </c>
      <c r="K558" s="227" t="s">
        <v>269</v>
      </c>
      <c r="L558" s="227" t="s">
        <v>1725</v>
      </c>
      <c r="M558" t="s">
        <v>1736</v>
      </c>
      <c r="N558" s="211">
        <v>-18.7</v>
      </c>
      <c r="O558" s="211">
        <v>-18.7</v>
      </c>
      <c r="P558" s="211">
        <v>3.7</v>
      </c>
      <c r="S558" s="211">
        <v>2.7</v>
      </c>
    </row>
    <row r="559" spans="1:21" ht="19">
      <c r="A559" s="212" t="s">
        <v>273</v>
      </c>
      <c r="B559" s="212" t="s">
        <v>80</v>
      </c>
      <c r="C559" s="233" t="s">
        <v>132</v>
      </c>
      <c r="D559" s="234" t="s">
        <v>133</v>
      </c>
      <c r="E559" s="212">
        <v>43365</v>
      </c>
      <c r="F559" s="212">
        <v>1</v>
      </c>
      <c r="G559" s="212" t="s">
        <v>1827</v>
      </c>
      <c r="H559" s="212" t="s">
        <v>1827</v>
      </c>
      <c r="I559" s="212" t="s">
        <v>140</v>
      </c>
      <c r="J559" s="212" t="s">
        <v>104</v>
      </c>
      <c r="K559" s="227" t="s">
        <v>269</v>
      </c>
      <c r="L559" s="227" t="s">
        <v>1725</v>
      </c>
      <c r="M559" t="s">
        <v>1750</v>
      </c>
      <c r="N559" s="211">
        <v>-20.100000000000001</v>
      </c>
      <c r="O559" s="211">
        <v>-20.100000000000001</v>
      </c>
      <c r="P559" s="211">
        <v>4.3</v>
      </c>
      <c r="S559" s="211">
        <v>2.9</v>
      </c>
    </row>
    <row r="560" spans="1:21">
      <c r="A560" s="212" t="s">
        <v>273</v>
      </c>
      <c r="B560" s="212" t="s">
        <v>80</v>
      </c>
      <c r="C560" s="233" t="s">
        <v>132</v>
      </c>
      <c r="D560" s="233" t="s">
        <v>133</v>
      </c>
      <c r="E560" s="212">
        <v>933</v>
      </c>
      <c r="F560" s="212">
        <v>3499</v>
      </c>
      <c r="G560" s="212" t="s">
        <v>1827</v>
      </c>
      <c r="H560" s="212" t="s">
        <v>1827</v>
      </c>
      <c r="I560" s="212" t="s">
        <v>249</v>
      </c>
      <c r="J560" s="212" t="s">
        <v>104</v>
      </c>
      <c r="K560" s="227" t="s">
        <v>269</v>
      </c>
      <c r="L560" s="227" t="s">
        <v>1725</v>
      </c>
      <c r="M560" t="s">
        <v>1726</v>
      </c>
      <c r="N560" s="211">
        <v>-6.1</v>
      </c>
      <c r="O560" s="211" t="s">
        <v>1731</v>
      </c>
      <c r="P560" s="211" t="s">
        <v>463</v>
      </c>
      <c r="S560" s="211" t="s">
        <v>1731</v>
      </c>
    </row>
    <row r="561" spans="1:19">
      <c r="A561" s="212" t="s">
        <v>273</v>
      </c>
      <c r="B561" s="212" t="s">
        <v>80</v>
      </c>
      <c r="C561" s="233" t="s">
        <v>132</v>
      </c>
      <c r="D561" s="233" t="s">
        <v>133</v>
      </c>
      <c r="E561" s="212">
        <v>933</v>
      </c>
      <c r="F561" s="212">
        <v>2544</v>
      </c>
      <c r="G561" s="212" t="s">
        <v>1827</v>
      </c>
      <c r="H561" s="212" t="s">
        <v>1827</v>
      </c>
      <c r="I561" s="212" t="s">
        <v>249</v>
      </c>
      <c r="J561" s="212" t="s">
        <v>104</v>
      </c>
      <c r="K561" s="227" t="s">
        <v>269</v>
      </c>
      <c r="L561" s="227" t="s">
        <v>1725</v>
      </c>
      <c r="M561" t="s">
        <v>205</v>
      </c>
      <c r="N561" s="211" t="s">
        <v>463</v>
      </c>
      <c r="O561" s="211" t="s">
        <v>1731</v>
      </c>
      <c r="P561" s="211" t="s">
        <v>463</v>
      </c>
      <c r="S561" s="211" t="s">
        <v>1731</v>
      </c>
    </row>
    <row r="562" spans="1:19" ht="19">
      <c r="A562" s="212" t="s">
        <v>273</v>
      </c>
      <c r="B562" s="212" t="s">
        <v>80</v>
      </c>
      <c r="C562" s="233" t="s">
        <v>132</v>
      </c>
      <c r="D562" s="234" t="s">
        <v>1865</v>
      </c>
      <c r="E562" s="212">
        <v>41284</v>
      </c>
      <c r="F562" s="212">
        <v>16</v>
      </c>
      <c r="G562" s="212" t="s">
        <v>1827</v>
      </c>
      <c r="H562" s="212" t="s">
        <v>1827</v>
      </c>
      <c r="I562" s="212" t="s">
        <v>1866</v>
      </c>
      <c r="J562" s="212" t="s">
        <v>1728</v>
      </c>
      <c r="K562" s="227" t="s">
        <v>269</v>
      </c>
      <c r="L562" s="227" t="s">
        <v>1725</v>
      </c>
      <c r="M562" t="s">
        <v>1738</v>
      </c>
      <c r="N562" s="211">
        <v>-18.48</v>
      </c>
      <c r="O562" s="211">
        <v>-18.5</v>
      </c>
      <c r="P562" s="211">
        <v>6.3</v>
      </c>
      <c r="S562" s="211">
        <v>3</v>
      </c>
    </row>
    <row r="563" spans="1:19" ht="19">
      <c r="A563" s="212" t="s">
        <v>273</v>
      </c>
      <c r="B563" s="212" t="s">
        <v>80</v>
      </c>
      <c r="C563" s="233" t="s">
        <v>132</v>
      </c>
      <c r="D563" s="234" t="s">
        <v>1865</v>
      </c>
      <c r="E563" s="212">
        <v>41284</v>
      </c>
      <c r="F563" s="212">
        <v>186</v>
      </c>
      <c r="G563" s="212" t="s">
        <v>1827</v>
      </c>
      <c r="H563" s="212" t="s">
        <v>1827</v>
      </c>
      <c r="I563" s="212" t="s">
        <v>1866</v>
      </c>
      <c r="J563" s="212" t="s">
        <v>1728</v>
      </c>
      <c r="K563" s="227" t="s">
        <v>269</v>
      </c>
      <c r="L563" s="227" t="s">
        <v>1725</v>
      </c>
      <c r="M563" t="s">
        <v>1756</v>
      </c>
      <c r="N563" s="211">
        <v>-18.489999999999998</v>
      </c>
      <c r="O563" s="211">
        <v>-18.5</v>
      </c>
      <c r="P563" s="211">
        <v>6</v>
      </c>
      <c r="S563" s="211">
        <v>2.9</v>
      </c>
    </row>
    <row r="564" spans="1:19" ht="19">
      <c r="A564" s="212" t="s">
        <v>273</v>
      </c>
      <c r="B564" s="212" t="s">
        <v>80</v>
      </c>
      <c r="C564" s="233" t="s">
        <v>132</v>
      </c>
      <c r="D564" s="234" t="s">
        <v>1865</v>
      </c>
      <c r="E564" s="212">
        <v>43133</v>
      </c>
      <c r="F564" s="212">
        <v>1132</v>
      </c>
      <c r="G564" s="212" t="s">
        <v>1827</v>
      </c>
      <c r="H564" s="212" t="s">
        <v>1827</v>
      </c>
      <c r="I564" s="212" t="s">
        <v>1821</v>
      </c>
      <c r="J564" s="212" t="s">
        <v>1728</v>
      </c>
      <c r="K564" s="227" t="s">
        <v>269</v>
      </c>
      <c r="L564" s="227" t="s">
        <v>1725</v>
      </c>
      <c r="M564" t="s">
        <v>1738</v>
      </c>
      <c r="N564" s="211">
        <v>-17</v>
      </c>
      <c r="O564" s="211">
        <v>-17</v>
      </c>
      <c r="P564" s="211">
        <v>6.5</v>
      </c>
      <c r="S564" s="211">
        <v>2.9</v>
      </c>
    </row>
    <row r="565" spans="1:19" ht="19">
      <c r="A565" s="212" t="s">
        <v>273</v>
      </c>
      <c r="B565" s="212" t="s">
        <v>80</v>
      </c>
      <c r="C565" s="233" t="s">
        <v>132</v>
      </c>
      <c r="D565" s="234" t="s">
        <v>1865</v>
      </c>
      <c r="E565" s="212">
        <v>43539</v>
      </c>
      <c r="F565" s="212">
        <v>1</v>
      </c>
      <c r="G565" s="212" t="s">
        <v>1827</v>
      </c>
      <c r="H565" s="212" t="s">
        <v>1827</v>
      </c>
      <c r="I565" s="212" t="s">
        <v>1867</v>
      </c>
      <c r="J565" s="212" t="s">
        <v>1728</v>
      </c>
      <c r="K565" s="227" t="s">
        <v>269</v>
      </c>
      <c r="L565" s="227" t="s">
        <v>1725</v>
      </c>
      <c r="M565" t="s">
        <v>1750</v>
      </c>
      <c r="N565" s="211">
        <v>-16.96</v>
      </c>
      <c r="O565" s="211">
        <v>-17</v>
      </c>
      <c r="P565" s="211">
        <v>6.5</v>
      </c>
      <c r="S565" s="211">
        <v>2.8</v>
      </c>
    </row>
    <row r="566" spans="1:19" ht="19">
      <c r="A566" s="212" t="s">
        <v>273</v>
      </c>
      <c r="B566" s="212" t="s">
        <v>80</v>
      </c>
      <c r="C566" s="233" t="s">
        <v>132</v>
      </c>
      <c r="D566" s="234" t="s">
        <v>1865</v>
      </c>
      <c r="E566" s="212" t="s">
        <v>1030</v>
      </c>
      <c r="F566" s="212">
        <v>7380</v>
      </c>
      <c r="G566" s="212" t="s">
        <v>1827</v>
      </c>
      <c r="H566" s="212" t="s">
        <v>1827</v>
      </c>
      <c r="I566" s="212" t="s">
        <v>1774</v>
      </c>
      <c r="J566" s="212" t="s">
        <v>104</v>
      </c>
      <c r="K566" s="227" t="s">
        <v>269</v>
      </c>
      <c r="L566" s="227" t="s">
        <v>1725</v>
      </c>
      <c r="M566" t="s">
        <v>1750</v>
      </c>
      <c r="N566" s="211">
        <v>-17.7</v>
      </c>
      <c r="O566" s="211">
        <v>-17.7</v>
      </c>
      <c r="P566" s="211">
        <v>8.6999999999999993</v>
      </c>
      <c r="S566" s="211">
        <v>3</v>
      </c>
    </row>
    <row r="567" spans="1:19" ht="19">
      <c r="A567" s="212" t="s">
        <v>273</v>
      </c>
      <c r="B567" s="212" t="s">
        <v>80</v>
      </c>
      <c r="C567" s="233" t="s">
        <v>132</v>
      </c>
      <c r="D567" s="234" t="s">
        <v>1865</v>
      </c>
      <c r="E567" s="212">
        <v>1295</v>
      </c>
      <c r="F567" s="212">
        <v>23</v>
      </c>
      <c r="G567" s="212" t="s">
        <v>1827</v>
      </c>
      <c r="H567" s="212" t="s">
        <v>1827</v>
      </c>
      <c r="I567" s="212" t="s">
        <v>1171</v>
      </c>
      <c r="J567" s="212" t="s">
        <v>104</v>
      </c>
      <c r="K567" s="227" t="s">
        <v>269</v>
      </c>
      <c r="L567" s="227" t="s">
        <v>1729</v>
      </c>
      <c r="M567" t="s">
        <v>1829</v>
      </c>
      <c r="N567" s="211">
        <v>-11.06</v>
      </c>
      <c r="O567" s="211">
        <v>-15.56</v>
      </c>
      <c r="P567" s="211" t="s">
        <v>287</v>
      </c>
      <c r="Q567" s="211">
        <v>30.13</v>
      </c>
      <c r="R567" s="211">
        <v>-0.71</v>
      </c>
      <c r="S567" s="211" t="s">
        <v>1731</v>
      </c>
    </row>
    <row r="568" spans="1:19" ht="19">
      <c r="A568" s="212" t="s">
        <v>273</v>
      </c>
      <c r="B568" s="212" t="s">
        <v>80</v>
      </c>
      <c r="C568" s="233" t="s">
        <v>1868</v>
      </c>
      <c r="D568" s="234" t="s">
        <v>1865</v>
      </c>
      <c r="E568" s="212" t="s">
        <v>1030</v>
      </c>
      <c r="F568" s="212">
        <v>7188</v>
      </c>
      <c r="G568" s="212" t="s">
        <v>1827</v>
      </c>
      <c r="H568" s="212" t="s">
        <v>1827</v>
      </c>
      <c r="I568" s="212" t="s">
        <v>1774</v>
      </c>
      <c r="J568" s="212" t="s">
        <v>1744</v>
      </c>
      <c r="K568" s="227" t="s">
        <v>269</v>
      </c>
      <c r="L568" s="227" t="s">
        <v>1725</v>
      </c>
      <c r="M568" t="s">
        <v>205</v>
      </c>
      <c r="N568" s="211">
        <v>-19.57</v>
      </c>
      <c r="O568" s="211">
        <v>-19.600000000000001</v>
      </c>
      <c r="P568" s="211">
        <v>7.1</v>
      </c>
      <c r="S568" s="211">
        <v>3</v>
      </c>
    </row>
    <row r="569" spans="1:19" ht="19">
      <c r="A569" s="212" t="s">
        <v>579</v>
      </c>
      <c r="B569" s="212" t="s">
        <v>580</v>
      </c>
      <c r="C569" s="233" t="s">
        <v>581</v>
      </c>
      <c r="D569" s="234" t="s">
        <v>151</v>
      </c>
      <c r="E569" s="212">
        <v>40449</v>
      </c>
      <c r="F569" s="212">
        <v>26</v>
      </c>
      <c r="G569" s="212" t="s">
        <v>1723</v>
      </c>
      <c r="H569" s="212" t="s">
        <v>1811</v>
      </c>
      <c r="I569" s="212" t="s">
        <v>1814</v>
      </c>
      <c r="J569" s="212" t="s">
        <v>225</v>
      </c>
      <c r="K569" s="227" t="s">
        <v>269</v>
      </c>
      <c r="L569" s="227" t="s">
        <v>1725</v>
      </c>
      <c r="M569" t="s">
        <v>1761</v>
      </c>
      <c r="N569" s="211">
        <v>-23.26</v>
      </c>
      <c r="O569" s="211">
        <v>-23.3</v>
      </c>
      <c r="P569" s="211">
        <v>2.4</v>
      </c>
      <c r="S569" s="211">
        <v>2.7</v>
      </c>
    </row>
    <row r="570" spans="1:19" ht="19">
      <c r="A570" s="212" t="s">
        <v>579</v>
      </c>
      <c r="B570" s="212" t="s">
        <v>580</v>
      </c>
      <c r="C570" s="233" t="s">
        <v>581</v>
      </c>
      <c r="D570" s="234" t="s">
        <v>151</v>
      </c>
      <c r="E570" s="212">
        <v>40450</v>
      </c>
      <c r="F570" s="212">
        <v>115</v>
      </c>
      <c r="G570" s="212" t="s">
        <v>1723</v>
      </c>
      <c r="H570" s="212" t="s">
        <v>1811</v>
      </c>
      <c r="I570" s="212" t="s">
        <v>1783</v>
      </c>
      <c r="J570" s="212" t="s">
        <v>1744</v>
      </c>
      <c r="K570" s="227" t="s">
        <v>269</v>
      </c>
      <c r="L570" s="227" t="s">
        <v>1725</v>
      </c>
      <c r="M570" t="s">
        <v>1738</v>
      </c>
      <c r="N570" s="211">
        <v>-19.510000000000002</v>
      </c>
      <c r="O570" s="211">
        <v>-19.5</v>
      </c>
      <c r="P570" s="211">
        <v>4</v>
      </c>
      <c r="S570" s="211">
        <v>3</v>
      </c>
    </row>
    <row r="571" spans="1:19" ht="19">
      <c r="A571" s="212" t="s">
        <v>579</v>
      </c>
      <c r="B571" s="212" t="s">
        <v>580</v>
      </c>
      <c r="C571" s="233" t="s">
        <v>581</v>
      </c>
      <c r="D571" s="234" t="s">
        <v>151</v>
      </c>
      <c r="E571" s="212">
        <v>40450</v>
      </c>
      <c r="F571" s="212">
        <v>200</v>
      </c>
      <c r="G571" s="212" t="s">
        <v>1723</v>
      </c>
      <c r="H571" s="212" t="s">
        <v>1811</v>
      </c>
      <c r="I571" s="212" t="s">
        <v>1783</v>
      </c>
      <c r="J571" s="212" t="s">
        <v>1744</v>
      </c>
      <c r="K571" s="227" t="s">
        <v>269</v>
      </c>
      <c r="L571" s="227" t="s">
        <v>1725</v>
      </c>
      <c r="M571" t="s">
        <v>1738</v>
      </c>
      <c r="N571" s="211">
        <v>-19.84</v>
      </c>
      <c r="O571" s="211">
        <v>-19.8</v>
      </c>
      <c r="P571" s="211">
        <v>2.7</v>
      </c>
      <c r="S571" s="211">
        <v>3.1</v>
      </c>
    </row>
    <row r="572" spans="1:19" ht="19">
      <c r="A572" s="212" t="s">
        <v>579</v>
      </c>
      <c r="B572" s="212" t="s">
        <v>580</v>
      </c>
      <c r="C572" s="233" t="s">
        <v>581</v>
      </c>
      <c r="D572" s="234" t="s">
        <v>151</v>
      </c>
      <c r="E572" s="212">
        <v>40450</v>
      </c>
      <c r="F572" s="212">
        <v>264</v>
      </c>
      <c r="G572" s="212" t="s">
        <v>1723</v>
      </c>
      <c r="H572" s="212" t="s">
        <v>1811</v>
      </c>
      <c r="I572" s="212" t="s">
        <v>1783</v>
      </c>
      <c r="J572" s="212" t="s">
        <v>1744</v>
      </c>
      <c r="K572" s="227" t="s">
        <v>269</v>
      </c>
      <c r="L572" s="227" t="s">
        <v>1725</v>
      </c>
      <c r="M572" t="s">
        <v>1738</v>
      </c>
      <c r="N572" s="211">
        <v>-19.920000000000002</v>
      </c>
      <c r="O572" s="211">
        <v>-19.899999999999999</v>
      </c>
      <c r="P572" s="211">
        <v>3.3</v>
      </c>
      <c r="S572" s="211">
        <v>3.3</v>
      </c>
    </row>
    <row r="573" spans="1:19" ht="19">
      <c r="A573" s="212" t="s">
        <v>579</v>
      </c>
      <c r="B573" s="212" t="s">
        <v>580</v>
      </c>
      <c r="C573" s="233" t="s">
        <v>581</v>
      </c>
      <c r="D573" s="234" t="s">
        <v>151</v>
      </c>
      <c r="E573" s="212">
        <v>40450</v>
      </c>
      <c r="F573" s="212">
        <v>268</v>
      </c>
      <c r="G573" s="212" t="s">
        <v>1723</v>
      </c>
      <c r="H573" s="212" t="s">
        <v>1811</v>
      </c>
      <c r="I573" s="212" t="s">
        <v>1783</v>
      </c>
      <c r="J573" s="212" t="s">
        <v>1744</v>
      </c>
      <c r="K573" s="227" t="s">
        <v>269</v>
      </c>
      <c r="L573" s="227" t="s">
        <v>1725</v>
      </c>
      <c r="M573" t="s">
        <v>1738</v>
      </c>
      <c r="N573" s="211">
        <v>-19.37</v>
      </c>
      <c r="O573" s="211">
        <v>-19.399999999999999</v>
      </c>
      <c r="P573" s="211">
        <v>3.3</v>
      </c>
      <c r="S573" s="211">
        <v>3.1</v>
      </c>
    </row>
    <row r="574" spans="1:19" ht="19">
      <c r="A574" s="212" t="s">
        <v>579</v>
      </c>
      <c r="B574" s="212" t="s">
        <v>580</v>
      </c>
      <c r="C574" s="233" t="s">
        <v>581</v>
      </c>
      <c r="D574" s="234" t="s">
        <v>151</v>
      </c>
      <c r="E574" s="212">
        <v>40450</v>
      </c>
      <c r="F574" s="212">
        <v>684</v>
      </c>
      <c r="G574" s="212" t="s">
        <v>1723</v>
      </c>
      <c r="H574" s="212" t="s">
        <v>1811</v>
      </c>
      <c r="I574" s="212" t="s">
        <v>1783</v>
      </c>
      <c r="J574" s="212" t="s">
        <v>1744</v>
      </c>
      <c r="K574" s="227" t="s">
        <v>269</v>
      </c>
      <c r="L574" s="227" t="s">
        <v>1725</v>
      </c>
      <c r="M574" t="s">
        <v>1738</v>
      </c>
      <c r="N574" s="211">
        <v>-18.39</v>
      </c>
      <c r="O574" s="211">
        <v>-18.399999999999999</v>
      </c>
      <c r="P574" s="211">
        <v>3.6</v>
      </c>
      <c r="S574" s="211">
        <v>2.9</v>
      </c>
    </row>
    <row r="575" spans="1:19" ht="19">
      <c r="A575" s="212" t="s">
        <v>579</v>
      </c>
      <c r="B575" s="212" t="s">
        <v>580</v>
      </c>
      <c r="C575" s="233" t="s">
        <v>581</v>
      </c>
      <c r="D575" s="234" t="s">
        <v>151</v>
      </c>
      <c r="E575" s="212">
        <v>40450</v>
      </c>
      <c r="F575" s="212">
        <v>685</v>
      </c>
      <c r="G575" s="212" t="s">
        <v>1723</v>
      </c>
      <c r="H575" s="212" t="s">
        <v>1811</v>
      </c>
      <c r="I575" s="212" t="s">
        <v>1783</v>
      </c>
      <c r="J575" s="212" t="s">
        <v>1744</v>
      </c>
      <c r="K575" s="227" t="s">
        <v>269</v>
      </c>
      <c r="L575" s="227" t="s">
        <v>1725</v>
      </c>
      <c r="M575" t="s">
        <v>1738</v>
      </c>
      <c r="N575" s="211">
        <v>-20.010000000000002</v>
      </c>
      <c r="O575" s="211">
        <v>-20</v>
      </c>
      <c r="P575" s="211">
        <v>3.3</v>
      </c>
      <c r="S575" s="211">
        <v>3</v>
      </c>
    </row>
    <row r="576" spans="1:19" ht="19">
      <c r="A576" s="212" t="s">
        <v>579</v>
      </c>
      <c r="B576" s="212" t="s">
        <v>580</v>
      </c>
      <c r="C576" s="233" t="s">
        <v>581</v>
      </c>
      <c r="D576" s="234" t="s">
        <v>151</v>
      </c>
      <c r="E576" s="212">
        <v>40450</v>
      </c>
      <c r="F576" s="212">
        <v>687</v>
      </c>
      <c r="G576" s="212" t="s">
        <v>1723</v>
      </c>
      <c r="H576" s="212" t="s">
        <v>1811</v>
      </c>
      <c r="I576" s="212" t="s">
        <v>1783</v>
      </c>
      <c r="J576" s="212" t="s">
        <v>1744</v>
      </c>
      <c r="K576" s="227" t="s">
        <v>269</v>
      </c>
      <c r="L576" s="227" t="s">
        <v>1725</v>
      </c>
      <c r="M576" t="s">
        <v>1738</v>
      </c>
      <c r="N576" s="211">
        <v>-18.760000000000002</v>
      </c>
      <c r="O576" s="211">
        <v>-18.8</v>
      </c>
      <c r="P576" s="211">
        <v>4.0999999999999996</v>
      </c>
      <c r="S576" s="211">
        <v>3.2</v>
      </c>
    </row>
    <row r="577" spans="1:19" ht="19">
      <c r="A577" s="212" t="s">
        <v>579</v>
      </c>
      <c r="B577" s="212" t="s">
        <v>580</v>
      </c>
      <c r="C577" s="233" t="s">
        <v>581</v>
      </c>
      <c r="D577" s="234" t="s">
        <v>151</v>
      </c>
      <c r="E577" s="212">
        <v>40450</v>
      </c>
      <c r="F577" s="212">
        <v>690</v>
      </c>
      <c r="G577" s="212" t="s">
        <v>1723</v>
      </c>
      <c r="H577" s="212" t="s">
        <v>1811</v>
      </c>
      <c r="I577" s="212" t="s">
        <v>1783</v>
      </c>
      <c r="J577" s="212" t="s">
        <v>1744</v>
      </c>
      <c r="K577" s="227" t="s">
        <v>269</v>
      </c>
      <c r="L577" s="227" t="s">
        <v>1725</v>
      </c>
      <c r="M577" t="s">
        <v>1738</v>
      </c>
      <c r="N577" s="211">
        <v>-19.670000000000002</v>
      </c>
      <c r="O577" s="211">
        <v>-19.7</v>
      </c>
      <c r="P577" s="211">
        <v>2.2000000000000002</v>
      </c>
      <c r="S577" s="211">
        <v>3.1</v>
      </c>
    </row>
    <row r="578" spans="1:19" ht="19">
      <c r="A578" s="212" t="s">
        <v>579</v>
      </c>
      <c r="B578" s="212" t="s">
        <v>580</v>
      </c>
      <c r="C578" s="233" t="s">
        <v>581</v>
      </c>
      <c r="D578" s="234" t="s">
        <v>151</v>
      </c>
      <c r="E578" s="212">
        <v>40450</v>
      </c>
      <c r="F578" s="212">
        <v>1025</v>
      </c>
      <c r="G578" s="212" t="s">
        <v>1723</v>
      </c>
      <c r="H578" s="212" t="s">
        <v>1811</v>
      </c>
      <c r="I578" s="212" t="s">
        <v>1783</v>
      </c>
      <c r="J578" s="212" t="s">
        <v>1744</v>
      </c>
      <c r="K578" s="227" t="s">
        <v>269</v>
      </c>
      <c r="L578" s="227" t="s">
        <v>1725</v>
      </c>
      <c r="M578" t="s">
        <v>1738</v>
      </c>
      <c r="N578" s="211">
        <v>-21.43</v>
      </c>
      <c r="O578" s="211">
        <v>-21.4</v>
      </c>
      <c r="P578" s="211">
        <v>3.2</v>
      </c>
      <c r="S578" s="211">
        <v>2.9</v>
      </c>
    </row>
    <row r="579" spans="1:19" ht="19">
      <c r="A579" s="212" t="s">
        <v>579</v>
      </c>
      <c r="B579" s="212" t="s">
        <v>580</v>
      </c>
      <c r="C579" s="233" t="s">
        <v>581</v>
      </c>
      <c r="D579" s="234" t="s">
        <v>151</v>
      </c>
      <c r="E579" s="212">
        <v>40450</v>
      </c>
      <c r="F579" s="212">
        <v>1034</v>
      </c>
      <c r="G579" s="212" t="s">
        <v>1723</v>
      </c>
      <c r="H579" s="212" t="s">
        <v>1811</v>
      </c>
      <c r="I579" s="212" t="s">
        <v>1783</v>
      </c>
      <c r="J579" s="212" t="s">
        <v>1744</v>
      </c>
      <c r="K579" s="227" t="s">
        <v>269</v>
      </c>
      <c r="L579" s="227" t="s">
        <v>1725</v>
      </c>
      <c r="M579" t="s">
        <v>1738</v>
      </c>
      <c r="N579" s="211">
        <v>-20.93</v>
      </c>
      <c r="O579" s="211">
        <v>-20.9</v>
      </c>
      <c r="P579" s="211">
        <v>2.7</v>
      </c>
      <c r="S579" s="211">
        <v>3</v>
      </c>
    </row>
    <row r="580" spans="1:19" ht="19">
      <c r="A580" s="212" t="s">
        <v>579</v>
      </c>
      <c r="B580" s="212" t="s">
        <v>580</v>
      </c>
      <c r="C580" s="233" t="s">
        <v>581</v>
      </c>
      <c r="D580" s="234" t="s">
        <v>151</v>
      </c>
      <c r="E580" s="212">
        <v>40450</v>
      </c>
      <c r="F580" s="212">
        <v>1622</v>
      </c>
      <c r="G580" s="212" t="s">
        <v>1723</v>
      </c>
      <c r="H580" s="212" t="s">
        <v>1811</v>
      </c>
      <c r="I580" s="212" t="s">
        <v>1783</v>
      </c>
      <c r="J580" s="212" t="s">
        <v>1744</v>
      </c>
      <c r="K580" s="227" t="s">
        <v>269</v>
      </c>
      <c r="L580" s="227" t="s">
        <v>1725</v>
      </c>
      <c r="M580" t="s">
        <v>1738</v>
      </c>
      <c r="N580" s="211">
        <v>-18.22</v>
      </c>
      <c r="O580" s="211">
        <v>-18.2</v>
      </c>
      <c r="P580" s="211">
        <v>2.9</v>
      </c>
      <c r="S580" s="211">
        <v>2.9</v>
      </c>
    </row>
    <row r="581" spans="1:19" ht="19">
      <c r="A581" s="212" t="s">
        <v>579</v>
      </c>
      <c r="B581" s="212" t="s">
        <v>580</v>
      </c>
      <c r="C581" s="233" t="s">
        <v>581</v>
      </c>
      <c r="D581" s="234" t="s">
        <v>151</v>
      </c>
      <c r="E581" s="212">
        <v>41229</v>
      </c>
      <c r="F581" s="212">
        <v>57</v>
      </c>
      <c r="G581" s="212" t="s">
        <v>1723</v>
      </c>
      <c r="H581" s="212" t="s">
        <v>1811</v>
      </c>
      <c r="I581" s="212" t="s">
        <v>1742</v>
      </c>
      <c r="J581" s="212" t="s">
        <v>1728</v>
      </c>
      <c r="K581" s="227" t="s">
        <v>269</v>
      </c>
      <c r="L581" s="227" t="s">
        <v>1725</v>
      </c>
      <c r="M581" t="s">
        <v>1738</v>
      </c>
      <c r="N581" s="211">
        <v>-17.649999999999999</v>
      </c>
      <c r="O581" s="211">
        <v>-17.7</v>
      </c>
      <c r="P581" s="211">
        <v>5.2</v>
      </c>
      <c r="S581" s="211">
        <v>2.9</v>
      </c>
    </row>
    <row r="582" spans="1:19" ht="19">
      <c r="A582" s="212" t="s">
        <v>579</v>
      </c>
      <c r="B582" s="212" t="s">
        <v>580</v>
      </c>
      <c r="C582" s="233" t="s">
        <v>581</v>
      </c>
      <c r="D582" s="234" t="s">
        <v>151</v>
      </c>
      <c r="E582" s="212">
        <v>41229</v>
      </c>
      <c r="F582" s="212">
        <v>72</v>
      </c>
      <c r="G582" s="212" t="s">
        <v>1723</v>
      </c>
      <c r="H582" s="212" t="s">
        <v>1811</v>
      </c>
      <c r="I582" s="212" t="s">
        <v>1137</v>
      </c>
      <c r="J582" s="212" t="s">
        <v>225</v>
      </c>
      <c r="K582" s="227" t="s">
        <v>269</v>
      </c>
      <c r="L582" s="227" t="s">
        <v>1725</v>
      </c>
      <c r="M582" t="s">
        <v>1738</v>
      </c>
      <c r="N582" s="211">
        <v>-14.88</v>
      </c>
      <c r="O582" s="211">
        <v>-14.9</v>
      </c>
      <c r="P582" s="211">
        <v>3.9</v>
      </c>
      <c r="S582" s="211">
        <v>3</v>
      </c>
    </row>
    <row r="583" spans="1:19" ht="19">
      <c r="A583" s="212" t="s">
        <v>579</v>
      </c>
      <c r="B583" s="212" t="s">
        <v>580</v>
      </c>
      <c r="C583" s="233" t="s">
        <v>581</v>
      </c>
      <c r="D583" s="234" t="s">
        <v>151</v>
      </c>
      <c r="E583" s="212">
        <v>41229</v>
      </c>
      <c r="F583" s="212">
        <v>224</v>
      </c>
      <c r="G583" s="212" t="s">
        <v>1723</v>
      </c>
      <c r="H583" s="212" t="s">
        <v>1811</v>
      </c>
      <c r="I583" s="212" t="s">
        <v>1742</v>
      </c>
      <c r="J583" s="212" t="s">
        <v>1728</v>
      </c>
      <c r="K583" s="227" t="s">
        <v>269</v>
      </c>
      <c r="L583" s="227" t="s">
        <v>1725</v>
      </c>
      <c r="M583" t="s">
        <v>1738</v>
      </c>
      <c r="N583" s="211">
        <v>-16.649999999999999</v>
      </c>
      <c r="O583" s="211">
        <v>-16.7</v>
      </c>
      <c r="P583" s="211">
        <v>5.2</v>
      </c>
      <c r="S583" s="211">
        <v>2.9</v>
      </c>
    </row>
    <row r="584" spans="1:19" ht="19">
      <c r="A584" s="212" t="s">
        <v>579</v>
      </c>
      <c r="B584" s="212" t="s">
        <v>580</v>
      </c>
      <c r="C584" s="233" t="s">
        <v>581</v>
      </c>
      <c r="D584" s="234" t="s">
        <v>151</v>
      </c>
      <c r="E584" s="212">
        <v>41229</v>
      </c>
      <c r="F584" s="212">
        <v>225</v>
      </c>
      <c r="G584" s="212" t="s">
        <v>1723</v>
      </c>
      <c r="H584" s="212" t="s">
        <v>1811</v>
      </c>
      <c r="I584" s="212" t="s">
        <v>1742</v>
      </c>
      <c r="J584" s="212" t="s">
        <v>1728</v>
      </c>
      <c r="K584" s="227" t="s">
        <v>269</v>
      </c>
      <c r="L584" s="227" t="s">
        <v>1725</v>
      </c>
      <c r="M584" t="s">
        <v>1738</v>
      </c>
      <c r="N584" s="211">
        <v>-15.37</v>
      </c>
      <c r="O584" s="211">
        <v>-15.4</v>
      </c>
      <c r="P584" s="211">
        <v>7.3</v>
      </c>
      <c r="S584" s="211">
        <v>2.8</v>
      </c>
    </row>
    <row r="585" spans="1:19" ht="19">
      <c r="A585" s="212" t="s">
        <v>579</v>
      </c>
      <c r="B585" s="212" t="s">
        <v>580</v>
      </c>
      <c r="C585" s="233" t="s">
        <v>581</v>
      </c>
      <c r="D585" s="234" t="s">
        <v>151</v>
      </c>
      <c r="E585" s="212">
        <v>41229</v>
      </c>
      <c r="F585" s="212">
        <v>305</v>
      </c>
      <c r="G585" s="212" t="s">
        <v>1723</v>
      </c>
      <c r="H585" s="212" t="s">
        <v>1811</v>
      </c>
      <c r="I585" s="212" t="s">
        <v>1742</v>
      </c>
      <c r="J585" s="212" t="s">
        <v>1728</v>
      </c>
      <c r="K585" s="227" t="s">
        <v>269</v>
      </c>
      <c r="L585" s="227" t="s">
        <v>1725</v>
      </c>
      <c r="M585" t="s">
        <v>1738</v>
      </c>
      <c r="N585" s="211">
        <v>-19.100000000000001</v>
      </c>
      <c r="O585" s="211">
        <v>-19.100000000000001</v>
      </c>
      <c r="P585" s="211">
        <v>6.9</v>
      </c>
      <c r="S585" s="211">
        <v>3.2</v>
      </c>
    </row>
    <row r="586" spans="1:19" ht="19">
      <c r="A586" s="212" t="s">
        <v>579</v>
      </c>
      <c r="B586" s="212" t="s">
        <v>580</v>
      </c>
      <c r="C586" s="233" t="s">
        <v>581</v>
      </c>
      <c r="D586" s="234" t="s">
        <v>151</v>
      </c>
      <c r="E586" s="212">
        <v>41229</v>
      </c>
      <c r="F586" s="212">
        <v>306</v>
      </c>
      <c r="G586" s="212" t="s">
        <v>1723</v>
      </c>
      <c r="H586" s="212" t="s">
        <v>1811</v>
      </c>
      <c r="I586" s="212" t="s">
        <v>1742</v>
      </c>
      <c r="J586" s="212" t="s">
        <v>1728</v>
      </c>
      <c r="K586" s="227" t="s">
        <v>269</v>
      </c>
      <c r="L586" s="227" t="s">
        <v>1725</v>
      </c>
      <c r="M586" t="s">
        <v>1738</v>
      </c>
      <c r="N586" s="211">
        <v>-19.39</v>
      </c>
      <c r="O586" s="211">
        <v>-19.399999999999999</v>
      </c>
      <c r="P586" s="211">
        <v>4.0999999999999996</v>
      </c>
      <c r="S586" s="211">
        <v>3</v>
      </c>
    </row>
    <row r="587" spans="1:19" ht="19">
      <c r="A587" s="212" t="s">
        <v>579</v>
      </c>
      <c r="B587" s="212" t="s">
        <v>580</v>
      </c>
      <c r="C587" s="233" t="s">
        <v>581</v>
      </c>
      <c r="D587" s="234" t="s">
        <v>151</v>
      </c>
      <c r="E587" s="212">
        <v>41229</v>
      </c>
      <c r="F587" s="212">
        <v>352</v>
      </c>
      <c r="G587" s="212" t="s">
        <v>1723</v>
      </c>
      <c r="H587" s="212" t="s">
        <v>1811</v>
      </c>
      <c r="I587" s="212" t="s">
        <v>1742</v>
      </c>
      <c r="J587" s="212" t="s">
        <v>1744</v>
      </c>
      <c r="K587" s="227" t="s">
        <v>269</v>
      </c>
      <c r="L587" s="227" t="s">
        <v>1725</v>
      </c>
      <c r="M587" t="s">
        <v>1738</v>
      </c>
      <c r="N587" s="211">
        <v>-11.84</v>
      </c>
      <c r="O587" s="211">
        <v>-11.8</v>
      </c>
      <c r="P587" s="211">
        <v>10.6</v>
      </c>
      <c r="S587" s="211">
        <v>2.8</v>
      </c>
    </row>
    <row r="588" spans="1:19" ht="19">
      <c r="A588" s="212" t="s">
        <v>579</v>
      </c>
      <c r="B588" s="212" t="s">
        <v>580</v>
      </c>
      <c r="C588" s="233" t="s">
        <v>581</v>
      </c>
      <c r="D588" s="234" t="s">
        <v>151</v>
      </c>
      <c r="E588" s="212">
        <v>41229</v>
      </c>
      <c r="F588" s="212">
        <v>411</v>
      </c>
      <c r="G588" s="212" t="s">
        <v>1723</v>
      </c>
      <c r="H588" s="212" t="s">
        <v>1811</v>
      </c>
      <c r="I588" s="212" t="s">
        <v>1742</v>
      </c>
      <c r="J588" s="212" t="s">
        <v>1744</v>
      </c>
      <c r="K588" s="227" t="s">
        <v>269</v>
      </c>
      <c r="L588" s="227" t="s">
        <v>1725</v>
      </c>
      <c r="M588" t="s">
        <v>1738</v>
      </c>
      <c r="N588" s="211">
        <v>-16.899999999999999</v>
      </c>
      <c r="O588" s="211">
        <v>-16.899999999999999</v>
      </c>
      <c r="P588" s="211">
        <v>7.6</v>
      </c>
      <c r="S588" s="211">
        <v>2.9</v>
      </c>
    </row>
    <row r="589" spans="1:19" ht="19">
      <c r="A589" s="212" t="s">
        <v>579</v>
      </c>
      <c r="B589" s="212" t="s">
        <v>580</v>
      </c>
      <c r="C589" s="233" t="s">
        <v>581</v>
      </c>
      <c r="D589" s="234" t="s">
        <v>151</v>
      </c>
      <c r="E589" s="212">
        <v>41229</v>
      </c>
      <c r="F589" s="212">
        <v>694</v>
      </c>
      <c r="G589" s="212" t="s">
        <v>1723</v>
      </c>
      <c r="H589" s="212" t="s">
        <v>1811</v>
      </c>
      <c r="I589" s="212" t="s">
        <v>1137</v>
      </c>
      <c r="J589" s="212" t="s">
        <v>225</v>
      </c>
      <c r="K589" s="227" t="s">
        <v>269</v>
      </c>
      <c r="L589" s="227" t="s">
        <v>1725</v>
      </c>
      <c r="M589" t="s">
        <v>1738</v>
      </c>
      <c r="N589" s="211">
        <v>-13.59</v>
      </c>
      <c r="O589" s="211">
        <v>-13.6</v>
      </c>
      <c r="P589" s="211">
        <v>5.4</v>
      </c>
      <c r="S589" s="211">
        <v>2.8</v>
      </c>
    </row>
    <row r="590" spans="1:19" ht="19">
      <c r="A590" s="212" t="s">
        <v>579</v>
      </c>
      <c r="B590" s="212" t="s">
        <v>580</v>
      </c>
      <c r="C590" s="233" t="s">
        <v>581</v>
      </c>
      <c r="D590" s="234" t="s">
        <v>151</v>
      </c>
      <c r="E590" s="212">
        <v>41229</v>
      </c>
      <c r="F590" s="212">
        <v>710</v>
      </c>
      <c r="G590" s="212" t="s">
        <v>1723</v>
      </c>
      <c r="H590" s="212" t="s">
        <v>1811</v>
      </c>
      <c r="I590" s="212" t="s">
        <v>1137</v>
      </c>
      <c r="J590" s="212" t="s">
        <v>225</v>
      </c>
      <c r="K590" s="227" t="s">
        <v>269</v>
      </c>
      <c r="L590" s="227" t="s">
        <v>1725</v>
      </c>
      <c r="M590" t="s">
        <v>1738</v>
      </c>
      <c r="N590" s="211">
        <v>-13.8</v>
      </c>
      <c r="O590" s="211">
        <v>-13.8</v>
      </c>
      <c r="P590" s="211">
        <v>4.9000000000000004</v>
      </c>
      <c r="S590" s="211">
        <v>2.9</v>
      </c>
    </row>
    <row r="591" spans="1:19" ht="19">
      <c r="A591" s="212" t="s">
        <v>579</v>
      </c>
      <c r="B591" s="212" t="s">
        <v>580</v>
      </c>
      <c r="C591" s="233" t="s">
        <v>581</v>
      </c>
      <c r="D591" s="234" t="s">
        <v>151</v>
      </c>
      <c r="E591" s="212">
        <v>41229</v>
      </c>
      <c r="F591" s="212">
        <v>722</v>
      </c>
      <c r="G591" s="212" t="s">
        <v>1723</v>
      </c>
      <c r="H591" s="212" t="s">
        <v>1811</v>
      </c>
      <c r="I591" s="212" t="s">
        <v>1742</v>
      </c>
      <c r="J591" s="212" t="s">
        <v>1728</v>
      </c>
      <c r="K591" s="227" t="s">
        <v>269</v>
      </c>
      <c r="L591" s="227" t="s">
        <v>1725</v>
      </c>
      <c r="M591" t="s">
        <v>1761</v>
      </c>
      <c r="N591" s="211">
        <v>-14.69</v>
      </c>
      <c r="O591" s="211">
        <v>-14.7</v>
      </c>
      <c r="P591" s="211">
        <v>6.2</v>
      </c>
      <c r="S591" s="211">
        <v>2.8</v>
      </c>
    </row>
    <row r="592" spans="1:19" ht="19">
      <c r="A592" s="212" t="s">
        <v>579</v>
      </c>
      <c r="B592" s="212" t="s">
        <v>580</v>
      </c>
      <c r="C592" s="233" t="s">
        <v>581</v>
      </c>
      <c r="D592" s="234" t="s">
        <v>151</v>
      </c>
      <c r="E592" s="212">
        <v>41229</v>
      </c>
      <c r="F592" s="212">
        <v>743</v>
      </c>
      <c r="G592" s="212" t="s">
        <v>1723</v>
      </c>
      <c r="H592" s="212" t="s">
        <v>1811</v>
      </c>
      <c r="I592" s="212" t="s">
        <v>1742</v>
      </c>
      <c r="J592" s="212" t="s">
        <v>1744</v>
      </c>
      <c r="K592" s="227" t="s">
        <v>269</v>
      </c>
      <c r="L592" s="227" t="s">
        <v>1725</v>
      </c>
      <c r="M592" t="s">
        <v>1869</v>
      </c>
      <c r="N592" s="211">
        <v>-14.66</v>
      </c>
      <c r="O592" s="211">
        <v>-14.7</v>
      </c>
      <c r="P592" s="211">
        <v>8</v>
      </c>
      <c r="S592" s="211">
        <v>2.8</v>
      </c>
    </row>
    <row r="593" spans="1:19" ht="19">
      <c r="A593" s="212" t="s">
        <v>579</v>
      </c>
      <c r="B593" s="212" t="s">
        <v>580</v>
      </c>
      <c r="C593" s="233" t="s">
        <v>581</v>
      </c>
      <c r="D593" s="234" t="s">
        <v>151</v>
      </c>
      <c r="E593" s="212">
        <v>41229</v>
      </c>
      <c r="F593" s="212">
        <v>744</v>
      </c>
      <c r="G593" s="212" t="s">
        <v>1723</v>
      </c>
      <c r="H593" s="212" t="s">
        <v>1811</v>
      </c>
      <c r="I593" s="212" t="s">
        <v>1742</v>
      </c>
      <c r="J593" s="212" t="s">
        <v>1744</v>
      </c>
      <c r="K593" s="227" t="s">
        <v>269</v>
      </c>
      <c r="L593" s="227" t="s">
        <v>1725</v>
      </c>
      <c r="M593" t="s">
        <v>1750</v>
      </c>
      <c r="N593" s="211">
        <v>-17.79</v>
      </c>
      <c r="O593" s="211">
        <v>-17.8</v>
      </c>
      <c r="P593" s="211">
        <v>6.7</v>
      </c>
      <c r="S593" s="211">
        <v>2.9</v>
      </c>
    </row>
    <row r="594" spans="1:19" ht="19">
      <c r="A594" s="212" t="s">
        <v>579</v>
      </c>
      <c r="B594" s="212" t="s">
        <v>580</v>
      </c>
      <c r="C594" s="233" t="s">
        <v>581</v>
      </c>
      <c r="D594" s="234" t="s">
        <v>151</v>
      </c>
      <c r="E594" s="212">
        <v>41229</v>
      </c>
      <c r="F594" s="212">
        <v>883</v>
      </c>
      <c r="G594" s="212" t="s">
        <v>1723</v>
      </c>
      <c r="H594" s="212" t="s">
        <v>1811</v>
      </c>
      <c r="I594" s="212" t="s">
        <v>1742</v>
      </c>
      <c r="J594" s="212" t="s">
        <v>1728</v>
      </c>
      <c r="K594" s="227" t="s">
        <v>269</v>
      </c>
      <c r="L594" s="227" t="s">
        <v>1725</v>
      </c>
      <c r="M594" t="s">
        <v>1738</v>
      </c>
      <c r="N594" s="211">
        <v>-16.309999999999999</v>
      </c>
      <c r="O594" s="211">
        <v>-16.3</v>
      </c>
      <c r="P594" s="211">
        <v>7.9</v>
      </c>
      <c r="S594" s="211">
        <v>3</v>
      </c>
    </row>
    <row r="595" spans="1:19" ht="19">
      <c r="A595" s="212" t="s">
        <v>579</v>
      </c>
      <c r="B595" s="212" t="s">
        <v>580</v>
      </c>
      <c r="C595" s="233" t="s">
        <v>581</v>
      </c>
      <c r="D595" s="234" t="s">
        <v>151</v>
      </c>
      <c r="E595" s="212">
        <v>41229</v>
      </c>
      <c r="F595" s="212">
        <v>885</v>
      </c>
      <c r="G595" s="212" t="s">
        <v>1723</v>
      </c>
      <c r="H595" s="212" t="s">
        <v>1811</v>
      </c>
      <c r="I595" s="212" t="s">
        <v>1137</v>
      </c>
      <c r="J595" s="212" t="s">
        <v>225</v>
      </c>
      <c r="K595" s="227" t="s">
        <v>269</v>
      </c>
      <c r="L595" s="227" t="s">
        <v>1725</v>
      </c>
      <c r="M595" t="s">
        <v>1761</v>
      </c>
      <c r="N595" s="211">
        <v>-18.68</v>
      </c>
      <c r="O595" s="211">
        <v>-18.7</v>
      </c>
      <c r="P595" s="211">
        <v>5</v>
      </c>
      <c r="S595" s="211">
        <v>2.8</v>
      </c>
    </row>
    <row r="596" spans="1:19" ht="19">
      <c r="A596" s="212" t="s">
        <v>579</v>
      </c>
      <c r="B596" s="212" t="s">
        <v>580</v>
      </c>
      <c r="C596" s="233" t="s">
        <v>581</v>
      </c>
      <c r="D596" s="234" t="s">
        <v>151</v>
      </c>
      <c r="E596" s="212">
        <v>41229</v>
      </c>
      <c r="F596" s="212">
        <v>894</v>
      </c>
      <c r="G596" s="212" t="s">
        <v>1723</v>
      </c>
      <c r="H596" s="212" t="s">
        <v>1811</v>
      </c>
      <c r="I596" s="212" t="s">
        <v>1742</v>
      </c>
      <c r="J596" s="212" t="s">
        <v>1728</v>
      </c>
      <c r="K596" s="227" t="s">
        <v>269</v>
      </c>
      <c r="L596" s="227" t="s">
        <v>1725</v>
      </c>
      <c r="M596" t="s">
        <v>1738</v>
      </c>
      <c r="N596" s="211">
        <v>-22.09</v>
      </c>
      <c r="O596" s="211">
        <v>-22.1</v>
      </c>
      <c r="P596" s="211">
        <v>5.2</v>
      </c>
      <c r="S596" s="211">
        <v>3</v>
      </c>
    </row>
    <row r="597" spans="1:19" ht="19">
      <c r="A597" s="212" t="s">
        <v>579</v>
      </c>
      <c r="B597" s="212" t="s">
        <v>580</v>
      </c>
      <c r="C597" s="233" t="s">
        <v>581</v>
      </c>
      <c r="D597" s="234" t="s">
        <v>151</v>
      </c>
      <c r="E597" s="212">
        <v>41229</v>
      </c>
      <c r="F597" s="212">
        <v>931</v>
      </c>
      <c r="G597" s="212" t="s">
        <v>1723</v>
      </c>
      <c r="H597" s="212" t="s">
        <v>1811</v>
      </c>
      <c r="I597" s="212" t="s">
        <v>1742</v>
      </c>
      <c r="J597" s="212" t="s">
        <v>1728</v>
      </c>
      <c r="K597" s="227" t="s">
        <v>269</v>
      </c>
      <c r="L597" s="227" t="s">
        <v>1725</v>
      </c>
      <c r="M597" t="s">
        <v>1805</v>
      </c>
      <c r="N597" s="211">
        <v>-14.17</v>
      </c>
      <c r="O597" s="211">
        <v>-14.2</v>
      </c>
      <c r="P597" s="211">
        <v>7.1</v>
      </c>
      <c r="S597" s="211">
        <v>2.9</v>
      </c>
    </row>
    <row r="598" spans="1:19" ht="19">
      <c r="A598" s="212" t="s">
        <v>579</v>
      </c>
      <c r="B598" s="212" t="s">
        <v>580</v>
      </c>
      <c r="C598" s="233" t="s">
        <v>581</v>
      </c>
      <c r="D598" s="234" t="s">
        <v>151</v>
      </c>
      <c r="E598" s="212">
        <v>41229</v>
      </c>
      <c r="F598" s="212">
        <v>970</v>
      </c>
      <c r="G598" s="212" t="s">
        <v>1723</v>
      </c>
      <c r="H598" s="212" t="s">
        <v>1811</v>
      </c>
      <c r="I598" s="212" t="s">
        <v>1137</v>
      </c>
      <c r="J598" s="212" t="s">
        <v>225</v>
      </c>
      <c r="K598" s="227" t="s">
        <v>269</v>
      </c>
      <c r="L598" s="227" t="s">
        <v>1725</v>
      </c>
      <c r="M598" t="s">
        <v>1761</v>
      </c>
      <c r="N598" s="211">
        <v>-14.67</v>
      </c>
      <c r="O598" s="211">
        <v>-14.7</v>
      </c>
      <c r="P598" s="211">
        <v>4.2</v>
      </c>
      <c r="S598" s="211">
        <v>2.8</v>
      </c>
    </row>
    <row r="599" spans="1:19" ht="19">
      <c r="A599" s="212" t="s">
        <v>579</v>
      </c>
      <c r="B599" s="212" t="s">
        <v>580</v>
      </c>
      <c r="C599" s="233" t="s">
        <v>581</v>
      </c>
      <c r="D599" s="234" t="s">
        <v>151</v>
      </c>
      <c r="E599" s="212">
        <v>41229</v>
      </c>
      <c r="F599" s="212">
        <v>986</v>
      </c>
      <c r="G599" s="212" t="s">
        <v>1723</v>
      </c>
      <c r="H599" s="212" t="s">
        <v>1811</v>
      </c>
      <c r="I599" s="212" t="s">
        <v>1137</v>
      </c>
      <c r="J599" s="212" t="s">
        <v>1744</v>
      </c>
      <c r="K599" s="227" t="s">
        <v>269</v>
      </c>
      <c r="L599" s="227" t="s">
        <v>1725</v>
      </c>
      <c r="M599" t="s">
        <v>1750</v>
      </c>
      <c r="N599" s="211">
        <v>-14.85</v>
      </c>
      <c r="O599" s="211">
        <v>-14.9</v>
      </c>
      <c r="P599" s="211">
        <v>7.5</v>
      </c>
      <c r="S599" s="211">
        <v>2.9</v>
      </c>
    </row>
    <row r="600" spans="1:19" ht="19">
      <c r="A600" s="212" t="s">
        <v>579</v>
      </c>
      <c r="B600" s="212" t="s">
        <v>580</v>
      </c>
      <c r="C600" s="233" t="s">
        <v>581</v>
      </c>
      <c r="D600" s="234" t="s">
        <v>151</v>
      </c>
      <c r="E600" s="212">
        <v>41229</v>
      </c>
      <c r="F600" s="212">
        <v>999</v>
      </c>
      <c r="G600" s="212" t="s">
        <v>1723</v>
      </c>
      <c r="H600" s="212" t="s">
        <v>1811</v>
      </c>
      <c r="I600" s="212" t="s">
        <v>1137</v>
      </c>
      <c r="J600" s="212" t="s">
        <v>225</v>
      </c>
      <c r="K600" s="227" t="s">
        <v>269</v>
      </c>
      <c r="L600" s="227" t="s">
        <v>1725</v>
      </c>
      <c r="M600" t="s">
        <v>1750</v>
      </c>
      <c r="N600" s="211">
        <v>-16.98</v>
      </c>
      <c r="O600" s="211">
        <v>-17</v>
      </c>
      <c r="P600" s="211">
        <v>4.7</v>
      </c>
      <c r="S600" s="211">
        <v>2.9</v>
      </c>
    </row>
    <row r="601" spans="1:19" ht="19">
      <c r="A601" s="212" t="s">
        <v>579</v>
      </c>
      <c r="B601" s="212" t="s">
        <v>580</v>
      </c>
      <c r="C601" s="233" t="s">
        <v>581</v>
      </c>
      <c r="D601" s="234" t="s">
        <v>151</v>
      </c>
      <c r="E601" s="212">
        <v>41229</v>
      </c>
      <c r="F601" s="212">
        <v>1145</v>
      </c>
      <c r="G601" s="212" t="s">
        <v>1723</v>
      </c>
      <c r="H601" s="212" t="s">
        <v>1811</v>
      </c>
      <c r="I601" s="212" t="s">
        <v>1137</v>
      </c>
      <c r="J601" s="212" t="s">
        <v>225</v>
      </c>
      <c r="K601" s="227" t="s">
        <v>269</v>
      </c>
      <c r="L601" s="227" t="s">
        <v>1725</v>
      </c>
      <c r="M601" t="s">
        <v>1738</v>
      </c>
      <c r="N601" s="211">
        <v>-19.43</v>
      </c>
      <c r="O601" s="211">
        <v>-19.399999999999999</v>
      </c>
      <c r="P601" s="211">
        <v>5.4</v>
      </c>
      <c r="S601" s="211">
        <v>3.3</v>
      </c>
    </row>
    <row r="602" spans="1:19" ht="19">
      <c r="A602" s="212" t="s">
        <v>579</v>
      </c>
      <c r="B602" s="212" t="s">
        <v>580</v>
      </c>
      <c r="C602" s="233" t="s">
        <v>581</v>
      </c>
      <c r="D602" s="234" t="s">
        <v>151</v>
      </c>
      <c r="E602" s="212">
        <v>41229</v>
      </c>
      <c r="F602" s="212">
        <v>1148</v>
      </c>
      <c r="G602" s="212" t="s">
        <v>1723</v>
      </c>
      <c r="H602" s="212" t="s">
        <v>1811</v>
      </c>
      <c r="I602" s="212" t="s">
        <v>1137</v>
      </c>
      <c r="J602" s="212" t="s">
        <v>225</v>
      </c>
      <c r="K602" s="227" t="s">
        <v>269</v>
      </c>
      <c r="L602" s="227" t="s">
        <v>1725</v>
      </c>
      <c r="M602" t="s">
        <v>1738</v>
      </c>
      <c r="N602" s="211">
        <v>-11.52</v>
      </c>
      <c r="O602" s="211">
        <v>-11.5</v>
      </c>
      <c r="P602" s="211">
        <v>7</v>
      </c>
      <c r="S602" s="211">
        <v>2.9</v>
      </c>
    </row>
    <row r="603" spans="1:19" ht="19">
      <c r="A603" s="212" t="s">
        <v>579</v>
      </c>
      <c r="B603" s="212" t="s">
        <v>580</v>
      </c>
      <c r="C603" s="233" t="s">
        <v>581</v>
      </c>
      <c r="D603" s="234" t="s">
        <v>151</v>
      </c>
      <c r="E603" s="212">
        <v>41229</v>
      </c>
      <c r="F603" s="212">
        <v>1286</v>
      </c>
      <c r="G603" s="212" t="s">
        <v>1723</v>
      </c>
      <c r="H603" s="212" t="s">
        <v>1811</v>
      </c>
      <c r="I603" s="212" t="s">
        <v>1137</v>
      </c>
      <c r="J603" s="212" t="s">
        <v>225</v>
      </c>
      <c r="K603" s="227" t="s">
        <v>269</v>
      </c>
      <c r="L603" s="227" t="s">
        <v>1725</v>
      </c>
      <c r="M603" t="s">
        <v>1757</v>
      </c>
      <c r="N603" s="211">
        <v>-15.58</v>
      </c>
      <c r="O603" s="211">
        <v>-15.6</v>
      </c>
      <c r="P603" s="211">
        <v>6.1</v>
      </c>
      <c r="S603" s="211">
        <v>2.8</v>
      </c>
    </row>
    <row r="604" spans="1:19" ht="19">
      <c r="A604" s="212" t="s">
        <v>579</v>
      </c>
      <c r="B604" s="212" t="s">
        <v>580</v>
      </c>
      <c r="C604" s="233" t="s">
        <v>581</v>
      </c>
      <c r="D604" s="234" t="s">
        <v>151</v>
      </c>
      <c r="E604" s="212">
        <v>41229</v>
      </c>
      <c r="F604" s="212">
        <v>1290</v>
      </c>
      <c r="G604" s="212" t="s">
        <v>1723</v>
      </c>
      <c r="H604" s="212" t="s">
        <v>1811</v>
      </c>
      <c r="I604" s="212" t="s">
        <v>1137</v>
      </c>
      <c r="J604" s="212" t="s">
        <v>225</v>
      </c>
      <c r="K604" s="227" t="s">
        <v>269</v>
      </c>
      <c r="L604" s="227" t="s">
        <v>1725</v>
      </c>
      <c r="M604" t="s">
        <v>1757</v>
      </c>
      <c r="N604" s="211">
        <v>-12.91</v>
      </c>
      <c r="O604" s="211">
        <v>-12.9</v>
      </c>
      <c r="P604" s="211">
        <v>4.5999999999999996</v>
      </c>
      <c r="S604" s="211">
        <v>2.7</v>
      </c>
    </row>
    <row r="605" spans="1:19" ht="19">
      <c r="A605" s="212" t="s">
        <v>579</v>
      </c>
      <c r="B605" s="212" t="s">
        <v>580</v>
      </c>
      <c r="C605" s="233" t="s">
        <v>581</v>
      </c>
      <c r="D605" s="234" t="s">
        <v>151</v>
      </c>
      <c r="E605" s="212">
        <v>41229</v>
      </c>
      <c r="F605" s="212">
        <v>1305</v>
      </c>
      <c r="G605" s="212" t="s">
        <v>1723</v>
      </c>
      <c r="H605" s="212" t="s">
        <v>1811</v>
      </c>
      <c r="I605" s="212" t="s">
        <v>1137</v>
      </c>
      <c r="J605" s="212" t="s">
        <v>225</v>
      </c>
      <c r="K605" s="227" t="s">
        <v>269</v>
      </c>
      <c r="L605" s="227" t="s">
        <v>1725</v>
      </c>
      <c r="M605" t="s">
        <v>1738</v>
      </c>
      <c r="N605" s="211">
        <v>-19.87</v>
      </c>
      <c r="O605" s="211">
        <v>-19.899999999999999</v>
      </c>
      <c r="P605" s="211">
        <v>3.8</v>
      </c>
      <c r="S605" s="211">
        <v>3.1</v>
      </c>
    </row>
    <row r="606" spans="1:19" ht="19">
      <c r="A606" s="212" t="s">
        <v>579</v>
      </c>
      <c r="B606" s="212" t="s">
        <v>580</v>
      </c>
      <c r="C606" s="233" t="s">
        <v>581</v>
      </c>
      <c r="D606" s="234" t="s">
        <v>151</v>
      </c>
      <c r="E606" s="212">
        <v>41229</v>
      </c>
      <c r="F606" s="212">
        <v>1600</v>
      </c>
      <c r="G606" s="212" t="s">
        <v>1723</v>
      </c>
      <c r="H606" s="212" t="s">
        <v>1811</v>
      </c>
      <c r="I606" s="212" t="s">
        <v>1137</v>
      </c>
      <c r="J606" s="212" t="s">
        <v>225</v>
      </c>
      <c r="K606" s="227" t="s">
        <v>269</v>
      </c>
      <c r="L606" s="227" t="s">
        <v>1725</v>
      </c>
      <c r="M606" t="s">
        <v>1750</v>
      </c>
      <c r="N606" s="211">
        <v>-14.88</v>
      </c>
      <c r="O606" s="211">
        <v>-14.9</v>
      </c>
      <c r="P606" s="211">
        <v>4.2</v>
      </c>
      <c r="S606" s="211">
        <v>2.8</v>
      </c>
    </row>
    <row r="607" spans="1:19" ht="19">
      <c r="A607" s="212" t="s">
        <v>579</v>
      </c>
      <c r="B607" s="212" t="s">
        <v>580</v>
      </c>
      <c r="C607" s="233" t="s">
        <v>581</v>
      </c>
      <c r="D607" s="234" t="s">
        <v>151</v>
      </c>
      <c r="E607" s="212">
        <v>41229</v>
      </c>
      <c r="F607" s="212">
        <v>1727</v>
      </c>
      <c r="G607" s="212" t="s">
        <v>1723</v>
      </c>
      <c r="H607" s="212" t="s">
        <v>1811</v>
      </c>
      <c r="I607" s="212" t="s">
        <v>1742</v>
      </c>
      <c r="J607" s="212" t="s">
        <v>1728</v>
      </c>
      <c r="K607" s="227" t="s">
        <v>269</v>
      </c>
      <c r="L607" s="227" t="s">
        <v>1725</v>
      </c>
      <c r="M607" t="s">
        <v>1761</v>
      </c>
      <c r="N607" s="211">
        <v>-11.03</v>
      </c>
      <c r="O607" s="211">
        <v>-11</v>
      </c>
      <c r="P607" s="211">
        <v>4.7</v>
      </c>
      <c r="S607" s="211">
        <v>2.7</v>
      </c>
    </row>
    <row r="608" spans="1:19" ht="19">
      <c r="A608" s="212" t="s">
        <v>579</v>
      </c>
      <c r="B608" s="212" t="s">
        <v>580</v>
      </c>
      <c r="C608" s="233" t="s">
        <v>581</v>
      </c>
      <c r="D608" s="234" t="s">
        <v>151</v>
      </c>
      <c r="E608" s="212">
        <v>41229</v>
      </c>
      <c r="F608" s="212">
        <v>1728</v>
      </c>
      <c r="G608" s="212" t="s">
        <v>1723</v>
      </c>
      <c r="H608" s="212" t="s">
        <v>1811</v>
      </c>
      <c r="I608" s="212" t="s">
        <v>1742</v>
      </c>
      <c r="J608" s="212" t="s">
        <v>1728</v>
      </c>
      <c r="K608" s="227" t="s">
        <v>269</v>
      </c>
      <c r="L608" s="227" t="s">
        <v>1725</v>
      </c>
      <c r="M608" t="s">
        <v>1761</v>
      </c>
      <c r="N608" s="211">
        <v>-20.71</v>
      </c>
      <c r="O608" s="211">
        <v>-20.7</v>
      </c>
      <c r="P608" s="211">
        <v>5</v>
      </c>
      <c r="S608" s="211">
        <v>2.9</v>
      </c>
    </row>
    <row r="609" spans="1:19" ht="19">
      <c r="A609" s="212" t="s">
        <v>579</v>
      </c>
      <c r="B609" s="212" t="s">
        <v>580</v>
      </c>
      <c r="C609" s="233" t="s">
        <v>581</v>
      </c>
      <c r="D609" s="234" t="s">
        <v>151</v>
      </c>
      <c r="E609" s="212">
        <v>41229</v>
      </c>
      <c r="F609" s="212">
        <v>1822</v>
      </c>
      <c r="G609" s="212" t="s">
        <v>1723</v>
      </c>
      <c r="H609" s="212" t="s">
        <v>1811</v>
      </c>
      <c r="I609" s="212" t="s">
        <v>1742</v>
      </c>
      <c r="J609" s="212" t="s">
        <v>1728</v>
      </c>
      <c r="K609" s="227" t="s">
        <v>269</v>
      </c>
      <c r="L609" s="227" t="s">
        <v>1725</v>
      </c>
      <c r="M609" t="s">
        <v>1784</v>
      </c>
      <c r="N609" s="211">
        <v>-21.99</v>
      </c>
      <c r="O609" s="211">
        <v>-22</v>
      </c>
      <c r="P609" s="211">
        <v>4.3</v>
      </c>
      <c r="S609" s="211">
        <v>2.8</v>
      </c>
    </row>
    <row r="610" spans="1:19" ht="19">
      <c r="A610" s="212" t="s">
        <v>579</v>
      </c>
      <c r="B610" s="212" t="s">
        <v>580</v>
      </c>
      <c r="C610" s="233" t="s">
        <v>581</v>
      </c>
      <c r="D610" s="234" t="s">
        <v>151</v>
      </c>
      <c r="E610" s="212">
        <v>41229</v>
      </c>
      <c r="F610" s="212">
        <v>1823</v>
      </c>
      <c r="G610" s="212" t="s">
        <v>1723</v>
      </c>
      <c r="H610" s="212" t="s">
        <v>1811</v>
      </c>
      <c r="I610" s="212" t="s">
        <v>1742</v>
      </c>
      <c r="J610" s="212" t="s">
        <v>1728</v>
      </c>
      <c r="K610" s="227" t="s">
        <v>269</v>
      </c>
      <c r="L610" s="227" t="s">
        <v>1725</v>
      </c>
      <c r="M610" t="s">
        <v>1784</v>
      </c>
      <c r="N610" s="211">
        <v>-16.95</v>
      </c>
      <c r="O610" s="211">
        <v>-16.899999999999999</v>
      </c>
      <c r="P610" s="211">
        <v>4.2</v>
      </c>
      <c r="S610" s="211">
        <v>2.9</v>
      </c>
    </row>
    <row r="611" spans="1:19" ht="19">
      <c r="A611" s="212" t="s">
        <v>579</v>
      </c>
      <c r="B611" s="212" t="s">
        <v>580</v>
      </c>
      <c r="C611" s="233" t="s">
        <v>581</v>
      </c>
      <c r="D611" s="234" t="s">
        <v>151</v>
      </c>
      <c r="E611" s="212">
        <v>41229</v>
      </c>
      <c r="F611" s="212">
        <v>1824</v>
      </c>
      <c r="G611" s="212" t="s">
        <v>1723</v>
      </c>
      <c r="H611" s="212" t="s">
        <v>1811</v>
      </c>
      <c r="I611" s="212" t="s">
        <v>1742</v>
      </c>
      <c r="J611" s="212" t="s">
        <v>1728</v>
      </c>
      <c r="K611" s="227" t="s">
        <v>269</v>
      </c>
      <c r="L611" s="227" t="s">
        <v>1725</v>
      </c>
      <c r="M611" t="s">
        <v>1784</v>
      </c>
      <c r="N611" s="211">
        <v>-20.48</v>
      </c>
      <c r="O611" s="211">
        <v>-20.5</v>
      </c>
      <c r="P611" s="211">
        <v>4.2</v>
      </c>
      <c r="S611" s="211">
        <v>2.9</v>
      </c>
    </row>
    <row r="612" spans="1:19" ht="19">
      <c r="A612" s="212" t="s">
        <v>579</v>
      </c>
      <c r="B612" s="212" t="s">
        <v>580</v>
      </c>
      <c r="C612" s="233" t="s">
        <v>581</v>
      </c>
      <c r="D612" s="234" t="s">
        <v>151</v>
      </c>
      <c r="E612" s="212">
        <v>41229</v>
      </c>
      <c r="F612" s="212">
        <v>1831</v>
      </c>
      <c r="G612" s="212" t="s">
        <v>1723</v>
      </c>
      <c r="H612" s="212" t="s">
        <v>1811</v>
      </c>
      <c r="I612" s="212" t="s">
        <v>1742</v>
      </c>
      <c r="J612" s="212" t="s">
        <v>1728</v>
      </c>
      <c r="K612" s="227" t="s">
        <v>269</v>
      </c>
      <c r="L612" s="227" t="s">
        <v>1725</v>
      </c>
      <c r="M612" t="s">
        <v>1750</v>
      </c>
      <c r="N612" s="211">
        <v>-18.8</v>
      </c>
      <c r="O612" s="211">
        <v>-18.8</v>
      </c>
      <c r="P612" s="211">
        <v>6.3</v>
      </c>
      <c r="S612" s="211">
        <v>2.9</v>
      </c>
    </row>
    <row r="613" spans="1:19">
      <c r="A613" s="212" t="s">
        <v>579</v>
      </c>
      <c r="B613" s="212" t="s">
        <v>580</v>
      </c>
      <c r="C613" s="233" t="s">
        <v>581</v>
      </c>
      <c r="D613" s="233" t="s">
        <v>151</v>
      </c>
      <c r="E613" s="212">
        <v>41229</v>
      </c>
      <c r="F613" s="212">
        <v>2529</v>
      </c>
      <c r="G613" s="212" t="s">
        <v>1723</v>
      </c>
      <c r="H613" s="212" t="s">
        <v>1811</v>
      </c>
      <c r="I613" s="212" t="s">
        <v>1137</v>
      </c>
      <c r="J613" s="212" t="s">
        <v>1744</v>
      </c>
      <c r="K613" s="227" t="s">
        <v>269</v>
      </c>
      <c r="L613" s="227" t="s">
        <v>1725</v>
      </c>
      <c r="M613" t="s">
        <v>1805</v>
      </c>
      <c r="N613" s="211">
        <v>-18.52</v>
      </c>
      <c r="O613" s="211">
        <v>-18.5</v>
      </c>
      <c r="P613" s="211">
        <v>6.4</v>
      </c>
      <c r="S613" s="211">
        <v>2.9</v>
      </c>
    </row>
    <row r="614" spans="1:19" ht="19">
      <c r="A614" s="212" t="s">
        <v>579</v>
      </c>
      <c r="B614" s="212" t="s">
        <v>580</v>
      </c>
      <c r="C614" s="233" t="s">
        <v>581</v>
      </c>
      <c r="D614" s="234" t="s">
        <v>151</v>
      </c>
      <c r="E614" s="212">
        <v>41229</v>
      </c>
      <c r="F614" s="212">
        <v>2557</v>
      </c>
      <c r="G614" s="212" t="s">
        <v>1723</v>
      </c>
      <c r="H614" s="212" t="s">
        <v>1811</v>
      </c>
      <c r="I614" s="212" t="s">
        <v>1137</v>
      </c>
      <c r="J614" s="212" t="s">
        <v>225</v>
      </c>
      <c r="K614" s="227" t="s">
        <v>269</v>
      </c>
      <c r="L614" s="227" t="s">
        <v>1725</v>
      </c>
      <c r="M614" t="s">
        <v>1870</v>
      </c>
      <c r="N614" s="211">
        <v>-16.96</v>
      </c>
      <c r="O614" s="211">
        <v>-17</v>
      </c>
      <c r="P614" s="211">
        <v>5.9</v>
      </c>
      <c r="S614" s="211">
        <v>2.8</v>
      </c>
    </row>
    <row r="615" spans="1:19" ht="19">
      <c r="A615" s="212" t="s">
        <v>579</v>
      </c>
      <c r="B615" s="212" t="s">
        <v>580</v>
      </c>
      <c r="C615" s="233" t="s">
        <v>581</v>
      </c>
      <c r="D615" s="234" t="s">
        <v>151</v>
      </c>
      <c r="E615" s="212">
        <v>41229</v>
      </c>
      <c r="F615" s="212">
        <v>2558</v>
      </c>
      <c r="G615" s="212" t="s">
        <v>1723</v>
      </c>
      <c r="H615" s="212" t="s">
        <v>1811</v>
      </c>
      <c r="I615" s="212" t="s">
        <v>1742</v>
      </c>
      <c r="J615" s="212" t="s">
        <v>1728</v>
      </c>
      <c r="K615" s="227" t="s">
        <v>269</v>
      </c>
      <c r="L615" s="227" t="s">
        <v>1725</v>
      </c>
      <c r="M615" t="s">
        <v>1761</v>
      </c>
      <c r="N615" s="211">
        <v>-18.82</v>
      </c>
      <c r="O615" s="211">
        <v>-18.8</v>
      </c>
      <c r="P615" s="211">
        <v>4.9000000000000004</v>
      </c>
      <c r="S615" s="211">
        <v>2.8</v>
      </c>
    </row>
    <row r="616" spans="1:19" ht="19">
      <c r="A616" s="212" t="s">
        <v>579</v>
      </c>
      <c r="B616" s="212" t="s">
        <v>580</v>
      </c>
      <c r="C616" s="233" t="s">
        <v>581</v>
      </c>
      <c r="D616" s="234" t="s">
        <v>151</v>
      </c>
      <c r="E616" s="212">
        <v>41229</v>
      </c>
      <c r="F616" s="212">
        <v>2559</v>
      </c>
      <c r="G616" s="212" t="s">
        <v>1723</v>
      </c>
      <c r="H616" s="212" t="s">
        <v>1811</v>
      </c>
      <c r="I616" s="212" t="s">
        <v>1742</v>
      </c>
      <c r="J616" s="212" t="s">
        <v>1728</v>
      </c>
      <c r="K616" s="227" t="s">
        <v>269</v>
      </c>
      <c r="L616" s="227" t="s">
        <v>1725</v>
      </c>
      <c r="M616" t="s">
        <v>1757</v>
      </c>
      <c r="N616" s="211">
        <v>-12.09</v>
      </c>
      <c r="O616" s="211">
        <v>-12.1</v>
      </c>
      <c r="P616" s="211">
        <v>5.2</v>
      </c>
      <c r="S616" s="211">
        <v>2.7</v>
      </c>
    </row>
    <row r="617" spans="1:19" ht="19">
      <c r="A617" s="212" t="s">
        <v>579</v>
      </c>
      <c r="B617" s="212" t="s">
        <v>580</v>
      </c>
      <c r="C617" s="233" t="s">
        <v>581</v>
      </c>
      <c r="D617" s="234" t="s">
        <v>151</v>
      </c>
      <c r="E617" s="212">
        <v>41229</v>
      </c>
      <c r="F617" s="212">
        <v>2560</v>
      </c>
      <c r="G617" s="212" t="s">
        <v>1723</v>
      </c>
      <c r="H617" s="212" t="s">
        <v>1811</v>
      </c>
      <c r="I617" s="212" t="s">
        <v>1137</v>
      </c>
      <c r="J617" s="212" t="s">
        <v>225</v>
      </c>
      <c r="K617" s="227" t="s">
        <v>269</v>
      </c>
      <c r="L617" s="227" t="s">
        <v>1725</v>
      </c>
      <c r="M617" t="s">
        <v>1805</v>
      </c>
      <c r="N617" s="211">
        <v>-11.21</v>
      </c>
      <c r="O617" s="211">
        <v>-11.2</v>
      </c>
      <c r="P617" s="211">
        <v>6.6</v>
      </c>
      <c r="S617" s="211">
        <v>2.9</v>
      </c>
    </row>
    <row r="618" spans="1:19" ht="19">
      <c r="A618" s="212" t="s">
        <v>579</v>
      </c>
      <c r="B618" s="212" t="s">
        <v>580</v>
      </c>
      <c r="C618" s="233" t="s">
        <v>581</v>
      </c>
      <c r="D618" s="234" t="s">
        <v>151</v>
      </c>
      <c r="E618" s="212">
        <v>41229</v>
      </c>
      <c r="F618" s="212">
        <v>2563</v>
      </c>
      <c r="G618" s="212" t="s">
        <v>1723</v>
      </c>
      <c r="H618" s="212" t="s">
        <v>1811</v>
      </c>
      <c r="I618" s="212" t="s">
        <v>1742</v>
      </c>
      <c r="J618" s="212" t="s">
        <v>1728</v>
      </c>
      <c r="K618" s="227" t="s">
        <v>269</v>
      </c>
      <c r="L618" s="227" t="s">
        <v>1725</v>
      </c>
      <c r="M618" t="s">
        <v>1738</v>
      </c>
      <c r="N618" s="211">
        <v>-15.69</v>
      </c>
      <c r="O618" s="211">
        <v>-15.7</v>
      </c>
      <c r="P618" s="211">
        <v>6.7</v>
      </c>
      <c r="S618" s="211">
        <v>2.8</v>
      </c>
    </row>
    <row r="619" spans="1:19" ht="19">
      <c r="A619" s="212" t="s">
        <v>579</v>
      </c>
      <c r="B619" s="212" t="s">
        <v>580</v>
      </c>
      <c r="C619" s="233" t="s">
        <v>581</v>
      </c>
      <c r="D619" s="234" t="s">
        <v>151</v>
      </c>
      <c r="E619" s="212">
        <v>41229</v>
      </c>
      <c r="F619" s="212">
        <v>2615</v>
      </c>
      <c r="G619" s="212" t="s">
        <v>1723</v>
      </c>
      <c r="H619" s="212" t="s">
        <v>1811</v>
      </c>
      <c r="I619" s="212" t="s">
        <v>1137</v>
      </c>
      <c r="J619" s="212" t="s">
        <v>225</v>
      </c>
      <c r="K619" s="227" t="s">
        <v>269</v>
      </c>
      <c r="L619" s="227" t="s">
        <v>1725</v>
      </c>
      <c r="M619" t="s">
        <v>1805</v>
      </c>
      <c r="N619" s="211">
        <v>-17.53</v>
      </c>
      <c r="O619" s="211">
        <v>-17.5</v>
      </c>
      <c r="P619" s="211">
        <v>4.4000000000000004</v>
      </c>
      <c r="S619" s="211">
        <v>2.8</v>
      </c>
    </row>
    <row r="620" spans="1:19" ht="19">
      <c r="A620" s="212" t="s">
        <v>579</v>
      </c>
      <c r="B620" s="212" t="s">
        <v>580</v>
      </c>
      <c r="C620" s="233" t="s">
        <v>581</v>
      </c>
      <c r="D620" s="234" t="s">
        <v>151</v>
      </c>
      <c r="E620" s="212">
        <v>41229</v>
      </c>
      <c r="F620" s="212">
        <v>2793</v>
      </c>
      <c r="G620" s="212" t="s">
        <v>1723</v>
      </c>
      <c r="H620" s="212" t="s">
        <v>1811</v>
      </c>
      <c r="I620" s="212" t="s">
        <v>1137</v>
      </c>
      <c r="J620" s="212" t="s">
        <v>225</v>
      </c>
      <c r="K620" s="227" t="s">
        <v>269</v>
      </c>
      <c r="L620" s="227" t="s">
        <v>1725</v>
      </c>
      <c r="M620" t="s">
        <v>1738</v>
      </c>
      <c r="N620" s="211">
        <v>-17.86</v>
      </c>
      <c r="O620" s="211">
        <v>-17.899999999999999</v>
      </c>
      <c r="P620" s="211">
        <v>5</v>
      </c>
      <c r="S620" s="211">
        <v>2.8</v>
      </c>
    </row>
    <row r="621" spans="1:19" ht="19">
      <c r="A621" s="212" t="s">
        <v>579</v>
      </c>
      <c r="B621" s="212" t="s">
        <v>580</v>
      </c>
      <c r="C621" s="233" t="s">
        <v>581</v>
      </c>
      <c r="D621" s="234" t="s">
        <v>151</v>
      </c>
      <c r="E621" s="212">
        <v>41229</v>
      </c>
      <c r="F621" s="212">
        <v>2815</v>
      </c>
      <c r="G621" s="212" t="s">
        <v>1723</v>
      </c>
      <c r="H621" s="212" t="s">
        <v>1811</v>
      </c>
      <c r="I621" s="212" t="s">
        <v>1137</v>
      </c>
      <c r="J621" s="212" t="s">
        <v>225</v>
      </c>
      <c r="K621" s="227" t="s">
        <v>269</v>
      </c>
      <c r="L621" s="227" t="s">
        <v>1725</v>
      </c>
      <c r="M621" t="s">
        <v>1805</v>
      </c>
      <c r="N621" s="211">
        <v>-13.44</v>
      </c>
      <c r="O621" s="211">
        <v>-13.4</v>
      </c>
      <c r="P621" s="211">
        <v>5.9</v>
      </c>
      <c r="S621" s="211">
        <v>2.7</v>
      </c>
    </row>
    <row r="622" spans="1:19" ht="19">
      <c r="A622" s="212" t="s">
        <v>579</v>
      </c>
      <c r="B622" s="212" t="s">
        <v>580</v>
      </c>
      <c r="C622" s="233" t="s">
        <v>581</v>
      </c>
      <c r="D622" s="234" t="s">
        <v>151</v>
      </c>
      <c r="E622" s="212">
        <v>41229</v>
      </c>
      <c r="F622" s="212">
        <v>2833</v>
      </c>
      <c r="G622" s="212" t="s">
        <v>1723</v>
      </c>
      <c r="H622" s="212" t="s">
        <v>1811</v>
      </c>
      <c r="I622" s="212" t="s">
        <v>1137</v>
      </c>
      <c r="J622" s="212" t="s">
        <v>225</v>
      </c>
      <c r="K622" s="227" t="s">
        <v>269</v>
      </c>
      <c r="L622" s="227" t="s">
        <v>1725</v>
      </c>
      <c r="M622" t="s">
        <v>1750</v>
      </c>
      <c r="N622" s="211">
        <v>-14.42</v>
      </c>
      <c r="O622" s="211">
        <v>-14.4</v>
      </c>
      <c r="P622" s="211">
        <v>5.6</v>
      </c>
      <c r="S622" s="211">
        <v>2.9</v>
      </c>
    </row>
    <row r="623" spans="1:19" ht="19">
      <c r="A623" s="212" t="s">
        <v>579</v>
      </c>
      <c r="B623" s="212" t="s">
        <v>580</v>
      </c>
      <c r="C623" s="233" t="s">
        <v>581</v>
      </c>
      <c r="D623" s="234" t="s">
        <v>151</v>
      </c>
      <c r="E623" s="212">
        <v>41229</v>
      </c>
      <c r="F623" s="212">
        <v>2846</v>
      </c>
      <c r="G623" s="212" t="s">
        <v>1723</v>
      </c>
      <c r="H623" s="212" t="s">
        <v>1811</v>
      </c>
      <c r="I623" s="212" t="s">
        <v>1137</v>
      </c>
      <c r="J623" s="212" t="s">
        <v>1744</v>
      </c>
      <c r="K623" s="227" t="s">
        <v>269</v>
      </c>
      <c r="L623" s="227" t="s">
        <v>1725</v>
      </c>
      <c r="M623" t="s">
        <v>1805</v>
      </c>
      <c r="N623" s="211">
        <v>-18.52</v>
      </c>
      <c r="O623" s="211">
        <v>-18.5</v>
      </c>
      <c r="P623" s="211">
        <v>6.6</v>
      </c>
      <c r="S623" s="211">
        <v>3</v>
      </c>
    </row>
    <row r="624" spans="1:19" ht="19">
      <c r="A624" s="212" t="s">
        <v>579</v>
      </c>
      <c r="B624" s="212" t="s">
        <v>580</v>
      </c>
      <c r="C624" s="233" t="s">
        <v>581</v>
      </c>
      <c r="D624" s="234" t="s">
        <v>151</v>
      </c>
      <c r="E624" s="212">
        <v>41229</v>
      </c>
      <c r="F624" s="212">
        <v>2874</v>
      </c>
      <c r="G624" s="212" t="s">
        <v>1723</v>
      </c>
      <c r="H624" s="212" t="s">
        <v>1811</v>
      </c>
      <c r="I624" s="212" t="s">
        <v>1137</v>
      </c>
      <c r="J624" s="212" t="s">
        <v>225</v>
      </c>
      <c r="K624" s="227" t="s">
        <v>269</v>
      </c>
      <c r="L624" s="227" t="s">
        <v>1725</v>
      </c>
      <c r="M624" t="s">
        <v>1871</v>
      </c>
      <c r="N624" s="211">
        <v>-14.01</v>
      </c>
      <c r="O624" s="211">
        <v>-14</v>
      </c>
      <c r="P624" s="211">
        <v>4.3</v>
      </c>
      <c r="S624" s="211">
        <v>2.7</v>
      </c>
    </row>
    <row r="625" spans="1:19" ht="19">
      <c r="A625" s="212" t="s">
        <v>579</v>
      </c>
      <c r="B625" s="212" t="s">
        <v>580</v>
      </c>
      <c r="C625" s="233" t="s">
        <v>581</v>
      </c>
      <c r="D625" s="234" t="s">
        <v>151</v>
      </c>
      <c r="E625" s="212">
        <v>41229</v>
      </c>
      <c r="F625" s="212">
        <v>2875</v>
      </c>
      <c r="G625" s="212" t="s">
        <v>1723</v>
      </c>
      <c r="H625" s="212" t="s">
        <v>1811</v>
      </c>
      <c r="I625" s="212" t="s">
        <v>1137</v>
      </c>
      <c r="J625" s="212" t="s">
        <v>225</v>
      </c>
      <c r="K625" s="227" t="s">
        <v>269</v>
      </c>
      <c r="L625" s="227" t="s">
        <v>1725</v>
      </c>
      <c r="M625" t="s">
        <v>1805</v>
      </c>
      <c r="N625" s="211">
        <v>-11.46</v>
      </c>
      <c r="O625" s="211">
        <v>-11.5</v>
      </c>
      <c r="P625" s="211">
        <v>5.6</v>
      </c>
      <c r="S625" s="211">
        <v>2.9</v>
      </c>
    </row>
    <row r="626" spans="1:19" ht="19">
      <c r="A626" s="212" t="s">
        <v>579</v>
      </c>
      <c r="B626" s="212" t="s">
        <v>580</v>
      </c>
      <c r="C626" s="233" t="s">
        <v>581</v>
      </c>
      <c r="D626" s="234" t="s">
        <v>151</v>
      </c>
      <c r="E626" s="212">
        <v>41229</v>
      </c>
      <c r="F626" s="212">
        <v>2876</v>
      </c>
      <c r="G626" s="212" t="s">
        <v>1723</v>
      </c>
      <c r="H626" s="212" t="s">
        <v>1811</v>
      </c>
      <c r="I626" s="212" t="s">
        <v>1137</v>
      </c>
      <c r="J626" s="212" t="s">
        <v>225</v>
      </c>
      <c r="K626" s="227" t="s">
        <v>269</v>
      </c>
      <c r="L626" s="227" t="s">
        <v>1725</v>
      </c>
      <c r="M626" t="s">
        <v>1726</v>
      </c>
      <c r="N626" s="211">
        <v>-16.170000000000002</v>
      </c>
      <c r="O626" s="211">
        <v>-16.2</v>
      </c>
      <c r="P626" s="211">
        <v>4.5</v>
      </c>
      <c r="S626" s="211">
        <v>2.7</v>
      </c>
    </row>
    <row r="627" spans="1:19" ht="19">
      <c r="A627" s="212" t="s">
        <v>579</v>
      </c>
      <c r="B627" s="212" t="s">
        <v>580</v>
      </c>
      <c r="C627" s="233" t="s">
        <v>581</v>
      </c>
      <c r="D627" s="234" t="s">
        <v>151</v>
      </c>
      <c r="E627" s="212">
        <v>41229</v>
      </c>
      <c r="F627" s="212">
        <v>2893</v>
      </c>
      <c r="G627" s="212" t="s">
        <v>1723</v>
      </c>
      <c r="H627" s="212" t="s">
        <v>1811</v>
      </c>
      <c r="I627" s="212" t="s">
        <v>1742</v>
      </c>
      <c r="J627" s="212" t="s">
        <v>1728</v>
      </c>
      <c r="K627" s="227" t="s">
        <v>269</v>
      </c>
      <c r="L627" s="227" t="s">
        <v>1725</v>
      </c>
      <c r="M627" t="s">
        <v>1738</v>
      </c>
      <c r="N627" s="211">
        <v>-19.89</v>
      </c>
      <c r="O627" s="211">
        <v>-19.899999999999999</v>
      </c>
      <c r="P627" s="211">
        <v>4.5</v>
      </c>
      <c r="S627" s="211">
        <v>2.8</v>
      </c>
    </row>
    <row r="628" spans="1:19" ht="19">
      <c r="A628" s="212" t="s">
        <v>579</v>
      </c>
      <c r="B628" s="212" t="s">
        <v>580</v>
      </c>
      <c r="C628" s="233" t="s">
        <v>581</v>
      </c>
      <c r="D628" s="234" t="s">
        <v>151</v>
      </c>
      <c r="E628" s="212">
        <v>41229</v>
      </c>
      <c r="F628" s="212">
        <v>2894</v>
      </c>
      <c r="G628" s="212" t="s">
        <v>1723</v>
      </c>
      <c r="H628" s="212" t="s">
        <v>1811</v>
      </c>
      <c r="I628" s="212" t="s">
        <v>1742</v>
      </c>
      <c r="J628" s="212" t="s">
        <v>1728</v>
      </c>
      <c r="K628" s="227" t="s">
        <v>269</v>
      </c>
      <c r="L628" s="227" t="s">
        <v>1725</v>
      </c>
      <c r="M628" t="s">
        <v>1872</v>
      </c>
      <c r="N628" s="211">
        <v>-18.84</v>
      </c>
      <c r="O628" s="211">
        <v>-18.8</v>
      </c>
      <c r="P628" s="211">
        <v>3.3</v>
      </c>
      <c r="S628" s="211">
        <v>2.7</v>
      </c>
    </row>
    <row r="629" spans="1:19" ht="19">
      <c r="A629" s="212" t="s">
        <v>579</v>
      </c>
      <c r="B629" s="212" t="s">
        <v>580</v>
      </c>
      <c r="C629" s="233" t="s">
        <v>581</v>
      </c>
      <c r="D629" s="234" t="s">
        <v>151</v>
      </c>
      <c r="E629" s="212">
        <v>41229</v>
      </c>
      <c r="F629" s="212">
        <v>2897</v>
      </c>
      <c r="G629" s="212" t="s">
        <v>1723</v>
      </c>
      <c r="H629" s="212" t="s">
        <v>1811</v>
      </c>
      <c r="I629" s="212" t="s">
        <v>1742</v>
      </c>
      <c r="J629" s="212" t="s">
        <v>1728</v>
      </c>
      <c r="K629" s="227" t="s">
        <v>269</v>
      </c>
      <c r="L629" s="227" t="s">
        <v>1725</v>
      </c>
      <c r="M629" t="s">
        <v>1738</v>
      </c>
      <c r="N629" s="211">
        <v>-16.350000000000001</v>
      </c>
      <c r="O629" s="211">
        <v>-16.399999999999999</v>
      </c>
      <c r="P629" s="211">
        <v>4.7</v>
      </c>
      <c r="S629" s="211">
        <v>2.8</v>
      </c>
    </row>
    <row r="630" spans="1:19" ht="19">
      <c r="A630" s="212" t="s">
        <v>579</v>
      </c>
      <c r="B630" s="212" t="s">
        <v>580</v>
      </c>
      <c r="C630" s="233" t="s">
        <v>581</v>
      </c>
      <c r="D630" s="234" t="s">
        <v>151</v>
      </c>
      <c r="E630" s="212">
        <v>41229</v>
      </c>
      <c r="F630" s="212">
        <v>3436</v>
      </c>
      <c r="G630" s="212" t="s">
        <v>1723</v>
      </c>
      <c r="H630" s="212" t="s">
        <v>1811</v>
      </c>
      <c r="I630" s="212" t="s">
        <v>1137</v>
      </c>
      <c r="J630" s="212" t="s">
        <v>1744</v>
      </c>
      <c r="K630" s="227" t="s">
        <v>269</v>
      </c>
      <c r="L630" s="227" t="s">
        <v>1725</v>
      </c>
      <c r="M630" t="s">
        <v>1750</v>
      </c>
      <c r="N630" s="211">
        <v>-17.62</v>
      </c>
      <c r="O630" s="211">
        <v>-17.600000000000001</v>
      </c>
      <c r="P630" s="211">
        <v>5.5</v>
      </c>
      <c r="S630" s="211">
        <v>2.9</v>
      </c>
    </row>
    <row r="631" spans="1:19" ht="19">
      <c r="A631" s="212" t="s">
        <v>579</v>
      </c>
      <c r="B631" s="212" t="s">
        <v>580</v>
      </c>
      <c r="C631" s="233" t="s">
        <v>581</v>
      </c>
      <c r="D631" s="234" t="s">
        <v>151</v>
      </c>
      <c r="E631" s="212">
        <v>41229</v>
      </c>
      <c r="F631" s="212">
        <v>4097</v>
      </c>
      <c r="G631" s="212" t="s">
        <v>1723</v>
      </c>
      <c r="H631" s="212" t="s">
        <v>1811</v>
      </c>
      <c r="I631" s="212" t="s">
        <v>1742</v>
      </c>
      <c r="J631" s="212" t="s">
        <v>1728</v>
      </c>
      <c r="K631" s="227" t="s">
        <v>269</v>
      </c>
      <c r="L631" s="227" t="s">
        <v>1725</v>
      </c>
      <c r="M631" t="s">
        <v>1738</v>
      </c>
      <c r="N631" s="211">
        <v>-19.579999999999998</v>
      </c>
      <c r="O631" s="211">
        <v>-19.600000000000001</v>
      </c>
      <c r="P631" s="211">
        <v>4.3</v>
      </c>
      <c r="S631" s="211">
        <v>2.8</v>
      </c>
    </row>
    <row r="632" spans="1:19" ht="19">
      <c r="A632" s="212" t="s">
        <v>579</v>
      </c>
      <c r="B632" s="212" t="s">
        <v>580</v>
      </c>
      <c r="C632" s="233" t="s">
        <v>581</v>
      </c>
      <c r="D632" s="234" t="s">
        <v>151</v>
      </c>
      <c r="E632" s="212">
        <v>41229</v>
      </c>
      <c r="F632" s="212">
        <v>4219</v>
      </c>
      <c r="G632" s="212" t="s">
        <v>1723</v>
      </c>
      <c r="H632" s="212" t="s">
        <v>1811</v>
      </c>
      <c r="I632" s="212" t="s">
        <v>1137</v>
      </c>
      <c r="J632" s="212" t="s">
        <v>225</v>
      </c>
      <c r="K632" s="227" t="s">
        <v>269</v>
      </c>
      <c r="L632" s="227" t="s">
        <v>1725</v>
      </c>
      <c r="M632" t="s">
        <v>1805</v>
      </c>
      <c r="N632" s="211">
        <v>-19.309999999999999</v>
      </c>
      <c r="O632" s="211">
        <v>-19.3</v>
      </c>
      <c r="P632" s="211">
        <v>4.3</v>
      </c>
      <c r="S632" s="211">
        <v>2.8</v>
      </c>
    </row>
    <row r="633" spans="1:19" ht="19">
      <c r="A633" s="212" t="s">
        <v>579</v>
      </c>
      <c r="B633" s="212" t="s">
        <v>580</v>
      </c>
      <c r="C633" s="233" t="s">
        <v>581</v>
      </c>
      <c r="D633" s="234" t="s">
        <v>151</v>
      </c>
      <c r="E633" s="212">
        <v>41229</v>
      </c>
      <c r="F633" s="212">
        <v>5009</v>
      </c>
      <c r="G633" s="212" t="s">
        <v>1723</v>
      </c>
      <c r="H633" s="212" t="s">
        <v>1811</v>
      </c>
      <c r="I633" s="212" t="s">
        <v>1742</v>
      </c>
      <c r="J633" s="212" t="s">
        <v>1728</v>
      </c>
      <c r="K633" s="227" t="s">
        <v>269</v>
      </c>
      <c r="L633" s="227" t="s">
        <v>1725</v>
      </c>
      <c r="M633" t="s">
        <v>1784</v>
      </c>
      <c r="N633" s="211">
        <v>-19.37</v>
      </c>
      <c r="O633" s="211">
        <v>-19.399999999999999</v>
      </c>
      <c r="P633" s="211">
        <v>4.5</v>
      </c>
      <c r="S633" s="211">
        <v>2.7</v>
      </c>
    </row>
    <row r="634" spans="1:19" ht="19">
      <c r="A634" s="212" t="s">
        <v>579</v>
      </c>
      <c r="B634" s="212" t="s">
        <v>580</v>
      </c>
      <c r="C634" s="233" t="s">
        <v>581</v>
      </c>
      <c r="D634" s="234" t="s">
        <v>151</v>
      </c>
      <c r="E634" s="212">
        <v>41229</v>
      </c>
      <c r="F634" s="212">
        <v>5011</v>
      </c>
      <c r="G634" s="212" t="s">
        <v>1723</v>
      </c>
      <c r="H634" s="212" t="s">
        <v>1811</v>
      </c>
      <c r="I634" s="212" t="s">
        <v>1137</v>
      </c>
      <c r="J634" s="212" t="s">
        <v>225</v>
      </c>
      <c r="K634" s="227" t="s">
        <v>269</v>
      </c>
      <c r="L634" s="227" t="s">
        <v>1725</v>
      </c>
      <c r="M634" t="s">
        <v>1786</v>
      </c>
      <c r="N634" s="211">
        <v>-20.79</v>
      </c>
      <c r="O634" s="211">
        <v>-20.8</v>
      </c>
      <c r="P634" s="211">
        <v>3.9</v>
      </c>
      <c r="S634" s="211">
        <v>2.8</v>
      </c>
    </row>
    <row r="635" spans="1:19" ht="19">
      <c r="A635" s="212" t="s">
        <v>579</v>
      </c>
      <c r="B635" s="212" t="s">
        <v>580</v>
      </c>
      <c r="C635" s="233" t="s">
        <v>581</v>
      </c>
      <c r="D635" s="234" t="s">
        <v>151</v>
      </c>
      <c r="E635" s="212">
        <v>41229</v>
      </c>
      <c r="F635" s="212">
        <v>7431</v>
      </c>
      <c r="G635" s="212" t="s">
        <v>1723</v>
      </c>
      <c r="H635" s="212" t="s">
        <v>1811</v>
      </c>
      <c r="I635" s="212" t="s">
        <v>1137</v>
      </c>
      <c r="J635" s="212" t="s">
        <v>225</v>
      </c>
      <c r="K635" s="227" t="s">
        <v>269</v>
      </c>
      <c r="L635" s="227" t="s">
        <v>1725</v>
      </c>
      <c r="M635" t="s">
        <v>1870</v>
      </c>
      <c r="N635" s="211">
        <v>-14</v>
      </c>
      <c r="O635" s="211">
        <v>-14</v>
      </c>
      <c r="P635" s="211">
        <v>4.5</v>
      </c>
      <c r="S635" s="211">
        <v>2.8</v>
      </c>
    </row>
    <row r="636" spans="1:19" ht="19">
      <c r="A636" s="212" t="s">
        <v>579</v>
      </c>
      <c r="B636" s="212" t="s">
        <v>580</v>
      </c>
      <c r="C636" s="233" t="s">
        <v>581</v>
      </c>
      <c r="D636" s="234" t="s">
        <v>151</v>
      </c>
      <c r="E636" s="212">
        <v>41229</v>
      </c>
      <c r="F636" s="212">
        <v>7432</v>
      </c>
      <c r="G636" s="212" t="s">
        <v>1723</v>
      </c>
      <c r="H636" s="212" t="s">
        <v>1811</v>
      </c>
      <c r="I636" s="212" t="s">
        <v>1137</v>
      </c>
      <c r="J636" s="212" t="s">
        <v>225</v>
      </c>
      <c r="K636" s="227" t="s">
        <v>269</v>
      </c>
      <c r="L636" s="227" t="s">
        <v>1725</v>
      </c>
      <c r="M636" t="s">
        <v>1757</v>
      </c>
      <c r="N636" s="211">
        <v>-15.87</v>
      </c>
      <c r="O636" s="211">
        <v>-15.9</v>
      </c>
      <c r="P636" s="211">
        <v>5.5</v>
      </c>
      <c r="S636" s="211">
        <v>2.8</v>
      </c>
    </row>
    <row r="637" spans="1:19" ht="19">
      <c r="A637" s="212" t="s">
        <v>579</v>
      </c>
      <c r="B637" s="212" t="s">
        <v>580</v>
      </c>
      <c r="C637" s="233" t="s">
        <v>581</v>
      </c>
      <c r="D637" s="234" t="s">
        <v>151</v>
      </c>
      <c r="E637" s="212">
        <v>41229</v>
      </c>
      <c r="F637" s="212">
        <v>7459</v>
      </c>
      <c r="G637" s="212" t="s">
        <v>1723</v>
      </c>
      <c r="H637" s="212" t="s">
        <v>1811</v>
      </c>
      <c r="I637" s="212" t="s">
        <v>1137</v>
      </c>
      <c r="J637" s="212" t="s">
        <v>225</v>
      </c>
      <c r="K637" s="227" t="s">
        <v>269</v>
      </c>
      <c r="L637" s="227" t="s">
        <v>1725</v>
      </c>
      <c r="M637" t="s">
        <v>1757</v>
      </c>
      <c r="N637" s="211">
        <v>-13.28</v>
      </c>
      <c r="O637" s="211">
        <v>-13.3</v>
      </c>
      <c r="P637" s="211">
        <v>3.2</v>
      </c>
      <c r="S637" s="211">
        <v>2.8</v>
      </c>
    </row>
    <row r="638" spans="1:19" ht="19">
      <c r="A638" s="212" t="s">
        <v>579</v>
      </c>
      <c r="B638" s="212" t="s">
        <v>580</v>
      </c>
      <c r="C638" s="233" t="s">
        <v>581</v>
      </c>
      <c r="D638" s="234" t="s">
        <v>151</v>
      </c>
      <c r="E638" s="212">
        <v>41229</v>
      </c>
      <c r="F638" s="212">
        <v>7635</v>
      </c>
      <c r="G638" s="212" t="s">
        <v>1723</v>
      </c>
      <c r="H638" s="212" t="s">
        <v>1811</v>
      </c>
      <c r="I638" s="212" t="s">
        <v>1137</v>
      </c>
      <c r="J638" s="212" t="s">
        <v>225</v>
      </c>
      <c r="K638" s="227" t="s">
        <v>269</v>
      </c>
      <c r="L638" s="227" t="s">
        <v>1725</v>
      </c>
      <c r="M638" t="s">
        <v>1737</v>
      </c>
      <c r="N638" s="211">
        <v>-18.93</v>
      </c>
      <c r="O638" s="211">
        <v>-18.899999999999999</v>
      </c>
      <c r="P638" s="211">
        <v>5.8</v>
      </c>
      <c r="S638" s="211">
        <v>2.8</v>
      </c>
    </row>
    <row r="639" spans="1:19" ht="19">
      <c r="A639" s="212" t="s">
        <v>579</v>
      </c>
      <c r="B639" s="212" t="s">
        <v>580</v>
      </c>
      <c r="C639" s="233" t="s">
        <v>581</v>
      </c>
      <c r="D639" s="234" t="s">
        <v>151</v>
      </c>
      <c r="E639" s="212">
        <v>41229</v>
      </c>
      <c r="F639" s="212">
        <v>8096</v>
      </c>
      <c r="G639" s="212" t="s">
        <v>1723</v>
      </c>
      <c r="H639" s="212" t="s">
        <v>1811</v>
      </c>
      <c r="I639" s="212" t="s">
        <v>1137</v>
      </c>
      <c r="J639" s="212" t="s">
        <v>225</v>
      </c>
      <c r="K639" s="227" t="s">
        <v>269</v>
      </c>
      <c r="L639" s="227" t="s">
        <v>1725</v>
      </c>
      <c r="M639" t="s">
        <v>1737</v>
      </c>
      <c r="N639" s="211">
        <v>-16.14</v>
      </c>
      <c r="O639" s="211">
        <v>-16.100000000000001</v>
      </c>
      <c r="P639" s="211">
        <v>5.2</v>
      </c>
      <c r="S639" s="211">
        <v>2.9</v>
      </c>
    </row>
    <row r="640" spans="1:19" ht="19">
      <c r="A640" s="212" t="s">
        <v>579</v>
      </c>
      <c r="B640" s="212" t="s">
        <v>580</v>
      </c>
      <c r="C640" s="233" t="s">
        <v>581</v>
      </c>
      <c r="D640" s="234" t="s">
        <v>151</v>
      </c>
      <c r="E640" s="212">
        <v>41229</v>
      </c>
      <c r="F640" s="212">
        <v>8242</v>
      </c>
      <c r="G640" s="212" t="s">
        <v>1723</v>
      </c>
      <c r="H640" s="212" t="s">
        <v>1811</v>
      </c>
      <c r="I640" s="212" t="s">
        <v>1137</v>
      </c>
      <c r="J640" s="212" t="s">
        <v>225</v>
      </c>
      <c r="K640" s="227" t="s">
        <v>269</v>
      </c>
      <c r="L640" s="227" t="s">
        <v>1725</v>
      </c>
      <c r="M640" t="s">
        <v>1738</v>
      </c>
      <c r="N640" s="211">
        <v>-16.88</v>
      </c>
      <c r="O640" s="211">
        <v>-16.899999999999999</v>
      </c>
      <c r="P640" s="211">
        <v>4.5999999999999996</v>
      </c>
      <c r="S640" s="211">
        <v>2.8</v>
      </c>
    </row>
    <row r="641" spans="1:19" ht="19">
      <c r="A641" s="212" t="s">
        <v>579</v>
      </c>
      <c r="B641" s="212" t="s">
        <v>580</v>
      </c>
      <c r="C641" s="233" t="s">
        <v>581</v>
      </c>
      <c r="D641" s="234" t="s">
        <v>151</v>
      </c>
      <c r="E641" s="212">
        <v>41229</v>
      </c>
      <c r="F641" s="212">
        <v>8472</v>
      </c>
      <c r="G641" s="212" t="s">
        <v>1723</v>
      </c>
      <c r="H641" s="212" t="s">
        <v>1811</v>
      </c>
      <c r="I641" s="212" t="s">
        <v>1137</v>
      </c>
      <c r="J641" s="212" t="s">
        <v>225</v>
      </c>
      <c r="K641" s="227" t="s">
        <v>269</v>
      </c>
      <c r="L641" s="227" t="s">
        <v>1725</v>
      </c>
      <c r="M641" t="s">
        <v>1784</v>
      </c>
      <c r="N641" s="211">
        <v>-9.9700000000000006</v>
      </c>
      <c r="O641" s="211">
        <v>-10</v>
      </c>
      <c r="P641" s="211">
        <v>7.2</v>
      </c>
      <c r="S641" s="211">
        <v>2.8</v>
      </c>
    </row>
    <row r="642" spans="1:19" ht="19">
      <c r="A642" s="212" t="s">
        <v>579</v>
      </c>
      <c r="B642" s="212" t="s">
        <v>580</v>
      </c>
      <c r="C642" s="233" t="s">
        <v>581</v>
      </c>
      <c r="D642" s="234" t="s">
        <v>151</v>
      </c>
      <c r="E642" s="212">
        <v>41229</v>
      </c>
      <c r="F642" s="212">
        <v>9240</v>
      </c>
      <c r="G642" s="212" t="s">
        <v>1723</v>
      </c>
      <c r="H642" s="212" t="s">
        <v>1811</v>
      </c>
      <c r="I642" s="212" t="s">
        <v>1742</v>
      </c>
      <c r="J642" s="212" t="s">
        <v>1728</v>
      </c>
      <c r="K642" s="227" t="s">
        <v>269</v>
      </c>
      <c r="L642" s="227" t="s">
        <v>1725</v>
      </c>
      <c r="M642" t="s">
        <v>1737</v>
      </c>
      <c r="N642" s="211">
        <v>-19.41</v>
      </c>
      <c r="O642" s="211">
        <v>-19.399999999999999</v>
      </c>
      <c r="P642" s="211">
        <v>2.8</v>
      </c>
      <c r="S642" s="211">
        <v>2.9</v>
      </c>
    </row>
    <row r="643" spans="1:19" ht="19">
      <c r="A643" s="212" t="s">
        <v>579</v>
      </c>
      <c r="B643" s="212" t="s">
        <v>580</v>
      </c>
      <c r="C643" s="233" t="s">
        <v>581</v>
      </c>
      <c r="D643" s="234" t="s">
        <v>151</v>
      </c>
      <c r="E643" s="212">
        <v>41229</v>
      </c>
      <c r="F643" s="212">
        <v>9514</v>
      </c>
      <c r="G643" s="212" t="s">
        <v>1723</v>
      </c>
      <c r="H643" s="212" t="s">
        <v>1811</v>
      </c>
      <c r="I643" s="212" t="s">
        <v>1137</v>
      </c>
      <c r="J643" s="212" t="s">
        <v>225</v>
      </c>
      <c r="K643" s="227" t="s">
        <v>269</v>
      </c>
      <c r="L643" s="227" t="s">
        <v>1725</v>
      </c>
      <c r="M643" t="s">
        <v>1757</v>
      </c>
      <c r="N643" s="211">
        <v>-14.26</v>
      </c>
      <c r="O643" s="211">
        <v>-14.3</v>
      </c>
      <c r="P643" s="211">
        <v>4.5999999999999996</v>
      </c>
      <c r="S643" s="211">
        <v>2.8</v>
      </c>
    </row>
    <row r="644" spans="1:19" ht="19">
      <c r="A644" s="212" t="s">
        <v>579</v>
      </c>
      <c r="B644" s="212" t="s">
        <v>580</v>
      </c>
      <c r="C644" s="233" t="s">
        <v>581</v>
      </c>
      <c r="D644" s="234" t="s">
        <v>151</v>
      </c>
      <c r="E644" s="212">
        <v>41229</v>
      </c>
      <c r="F644" s="212">
        <v>9805</v>
      </c>
      <c r="G644" s="212" t="s">
        <v>1723</v>
      </c>
      <c r="H644" s="212" t="s">
        <v>1811</v>
      </c>
      <c r="I644" s="212" t="s">
        <v>1137</v>
      </c>
      <c r="J644" s="212" t="s">
        <v>225</v>
      </c>
      <c r="K644" s="227" t="s">
        <v>269</v>
      </c>
      <c r="L644" s="227" t="s">
        <v>1725</v>
      </c>
      <c r="M644" t="s">
        <v>1839</v>
      </c>
      <c r="N644" s="211">
        <v>-18.5</v>
      </c>
      <c r="O644" s="211">
        <v>-18.5</v>
      </c>
      <c r="P644" s="211">
        <v>3.8</v>
      </c>
      <c r="S644" s="211">
        <v>2.8</v>
      </c>
    </row>
    <row r="645" spans="1:19" ht="19">
      <c r="A645" s="212" t="s">
        <v>579</v>
      </c>
      <c r="B645" s="212" t="s">
        <v>580</v>
      </c>
      <c r="C645" s="233" t="s">
        <v>581</v>
      </c>
      <c r="D645" s="234" t="s">
        <v>151</v>
      </c>
      <c r="E645" s="212">
        <v>41229</v>
      </c>
      <c r="F645" s="212">
        <v>11018</v>
      </c>
      <c r="G645" s="212" t="s">
        <v>1723</v>
      </c>
      <c r="H645" s="212" t="s">
        <v>1811</v>
      </c>
      <c r="I645" s="212" t="s">
        <v>1742</v>
      </c>
      <c r="J645" s="212" t="s">
        <v>1744</v>
      </c>
      <c r="K645" s="227" t="s">
        <v>269</v>
      </c>
      <c r="L645" s="227" t="s">
        <v>1725</v>
      </c>
      <c r="M645" t="s">
        <v>1738</v>
      </c>
      <c r="N645" s="211">
        <v>-21.89</v>
      </c>
      <c r="O645" s="211">
        <v>-21.9</v>
      </c>
      <c r="P645" s="211">
        <v>6.8</v>
      </c>
      <c r="S645" s="211">
        <v>2.8</v>
      </c>
    </row>
    <row r="646" spans="1:19" ht="19">
      <c r="A646" s="212" t="s">
        <v>579</v>
      </c>
      <c r="B646" s="212" t="s">
        <v>580</v>
      </c>
      <c r="C646" s="233" t="s">
        <v>581</v>
      </c>
      <c r="D646" s="234" t="s">
        <v>151</v>
      </c>
      <c r="E646" s="212">
        <v>41229</v>
      </c>
      <c r="F646" s="212">
        <v>15088</v>
      </c>
      <c r="G646" s="212" t="s">
        <v>1723</v>
      </c>
      <c r="H646" s="212" t="s">
        <v>1811</v>
      </c>
      <c r="I646" s="212" t="s">
        <v>1742</v>
      </c>
      <c r="J646" s="212" t="s">
        <v>1728</v>
      </c>
      <c r="K646" s="227" t="s">
        <v>269</v>
      </c>
      <c r="L646" s="227" t="s">
        <v>1725</v>
      </c>
      <c r="M646" t="s">
        <v>1332</v>
      </c>
      <c r="N646" s="211">
        <v>-15.45</v>
      </c>
      <c r="O646" s="211">
        <v>-15.5</v>
      </c>
      <c r="P646" s="211">
        <v>4.2</v>
      </c>
      <c r="S646" s="211">
        <v>2.8</v>
      </c>
    </row>
    <row r="647" spans="1:19" ht="19">
      <c r="A647" s="212" t="s">
        <v>579</v>
      </c>
      <c r="B647" s="212" t="s">
        <v>580</v>
      </c>
      <c r="C647" s="233" t="s">
        <v>581</v>
      </c>
      <c r="D647" s="234" t="s">
        <v>151</v>
      </c>
      <c r="E647" s="212">
        <v>41229</v>
      </c>
      <c r="F647" s="212">
        <v>15090</v>
      </c>
      <c r="G647" s="212" t="s">
        <v>1723</v>
      </c>
      <c r="H647" s="212" t="s">
        <v>1811</v>
      </c>
      <c r="I647" s="212" t="s">
        <v>1137</v>
      </c>
      <c r="J647" s="212" t="s">
        <v>225</v>
      </c>
      <c r="K647" s="227" t="s">
        <v>269</v>
      </c>
      <c r="L647" s="227" t="s">
        <v>1725</v>
      </c>
      <c r="M647" t="s">
        <v>1757</v>
      </c>
      <c r="N647" s="211">
        <v>-16.649999999999999</v>
      </c>
      <c r="O647" s="211">
        <v>-16.600000000000001</v>
      </c>
      <c r="P647" s="211">
        <v>3.1</v>
      </c>
      <c r="S647" s="211">
        <v>2.8</v>
      </c>
    </row>
    <row r="648" spans="1:19" ht="19">
      <c r="A648" s="212" t="s">
        <v>579</v>
      </c>
      <c r="B648" s="212" t="s">
        <v>580</v>
      </c>
      <c r="C648" s="233" t="s">
        <v>581</v>
      </c>
      <c r="D648" s="234" t="s">
        <v>151</v>
      </c>
      <c r="E648" s="212">
        <v>41229</v>
      </c>
      <c r="F648" s="212">
        <v>15091</v>
      </c>
      <c r="G648" s="212" t="s">
        <v>1723</v>
      </c>
      <c r="H648" s="212" t="s">
        <v>1811</v>
      </c>
      <c r="I648" s="212" t="s">
        <v>1137</v>
      </c>
      <c r="J648" s="212" t="s">
        <v>225</v>
      </c>
      <c r="K648" s="227" t="s">
        <v>269</v>
      </c>
      <c r="L648" s="227" t="s">
        <v>1725</v>
      </c>
      <c r="M648" t="s">
        <v>1758</v>
      </c>
      <c r="N648" s="211">
        <v>-15.72</v>
      </c>
      <c r="O648" s="211">
        <v>-15.7</v>
      </c>
      <c r="P648" s="211">
        <v>4</v>
      </c>
      <c r="S648" s="211">
        <v>2.8</v>
      </c>
    </row>
    <row r="649" spans="1:19" ht="19">
      <c r="A649" s="212" t="s">
        <v>579</v>
      </c>
      <c r="B649" s="212" t="s">
        <v>580</v>
      </c>
      <c r="C649" s="233" t="s">
        <v>581</v>
      </c>
      <c r="D649" s="234" t="s">
        <v>151</v>
      </c>
      <c r="E649" s="212">
        <v>41229</v>
      </c>
      <c r="F649" s="212">
        <v>15092</v>
      </c>
      <c r="G649" s="212" t="s">
        <v>1723</v>
      </c>
      <c r="H649" s="212" t="s">
        <v>1811</v>
      </c>
      <c r="I649" s="212" t="s">
        <v>1137</v>
      </c>
      <c r="J649" s="212" t="s">
        <v>225</v>
      </c>
      <c r="K649" s="227" t="s">
        <v>269</v>
      </c>
      <c r="L649" s="227" t="s">
        <v>1725</v>
      </c>
      <c r="M649" t="s">
        <v>1332</v>
      </c>
      <c r="N649" s="211">
        <v>-12.67</v>
      </c>
      <c r="O649" s="211">
        <v>-12.7</v>
      </c>
      <c r="P649" s="211">
        <v>6.1</v>
      </c>
      <c r="S649" s="211">
        <v>2.9</v>
      </c>
    </row>
    <row r="650" spans="1:19" ht="19">
      <c r="A650" s="212" t="s">
        <v>579</v>
      </c>
      <c r="B650" s="212" t="s">
        <v>580</v>
      </c>
      <c r="C650" s="233" t="s">
        <v>581</v>
      </c>
      <c r="D650" s="234" t="s">
        <v>151</v>
      </c>
      <c r="E650" s="212">
        <v>41229</v>
      </c>
      <c r="F650" s="212">
        <v>15098</v>
      </c>
      <c r="G650" s="212" t="s">
        <v>1723</v>
      </c>
      <c r="H650" s="212" t="s">
        <v>1811</v>
      </c>
      <c r="I650" s="212" t="s">
        <v>1137</v>
      </c>
      <c r="J650" s="212" t="s">
        <v>225</v>
      </c>
      <c r="K650" s="227" t="s">
        <v>269</v>
      </c>
      <c r="L650" s="227" t="s">
        <v>1725</v>
      </c>
      <c r="M650" t="s">
        <v>1748</v>
      </c>
      <c r="N650" s="211">
        <v>-15.22</v>
      </c>
      <c r="O650" s="211">
        <v>-15.2</v>
      </c>
      <c r="P650" s="211">
        <v>6.3</v>
      </c>
      <c r="S650" s="211">
        <v>2.9</v>
      </c>
    </row>
    <row r="651" spans="1:19" ht="19">
      <c r="A651" s="212" t="s">
        <v>579</v>
      </c>
      <c r="B651" s="212" t="s">
        <v>580</v>
      </c>
      <c r="C651" s="233" t="s">
        <v>581</v>
      </c>
      <c r="D651" s="234" t="s">
        <v>151</v>
      </c>
      <c r="E651" s="212">
        <v>41229</v>
      </c>
      <c r="F651" s="212">
        <v>15105</v>
      </c>
      <c r="G651" s="212" t="s">
        <v>1723</v>
      </c>
      <c r="H651" s="212" t="s">
        <v>1811</v>
      </c>
      <c r="I651" s="212" t="s">
        <v>1137</v>
      </c>
      <c r="J651" s="212" t="s">
        <v>225</v>
      </c>
      <c r="K651" s="227" t="s">
        <v>269</v>
      </c>
      <c r="L651" s="227" t="s">
        <v>1725</v>
      </c>
      <c r="M651" t="s">
        <v>1738</v>
      </c>
      <c r="N651" s="211">
        <v>-17.100000000000001</v>
      </c>
      <c r="O651" s="211">
        <v>-17.100000000000001</v>
      </c>
      <c r="P651" s="211">
        <v>6.7</v>
      </c>
      <c r="S651" s="211">
        <v>2.9</v>
      </c>
    </row>
    <row r="652" spans="1:19" ht="19">
      <c r="A652" s="212" t="s">
        <v>579</v>
      </c>
      <c r="B652" s="212" t="s">
        <v>580</v>
      </c>
      <c r="C652" s="233" t="s">
        <v>581</v>
      </c>
      <c r="D652" s="234" t="s">
        <v>151</v>
      </c>
      <c r="E652" s="212">
        <v>41229</v>
      </c>
      <c r="F652" s="212">
        <v>15112</v>
      </c>
      <c r="G652" s="212" t="s">
        <v>1723</v>
      </c>
      <c r="H652" s="212" t="s">
        <v>1811</v>
      </c>
      <c r="I652" s="212" t="s">
        <v>1137</v>
      </c>
      <c r="J652" s="212" t="s">
        <v>225</v>
      </c>
      <c r="K652" s="227" t="s">
        <v>269</v>
      </c>
      <c r="L652" s="227" t="s">
        <v>1725</v>
      </c>
      <c r="M652" t="s">
        <v>1757</v>
      </c>
      <c r="N652" s="211">
        <v>-14.57</v>
      </c>
      <c r="O652" s="211">
        <v>-14.6</v>
      </c>
      <c r="P652" s="211">
        <v>7.2</v>
      </c>
      <c r="S652" s="211">
        <v>2.8</v>
      </c>
    </row>
    <row r="653" spans="1:19" ht="19">
      <c r="A653" s="212" t="s">
        <v>579</v>
      </c>
      <c r="B653" s="212" t="s">
        <v>580</v>
      </c>
      <c r="C653" s="233" t="s">
        <v>581</v>
      </c>
      <c r="D653" s="234" t="s">
        <v>151</v>
      </c>
      <c r="E653" s="212">
        <v>41229</v>
      </c>
      <c r="F653" s="212">
        <v>15113</v>
      </c>
      <c r="G653" s="212" t="s">
        <v>1723</v>
      </c>
      <c r="H653" s="212" t="s">
        <v>1811</v>
      </c>
      <c r="I653" s="212" t="s">
        <v>1137</v>
      </c>
      <c r="J653" s="212" t="s">
        <v>225</v>
      </c>
      <c r="K653" s="227" t="s">
        <v>269</v>
      </c>
      <c r="L653" s="227" t="s">
        <v>1725</v>
      </c>
      <c r="M653" t="s">
        <v>1786</v>
      </c>
      <c r="N653" s="211">
        <v>-14.28</v>
      </c>
      <c r="O653" s="211">
        <v>-14.3</v>
      </c>
      <c r="P653" s="211">
        <v>5.7</v>
      </c>
      <c r="S653" s="211">
        <v>2.8</v>
      </c>
    </row>
    <row r="654" spans="1:19" ht="19">
      <c r="A654" s="212" t="s">
        <v>579</v>
      </c>
      <c r="B654" s="212" t="s">
        <v>580</v>
      </c>
      <c r="C654" s="233" t="s">
        <v>581</v>
      </c>
      <c r="D654" s="234" t="s">
        <v>151</v>
      </c>
      <c r="E654" s="212">
        <v>41229</v>
      </c>
      <c r="F654" s="212">
        <v>15129</v>
      </c>
      <c r="G654" s="212" t="s">
        <v>1723</v>
      </c>
      <c r="H654" s="212" t="s">
        <v>1811</v>
      </c>
      <c r="I654" s="212" t="s">
        <v>1137</v>
      </c>
      <c r="J654" s="212" t="s">
        <v>225</v>
      </c>
      <c r="K654" s="227" t="s">
        <v>269</v>
      </c>
      <c r="L654" s="227" t="s">
        <v>1725</v>
      </c>
      <c r="M654" t="s">
        <v>1786</v>
      </c>
      <c r="N654" s="211">
        <v>-10.42</v>
      </c>
      <c r="O654" s="211">
        <v>-10.4</v>
      </c>
      <c r="P654" s="211">
        <v>5.5</v>
      </c>
      <c r="S654" s="211">
        <v>2.7</v>
      </c>
    </row>
    <row r="655" spans="1:19" ht="19">
      <c r="A655" s="212" t="s">
        <v>579</v>
      </c>
      <c r="B655" s="212" t="s">
        <v>580</v>
      </c>
      <c r="C655" s="233" t="s">
        <v>581</v>
      </c>
      <c r="D655" s="234" t="s">
        <v>151</v>
      </c>
      <c r="E655" s="212">
        <v>41229</v>
      </c>
      <c r="F655" s="212">
        <v>15142</v>
      </c>
      <c r="G655" s="212" t="s">
        <v>1723</v>
      </c>
      <c r="H655" s="212" t="s">
        <v>1811</v>
      </c>
      <c r="I655" s="212" t="s">
        <v>1137</v>
      </c>
      <c r="J655" s="212" t="s">
        <v>225</v>
      </c>
      <c r="K655" s="227" t="s">
        <v>269</v>
      </c>
      <c r="L655" s="227" t="s">
        <v>1725</v>
      </c>
      <c r="M655" t="s">
        <v>1332</v>
      </c>
      <c r="N655" s="211">
        <v>-12.29</v>
      </c>
      <c r="O655" s="211">
        <v>-12.3</v>
      </c>
      <c r="P655" s="211">
        <v>4.5999999999999996</v>
      </c>
      <c r="S655" s="211">
        <v>2.8</v>
      </c>
    </row>
    <row r="656" spans="1:19" ht="19">
      <c r="A656" s="212" t="s">
        <v>579</v>
      </c>
      <c r="B656" s="212" t="s">
        <v>580</v>
      </c>
      <c r="C656" s="233" t="s">
        <v>581</v>
      </c>
      <c r="D656" s="234" t="s">
        <v>151</v>
      </c>
      <c r="E656" s="212">
        <v>41229</v>
      </c>
      <c r="F656" s="212">
        <v>15144</v>
      </c>
      <c r="G656" s="212" t="s">
        <v>1723</v>
      </c>
      <c r="H656" s="212" t="s">
        <v>1811</v>
      </c>
      <c r="I656" s="212" t="s">
        <v>1137</v>
      </c>
      <c r="J656" s="212" t="s">
        <v>225</v>
      </c>
      <c r="K656" s="227" t="s">
        <v>269</v>
      </c>
      <c r="L656" s="227" t="s">
        <v>1725</v>
      </c>
      <c r="M656" s="203" t="s">
        <v>1761</v>
      </c>
      <c r="N656" s="211">
        <v>-18.29</v>
      </c>
      <c r="O656" s="211">
        <v>-18.3</v>
      </c>
      <c r="P656" s="211">
        <v>5</v>
      </c>
      <c r="S656" s="211">
        <v>2.8</v>
      </c>
    </row>
    <row r="657" spans="1:19" ht="19">
      <c r="A657" s="212" t="s">
        <v>579</v>
      </c>
      <c r="B657" s="212" t="s">
        <v>580</v>
      </c>
      <c r="C657" s="233" t="s">
        <v>581</v>
      </c>
      <c r="D657" s="234" t="s">
        <v>151</v>
      </c>
      <c r="E657" s="212">
        <v>41229</v>
      </c>
      <c r="F657" s="212">
        <v>17909</v>
      </c>
      <c r="G657" s="212" t="s">
        <v>1723</v>
      </c>
      <c r="H657" s="212" t="s">
        <v>1811</v>
      </c>
      <c r="I657" s="212" t="s">
        <v>1742</v>
      </c>
      <c r="J657" s="212" t="s">
        <v>1728</v>
      </c>
      <c r="K657" s="227" t="s">
        <v>269</v>
      </c>
      <c r="L657" s="227" t="s">
        <v>1725</v>
      </c>
      <c r="M657" s="203" t="s">
        <v>1784</v>
      </c>
      <c r="N657" s="211">
        <v>-17.28</v>
      </c>
      <c r="O657" s="211">
        <v>-17.3</v>
      </c>
      <c r="P657" s="211">
        <v>6</v>
      </c>
      <c r="S657" s="211">
        <v>2.8</v>
      </c>
    </row>
    <row r="658" spans="1:19" ht="19">
      <c r="A658" s="212" t="s">
        <v>579</v>
      </c>
      <c r="B658" s="212" t="s">
        <v>580</v>
      </c>
      <c r="C658" s="233" t="s">
        <v>581</v>
      </c>
      <c r="D658" s="234" t="s">
        <v>151</v>
      </c>
      <c r="E658" s="212">
        <v>41229</v>
      </c>
      <c r="F658" s="212">
        <v>17910</v>
      </c>
      <c r="G658" s="212" t="s">
        <v>1723</v>
      </c>
      <c r="H658" s="212" t="s">
        <v>1811</v>
      </c>
      <c r="I658" s="212" t="s">
        <v>1742</v>
      </c>
      <c r="J658" s="212" t="s">
        <v>1728</v>
      </c>
      <c r="K658" s="227" t="s">
        <v>269</v>
      </c>
      <c r="L658" s="227" t="s">
        <v>1725</v>
      </c>
      <c r="M658" t="s">
        <v>1784</v>
      </c>
      <c r="N658" s="211">
        <v>-17.02</v>
      </c>
      <c r="O658" s="211">
        <v>-17</v>
      </c>
      <c r="P658" s="211">
        <v>6</v>
      </c>
      <c r="S658" s="211">
        <v>2.8</v>
      </c>
    </row>
    <row r="659" spans="1:19" ht="19">
      <c r="A659" s="212" t="s">
        <v>579</v>
      </c>
      <c r="B659" s="212" t="s">
        <v>580</v>
      </c>
      <c r="C659" s="233" t="s">
        <v>581</v>
      </c>
      <c r="D659" s="234" t="s">
        <v>151</v>
      </c>
      <c r="E659" s="212">
        <v>41229</v>
      </c>
      <c r="F659" s="212">
        <v>17912</v>
      </c>
      <c r="G659" s="212" t="s">
        <v>1723</v>
      </c>
      <c r="H659" s="212" t="s">
        <v>1811</v>
      </c>
      <c r="I659" s="212" t="s">
        <v>1742</v>
      </c>
      <c r="J659" s="212" t="s">
        <v>1728</v>
      </c>
      <c r="K659" s="227" t="s">
        <v>269</v>
      </c>
      <c r="L659" s="227" t="s">
        <v>1725</v>
      </c>
      <c r="M659" t="s">
        <v>1738</v>
      </c>
      <c r="N659" s="211">
        <v>-14.89</v>
      </c>
      <c r="O659" s="211">
        <v>-14.9</v>
      </c>
      <c r="P659" s="211">
        <v>4.2</v>
      </c>
      <c r="S659" s="211">
        <v>2.8</v>
      </c>
    </row>
    <row r="660" spans="1:19" ht="19">
      <c r="A660" s="212" t="s">
        <v>579</v>
      </c>
      <c r="B660" s="212" t="s">
        <v>580</v>
      </c>
      <c r="C660" s="233" t="s">
        <v>581</v>
      </c>
      <c r="D660" s="234" t="s">
        <v>151</v>
      </c>
      <c r="E660" s="212">
        <v>41229</v>
      </c>
      <c r="F660" s="212">
        <v>17914</v>
      </c>
      <c r="G660" s="212" t="s">
        <v>1723</v>
      </c>
      <c r="H660" s="212" t="s">
        <v>1811</v>
      </c>
      <c r="I660" s="212" t="s">
        <v>1742</v>
      </c>
      <c r="J660" s="212" t="s">
        <v>1728</v>
      </c>
      <c r="K660" s="227" t="s">
        <v>269</v>
      </c>
      <c r="L660" s="227" t="s">
        <v>1725</v>
      </c>
      <c r="M660" t="s">
        <v>1738</v>
      </c>
      <c r="N660" s="211">
        <v>-13.12</v>
      </c>
      <c r="O660" s="211">
        <v>-13.1</v>
      </c>
      <c r="P660" s="211">
        <v>6.4</v>
      </c>
      <c r="S660" s="211">
        <v>2.8</v>
      </c>
    </row>
    <row r="661" spans="1:19" ht="19">
      <c r="A661" s="212" t="s">
        <v>579</v>
      </c>
      <c r="B661" s="212" t="s">
        <v>580</v>
      </c>
      <c r="C661" s="233" t="s">
        <v>581</v>
      </c>
      <c r="D661" s="234" t="s">
        <v>151</v>
      </c>
      <c r="E661" s="212">
        <v>41229</v>
      </c>
      <c r="F661" s="212">
        <v>17915</v>
      </c>
      <c r="G661" s="212" t="s">
        <v>1723</v>
      </c>
      <c r="H661" s="212" t="s">
        <v>1811</v>
      </c>
      <c r="I661" s="212" t="s">
        <v>1742</v>
      </c>
      <c r="J661" s="212" t="s">
        <v>1728</v>
      </c>
      <c r="K661" s="227" t="s">
        <v>269</v>
      </c>
      <c r="L661" s="227" t="s">
        <v>1725</v>
      </c>
      <c r="M661" t="s">
        <v>1784</v>
      </c>
      <c r="N661" s="211">
        <v>-15.17</v>
      </c>
      <c r="O661" s="211">
        <v>-15.2</v>
      </c>
      <c r="P661" s="211">
        <v>4</v>
      </c>
      <c r="S661" s="211">
        <v>2.8</v>
      </c>
    </row>
    <row r="662" spans="1:19" ht="19">
      <c r="A662" s="212" t="s">
        <v>579</v>
      </c>
      <c r="B662" s="212" t="s">
        <v>580</v>
      </c>
      <c r="C662" s="233" t="s">
        <v>581</v>
      </c>
      <c r="D662" s="234" t="s">
        <v>151</v>
      </c>
      <c r="E662" s="212">
        <v>41229</v>
      </c>
      <c r="F662" s="212">
        <v>17916</v>
      </c>
      <c r="G662" s="212" t="s">
        <v>1723</v>
      </c>
      <c r="H662" s="212" t="s">
        <v>1811</v>
      </c>
      <c r="I662" s="212" t="s">
        <v>1742</v>
      </c>
      <c r="J662" s="212" t="s">
        <v>1728</v>
      </c>
      <c r="K662" s="227" t="s">
        <v>269</v>
      </c>
      <c r="L662" s="227" t="s">
        <v>1725</v>
      </c>
      <c r="M662" t="s">
        <v>1784</v>
      </c>
      <c r="N662" s="211">
        <v>-15.64</v>
      </c>
      <c r="O662" s="211">
        <v>-15.6</v>
      </c>
      <c r="P662" s="211">
        <v>4.9000000000000004</v>
      </c>
      <c r="S662" s="211">
        <v>2.8</v>
      </c>
    </row>
    <row r="663" spans="1:19" ht="19">
      <c r="A663" s="212" t="s">
        <v>579</v>
      </c>
      <c r="B663" s="212" t="s">
        <v>580</v>
      </c>
      <c r="C663" s="233" t="s">
        <v>581</v>
      </c>
      <c r="D663" s="234" t="s">
        <v>151</v>
      </c>
      <c r="E663" s="212">
        <v>41229</v>
      </c>
      <c r="F663" s="212">
        <v>17957</v>
      </c>
      <c r="G663" s="212" t="s">
        <v>1723</v>
      </c>
      <c r="H663" s="212" t="s">
        <v>1811</v>
      </c>
      <c r="I663" s="212" t="s">
        <v>1742</v>
      </c>
      <c r="J663" s="212" t="s">
        <v>1728</v>
      </c>
      <c r="K663" s="227" t="s">
        <v>269</v>
      </c>
      <c r="L663" s="227" t="s">
        <v>1725</v>
      </c>
      <c r="M663" t="s">
        <v>1784</v>
      </c>
      <c r="N663" s="211">
        <v>-15.13</v>
      </c>
      <c r="O663" s="211">
        <v>-15.1</v>
      </c>
      <c r="P663" s="211">
        <v>4.2</v>
      </c>
      <c r="S663" s="211">
        <v>2.8</v>
      </c>
    </row>
    <row r="664" spans="1:19" ht="19">
      <c r="A664" s="212" t="s">
        <v>579</v>
      </c>
      <c r="B664" s="212" t="s">
        <v>580</v>
      </c>
      <c r="C664" s="233" t="s">
        <v>581</v>
      </c>
      <c r="D664" s="234" t="s">
        <v>151</v>
      </c>
      <c r="E664" s="212">
        <v>41229</v>
      </c>
      <c r="F664" s="212">
        <v>17958</v>
      </c>
      <c r="G664" s="212" t="s">
        <v>1723</v>
      </c>
      <c r="H664" s="212" t="s">
        <v>1811</v>
      </c>
      <c r="I664" s="212" t="s">
        <v>1742</v>
      </c>
      <c r="J664" s="212" t="s">
        <v>1728</v>
      </c>
      <c r="K664" s="227" t="s">
        <v>269</v>
      </c>
      <c r="L664" s="227" t="s">
        <v>1725</v>
      </c>
      <c r="M664" t="s">
        <v>1737</v>
      </c>
      <c r="N664" s="211">
        <v>-16.86</v>
      </c>
      <c r="O664" s="211">
        <v>-16.899999999999999</v>
      </c>
      <c r="P664" s="211">
        <v>4.2</v>
      </c>
      <c r="S664" s="211">
        <v>2.7</v>
      </c>
    </row>
    <row r="665" spans="1:19" ht="19">
      <c r="A665" s="212" t="s">
        <v>579</v>
      </c>
      <c r="B665" s="212" t="s">
        <v>580</v>
      </c>
      <c r="C665" s="233" t="s">
        <v>581</v>
      </c>
      <c r="D665" s="234" t="s">
        <v>151</v>
      </c>
      <c r="E665" s="212">
        <v>41229</v>
      </c>
      <c r="F665" s="212">
        <v>17959</v>
      </c>
      <c r="G665" s="212" t="s">
        <v>1723</v>
      </c>
      <c r="H665" s="212" t="s">
        <v>1811</v>
      </c>
      <c r="I665" s="212" t="s">
        <v>1742</v>
      </c>
      <c r="J665" s="212" t="s">
        <v>1728</v>
      </c>
      <c r="K665" s="227" t="s">
        <v>269</v>
      </c>
      <c r="L665" s="227" t="s">
        <v>1725</v>
      </c>
      <c r="M665" t="s">
        <v>1748</v>
      </c>
      <c r="N665" s="211">
        <v>-11.26</v>
      </c>
      <c r="O665" s="211">
        <v>-11.3</v>
      </c>
      <c r="P665" s="211">
        <v>4.7</v>
      </c>
      <c r="S665" s="211">
        <v>2.8</v>
      </c>
    </row>
    <row r="666" spans="1:19" ht="19">
      <c r="A666" s="212" t="s">
        <v>579</v>
      </c>
      <c r="B666" s="212" t="s">
        <v>580</v>
      </c>
      <c r="C666" s="233" t="s">
        <v>581</v>
      </c>
      <c r="D666" s="234" t="s">
        <v>151</v>
      </c>
      <c r="E666" s="212">
        <v>41229</v>
      </c>
      <c r="F666" s="212">
        <v>17960</v>
      </c>
      <c r="G666" s="212" t="s">
        <v>1723</v>
      </c>
      <c r="H666" s="212" t="s">
        <v>1811</v>
      </c>
      <c r="I666" s="212" t="s">
        <v>1742</v>
      </c>
      <c r="J666" s="212" t="s">
        <v>1728</v>
      </c>
      <c r="K666" s="227" t="s">
        <v>269</v>
      </c>
      <c r="L666" s="227" t="s">
        <v>1725</v>
      </c>
      <c r="M666" t="s">
        <v>1754</v>
      </c>
      <c r="N666" s="211">
        <v>-20.82</v>
      </c>
      <c r="O666" s="211">
        <v>-20.8</v>
      </c>
      <c r="P666" s="211">
        <v>4.4000000000000004</v>
      </c>
      <c r="S666" s="211">
        <v>2.9</v>
      </c>
    </row>
    <row r="667" spans="1:19" ht="19">
      <c r="A667" s="212" t="s">
        <v>579</v>
      </c>
      <c r="B667" s="212" t="s">
        <v>580</v>
      </c>
      <c r="C667" s="233" t="s">
        <v>581</v>
      </c>
      <c r="D667" s="234" t="s">
        <v>151</v>
      </c>
      <c r="E667" s="212">
        <v>41229</v>
      </c>
      <c r="F667" s="212">
        <v>17961</v>
      </c>
      <c r="G667" s="212" t="s">
        <v>1723</v>
      </c>
      <c r="H667" s="212" t="s">
        <v>1811</v>
      </c>
      <c r="I667" s="212" t="s">
        <v>1742</v>
      </c>
      <c r="J667" s="212" t="s">
        <v>1728</v>
      </c>
      <c r="K667" s="227" t="s">
        <v>269</v>
      </c>
      <c r="L667" s="227" t="s">
        <v>1725</v>
      </c>
      <c r="M667" t="s">
        <v>1738</v>
      </c>
      <c r="N667" s="211">
        <v>-17.75</v>
      </c>
      <c r="O667" s="211">
        <v>-17.8</v>
      </c>
      <c r="P667" s="211">
        <v>4.0999999999999996</v>
      </c>
      <c r="S667" s="211">
        <v>2.8</v>
      </c>
    </row>
    <row r="668" spans="1:19" ht="19">
      <c r="A668" s="212" t="s">
        <v>579</v>
      </c>
      <c r="B668" s="212" t="s">
        <v>580</v>
      </c>
      <c r="C668" s="233" t="s">
        <v>581</v>
      </c>
      <c r="D668" s="234" t="s">
        <v>151</v>
      </c>
      <c r="E668" s="212">
        <v>41229</v>
      </c>
      <c r="F668" s="212">
        <v>17962</v>
      </c>
      <c r="G668" s="212" t="s">
        <v>1723</v>
      </c>
      <c r="H668" s="212" t="s">
        <v>1811</v>
      </c>
      <c r="I668" s="212" t="s">
        <v>1742</v>
      </c>
      <c r="J668" s="212" t="s">
        <v>1728</v>
      </c>
      <c r="K668" s="227" t="s">
        <v>269</v>
      </c>
      <c r="L668" s="227" t="s">
        <v>1725</v>
      </c>
      <c r="M668" t="s">
        <v>1754</v>
      </c>
      <c r="N668" s="211">
        <v>-15.63</v>
      </c>
      <c r="O668" s="211">
        <v>-15.6</v>
      </c>
      <c r="P668" s="211">
        <v>3.1</v>
      </c>
      <c r="S668" s="211">
        <v>2.8</v>
      </c>
    </row>
    <row r="669" spans="1:19" ht="19">
      <c r="A669" s="212" t="s">
        <v>579</v>
      </c>
      <c r="B669" s="212" t="s">
        <v>580</v>
      </c>
      <c r="C669" s="233" t="s">
        <v>581</v>
      </c>
      <c r="D669" s="234" t="s">
        <v>151</v>
      </c>
      <c r="E669" s="212">
        <v>41229</v>
      </c>
      <c r="F669" s="212">
        <v>17964</v>
      </c>
      <c r="G669" s="212" t="s">
        <v>1723</v>
      </c>
      <c r="H669" s="212" t="s">
        <v>1811</v>
      </c>
      <c r="I669" s="212" t="s">
        <v>1742</v>
      </c>
      <c r="J669" s="212" t="s">
        <v>1728</v>
      </c>
      <c r="K669" s="227" t="s">
        <v>269</v>
      </c>
      <c r="L669" s="227" t="s">
        <v>1725</v>
      </c>
      <c r="M669" t="s">
        <v>1757</v>
      </c>
      <c r="N669" s="211">
        <v>-10.83</v>
      </c>
      <c r="O669" s="211">
        <v>-10.8</v>
      </c>
      <c r="P669" s="211">
        <v>5.2</v>
      </c>
      <c r="S669" s="211">
        <v>2.8</v>
      </c>
    </row>
    <row r="670" spans="1:19" ht="19">
      <c r="A670" s="212" t="s">
        <v>579</v>
      </c>
      <c r="B670" s="212" t="s">
        <v>580</v>
      </c>
      <c r="C670" s="233" t="s">
        <v>581</v>
      </c>
      <c r="D670" s="234" t="s">
        <v>151</v>
      </c>
      <c r="E670" s="212">
        <v>41229</v>
      </c>
      <c r="F670" s="212">
        <v>17965</v>
      </c>
      <c r="G670" s="212" t="s">
        <v>1723</v>
      </c>
      <c r="H670" s="212" t="s">
        <v>1811</v>
      </c>
      <c r="I670" s="212" t="s">
        <v>1742</v>
      </c>
      <c r="J670" s="212" t="s">
        <v>1728</v>
      </c>
      <c r="K670" s="227" t="s">
        <v>269</v>
      </c>
      <c r="L670" s="227" t="s">
        <v>1725</v>
      </c>
      <c r="M670" t="s">
        <v>1737</v>
      </c>
      <c r="N670" s="211">
        <v>-9</v>
      </c>
      <c r="O670" s="211">
        <v>-9</v>
      </c>
      <c r="P670" s="211">
        <v>5</v>
      </c>
      <c r="S670" s="211">
        <v>2.8</v>
      </c>
    </row>
    <row r="671" spans="1:19" ht="19">
      <c r="A671" s="212" t="s">
        <v>579</v>
      </c>
      <c r="B671" s="212" t="s">
        <v>580</v>
      </c>
      <c r="C671" s="233" t="s">
        <v>581</v>
      </c>
      <c r="D671" s="234" t="s">
        <v>151</v>
      </c>
      <c r="E671" s="212">
        <v>41229</v>
      </c>
      <c r="F671" s="212">
        <v>17968</v>
      </c>
      <c r="G671" s="212" t="s">
        <v>1723</v>
      </c>
      <c r="H671" s="212" t="s">
        <v>1811</v>
      </c>
      <c r="I671" s="212" t="s">
        <v>1742</v>
      </c>
      <c r="J671" s="212" t="s">
        <v>1728</v>
      </c>
      <c r="K671" s="227" t="s">
        <v>269</v>
      </c>
      <c r="L671" s="227" t="s">
        <v>1725</v>
      </c>
      <c r="M671" t="s">
        <v>1738</v>
      </c>
      <c r="N671" s="211">
        <v>-20.100000000000001</v>
      </c>
      <c r="O671" s="211">
        <v>-20.100000000000001</v>
      </c>
      <c r="P671" s="211">
        <v>5.5</v>
      </c>
      <c r="S671" s="211">
        <v>3</v>
      </c>
    </row>
    <row r="672" spans="1:19" ht="19">
      <c r="A672" s="212" t="s">
        <v>579</v>
      </c>
      <c r="B672" s="212" t="s">
        <v>580</v>
      </c>
      <c r="C672" s="233" t="s">
        <v>581</v>
      </c>
      <c r="D672" s="234" t="s">
        <v>151</v>
      </c>
      <c r="E672" s="212">
        <v>41229</v>
      </c>
      <c r="F672" s="212">
        <v>17969</v>
      </c>
      <c r="G672" s="212" t="s">
        <v>1723</v>
      </c>
      <c r="H672" s="212" t="s">
        <v>1811</v>
      </c>
      <c r="I672" s="212" t="s">
        <v>1742</v>
      </c>
      <c r="J672" s="212" t="s">
        <v>1728</v>
      </c>
      <c r="K672" s="227" t="s">
        <v>269</v>
      </c>
      <c r="L672" s="227" t="s">
        <v>1725</v>
      </c>
      <c r="M672" t="s">
        <v>1738</v>
      </c>
      <c r="N672" s="211">
        <v>-22.4</v>
      </c>
      <c r="O672" s="211">
        <v>-22.4</v>
      </c>
      <c r="P672" s="211">
        <v>7.6</v>
      </c>
      <c r="S672" s="211">
        <v>2.9</v>
      </c>
    </row>
    <row r="673" spans="1:19" ht="19">
      <c r="A673" s="212" t="s">
        <v>579</v>
      </c>
      <c r="B673" s="212" t="s">
        <v>580</v>
      </c>
      <c r="C673" s="233" t="s">
        <v>581</v>
      </c>
      <c r="D673" s="234" t="s">
        <v>151</v>
      </c>
      <c r="E673" s="212">
        <v>41229</v>
      </c>
      <c r="F673" s="212">
        <v>17970</v>
      </c>
      <c r="G673" s="212" t="s">
        <v>1723</v>
      </c>
      <c r="H673" s="212" t="s">
        <v>1811</v>
      </c>
      <c r="I673" s="212" t="s">
        <v>1742</v>
      </c>
      <c r="J673" s="212" t="s">
        <v>1728</v>
      </c>
      <c r="K673" s="227" t="s">
        <v>269</v>
      </c>
      <c r="L673" s="227" t="s">
        <v>1725</v>
      </c>
      <c r="M673" t="s">
        <v>1784</v>
      </c>
      <c r="N673" s="211">
        <v>-10.58</v>
      </c>
      <c r="O673" s="211">
        <v>-10.6</v>
      </c>
      <c r="P673" s="211">
        <v>10.1</v>
      </c>
      <c r="S673" s="211">
        <v>2.8</v>
      </c>
    </row>
    <row r="674" spans="1:19" ht="19">
      <c r="A674" s="212" t="s">
        <v>579</v>
      </c>
      <c r="B674" s="212" t="s">
        <v>580</v>
      </c>
      <c r="C674" s="233" t="s">
        <v>581</v>
      </c>
      <c r="D674" s="234" t="s">
        <v>151</v>
      </c>
      <c r="E674" s="212">
        <v>41229</v>
      </c>
      <c r="F674" s="212">
        <v>17971</v>
      </c>
      <c r="G674" s="212" t="s">
        <v>1723</v>
      </c>
      <c r="H674" s="212" t="s">
        <v>1811</v>
      </c>
      <c r="I674" s="212" t="s">
        <v>1742</v>
      </c>
      <c r="J674" s="212" t="s">
        <v>1728</v>
      </c>
      <c r="K674" s="227" t="s">
        <v>269</v>
      </c>
      <c r="L674" s="227" t="s">
        <v>1725</v>
      </c>
      <c r="M674" t="s">
        <v>1332</v>
      </c>
      <c r="N674" s="211">
        <v>-17.59</v>
      </c>
      <c r="O674" s="211">
        <v>-17.600000000000001</v>
      </c>
      <c r="P674" s="211">
        <v>6</v>
      </c>
      <c r="S674" s="211">
        <v>2.8</v>
      </c>
    </row>
    <row r="675" spans="1:19" ht="19">
      <c r="A675" s="212" t="s">
        <v>579</v>
      </c>
      <c r="B675" s="212" t="s">
        <v>580</v>
      </c>
      <c r="C675" s="233" t="s">
        <v>581</v>
      </c>
      <c r="D675" s="234" t="s">
        <v>151</v>
      </c>
      <c r="E675" s="212">
        <v>41229</v>
      </c>
      <c r="F675" s="212">
        <v>18007</v>
      </c>
      <c r="G675" s="212" t="s">
        <v>1723</v>
      </c>
      <c r="H675" s="212" t="s">
        <v>1811</v>
      </c>
      <c r="I675" s="212" t="s">
        <v>1742</v>
      </c>
      <c r="J675" s="212" t="s">
        <v>1744</v>
      </c>
      <c r="K675" s="227" t="s">
        <v>269</v>
      </c>
      <c r="L675" s="227" t="s">
        <v>1725</v>
      </c>
      <c r="M675" t="s">
        <v>1332</v>
      </c>
      <c r="N675" s="211">
        <v>-19.98</v>
      </c>
      <c r="O675" s="211">
        <v>-20</v>
      </c>
      <c r="P675" s="211">
        <v>5.8</v>
      </c>
      <c r="S675" s="211">
        <v>2.9</v>
      </c>
    </row>
    <row r="676" spans="1:19" ht="19">
      <c r="A676" s="212" t="s">
        <v>579</v>
      </c>
      <c r="B676" s="212" t="s">
        <v>580</v>
      </c>
      <c r="C676" s="233" t="s">
        <v>581</v>
      </c>
      <c r="D676" s="234" t="s">
        <v>151</v>
      </c>
      <c r="E676" s="212">
        <v>41229</v>
      </c>
      <c r="F676" s="212">
        <v>18011</v>
      </c>
      <c r="G676" s="212" t="s">
        <v>1723</v>
      </c>
      <c r="H676" s="212" t="s">
        <v>1811</v>
      </c>
      <c r="I676" s="212" t="s">
        <v>1742</v>
      </c>
      <c r="J676" s="212" t="s">
        <v>1728</v>
      </c>
      <c r="K676" s="227" t="s">
        <v>269</v>
      </c>
      <c r="L676" s="227" t="s">
        <v>1725</v>
      </c>
      <c r="M676" t="s">
        <v>1737</v>
      </c>
      <c r="N676" s="211">
        <v>-9.6199999999999992</v>
      </c>
      <c r="O676" s="211">
        <v>-9.6</v>
      </c>
      <c r="P676" s="211">
        <v>9.6</v>
      </c>
      <c r="S676" s="211">
        <v>2.9</v>
      </c>
    </row>
    <row r="677" spans="1:19" ht="19">
      <c r="A677" s="212" t="s">
        <v>579</v>
      </c>
      <c r="B677" s="212" t="s">
        <v>580</v>
      </c>
      <c r="C677" s="233" t="s">
        <v>581</v>
      </c>
      <c r="D677" s="234" t="s">
        <v>151</v>
      </c>
      <c r="E677" s="212">
        <v>41229</v>
      </c>
      <c r="F677" s="212">
        <v>18012</v>
      </c>
      <c r="G677" s="212" t="s">
        <v>1723</v>
      </c>
      <c r="H677" s="212" t="s">
        <v>1811</v>
      </c>
      <c r="I677" s="212" t="s">
        <v>1742</v>
      </c>
      <c r="J677" s="212" t="s">
        <v>1744</v>
      </c>
      <c r="K677" s="227" t="s">
        <v>269</v>
      </c>
      <c r="L677" s="227" t="s">
        <v>1725</v>
      </c>
      <c r="M677" t="s">
        <v>1869</v>
      </c>
      <c r="N677" s="211">
        <v>-11.93</v>
      </c>
      <c r="O677" s="211">
        <v>-11.9</v>
      </c>
      <c r="P677" s="211">
        <v>9.6</v>
      </c>
      <c r="S677" s="211">
        <v>2.8</v>
      </c>
    </row>
    <row r="678" spans="1:19" ht="19">
      <c r="A678" s="212" t="s">
        <v>579</v>
      </c>
      <c r="B678" s="212" t="s">
        <v>580</v>
      </c>
      <c r="C678" s="233" t="s">
        <v>581</v>
      </c>
      <c r="D678" s="234" t="s">
        <v>151</v>
      </c>
      <c r="E678" s="212">
        <v>41229</v>
      </c>
      <c r="F678" s="212">
        <v>18013</v>
      </c>
      <c r="G678" s="212" t="s">
        <v>1723</v>
      </c>
      <c r="H678" s="212" t="s">
        <v>1811</v>
      </c>
      <c r="I678" s="212" t="s">
        <v>1742</v>
      </c>
      <c r="J678" s="212" t="s">
        <v>1744</v>
      </c>
      <c r="K678" s="227" t="s">
        <v>269</v>
      </c>
      <c r="L678" s="227" t="s">
        <v>1725</v>
      </c>
      <c r="M678" t="s">
        <v>1873</v>
      </c>
      <c r="N678" s="211">
        <v>-16.68</v>
      </c>
      <c r="O678" s="211">
        <v>-16.7</v>
      </c>
      <c r="P678" s="211">
        <v>5.4</v>
      </c>
      <c r="S678" s="211">
        <v>2.9</v>
      </c>
    </row>
    <row r="679" spans="1:19" ht="19">
      <c r="A679" s="212" t="s">
        <v>579</v>
      </c>
      <c r="B679" s="212" t="s">
        <v>580</v>
      </c>
      <c r="C679" s="233" t="s">
        <v>581</v>
      </c>
      <c r="D679" s="234" t="s">
        <v>151</v>
      </c>
      <c r="E679" s="212">
        <v>41229</v>
      </c>
      <c r="F679" s="212">
        <v>18014</v>
      </c>
      <c r="G679" s="212" t="s">
        <v>1723</v>
      </c>
      <c r="H679" s="212" t="s">
        <v>1811</v>
      </c>
      <c r="I679" s="212" t="s">
        <v>1742</v>
      </c>
      <c r="J679" s="212" t="s">
        <v>1744</v>
      </c>
      <c r="K679" s="227" t="s">
        <v>269</v>
      </c>
      <c r="L679" s="227" t="s">
        <v>1725</v>
      </c>
      <c r="M679" t="s">
        <v>1869</v>
      </c>
      <c r="N679" s="211">
        <v>-18.350000000000001</v>
      </c>
      <c r="O679" s="211">
        <v>-18.399999999999999</v>
      </c>
      <c r="P679" s="211">
        <v>5.2</v>
      </c>
      <c r="S679" s="211">
        <v>2.7</v>
      </c>
    </row>
    <row r="680" spans="1:19" ht="19">
      <c r="A680" s="212" t="s">
        <v>579</v>
      </c>
      <c r="B680" s="212" t="s">
        <v>580</v>
      </c>
      <c r="C680" s="233" t="s">
        <v>581</v>
      </c>
      <c r="D680" s="234" t="s">
        <v>151</v>
      </c>
      <c r="E680" s="212">
        <v>41229</v>
      </c>
      <c r="F680" s="212">
        <v>18015</v>
      </c>
      <c r="G680" s="212" t="s">
        <v>1723</v>
      </c>
      <c r="H680" s="212" t="s">
        <v>1811</v>
      </c>
      <c r="I680" s="212" t="s">
        <v>1742</v>
      </c>
      <c r="J680" s="212" t="s">
        <v>1744</v>
      </c>
      <c r="K680" s="227" t="s">
        <v>269</v>
      </c>
      <c r="L680" s="227" t="s">
        <v>1725</v>
      </c>
      <c r="M680" t="s">
        <v>1869</v>
      </c>
      <c r="N680" s="211">
        <v>-10.83</v>
      </c>
      <c r="O680" s="211">
        <v>-10.8</v>
      </c>
      <c r="P680" s="211">
        <v>8</v>
      </c>
      <c r="S680" s="211">
        <v>2.8</v>
      </c>
    </row>
    <row r="681" spans="1:19" ht="19">
      <c r="A681" s="212" t="s">
        <v>579</v>
      </c>
      <c r="B681" s="212" t="s">
        <v>580</v>
      </c>
      <c r="C681" s="233" t="s">
        <v>581</v>
      </c>
      <c r="D681" s="234" t="s">
        <v>151</v>
      </c>
      <c r="E681" s="212">
        <v>41229</v>
      </c>
      <c r="F681" s="212">
        <v>18016</v>
      </c>
      <c r="G681" s="212" t="s">
        <v>1723</v>
      </c>
      <c r="H681" s="212" t="s">
        <v>1811</v>
      </c>
      <c r="I681" s="212" t="s">
        <v>1742</v>
      </c>
      <c r="J681" s="212" t="s">
        <v>1744</v>
      </c>
      <c r="K681" s="227" t="s">
        <v>269</v>
      </c>
      <c r="L681" s="227" t="s">
        <v>1725</v>
      </c>
      <c r="M681" t="s">
        <v>1869</v>
      </c>
      <c r="N681" s="211">
        <v>-16.170000000000002</v>
      </c>
      <c r="O681" s="211">
        <v>-16.2</v>
      </c>
      <c r="P681" s="211">
        <v>5.4</v>
      </c>
      <c r="S681" s="211">
        <v>2.9</v>
      </c>
    </row>
    <row r="682" spans="1:19" ht="19">
      <c r="A682" s="212" t="s">
        <v>579</v>
      </c>
      <c r="B682" s="212" t="s">
        <v>580</v>
      </c>
      <c r="C682" s="233" t="s">
        <v>581</v>
      </c>
      <c r="D682" s="234" t="s">
        <v>151</v>
      </c>
      <c r="E682" s="212">
        <v>41229</v>
      </c>
      <c r="F682" s="212">
        <v>18017</v>
      </c>
      <c r="G682" s="212" t="s">
        <v>1723</v>
      </c>
      <c r="H682" s="212" t="s">
        <v>1811</v>
      </c>
      <c r="I682" s="212" t="s">
        <v>1742</v>
      </c>
      <c r="J682" s="212" t="s">
        <v>1744</v>
      </c>
      <c r="K682" s="227" t="s">
        <v>269</v>
      </c>
      <c r="L682" s="227" t="s">
        <v>1725</v>
      </c>
      <c r="M682" t="s">
        <v>1784</v>
      </c>
      <c r="N682" s="211">
        <v>-16.059999999999999</v>
      </c>
      <c r="O682" s="211">
        <v>-16.100000000000001</v>
      </c>
      <c r="P682" s="211">
        <v>7.6</v>
      </c>
      <c r="S682" s="211">
        <v>2.8</v>
      </c>
    </row>
    <row r="683" spans="1:19" ht="19">
      <c r="A683" s="212" t="s">
        <v>579</v>
      </c>
      <c r="B683" s="212" t="s">
        <v>580</v>
      </c>
      <c r="C683" s="233" t="s">
        <v>581</v>
      </c>
      <c r="D683" s="234" t="s">
        <v>151</v>
      </c>
      <c r="E683" s="212">
        <v>41229</v>
      </c>
      <c r="F683" s="212">
        <v>18018</v>
      </c>
      <c r="G683" s="212" t="s">
        <v>1723</v>
      </c>
      <c r="H683" s="212" t="s">
        <v>1811</v>
      </c>
      <c r="I683" s="212" t="s">
        <v>1742</v>
      </c>
      <c r="J683" s="212" t="s">
        <v>1744</v>
      </c>
      <c r="K683" s="227" t="s">
        <v>269</v>
      </c>
      <c r="L683" s="227" t="s">
        <v>1725</v>
      </c>
      <c r="M683" t="s">
        <v>1738</v>
      </c>
      <c r="N683" s="211">
        <v>-18.53</v>
      </c>
      <c r="O683" s="211">
        <v>-18.5</v>
      </c>
      <c r="P683" s="211">
        <v>5.6</v>
      </c>
      <c r="S683" s="211">
        <v>2.9</v>
      </c>
    </row>
    <row r="684" spans="1:19" ht="19">
      <c r="A684" s="212" t="s">
        <v>579</v>
      </c>
      <c r="B684" s="212" t="s">
        <v>580</v>
      </c>
      <c r="C684" s="233" t="s">
        <v>581</v>
      </c>
      <c r="D684" s="234" t="s">
        <v>151</v>
      </c>
      <c r="E684" s="212">
        <v>41229</v>
      </c>
      <c r="F684" s="212">
        <v>18019</v>
      </c>
      <c r="G684" s="212" t="s">
        <v>1723</v>
      </c>
      <c r="H684" s="212" t="s">
        <v>1811</v>
      </c>
      <c r="I684" s="212" t="s">
        <v>1742</v>
      </c>
      <c r="J684" s="212" t="s">
        <v>1744</v>
      </c>
      <c r="K684" s="227" t="s">
        <v>269</v>
      </c>
      <c r="L684" s="227" t="s">
        <v>1725</v>
      </c>
      <c r="M684" t="s">
        <v>1784</v>
      </c>
      <c r="N684" s="211">
        <v>-21.8</v>
      </c>
      <c r="O684" s="211">
        <v>-21.8</v>
      </c>
      <c r="P684" s="211">
        <v>8.3000000000000007</v>
      </c>
      <c r="S684" s="211">
        <v>2.8</v>
      </c>
    </row>
    <row r="685" spans="1:19" ht="19">
      <c r="A685" s="212" t="s">
        <v>579</v>
      </c>
      <c r="B685" s="212" t="s">
        <v>580</v>
      </c>
      <c r="C685" s="233" t="s">
        <v>581</v>
      </c>
      <c r="D685" s="234" t="s">
        <v>151</v>
      </c>
      <c r="E685" s="212">
        <v>41229</v>
      </c>
      <c r="F685" s="212">
        <v>18021</v>
      </c>
      <c r="G685" s="212" t="s">
        <v>1723</v>
      </c>
      <c r="H685" s="212" t="s">
        <v>1811</v>
      </c>
      <c r="I685" s="212" t="s">
        <v>1742</v>
      </c>
      <c r="J685" s="212" t="s">
        <v>1744</v>
      </c>
      <c r="K685" s="227" t="s">
        <v>269</v>
      </c>
      <c r="L685" s="227" t="s">
        <v>1725</v>
      </c>
      <c r="M685" t="s">
        <v>1332</v>
      </c>
      <c r="N685" s="211">
        <v>-8.74</v>
      </c>
      <c r="O685" s="211">
        <v>-8.6999999999999993</v>
      </c>
      <c r="P685" s="211">
        <v>11.9</v>
      </c>
      <c r="S685" s="211">
        <v>2.8</v>
      </c>
    </row>
    <row r="686" spans="1:19" ht="19">
      <c r="A686" s="212" t="s">
        <v>579</v>
      </c>
      <c r="B686" s="212" t="s">
        <v>580</v>
      </c>
      <c r="C686" s="233" t="s">
        <v>581</v>
      </c>
      <c r="D686" s="234" t="s">
        <v>151</v>
      </c>
      <c r="E686" s="212">
        <v>41229</v>
      </c>
      <c r="F686" s="212">
        <v>18024</v>
      </c>
      <c r="G686" s="212" t="s">
        <v>1723</v>
      </c>
      <c r="H686" s="212" t="s">
        <v>1811</v>
      </c>
      <c r="I686" s="212" t="s">
        <v>1742</v>
      </c>
      <c r="J686" s="212" t="s">
        <v>1744</v>
      </c>
      <c r="K686" s="227" t="s">
        <v>269</v>
      </c>
      <c r="L686" s="227" t="s">
        <v>1725</v>
      </c>
      <c r="M686" t="s">
        <v>1738</v>
      </c>
      <c r="N686" s="211">
        <v>-22.08</v>
      </c>
      <c r="O686" s="211">
        <v>-22.1</v>
      </c>
      <c r="P686" s="211">
        <v>6.1</v>
      </c>
      <c r="S686" s="211">
        <v>2.9</v>
      </c>
    </row>
    <row r="687" spans="1:19" ht="19">
      <c r="A687" s="212" t="s">
        <v>579</v>
      </c>
      <c r="B687" s="212" t="s">
        <v>580</v>
      </c>
      <c r="C687" s="233" t="s">
        <v>581</v>
      </c>
      <c r="D687" s="234" t="s">
        <v>151</v>
      </c>
      <c r="E687" s="212">
        <v>41229</v>
      </c>
      <c r="F687" s="212">
        <v>18025</v>
      </c>
      <c r="G687" s="212" t="s">
        <v>1723</v>
      </c>
      <c r="H687" s="212" t="s">
        <v>1811</v>
      </c>
      <c r="I687" s="212" t="s">
        <v>1742</v>
      </c>
      <c r="J687" s="212" t="s">
        <v>1744</v>
      </c>
      <c r="K687" s="227" t="s">
        <v>269</v>
      </c>
      <c r="L687" s="227" t="s">
        <v>1725</v>
      </c>
      <c r="M687" t="s">
        <v>1784</v>
      </c>
      <c r="N687" s="211">
        <v>-18.98</v>
      </c>
      <c r="O687" s="211">
        <v>-19</v>
      </c>
      <c r="P687" s="211">
        <v>7.6</v>
      </c>
      <c r="S687" s="211">
        <v>2.8</v>
      </c>
    </row>
    <row r="688" spans="1:19" ht="19">
      <c r="A688" s="212" t="s">
        <v>579</v>
      </c>
      <c r="B688" s="212" t="s">
        <v>580</v>
      </c>
      <c r="C688" s="233" t="s">
        <v>581</v>
      </c>
      <c r="D688" s="234" t="s">
        <v>151</v>
      </c>
      <c r="E688" s="212">
        <v>41229</v>
      </c>
      <c r="F688" s="212">
        <v>18026</v>
      </c>
      <c r="G688" s="212" t="s">
        <v>1723</v>
      </c>
      <c r="H688" s="212" t="s">
        <v>1811</v>
      </c>
      <c r="I688" s="212" t="s">
        <v>1742</v>
      </c>
      <c r="J688" s="212" t="s">
        <v>1744</v>
      </c>
      <c r="K688" s="227" t="s">
        <v>269</v>
      </c>
      <c r="L688" s="227" t="s">
        <v>1725</v>
      </c>
      <c r="M688" t="s">
        <v>1784</v>
      </c>
      <c r="N688" s="211">
        <v>-20.75</v>
      </c>
      <c r="O688" s="211">
        <v>-20.8</v>
      </c>
      <c r="P688" s="211">
        <v>6.2</v>
      </c>
      <c r="S688" s="211">
        <v>2.8</v>
      </c>
    </row>
    <row r="689" spans="1:19" ht="19">
      <c r="A689" s="212" t="s">
        <v>579</v>
      </c>
      <c r="B689" s="212" t="s">
        <v>580</v>
      </c>
      <c r="C689" s="233" t="s">
        <v>581</v>
      </c>
      <c r="D689" s="234" t="s">
        <v>151</v>
      </c>
      <c r="E689" s="212">
        <v>41229</v>
      </c>
      <c r="F689" s="212">
        <v>18028</v>
      </c>
      <c r="G689" s="212" t="s">
        <v>1723</v>
      </c>
      <c r="H689" s="212" t="s">
        <v>1811</v>
      </c>
      <c r="I689" s="212" t="s">
        <v>1742</v>
      </c>
      <c r="J689" s="212" t="s">
        <v>1744</v>
      </c>
      <c r="K689" s="227" t="s">
        <v>269</v>
      </c>
      <c r="L689" s="227" t="s">
        <v>1725</v>
      </c>
      <c r="M689" t="s">
        <v>1784</v>
      </c>
      <c r="N689" s="211">
        <v>-19.309999999999999</v>
      </c>
      <c r="O689" s="211">
        <v>-19.3</v>
      </c>
      <c r="P689" s="211">
        <v>6.5</v>
      </c>
      <c r="S689" s="211">
        <v>2.8</v>
      </c>
    </row>
    <row r="690" spans="1:19" ht="19">
      <c r="A690" s="212" t="s">
        <v>579</v>
      </c>
      <c r="B690" s="212" t="s">
        <v>580</v>
      </c>
      <c r="C690" s="233" t="s">
        <v>581</v>
      </c>
      <c r="D690" s="234" t="s">
        <v>151</v>
      </c>
      <c r="E690" s="212">
        <v>41229</v>
      </c>
      <c r="F690" s="212">
        <v>18029</v>
      </c>
      <c r="G690" s="212" t="s">
        <v>1723</v>
      </c>
      <c r="H690" s="212" t="s">
        <v>1811</v>
      </c>
      <c r="I690" s="212" t="s">
        <v>1742</v>
      </c>
      <c r="J690" s="212" t="s">
        <v>1744</v>
      </c>
      <c r="K690" s="227" t="s">
        <v>269</v>
      </c>
      <c r="L690" s="227" t="s">
        <v>1725</v>
      </c>
      <c r="M690" t="s">
        <v>1784</v>
      </c>
      <c r="N690" s="211">
        <v>-22.25</v>
      </c>
      <c r="O690" s="211">
        <v>-22.3</v>
      </c>
      <c r="P690" s="211">
        <v>6</v>
      </c>
      <c r="S690" s="211">
        <v>2.8</v>
      </c>
    </row>
    <row r="691" spans="1:19" ht="19">
      <c r="A691" s="212" t="s">
        <v>579</v>
      </c>
      <c r="B691" s="212" t="s">
        <v>580</v>
      </c>
      <c r="C691" s="233" t="s">
        <v>581</v>
      </c>
      <c r="D691" s="234" t="s">
        <v>151</v>
      </c>
      <c r="E691" s="212">
        <v>41229</v>
      </c>
      <c r="F691" s="212">
        <v>18030</v>
      </c>
      <c r="G691" s="212" t="s">
        <v>1723</v>
      </c>
      <c r="H691" s="212" t="s">
        <v>1811</v>
      </c>
      <c r="I691" s="212" t="s">
        <v>1742</v>
      </c>
      <c r="J691" s="212" t="s">
        <v>1744</v>
      </c>
      <c r="K691" s="227" t="s">
        <v>269</v>
      </c>
      <c r="L691" s="227" t="s">
        <v>1725</v>
      </c>
      <c r="M691" t="s">
        <v>1786</v>
      </c>
      <c r="N691" s="211">
        <v>-21.87</v>
      </c>
      <c r="O691" s="211">
        <v>-21.9</v>
      </c>
      <c r="P691" s="211">
        <v>5.7</v>
      </c>
      <c r="S691" s="211">
        <v>2.8</v>
      </c>
    </row>
    <row r="692" spans="1:19" ht="19">
      <c r="A692" s="212" t="s">
        <v>579</v>
      </c>
      <c r="B692" s="212" t="s">
        <v>580</v>
      </c>
      <c r="C692" s="233" t="s">
        <v>581</v>
      </c>
      <c r="D692" s="234" t="s">
        <v>151</v>
      </c>
      <c r="E692" s="212">
        <v>41229</v>
      </c>
      <c r="F692" s="212">
        <v>18031</v>
      </c>
      <c r="G692" s="212" t="s">
        <v>1723</v>
      </c>
      <c r="H692" s="212" t="s">
        <v>1811</v>
      </c>
      <c r="I692" s="212" t="s">
        <v>1742</v>
      </c>
      <c r="J692" s="212" t="s">
        <v>1744</v>
      </c>
      <c r="K692" s="227" t="s">
        <v>269</v>
      </c>
      <c r="L692" s="227" t="s">
        <v>1725</v>
      </c>
      <c r="M692" t="s">
        <v>205</v>
      </c>
      <c r="N692" s="211">
        <v>-21.56</v>
      </c>
      <c r="O692" s="211">
        <v>-21.6</v>
      </c>
      <c r="P692" s="211">
        <v>6</v>
      </c>
      <c r="S692" s="211">
        <v>2.9</v>
      </c>
    </row>
    <row r="693" spans="1:19" ht="19">
      <c r="A693" s="212" t="s">
        <v>579</v>
      </c>
      <c r="B693" s="212" t="s">
        <v>580</v>
      </c>
      <c r="C693" s="233" t="s">
        <v>581</v>
      </c>
      <c r="D693" s="234" t="s">
        <v>151</v>
      </c>
      <c r="E693" s="212">
        <v>41229</v>
      </c>
      <c r="F693" s="212">
        <v>18032</v>
      </c>
      <c r="G693" s="212" t="s">
        <v>1723</v>
      </c>
      <c r="H693" s="212" t="s">
        <v>1811</v>
      </c>
      <c r="I693" s="212" t="s">
        <v>1742</v>
      </c>
      <c r="J693" s="212" t="s">
        <v>1728</v>
      </c>
      <c r="K693" s="227" t="s">
        <v>269</v>
      </c>
      <c r="L693" s="227" t="s">
        <v>1725</v>
      </c>
      <c r="M693" t="s">
        <v>1738</v>
      </c>
      <c r="N693" s="211">
        <v>-15.09</v>
      </c>
      <c r="O693" s="211">
        <v>-15.1</v>
      </c>
      <c r="P693" s="211">
        <v>5.4</v>
      </c>
      <c r="S693" s="211">
        <v>3</v>
      </c>
    </row>
    <row r="694" spans="1:19" ht="19">
      <c r="A694" s="212" t="s">
        <v>579</v>
      </c>
      <c r="B694" s="212" t="s">
        <v>580</v>
      </c>
      <c r="C694" s="233" t="s">
        <v>581</v>
      </c>
      <c r="D694" s="234" t="s">
        <v>151</v>
      </c>
      <c r="E694" s="212">
        <v>41229</v>
      </c>
      <c r="F694" s="212">
        <v>18033</v>
      </c>
      <c r="G694" s="212" t="s">
        <v>1723</v>
      </c>
      <c r="H694" s="212" t="s">
        <v>1811</v>
      </c>
      <c r="I694" s="212" t="s">
        <v>1742</v>
      </c>
      <c r="J694" s="212" t="s">
        <v>1728</v>
      </c>
      <c r="K694" s="227" t="s">
        <v>269</v>
      </c>
      <c r="L694" s="227" t="s">
        <v>1725</v>
      </c>
      <c r="M694" t="s">
        <v>1738</v>
      </c>
      <c r="N694" s="211">
        <v>-19.760000000000002</v>
      </c>
      <c r="O694" s="211">
        <v>-19.8</v>
      </c>
      <c r="P694" s="211">
        <v>5.3</v>
      </c>
      <c r="S694" s="211">
        <v>3.1</v>
      </c>
    </row>
    <row r="695" spans="1:19" ht="19">
      <c r="A695" s="212" t="s">
        <v>579</v>
      </c>
      <c r="B695" s="212" t="s">
        <v>580</v>
      </c>
      <c r="C695" s="233" t="s">
        <v>581</v>
      </c>
      <c r="D695" s="234" t="s">
        <v>151</v>
      </c>
      <c r="E695" s="212">
        <v>41229</v>
      </c>
      <c r="F695" s="212">
        <v>18034</v>
      </c>
      <c r="G695" s="212" t="s">
        <v>1723</v>
      </c>
      <c r="H695" s="212" t="s">
        <v>1811</v>
      </c>
      <c r="I695" s="212" t="s">
        <v>1742</v>
      </c>
      <c r="J695" s="212" t="s">
        <v>1728</v>
      </c>
      <c r="K695" s="227" t="s">
        <v>269</v>
      </c>
      <c r="L695" s="227" t="s">
        <v>1725</v>
      </c>
      <c r="M695" t="s">
        <v>1805</v>
      </c>
      <c r="N695" s="211">
        <v>-19.02</v>
      </c>
      <c r="O695" s="211">
        <v>-19</v>
      </c>
      <c r="P695" s="211">
        <v>7.4</v>
      </c>
      <c r="S695" s="211">
        <v>3</v>
      </c>
    </row>
    <row r="696" spans="1:19" ht="19">
      <c r="A696" s="212" t="s">
        <v>579</v>
      </c>
      <c r="B696" s="212" t="s">
        <v>580</v>
      </c>
      <c r="C696" s="233" t="s">
        <v>581</v>
      </c>
      <c r="D696" s="234" t="s">
        <v>151</v>
      </c>
      <c r="E696" s="212">
        <v>41229</v>
      </c>
      <c r="F696" s="212">
        <v>18035</v>
      </c>
      <c r="G696" s="212" t="s">
        <v>1723</v>
      </c>
      <c r="H696" s="212" t="s">
        <v>1811</v>
      </c>
      <c r="I696" s="212" t="s">
        <v>1742</v>
      </c>
      <c r="J696" s="212" t="s">
        <v>1728</v>
      </c>
      <c r="K696" s="227" t="s">
        <v>269</v>
      </c>
      <c r="L696" s="227" t="s">
        <v>1725</v>
      </c>
      <c r="M696" t="s">
        <v>1805</v>
      </c>
      <c r="N696" s="211">
        <v>-21.99</v>
      </c>
      <c r="O696" s="211">
        <v>-22</v>
      </c>
      <c r="P696" s="211">
        <v>9.3000000000000007</v>
      </c>
      <c r="S696" s="211">
        <v>3.1</v>
      </c>
    </row>
    <row r="697" spans="1:19" ht="19">
      <c r="A697" s="212" t="s">
        <v>579</v>
      </c>
      <c r="B697" s="212" t="s">
        <v>580</v>
      </c>
      <c r="C697" s="233" t="s">
        <v>581</v>
      </c>
      <c r="D697" s="234" t="s">
        <v>151</v>
      </c>
      <c r="E697" s="212">
        <v>41229</v>
      </c>
      <c r="F697" s="212">
        <v>18036</v>
      </c>
      <c r="G697" s="212" t="s">
        <v>1723</v>
      </c>
      <c r="H697" s="212" t="s">
        <v>1811</v>
      </c>
      <c r="I697" s="212" t="s">
        <v>1742</v>
      </c>
      <c r="J697" s="212" t="s">
        <v>1728</v>
      </c>
      <c r="K697" s="227" t="s">
        <v>269</v>
      </c>
      <c r="L697" s="227" t="s">
        <v>1725</v>
      </c>
      <c r="M697" t="s">
        <v>1805</v>
      </c>
      <c r="N697" s="211">
        <v>-20.8</v>
      </c>
      <c r="O697" s="211">
        <v>-20.8</v>
      </c>
      <c r="P697" s="211">
        <v>7.3</v>
      </c>
      <c r="S697" s="211">
        <v>3.1</v>
      </c>
    </row>
    <row r="698" spans="1:19" ht="19">
      <c r="A698" s="212" t="s">
        <v>579</v>
      </c>
      <c r="B698" s="212" t="s">
        <v>580</v>
      </c>
      <c r="C698" s="233" t="s">
        <v>581</v>
      </c>
      <c r="D698" s="234" t="s">
        <v>151</v>
      </c>
      <c r="E698" s="212">
        <v>41229</v>
      </c>
      <c r="F698" s="212">
        <v>19675</v>
      </c>
      <c r="G698" s="212" t="s">
        <v>1723</v>
      </c>
      <c r="H698" s="212" t="s">
        <v>1811</v>
      </c>
      <c r="I698" s="212" t="s">
        <v>1742</v>
      </c>
      <c r="J698" s="212" t="s">
        <v>1744</v>
      </c>
      <c r="K698" s="227" t="s">
        <v>269</v>
      </c>
      <c r="L698" s="227" t="s">
        <v>1725</v>
      </c>
      <c r="M698" t="s">
        <v>1738</v>
      </c>
      <c r="N698" s="211">
        <v>-20.23</v>
      </c>
      <c r="O698" s="211">
        <v>-20.2</v>
      </c>
      <c r="P698" s="211">
        <v>3.3</v>
      </c>
      <c r="S698" s="211">
        <v>2.8</v>
      </c>
    </row>
    <row r="699" spans="1:19" ht="19">
      <c r="A699" s="212" t="s">
        <v>579</v>
      </c>
      <c r="B699" s="212" t="s">
        <v>580</v>
      </c>
      <c r="C699" s="233" t="s">
        <v>581</v>
      </c>
      <c r="D699" s="234" t="s">
        <v>151</v>
      </c>
      <c r="E699" s="212">
        <v>41229</v>
      </c>
      <c r="F699" s="212">
        <v>19677</v>
      </c>
      <c r="G699" s="212" t="s">
        <v>1723</v>
      </c>
      <c r="H699" s="212" t="s">
        <v>1811</v>
      </c>
      <c r="I699" s="212" t="s">
        <v>1742</v>
      </c>
      <c r="J699" s="212" t="s">
        <v>1728</v>
      </c>
      <c r="K699" s="227" t="s">
        <v>269</v>
      </c>
      <c r="L699" s="227" t="s">
        <v>1725</v>
      </c>
      <c r="M699" t="s">
        <v>1805</v>
      </c>
      <c r="N699" s="211">
        <v>-16.41</v>
      </c>
      <c r="O699" s="211">
        <v>-16.399999999999999</v>
      </c>
      <c r="P699" s="211">
        <v>4.3</v>
      </c>
      <c r="S699" s="211">
        <v>2.9</v>
      </c>
    </row>
    <row r="700" spans="1:19" ht="19">
      <c r="A700" s="212" t="s">
        <v>579</v>
      </c>
      <c r="B700" s="212" t="s">
        <v>580</v>
      </c>
      <c r="C700" s="233" t="s">
        <v>581</v>
      </c>
      <c r="D700" s="234" t="s">
        <v>151</v>
      </c>
      <c r="E700" s="212">
        <v>43133</v>
      </c>
      <c r="F700" s="212">
        <v>272</v>
      </c>
      <c r="G700" s="212" t="s">
        <v>1723</v>
      </c>
      <c r="H700" s="212" t="s">
        <v>1811</v>
      </c>
      <c r="I700" s="212" t="s">
        <v>1821</v>
      </c>
      <c r="J700" s="212" t="s">
        <v>1728</v>
      </c>
      <c r="K700" s="227" t="s">
        <v>269</v>
      </c>
      <c r="L700" s="227" t="s">
        <v>1725</v>
      </c>
      <c r="M700" t="s">
        <v>1750</v>
      </c>
      <c r="N700" s="211">
        <v>-16.04</v>
      </c>
      <c r="O700" s="211">
        <v>-16</v>
      </c>
      <c r="P700" s="211">
        <v>5.8</v>
      </c>
      <c r="S700" s="211">
        <v>3</v>
      </c>
    </row>
    <row r="701" spans="1:19" ht="19">
      <c r="A701" s="212" t="s">
        <v>579</v>
      </c>
      <c r="B701" s="212" t="s">
        <v>580</v>
      </c>
      <c r="C701" s="233" t="s">
        <v>581</v>
      </c>
      <c r="D701" s="234" t="s">
        <v>151</v>
      </c>
      <c r="E701" s="212">
        <v>43133</v>
      </c>
      <c r="F701" s="212">
        <v>274</v>
      </c>
      <c r="G701" s="212" t="s">
        <v>1723</v>
      </c>
      <c r="H701" s="212" t="s">
        <v>1811</v>
      </c>
      <c r="I701" s="212" t="s">
        <v>1821</v>
      </c>
      <c r="J701" s="212" t="s">
        <v>1728</v>
      </c>
      <c r="K701" s="227" t="s">
        <v>269</v>
      </c>
      <c r="L701" s="227" t="s">
        <v>1725</v>
      </c>
      <c r="M701" t="s">
        <v>1738</v>
      </c>
      <c r="N701" s="211">
        <v>-17.55</v>
      </c>
      <c r="O701" s="211">
        <v>-17.5</v>
      </c>
      <c r="P701" s="211">
        <v>6.7</v>
      </c>
      <c r="S701" s="211">
        <v>2.8</v>
      </c>
    </row>
    <row r="702" spans="1:19" ht="19">
      <c r="A702" s="212" t="s">
        <v>579</v>
      </c>
      <c r="B702" s="212" t="s">
        <v>580</v>
      </c>
      <c r="C702" s="233" t="s">
        <v>581</v>
      </c>
      <c r="D702" s="234" t="s">
        <v>151</v>
      </c>
      <c r="E702" s="212">
        <v>43133</v>
      </c>
      <c r="F702" s="212">
        <v>291</v>
      </c>
      <c r="G702" s="212" t="s">
        <v>1723</v>
      </c>
      <c r="H702" s="212" t="s">
        <v>1811</v>
      </c>
      <c r="I702" s="212" t="s">
        <v>1821</v>
      </c>
      <c r="J702" s="212" t="s">
        <v>1728</v>
      </c>
      <c r="K702" s="227" t="s">
        <v>269</v>
      </c>
      <c r="L702" s="227" t="s">
        <v>1725</v>
      </c>
      <c r="M702" t="s">
        <v>1738</v>
      </c>
      <c r="N702" s="211">
        <v>-17.7</v>
      </c>
      <c r="O702" s="211">
        <v>-17.7</v>
      </c>
      <c r="P702" s="211">
        <v>4.0999999999999996</v>
      </c>
      <c r="S702" s="211">
        <v>2.9</v>
      </c>
    </row>
    <row r="703" spans="1:19" ht="19">
      <c r="A703" s="212" t="s">
        <v>579</v>
      </c>
      <c r="B703" s="212" t="s">
        <v>580</v>
      </c>
      <c r="C703" s="233" t="s">
        <v>581</v>
      </c>
      <c r="D703" s="234" t="s">
        <v>151</v>
      </c>
      <c r="E703" s="212">
        <v>43133</v>
      </c>
      <c r="F703" s="212">
        <v>333</v>
      </c>
      <c r="G703" s="212" t="s">
        <v>1723</v>
      </c>
      <c r="H703" s="212" t="s">
        <v>1811</v>
      </c>
      <c r="I703" s="212" t="s">
        <v>1821</v>
      </c>
      <c r="J703" s="212" t="s">
        <v>1728</v>
      </c>
      <c r="K703" s="227" t="s">
        <v>269</v>
      </c>
      <c r="L703" s="227" t="s">
        <v>1725</v>
      </c>
      <c r="M703" t="s">
        <v>1738</v>
      </c>
      <c r="N703" s="211">
        <v>-14.03</v>
      </c>
      <c r="O703" s="211">
        <v>-14</v>
      </c>
      <c r="P703" s="211">
        <v>6</v>
      </c>
      <c r="S703" s="211">
        <v>3</v>
      </c>
    </row>
    <row r="704" spans="1:19" ht="19">
      <c r="A704" s="212" t="s">
        <v>579</v>
      </c>
      <c r="B704" s="212" t="s">
        <v>580</v>
      </c>
      <c r="C704" s="233" t="s">
        <v>581</v>
      </c>
      <c r="D704" s="234" t="s">
        <v>151</v>
      </c>
      <c r="E704" s="212">
        <v>43133</v>
      </c>
      <c r="F704" s="212">
        <v>1409</v>
      </c>
      <c r="G704" s="212" t="s">
        <v>1723</v>
      </c>
      <c r="H704" s="212" t="s">
        <v>1811</v>
      </c>
      <c r="I704" s="212" t="s">
        <v>1821</v>
      </c>
      <c r="J704" s="212" t="s">
        <v>1728</v>
      </c>
      <c r="K704" s="227" t="s">
        <v>269</v>
      </c>
      <c r="L704" s="227" t="s">
        <v>1725</v>
      </c>
      <c r="M704" t="s">
        <v>1738</v>
      </c>
      <c r="N704" s="211">
        <v>-18.079999999999998</v>
      </c>
      <c r="O704" s="211">
        <v>-18.100000000000001</v>
      </c>
      <c r="P704" s="211">
        <v>2.8</v>
      </c>
      <c r="S704" s="211">
        <v>2.8</v>
      </c>
    </row>
    <row r="705" spans="1:20" ht="19">
      <c r="A705" s="212" t="s">
        <v>579</v>
      </c>
      <c r="B705" s="212" t="s">
        <v>580</v>
      </c>
      <c r="C705" s="233" t="s">
        <v>581</v>
      </c>
      <c r="D705" s="234" t="s">
        <v>151</v>
      </c>
      <c r="E705" s="212">
        <v>40449</v>
      </c>
      <c r="F705" s="212">
        <v>28</v>
      </c>
      <c r="G705" s="212" t="s">
        <v>1723</v>
      </c>
      <c r="H705" s="212" t="s">
        <v>1811</v>
      </c>
      <c r="I705" s="212" t="s">
        <v>1814</v>
      </c>
      <c r="J705" s="212" t="s">
        <v>225</v>
      </c>
      <c r="K705" s="227" t="s">
        <v>269</v>
      </c>
      <c r="L705" s="227" t="s">
        <v>1725</v>
      </c>
      <c r="M705" t="s">
        <v>1737</v>
      </c>
      <c r="N705" s="211">
        <v>-26.54</v>
      </c>
      <c r="O705" s="211" t="s">
        <v>1731</v>
      </c>
      <c r="P705" s="211">
        <v>1.74</v>
      </c>
      <c r="S705" s="211">
        <v>12.07</v>
      </c>
    </row>
    <row r="706" spans="1:20" ht="19">
      <c r="A706" s="212" t="s">
        <v>579</v>
      </c>
      <c r="B706" s="212" t="s">
        <v>580</v>
      </c>
      <c r="C706" s="233" t="s">
        <v>581</v>
      </c>
      <c r="D706" s="234" t="s">
        <v>151</v>
      </c>
      <c r="E706" s="212">
        <v>40450</v>
      </c>
      <c r="F706" s="212">
        <v>274</v>
      </c>
      <c r="G706" s="212" t="s">
        <v>1723</v>
      </c>
      <c r="H706" s="212" t="s">
        <v>1811</v>
      </c>
      <c r="I706" s="212" t="s">
        <v>1783</v>
      </c>
      <c r="J706" s="212" t="s">
        <v>1744</v>
      </c>
      <c r="K706" s="227" t="s">
        <v>269</v>
      </c>
      <c r="L706" s="227" t="s">
        <v>1725</v>
      </c>
      <c r="M706" t="s">
        <v>1738</v>
      </c>
      <c r="N706" s="211">
        <v>-21.35</v>
      </c>
      <c r="O706" s="211">
        <v>-21.35</v>
      </c>
      <c r="P706" s="211">
        <v>3.85</v>
      </c>
      <c r="S706" s="211">
        <v>3.46</v>
      </c>
    </row>
    <row r="707" spans="1:20" ht="19">
      <c r="A707" s="212" t="s">
        <v>579</v>
      </c>
      <c r="B707" s="212" t="s">
        <v>580</v>
      </c>
      <c r="C707" s="233" t="s">
        <v>581</v>
      </c>
      <c r="D707" s="234" t="s">
        <v>151</v>
      </c>
      <c r="E707" s="212">
        <v>40450</v>
      </c>
      <c r="F707" s="212">
        <v>257</v>
      </c>
      <c r="G707" s="212" t="s">
        <v>1723</v>
      </c>
      <c r="H707" s="212" t="s">
        <v>1811</v>
      </c>
      <c r="I707" s="212" t="s">
        <v>1783</v>
      </c>
      <c r="J707" s="212" t="s">
        <v>1744</v>
      </c>
      <c r="K707" s="227" t="s">
        <v>269</v>
      </c>
      <c r="L707" s="227" t="s">
        <v>1725</v>
      </c>
      <c r="M707" t="s">
        <v>1738</v>
      </c>
      <c r="N707" s="211">
        <v>-21.04</v>
      </c>
      <c r="O707" s="211">
        <v>-21.04</v>
      </c>
      <c r="P707" s="211">
        <v>2.97</v>
      </c>
      <c r="S707" s="211">
        <v>3.4</v>
      </c>
    </row>
    <row r="708" spans="1:20" ht="19">
      <c r="A708" s="212" t="s">
        <v>579</v>
      </c>
      <c r="B708" s="212" t="s">
        <v>580</v>
      </c>
      <c r="C708" s="233" t="s">
        <v>581</v>
      </c>
      <c r="D708" s="234" t="s">
        <v>151</v>
      </c>
      <c r="E708" s="212">
        <v>41229</v>
      </c>
      <c r="F708" s="212">
        <v>2792</v>
      </c>
      <c r="G708" s="212" t="s">
        <v>1723</v>
      </c>
      <c r="H708" s="212" t="s">
        <v>1811</v>
      </c>
      <c r="I708" s="212" t="s">
        <v>1137</v>
      </c>
      <c r="J708" s="212" t="s">
        <v>225</v>
      </c>
      <c r="K708" s="227" t="s">
        <v>269</v>
      </c>
      <c r="L708" s="227" t="s">
        <v>1725</v>
      </c>
      <c r="M708" t="s">
        <v>1738</v>
      </c>
      <c r="N708" s="211">
        <v>-19.34</v>
      </c>
      <c r="O708" s="211">
        <v>-19.34</v>
      </c>
      <c r="P708" s="211">
        <v>4.58</v>
      </c>
      <c r="S708" s="211">
        <v>3.68</v>
      </c>
    </row>
    <row r="709" spans="1:20" ht="19">
      <c r="A709" s="212" t="s">
        <v>579</v>
      </c>
      <c r="B709" s="212" t="s">
        <v>580</v>
      </c>
      <c r="C709" s="233" t="s">
        <v>585</v>
      </c>
      <c r="D709" s="234" t="s">
        <v>151</v>
      </c>
      <c r="E709" s="212">
        <v>40450</v>
      </c>
      <c r="F709" s="212">
        <v>125</v>
      </c>
      <c r="G709" s="212" t="s">
        <v>1723</v>
      </c>
      <c r="H709" s="212" t="s">
        <v>1811</v>
      </c>
      <c r="I709" s="212" t="s">
        <v>1783</v>
      </c>
      <c r="J709" s="212" t="s">
        <v>1744</v>
      </c>
      <c r="K709" s="227" t="s">
        <v>269</v>
      </c>
      <c r="L709" s="227" t="s">
        <v>1729</v>
      </c>
      <c r="M709" t="s">
        <v>1730</v>
      </c>
      <c r="N709" s="211">
        <v>-10.27</v>
      </c>
      <c r="O709" s="211">
        <v>-19.068999999999999</v>
      </c>
      <c r="P709" s="211" t="s">
        <v>487</v>
      </c>
      <c r="Q709" s="211">
        <v>29.9</v>
      </c>
      <c r="S709" s="211" t="s">
        <v>1731</v>
      </c>
      <c r="T709" s="212" t="s">
        <v>1874</v>
      </c>
    </row>
    <row r="710" spans="1:20" ht="19">
      <c r="A710" s="212" t="s">
        <v>579</v>
      </c>
      <c r="B710" s="212" t="s">
        <v>580</v>
      </c>
      <c r="C710" s="233" t="s">
        <v>585</v>
      </c>
      <c r="D710" s="234" t="s">
        <v>151</v>
      </c>
      <c r="E710" s="212">
        <v>40450</v>
      </c>
      <c r="F710" s="212">
        <v>392</v>
      </c>
      <c r="G710" s="212" t="s">
        <v>1723</v>
      </c>
      <c r="H710" s="212" t="s">
        <v>1811</v>
      </c>
      <c r="I710" s="212" t="s">
        <v>1783</v>
      </c>
      <c r="J710" s="212" t="s">
        <v>1744</v>
      </c>
      <c r="K710" s="227" t="s">
        <v>269</v>
      </c>
      <c r="L710" s="227" t="s">
        <v>1725</v>
      </c>
      <c r="M710" t="s">
        <v>1758</v>
      </c>
      <c r="N710" s="211">
        <v>-19.440000000000001</v>
      </c>
      <c r="O710" s="211">
        <v>-19.399999999999999</v>
      </c>
      <c r="P710" s="211">
        <v>3.1</v>
      </c>
      <c r="S710" s="211">
        <v>3</v>
      </c>
    </row>
    <row r="711" spans="1:20" ht="19">
      <c r="A711" s="212" t="s">
        <v>579</v>
      </c>
      <c r="B711" s="212" t="s">
        <v>580</v>
      </c>
      <c r="C711" s="233" t="s">
        <v>585</v>
      </c>
      <c r="D711" s="234" t="s">
        <v>151</v>
      </c>
      <c r="E711" s="212">
        <v>40450</v>
      </c>
      <c r="F711" s="212">
        <v>408</v>
      </c>
      <c r="G711" s="212" t="s">
        <v>1723</v>
      </c>
      <c r="H711" s="212" t="s">
        <v>1811</v>
      </c>
      <c r="I711" s="212" t="s">
        <v>1783</v>
      </c>
      <c r="J711" s="212" t="s">
        <v>1744</v>
      </c>
      <c r="K711" s="227" t="s">
        <v>269</v>
      </c>
      <c r="L711" s="227" t="s">
        <v>1725</v>
      </c>
      <c r="M711" t="s">
        <v>1737</v>
      </c>
      <c r="N711" s="211">
        <v>-18.96</v>
      </c>
      <c r="O711" s="211">
        <v>-19</v>
      </c>
      <c r="P711" s="211">
        <v>3.2</v>
      </c>
      <c r="S711" s="211">
        <v>3</v>
      </c>
    </row>
    <row r="712" spans="1:20" ht="19">
      <c r="A712" s="212" t="s">
        <v>579</v>
      </c>
      <c r="B712" s="212" t="s">
        <v>580</v>
      </c>
      <c r="C712" s="233" t="s">
        <v>585</v>
      </c>
      <c r="D712" s="234" t="s">
        <v>151</v>
      </c>
      <c r="E712" s="212">
        <v>40450</v>
      </c>
      <c r="F712" s="212">
        <v>622</v>
      </c>
      <c r="G712" s="212" t="s">
        <v>1723</v>
      </c>
      <c r="H712" s="212" t="s">
        <v>1811</v>
      </c>
      <c r="I712" s="212" t="s">
        <v>1783</v>
      </c>
      <c r="J712" s="212" t="s">
        <v>1744</v>
      </c>
      <c r="K712" s="227" t="s">
        <v>269</v>
      </c>
      <c r="L712" s="227" t="s">
        <v>1725</v>
      </c>
      <c r="M712" t="s">
        <v>1737</v>
      </c>
      <c r="N712" s="211">
        <v>-18.850000000000001</v>
      </c>
      <c r="O712" s="211">
        <v>-18.8</v>
      </c>
      <c r="P712" s="211">
        <v>2.9</v>
      </c>
      <c r="S712" s="211">
        <v>3</v>
      </c>
    </row>
    <row r="713" spans="1:20" ht="19">
      <c r="A713" s="212" t="s">
        <v>579</v>
      </c>
      <c r="B713" s="212" t="s">
        <v>580</v>
      </c>
      <c r="C713" s="233" t="s">
        <v>585</v>
      </c>
      <c r="D713" s="234" t="s">
        <v>151</v>
      </c>
      <c r="E713" s="212">
        <v>40450</v>
      </c>
      <c r="F713" s="212">
        <v>629</v>
      </c>
      <c r="G713" s="212" t="s">
        <v>1723</v>
      </c>
      <c r="H713" s="212" t="s">
        <v>1811</v>
      </c>
      <c r="I713" s="212" t="s">
        <v>1783</v>
      </c>
      <c r="J713" s="212" t="s">
        <v>1744</v>
      </c>
      <c r="K713" s="227" t="s">
        <v>269</v>
      </c>
      <c r="L713" s="227" t="s">
        <v>1725</v>
      </c>
      <c r="M713" t="s">
        <v>1761</v>
      </c>
      <c r="N713" s="211">
        <v>-18.05</v>
      </c>
      <c r="O713" s="211">
        <v>-18.100000000000001</v>
      </c>
      <c r="P713" s="211">
        <v>3.1</v>
      </c>
      <c r="S713" s="211">
        <v>2.9</v>
      </c>
    </row>
    <row r="714" spans="1:20" ht="19">
      <c r="A714" s="212" t="s">
        <v>579</v>
      </c>
      <c r="B714" s="212" t="s">
        <v>580</v>
      </c>
      <c r="C714" s="233" t="s">
        <v>585</v>
      </c>
      <c r="D714" s="234" t="s">
        <v>151</v>
      </c>
      <c r="E714" s="212">
        <v>40450</v>
      </c>
      <c r="F714" s="212">
        <v>639</v>
      </c>
      <c r="G714" s="212" t="s">
        <v>1723</v>
      </c>
      <c r="H714" s="212" t="s">
        <v>1811</v>
      </c>
      <c r="I714" s="212" t="s">
        <v>1783</v>
      </c>
      <c r="J714" s="212" t="s">
        <v>1744</v>
      </c>
      <c r="K714" s="227" t="s">
        <v>269</v>
      </c>
      <c r="L714" s="227" t="s">
        <v>1725</v>
      </c>
      <c r="M714" t="s">
        <v>1758</v>
      </c>
      <c r="N714" s="211">
        <v>-19.21</v>
      </c>
      <c r="O714" s="211">
        <v>-19.2</v>
      </c>
      <c r="P714" s="211">
        <v>2.9</v>
      </c>
      <c r="S714" s="211">
        <v>3</v>
      </c>
    </row>
    <row r="715" spans="1:20" ht="19">
      <c r="A715" s="212" t="s">
        <v>579</v>
      </c>
      <c r="B715" s="212" t="s">
        <v>580</v>
      </c>
      <c r="C715" s="233" t="s">
        <v>585</v>
      </c>
      <c r="D715" s="234" t="s">
        <v>151</v>
      </c>
      <c r="E715" s="212">
        <v>40450</v>
      </c>
      <c r="F715" s="212">
        <v>809</v>
      </c>
      <c r="G715" s="212" t="s">
        <v>1723</v>
      </c>
      <c r="H715" s="212" t="s">
        <v>1811</v>
      </c>
      <c r="I715" s="212" t="s">
        <v>1783</v>
      </c>
      <c r="J715" s="212" t="s">
        <v>1744</v>
      </c>
      <c r="K715" s="227" t="s">
        <v>269</v>
      </c>
      <c r="L715" s="227" t="s">
        <v>1725</v>
      </c>
      <c r="M715" t="s">
        <v>1758</v>
      </c>
      <c r="N715" s="211">
        <v>-20.13</v>
      </c>
      <c r="O715" s="211">
        <v>-20.100000000000001</v>
      </c>
      <c r="P715" s="211">
        <v>4.4000000000000004</v>
      </c>
      <c r="S715" s="211">
        <v>3.1</v>
      </c>
    </row>
    <row r="716" spans="1:20" ht="19">
      <c r="A716" s="212" t="s">
        <v>579</v>
      </c>
      <c r="B716" s="212" t="s">
        <v>580</v>
      </c>
      <c r="C716" s="233" t="s">
        <v>585</v>
      </c>
      <c r="D716" s="234" t="s">
        <v>151</v>
      </c>
      <c r="E716" s="212">
        <v>40450</v>
      </c>
      <c r="F716" s="212">
        <v>852</v>
      </c>
      <c r="G716" s="212" t="s">
        <v>1723</v>
      </c>
      <c r="H716" s="212" t="s">
        <v>1811</v>
      </c>
      <c r="I716" s="212" t="s">
        <v>1783</v>
      </c>
      <c r="J716" s="212" t="s">
        <v>1744</v>
      </c>
      <c r="K716" s="227" t="s">
        <v>269</v>
      </c>
      <c r="L716" s="227" t="s">
        <v>1725</v>
      </c>
      <c r="M716" t="s">
        <v>1758</v>
      </c>
      <c r="N716" s="211">
        <v>-18.940000000000001</v>
      </c>
      <c r="O716" s="211">
        <v>-18.899999999999999</v>
      </c>
      <c r="P716" s="211">
        <v>2.8</v>
      </c>
      <c r="S716" s="211">
        <v>2.9</v>
      </c>
    </row>
    <row r="717" spans="1:20" ht="19">
      <c r="A717" s="212" t="s">
        <v>579</v>
      </c>
      <c r="B717" s="212" t="s">
        <v>580</v>
      </c>
      <c r="C717" s="233" t="s">
        <v>585</v>
      </c>
      <c r="D717" s="234" t="s">
        <v>151</v>
      </c>
      <c r="E717" s="212">
        <v>41229</v>
      </c>
      <c r="F717" s="212">
        <v>4</v>
      </c>
      <c r="G717" s="212" t="s">
        <v>1723</v>
      </c>
      <c r="H717" s="212" t="s">
        <v>1811</v>
      </c>
      <c r="I717" s="212" t="s">
        <v>1137</v>
      </c>
      <c r="J717" s="212" t="s">
        <v>225</v>
      </c>
      <c r="K717" s="227" t="s">
        <v>269</v>
      </c>
      <c r="L717" s="227" t="s">
        <v>1725</v>
      </c>
      <c r="M717" t="s">
        <v>1738</v>
      </c>
      <c r="N717" s="211">
        <v>-18.579999999999998</v>
      </c>
      <c r="O717" s="211">
        <v>-18.600000000000001</v>
      </c>
      <c r="P717" s="211">
        <v>3.7</v>
      </c>
      <c r="S717" s="211">
        <v>2.8</v>
      </c>
    </row>
    <row r="718" spans="1:20" ht="19">
      <c r="A718" s="212" t="s">
        <v>579</v>
      </c>
      <c r="B718" s="212" t="s">
        <v>580</v>
      </c>
      <c r="C718" s="233" t="s">
        <v>585</v>
      </c>
      <c r="D718" s="234" t="s">
        <v>151</v>
      </c>
      <c r="E718" s="212">
        <v>41229</v>
      </c>
      <c r="F718" s="212">
        <v>351</v>
      </c>
      <c r="G718" s="212" t="s">
        <v>1723</v>
      </c>
      <c r="H718" s="212" t="s">
        <v>1811</v>
      </c>
      <c r="I718" s="212" t="s">
        <v>1137</v>
      </c>
      <c r="J718" s="212" t="s">
        <v>1744</v>
      </c>
      <c r="K718" s="227" t="s">
        <v>269</v>
      </c>
      <c r="L718" s="227" t="s">
        <v>1725</v>
      </c>
      <c r="M718" t="s">
        <v>1738</v>
      </c>
      <c r="N718" s="211">
        <v>-16.02</v>
      </c>
      <c r="O718" s="211">
        <v>-16</v>
      </c>
      <c r="P718" s="211">
        <v>8.1</v>
      </c>
      <c r="S718" s="211">
        <v>2.9</v>
      </c>
    </row>
    <row r="719" spans="1:20" ht="19">
      <c r="A719" s="212" t="s">
        <v>579</v>
      </c>
      <c r="B719" s="212" t="s">
        <v>580</v>
      </c>
      <c r="C719" s="233" t="s">
        <v>585</v>
      </c>
      <c r="D719" s="234" t="s">
        <v>151</v>
      </c>
      <c r="E719" s="212">
        <v>41229</v>
      </c>
      <c r="F719" s="212">
        <v>680</v>
      </c>
      <c r="G719" s="212" t="s">
        <v>1723</v>
      </c>
      <c r="H719" s="212" t="s">
        <v>1811</v>
      </c>
      <c r="I719" s="212" t="s">
        <v>1137</v>
      </c>
      <c r="J719" s="212" t="s">
        <v>1744</v>
      </c>
      <c r="K719" s="227" t="s">
        <v>269</v>
      </c>
      <c r="L719" s="227" t="s">
        <v>1725</v>
      </c>
      <c r="M719" t="s">
        <v>1875</v>
      </c>
      <c r="N719" s="211">
        <v>-18.13</v>
      </c>
      <c r="O719" s="211">
        <v>-18.100000000000001</v>
      </c>
      <c r="P719" s="211">
        <v>6.6</v>
      </c>
      <c r="S719" s="211">
        <v>3.1</v>
      </c>
    </row>
    <row r="720" spans="1:20" ht="19">
      <c r="A720" s="212" t="s">
        <v>579</v>
      </c>
      <c r="B720" s="212" t="s">
        <v>580</v>
      </c>
      <c r="C720" s="233" t="s">
        <v>585</v>
      </c>
      <c r="D720" s="234" t="s">
        <v>151</v>
      </c>
      <c r="E720" s="212">
        <v>41229</v>
      </c>
      <c r="F720" s="212">
        <v>689</v>
      </c>
      <c r="G720" s="212" t="s">
        <v>1723</v>
      </c>
      <c r="H720" s="212" t="s">
        <v>1811</v>
      </c>
      <c r="I720" s="212" t="s">
        <v>1137</v>
      </c>
      <c r="J720" s="212" t="s">
        <v>225</v>
      </c>
      <c r="K720" s="227" t="s">
        <v>269</v>
      </c>
      <c r="L720" s="227" t="s">
        <v>1725</v>
      </c>
      <c r="M720" t="s">
        <v>1805</v>
      </c>
      <c r="N720" s="211">
        <v>-15.2</v>
      </c>
      <c r="O720" s="211">
        <v>-15.2</v>
      </c>
      <c r="P720" s="211">
        <v>5.9</v>
      </c>
      <c r="S720" s="211">
        <v>2.9</v>
      </c>
    </row>
    <row r="721" spans="1:19" ht="19">
      <c r="A721" s="212" t="s">
        <v>579</v>
      </c>
      <c r="B721" s="212" t="s">
        <v>580</v>
      </c>
      <c r="C721" s="233" t="s">
        <v>585</v>
      </c>
      <c r="D721" s="234" t="s">
        <v>151</v>
      </c>
      <c r="E721" s="212">
        <v>41229</v>
      </c>
      <c r="F721" s="212">
        <v>701</v>
      </c>
      <c r="G721" s="212" t="s">
        <v>1723</v>
      </c>
      <c r="H721" s="212" t="s">
        <v>1811</v>
      </c>
      <c r="I721" s="212" t="s">
        <v>1137</v>
      </c>
      <c r="J721" s="212" t="s">
        <v>225</v>
      </c>
      <c r="K721" s="227" t="s">
        <v>269</v>
      </c>
      <c r="L721" s="227" t="s">
        <v>1725</v>
      </c>
      <c r="M721" t="s">
        <v>1805</v>
      </c>
      <c r="N721" s="211">
        <v>-16.7</v>
      </c>
      <c r="O721" s="211">
        <v>-16.7</v>
      </c>
      <c r="P721" s="211">
        <v>4.8</v>
      </c>
      <c r="S721" s="211">
        <v>2.9</v>
      </c>
    </row>
    <row r="722" spans="1:19" ht="19">
      <c r="A722" s="212" t="s">
        <v>579</v>
      </c>
      <c r="B722" s="212" t="s">
        <v>580</v>
      </c>
      <c r="C722" s="233" t="s">
        <v>585</v>
      </c>
      <c r="D722" s="234" t="s">
        <v>151</v>
      </c>
      <c r="E722" s="212">
        <v>41229</v>
      </c>
      <c r="F722" s="212">
        <v>742</v>
      </c>
      <c r="G722" s="212" t="s">
        <v>1723</v>
      </c>
      <c r="H722" s="212" t="s">
        <v>1811</v>
      </c>
      <c r="I722" s="212" t="s">
        <v>1137</v>
      </c>
      <c r="J722" s="212" t="s">
        <v>104</v>
      </c>
      <c r="K722" s="227" t="s">
        <v>269</v>
      </c>
      <c r="L722" s="227" t="s">
        <v>1725</v>
      </c>
      <c r="M722" s="203" t="s">
        <v>1805</v>
      </c>
      <c r="N722" s="211">
        <v>-21.92</v>
      </c>
      <c r="O722" s="211">
        <v>-21.9</v>
      </c>
      <c r="P722" s="211">
        <v>9.5</v>
      </c>
      <c r="S722" s="211">
        <v>3.1</v>
      </c>
    </row>
    <row r="723" spans="1:19" ht="19">
      <c r="A723" s="212" t="s">
        <v>579</v>
      </c>
      <c r="B723" s="212" t="s">
        <v>580</v>
      </c>
      <c r="C723" s="233" t="s">
        <v>585</v>
      </c>
      <c r="D723" s="234" t="s">
        <v>151</v>
      </c>
      <c r="E723" s="212">
        <v>41229</v>
      </c>
      <c r="F723" s="212">
        <v>863</v>
      </c>
      <c r="G723" s="212" t="s">
        <v>1723</v>
      </c>
      <c r="H723" s="212" t="s">
        <v>1811</v>
      </c>
      <c r="I723" s="212" t="s">
        <v>1137</v>
      </c>
      <c r="J723" s="212" t="s">
        <v>225</v>
      </c>
      <c r="K723" s="227" t="s">
        <v>269</v>
      </c>
      <c r="L723" s="227" t="s">
        <v>1725</v>
      </c>
      <c r="M723" s="203" t="s">
        <v>1738</v>
      </c>
      <c r="N723" s="211">
        <v>-17.5</v>
      </c>
      <c r="O723" s="211">
        <v>-17.5</v>
      </c>
      <c r="P723" s="211">
        <v>4.5999999999999996</v>
      </c>
      <c r="S723" s="211">
        <v>2.9</v>
      </c>
    </row>
    <row r="724" spans="1:19" ht="19">
      <c r="A724" s="212" t="s">
        <v>579</v>
      </c>
      <c r="B724" s="212" t="s">
        <v>580</v>
      </c>
      <c r="C724" s="233" t="s">
        <v>585</v>
      </c>
      <c r="D724" s="234" t="s">
        <v>151</v>
      </c>
      <c r="E724" s="212">
        <v>41229</v>
      </c>
      <c r="F724" s="212">
        <v>866</v>
      </c>
      <c r="G724" s="212" t="s">
        <v>1723</v>
      </c>
      <c r="H724" s="212" t="s">
        <v>1811</v>
      </c>
      <c r="I724" s="212" t="s">
        <v>1137</v>
      </c>
      <c r="J724" s="212" t="s">
        <v>225</v>
      </c>
      <c r="K724" s="227" t="s">
        <v>269</v>
      </c>
      <c r="L724" s="227" t="s">
        <v>1725</v>
      </c>
      <c r="M724" t="s">
        <v>1805</v>
      </c>
      <c r="N724" s="211">
        <v>-18.399999999999999</v>
      </c>
      <c r="O724" s="211">
        <v>-18.399999999999999</v>
      </c>
      <c r="P724" s="211">
        <v>4.5999999999999996</v>
      </c>
      <c r="S724" s="211">
        <v>2.9</v>
      </c>
    </row>
    <row r="725" spans="1:19" ht="19">
      <c r="A725" s="212" t="s">
        <v>579</v>
      </c>
      <c r="B725" s="212" t="s">
        <v>580</v>
      </c>
      <c r="C725" s="233" t="s">
        <v>585</v>
      </c>
      <c r="D725" s="234" t="s">
        <v>151</v>
      </c>
      <c r="E725" s="212">
        <v>41229</v>
      </c>
      <c r="F725" s="212">
        <v>982</v>
      </c>
      <c r="G725" s="212" t="s">
        <v>1723</v>
      </c>
      <c r="H725" s="212" t="s">
        <v>1811</v>
      </c>
      <c r="I725" s="212" t="s">
        <v>1137</v>
      </c>
      <c r="J725" s="212" t="s">
        <v>104</v>
      </c>
      <c r="K725" s="227" t="s">
        <v>269</v>
      </c>
      <c r="L725" s="227" t="s">
        <v>1725</v>
      </c>
      <c r="M725" t="s">
        <v>1786</v>
      </c>
      <c r="N725" s="211">
        <v>-15.28</v>
      </c>
      <c r="O725" s="211">
        <v>-15.3</v>
      </c>
      <c r="P725" s="211">
        <v>8.1999999999999993</v>
      </c>
      <c r="S725" s="211">
        <v>2.8</v>
      </c>
    </row>
    <row r="726" spans="1:19" ht="19">
      <c r="A726" s="212" t="s">
        <v>579</v>
      </c>
      <c r="B726" s="212" t="s">
        <v>580</v>
      </c>
      <c r="C726" s="233" t="s">
        <v>585</v>
      </c>
      <c r="D726" s="234" t="s">
        <v>151</v>
      </c>
      <c r="E726" s="212">
        <v>41229</v>
      </c>
      <c r="F726" s="212">
        <v>983</v>
      </c>
      <c r="G726" s="212" t="s">
        <v>1723</v>
      </c>
      <c r="H726" s="212" t="s">
        <v>1811</v>
      </c>
      <c r="I726" s="212" t="s">
        <v>1137</v>
      </c>
      <c r="J726" s="212" t="s">
        <v>104</v>
      </c>
      <c r="K726" s="227" t="s">
        <v>269</v>
      </c>
      <c r="L726" s="227" t="s">
        <v>1725</v>
      </c>
      <c r="M726" t="s">
        <v>1786</v>
      </c>
      <c r="N726" s="211">
        <v>-18.98</v>
      </c>
      <c r="O726" s="211">
        <v>-19</v>
      </c>
      <c r="P726" s="211">
        <v>3.8</v>
      </c>
      <c r="S726" s="211">
        <v>2.8</v>
      </c>
    </row>
    <row r="727" spans="1:19" ht="19">
      <c r="A727" s="212" t="s">
        <v>579</v>
      </c>
      <c r="B727" s="212" t="s">
        <v>580</v>
      </c>
      <c r="C727" s="233" t="s">
        <v>585</v>
      </c>
      <c r="D727" s="234" t="s">
        <v>151</v>
      </c>
      <c r="E727" s="212">
        <v>41229</v>
      </c>
      <c r="F727" s="212">
        <v>1019</v>
      </c>
      <c r="G727" s="212" t="s">
        <v>1723</v>
      </c>
      <c r="H727" s="212" t="s">
        <v>1811</v>
      </c>
      <c r="I727" s="212" t="s">
        <v>1137</v>
      </c>
      <c r="J727" s="212" t="s">
        <v>104</v>
      </c>
      <c r="K727" s="227" t="s">
        <v>269</v>
      </c>
      <c r="L727" s="227" t="s">
        <v>1725</v>
      </c>
      <c r="M727" t="s">
        <v>1761</v>
      </c>
      <c r="N727" s="211">
        <v>-19.920000000000002</v>
      </c>
      <c r="O727" s="211">
        <v>-19.899999999999999</v>
      </c>
      <c r="P727" s="211">
        <v>4.4000000000000004</v>
      </c>
      <c r="S727" s="211">
        <v>2.8</v>
      </c>
    </row>
    <row r="728" spans="1:19" ht="19">
      <c r="A728" s="212" t="s">
        <v>579</v>
      </c>
      <c r="B728" s="212" t="s">
        <v>580</v>
      </c>
      <c r="C728" s="233" t="s">
        <v>585</v>
      </c>
      <c r="D728" s="234" t="s">
        <v>151</v>
      </c>
      <c r="E728" s="212">
        <v>41229</v>
      </c>
      <c r="F728" s="212">
        <v>1218</v>
      </c>
      <c r="G728" s="212" t="s">
        <v>1723</v>
      </c>
      <c r="H728" s="212" t="s">
        <v>1811</v>
      </c>
      <c r="I728" s="212" t="s">
        <v>1137</v>
      </c>
      <c r="J728" s="212" t="s">
        <v>104</v>
      </c>
      <c r="K728" s="227" t="s">
        <v>269</v>
      </c>
      <c r="L728" s="227" t="s">
        <v>1725</v>
      </c>
      <c r="M728" t="s">
        <v>1726</v>
      </c>
      <c r="N728" s="211">
        <v>-17.5</v>
      </c>
      <c r="O728" s="211">
        <v>-17.5</v>
      </c>
      <c r="P728" s="211">
        <v>5.8</v>
      </c>
      <c r="S728" s="211">
        <v>2.9</v>
      </c>
    </row>
    <row r="729" spans="1:19" ht="19">
      <c r="A729" s="212" t="s">
        <v>579</v>
      </c>
      <c r="B729" s="212" t="s">
        <v>580</v>
      </c>
      <c r="C729" s="233" t="s">
        <v>585</v>
      </c>
      <c r="D729" s="234" t="s">
        <v>151</v>
      </c>
      <c r="E729" s="212">
        <v>41229</v>
      </c>
      <c r="F729" s="212">
        <v>1225</v>
      </c>
      <c r="G729" s="212" t="s">
        <v>1723</v>
      </c>
      <c r="H729" s="212" t="s">
        <v>1811</v>
      </c>
      <c r="I729" s="212" t="s">
        <v>1137</v>
      </c>
      <c r="J729" s="212" t="s">
        <v>104</v>
      </c>
      <c r="K729" s="227" t="s">
        <v>269</v>
      </c>
      <c r="L729" s="227" t="s">
        <v>1725</v>
      </c>
      <c r="M729" t="s">
        <v>1758</v>
      </c>
      <c r="N729" s="211">
        <v>-21.13</v>
      </c>
      <c r="O729" s="211">
        <v>-21.1</v>
      </c>
      <c r="P729" s="211">
        <v>5.8</v>
      </c>
      <c r="S729" s="211">
        <v>2.9</v>
      </c>
    </row>
    <row r="730" spans="1:19" ht="19">
      <c r="A730" s="212" t="s">
        <v>579</v>
      </c>
      <c r="B730" s="212" t="s">
        <v>580</v>
      </c>
      <c r="C730" s="233" t="s">
        <v>585</v>
      </c>
      <c r="D730" s="234" t="s">
        <v>151</v>
      </c>
      <c r="E730" s="212">
        <v>41229</v>
      </c>
      <c r="F730" s="212">
        <v>1302</v>
      </c>
      <c r="G730" s="212" t="s">
        <v>1723</v>
      </c>
      <c r="H730" s="212" t="s">
        <v>1811</v>
      </c>
      <c r="I730" s="212" t="s">
        <v>1137</v>
      </c>
      <c r="J730" s="212" t="s">
        <v>225</v>
      </c>
      <c r="K730" s="227" t="s">
        <v>269</v>
      </c>
      <c r="L730" s="227" t="s">
        <v>1725</v>
      </c>
      <c r="M730" t="s">
        <v>1738</v>
      </c>
      <c r="N730" s="211">
        <v>-22.7</v>
      </c>
      <c r="O730" s="211">
        <v>-22.7</v>
      </c>
      <c r="P730" s="211">
        <v>6.9</v>
      </c>
      <c r="S730" s="211">
        <v>3.2</v>
      </c>
    </row>
    <row r="731" spans="1:19" ht="19">
      <c r="A731" s="212" t="s">
        <v>579</v>
      </c>
      <c r="B731" s="212" t="s">
        <v>580</v>
      </c>
      <c r="C731" s="233" t="s">
        <v>585</v>
      </c>
      <c r="D731" s="234" t="s">
        <v>151</v>
      </c>
      <c r="E731" s="212">
        <v>41229</v>
      </c>
      <c r="F731" s="212">
        <v>1350</v>
      </c>
      <c r="G731" s="212" t="s">
        <v>1723</v>
      </c>
      <c r="H731" s="212" t="s">
        <v>1811</v>
      </c>
      <c r="I731" s="212" t="s">
        <v>1137</v>
      </c>
      <c r="J731" s="212" t="s">
        <v>225</v>
      </c>
      <c r="K731" s="227" t="s">
        <v>269</v>
      </c>
      <c r="L731" s="227" t="s">
        <v>1725</v>
      </c>
      <c r="M731" t="s">
        <v>1871</v>
      </c>
      <c r="N731" s="211">
        <v>-15.3</v>
      </c>
      <c r="O731" s="211">
        <v>-15.3</v>
      </c>
      <c r="P731" s="211">
        <v>4.7</v>
      </c>
      <c r="S731" s="211">
        <v>2.8</v>
      </c>
    </row>
    <row r="732" spans="1:19" ht="19">
      <c r="A732" s="212" t="s">
        <v>579</v>
      </c>
      <c r="B732" s="212" t="s">
        <v>580</v>
      </c>
      <c r="C732" s="233" t="s">
        <v>585</v>
      </c>
      <c r="D732" s="234" t="s">
        <v>151</v>
      </c>
      <c r="E732" s="212">
        <v>41229</v>
      </c>
      <c r="F732" s="212">
        <v>1357</v>
      </c>
      <c r="G732" s="212" t="s">
        <v>1723</v>
      </c>
      <c r="H732" s="212" t="s">
        <v>1811</v>
      </c>
      <c r="I732" s="212" t="s">
        <v>1137</v>
      </c>
      <c r="J732" s="212" t="s">
        <v>104</v>
      </c>
      <c r="K732" s="227" t="s">
        <v>269</v>
      </c>
      <c r="L732" s="227" t="s">
        <v>1725</v>
      </c>
      <c r="M732" t="s">
        <v>1758</v>
      </c>
      <c r="N732" s="211">
        <v>-18.940000000000001</v>
      </c>
      <c r="O732" s="211">
        <v>-18.899999999999999</v>
      </c>
      <c r="P732" s="211">
        <v>7.1</v>
      </c>
      <c r="S732" s="211">
        <v>2.9</v>
      </c>
    </row>
    <row r="733" spans="1:19" ht="19">
      <c r="A733" s="212" t="s">
        <v>579</v>
      </c>
      <c r="B733" s="212" t="s">
        <v>580</v>
      </c>
      <c r="C733" s="233" t="s">
        <v>585</v>
      </c>
      <c r="D733" s="234" t="s">
        <v>151</v>
      </c>
      <c r="E733" s="212">
        <v>41229</v>
      </c>
      <c r="F733" s="212">
        <v>1591</v>
      </c>
      <c r="G733" s="212" t="s">
        <v>1723</v>
      </c>
      <c r="H733" s="212" t="s">
        <v>1811</v>
      </c>
      <c r="I733" s="212" t="s">
        <v>1137</v>
      </c>
      <c r="J733" s="212" t="s">
        <v>225</v>
      </c>
      <c r="K733" s="227" t="s">
        <v>269</v>
      </c>
      <c r="L733" s="227" t="s">
        <v>1725</v>
      </c>
      <c r="M733" t="s">
        <v>1750</v>
      </c>
      <c r="N733" s="211">
        <v>-16.809999999999999</v>
      </c>
      <c r="O733" s="211">
        <v>-16.8</v>
      </c>
      <c r="P733" s="211">
        <v>4.4000000000000004</v>
      </c>
      <c r="S733" s="211">
        <v>2.8</v>
      </c>
    </row>
    <row r="734" spans="1:19" ht="19">
      <c r="A734" s="212" t="s">
        <v>579</v>
      </c>
      <c r="B734" s="212" t="s">
        <v>580</v>
      </c>
      <c r="C734" s="233" t="s">
        <v>585</v>
      </c>
      <c r="D734" s="234" t="s">
        <v>151</v>
      </c>
      <c r="E734" s="212">
        <v>41229</v>
      </c>
      <c r="F734" s="212">
        <v>1592</v>
      </c>
      <c r="G734" s="212" t="s">
        <v>1723</v>
      </c>
      <c r="H734" s="212" t="s">
        <v>1811</v>
      </c>
      <c r="I734" s="212" t="s">
        <v>1137</v>
      </c>
      <c r="J734" s="212" t="s">
        <v>225</v>
      </c>
      <c r="K734" s="227" t="s">
        <v>269</v>
      </c>
      <c r="L734" s="227" t="s">
        <v>1725</v>
      </c>
      <c r="M734" t="s">
        <v>1750</v>
      </c>
      <c r="N734" s="211">
        <v>-15.27</v>
      </c>
      <c r="O734" s="211">
        <v>-15.3</v>
      </c>
      <c r="P734" s="211">
        <v>5.5</v>
      </c>
      <c r="S734" s="211">
        <v>2.9</v>
      </c>
    </row>
    <row r="735" spans="1:19" ht="19">
      <c r="A735" s="212" t="s">
        <v>579</v>
      </c>
      <c r="B735" s="212" t="s">
        <v>580</v>
      </c>
      <c r="C735" s="233" t="s">
        <v>585</v>
      </c>
      <c r="D735" s="234" t="s">
        <v>151</v>
      </c>
      <c r="E735" s="212">
        <v>41229</v>
      </c>
      <c r="F735" s="212">
        <v>1593</v>
      </c>
      <c r="G735" s="212" t="s">
        <v>1723</v>
      </c>
      <c r="H735" s="212" t="s">
        <v>1811</v>
      </c>
      <c r="I735" s="212" t="s">
        <v>1137</v>
      </c>
      <c r="J735" s="212" t="s">
        <v>225</v>
      </c>
      <c r="K735" s="227" t="s">
        <v>269</v>
      </c>
      <c r="L735" s="227" t="s">
        <v>1725</v>
      </c>
      <c r="M735" t="s">
        <v>1750</v>
      </c>
      <c r="N735" s="211">
        <v>-17.96</v>
      </c>
      <c r="O735" s="211">
        <v>-18</v>
      </c>
      <c r="P735" s="211">
        <v>4.2</v>
      </c>
      <c r="S735" s="211">
        <v>2.9</v>
      </c>
    </row>
    <row r="736" spans="1:19" ht="19">
      <c r="A736" s="212" t="s">
        <v>579</v>
      </c>
      <c r="B736" s="212" t="s">
        <v>580</v>
      </c>
      <c r="C736" s="233" t="s">
        <v>585</v>
      </c>
      <c r="D736" s="234" t="s">
        <v>151</v>
      </c>
      <c r="E736" s="212">
        <v>41229</v>
      </c>
      <c r="F736" s="212">
        <v>1596</v>
      </c>
      <c r="G736" s="212" t="s">
        <v>1723</v>
      </c>
      <c r="H736" s="212" t="s">
        <v>1811</v>
      </c>
      <c r="I736" s="212" t="s">
        <v>1137</v>
      </c>
      <c r="J736" s="212" t="s">
        <v>225</v>
      </c>
      <c r="K736" s="227" t="s">
        <v>269</v>
      </c>
      <c r="L736" s="227" t="s">
        <v>1725</v>
      </c>
      <c r="M736" t="s">
        <v>1870</v>
      </c>
      <c r="N736" s="211">
        <v>-18.3</v>
      </c>
      <c r="O736" s="211">
        <v>-18.3</v>
      </c>
      <c r="P736" s="211">
        <v>5.6</v>
      </c>
      <c r="S736" s="211">
        <v>2.8</v>
      </c>
    </row>
    <row r="737" spans="1:21" ht="19">
      <c r="A737" s="212" t="s">
        <v>579</v>
      </c>
      <c r="B737" s="212" t="s">
        <v>580</v>
      </c>
      <c r="C737" s="233" t="s">
        <v>585</v>
      </c>
      <c r="D737" s="234" t="s">
        <v>151</v>
      </c>
      <c r="E737" s="212">
        <v>41229</v>
      </c>
      <c r="F737" s="212">
        <v>1597</v>
      </c>
      <c r="G737" s="212" t="s">
        <v>1723</v>
      </c>
      <c r="H737" s="212" t="s">
        <v>1811</v>
      </c>
      <c r="I737" s="212" t="s">
        <v>1137</v>
      </c>
      <c r="J737" s="212" t="s">
        <v>225</v>
      </c>
      <c r="K737" s="227" t="s">
        <v>269</v>
      </c>
      <c r="L737" s="227" t="s">
        <v>1725</v>
      </c>
      <c r="M737" t="s">
        <v>1738</v>
      </c>
      <c r="N737" s="211">
        <v>-16.5</v>
      </c>
      <c r="O737" s="211">
        <v>-16.5</v>
      </c>
      <c r="P737" s="211">
        <v>5.6</v>
      </c>
      <c r="S737" s="211">
        <v>3</v>
      </c>
    </row>
    <row r="738" spans="1:21" ht="19">
      <c r="A738" s="212" t="s">
        <v>579</v>
      </c>
      <c r="B738" s="212" t="s">
        <v>580</v>
      </c>
      <c r="C738" s="233" t="s">
        <v>585</v>
      </c>
      <c r="D738" s="234" t="s">
        <v>151</v>
      </c>
      <c r="E738" s="212">
        <v>41229</v>
      </c>
      <c r="F738" s="212">
        <v>1598</v>
      </c>
      <c r="G738" s="212" t="s">
        <v>1723</v>
      </c>
      <c r="H738" s="212" t="s">
        <v>1811</v>
      </c>
      <c r="I738" s="212" t="s">
        <v>1137</v>
      </c>
      <c r="J738" s="212" t="s">
        <v>225</v>
      </c>
      <c r="K738" s="227" t="s">
        <v>269</v>
      </c>
      <c r="L738" s="227" t="s">
        <v>1725</v>
      </c>
      <c r="M738" t="s">
        <v>1738</v>
      </c>
      <c r="N738" s="211">
        <v>-13.8</v>
      </c>
      <c r="O738" s="211">
        <v>-13.8</v>
      </c>
      <c r="P738" s="211">
        <v>5.9</v>
      </c>
      <c r="S738" s="211">
        <v>2.9</v>
      </c>
    </row>
    <row r="739" spans="1:21" ht="19">
      <c r="A739" s="212" t="s">
        <v>579</v>
      </c>
      <c r="B739" s="212" t="s">
        <v>580</v>
      </c>
      <c r="C739" s="233" t="s">
        <v>585</v>
      </c>
      <c r="D739" s="234" t="s">
        <v>151</v>
      </c>
      <c r="E739" s="212">
        <v>41229</v>
      </c>
      <c r="F739" s="212">
        <v>1604</v>
      </c>
      <c r="G739" s="212" t="s">
        <v>1723</v>
      </c>
      <c r="H739" s="212" t="s">
        <v>1811</v>
      </c>
      <c r="I739" s="212" t="s">
        <v>1137</v>
      </c>
      <c r="J739" s="212" t="s">
        <v>225</v>
      </c>
      <c r="K739" s="227" t="s">
        <v>269</v>
      </c>
      <c r="L739" s="227" t="s">
        <v>1725</v>
      </c>
      <c r="M739" t="s">
        <v>1750</v>
      </c>
      <c r="N739" s="211">
        <v>-17.59</v>
      </c>
      <c r="O739" s="211">
        <v>-17.600000000000001</v>
      </c>
      <c r="P739" s="211">
        <v>5</v>
      </c>
      <c r="S739" s="211">
        <v>2.9</v>
      </c>
    </row>
    <row r="740" spans="1:21" ht="19">
      <c r="A740" s="212" t="s">
        <v>579</v>
      </c>
      <c r="B740" s="212" t="s">
        <v>580</v>
      </c>
      <c r="C740" s="233" t="s">
        <v>585</v>
      </c>
      <c r="D740" s="234" t="s">
        <v>151</v>
      </c>
      <c r="E740" s="212">
        <v>41229</v>
      </c>
      <c r="F740" s="212">
        <v>1785</v>
      </c>
      <c r="G740" s="212" t="s">
        <v>1723</v>
      </c>
      <c r="H740" s="212" t="s">
        <v>1811</v>
      </c>
      <c r="I740" s="212" t="s">
        <v>1137</v>
      </c>
      <c r="J740" s="212" t="s">
        <v>104</v>
      </c>
      <c r="K740" s="227" t="s">
        <v>269</v>
      </c>
      <c r="L740" s="227" t="s">
        <v>1725</v>
      </c>
      <c r="M740" t="s">
        <v>1761</v>
      </c>
      <c r="N740" s="211">
        <v>-17.309999999999999</v>
      </c>
      <c r="O740" s="211">
        <v>-17.3</v>
      </c>
      <c r="P740" s="211">
        <v>3.4</v>
      </c>
      <c r="S740" s="211">
        <v>2.9</v>
      </c>
    </row>
    <row r="741" spans="1:21" ht="19">
      <c r="A741" s="212" t="s">
        <v>579</v>
      </c>
      <c r="B741" s="212" t="s">
        <v>580</v>
      </c>
      <c r="C741" s="233" t="s">
        <v>585</v>
      </c>
      <c r="D741" s="234" t="s">
        <v>151</v>
      </c>
      <c r="E741" s="212">
        <v>41229</v>
      </c>
      <c r="F741" s="212">
        <v>2594</v>
      </c>
      <c r="G741" s="212" t="s">
        <v>1723</v>
      </c>
      <c r="H741" s="212" t="s">
        <v>1811</v>
      </c>
      <c r="I741" s="212" t="s">
        <v>1137</v>
      </c>
      <c r="J741" s="212" t="s">
        <v>225</v>
      </c>
      <c r="K741" s="227" t="s">
        <v>269</v>
      </c>
      <c r="L741" s="227" t="s">
        <v>1725</v>
      </c>
      <c r="M741" t="s">
        <v>1738</v>
      </c>
      <c r="N741" s="211">
        <v>-18.600000000000001</v>
      </c>
      <c r="O741" s="211">
        <v>-18.600000000000001</v>
      </c>
      <c r="P741" s="211">
        <v>6.4</v>
      </c>
      <c r="S741" s="211">
        <v>3.1</v>
      </c>
    </row>
    <row r="742" spans="1:21" ht="19">
      <c r="A742" s="212" t="s">
        <v>579</v>
      </c>
      <c r="B742" s="212" t="s">
        <v>580</v>
      </c>
      <c r="C742" s="233" t="s">
        <v>585</v>
      </c>
      <c r="D742" s="234" t="s">
        <v>151</v>
      </c>
      <c r="E742" s="212">
        <v>41229</v>
      </c>
      <c r="F742" s="212">
        <v>2602</v>
      </c>
      <c r="G742" s="212" t="s">
        <v>1723</v>
      </c>
      <c r="H742" s="212" t="s">
        <v>1811</v>
      </c>
      <c r="I742" s="212" t="s">
        <v>1137</v>
      </c>
      <c r="J742" s="212" t="s">
        <v>1744</v>
      </c>
      <c r="K742" s="227" t="s">
        <v>269</v>
      </c>
      <c r="L742" s="227" t="s">
        <v>1725</v>
      </c>
      <c r="M742" t="s">
        <v>1755</v>
      </c>
      <c r="N742" s="211">
        <v>-19.920000000000002</v>
      </c>
      <c r="O742" s="211">
        <v>-19.899999999999999</v>
      </c>
      <c r="P742" s="211">
        <v>6.3</v>
      </c>
      <c r="S742" s="211">
        <v>3</v>
      </c>
    </row>
    <row r="743" spans="1:21" ht="19">
      <c r="A743" s="212" t="s">
        <v>579</v>
      </c>
      <c r="B743" s="212" t="s">
        <v>580</v>
      </c>
      <c r="C743" s="233" t="s">
        <v>585</v>
      </c>
      <c r="D743" s="234" t="s">
        <v>151</v>
      </c>
      <c r="E743" s="212">
        <v>41229</v>
      </c>
      <c r="F743" s="212">
        <v>2673</v>
      </c>
      <c r="G743" s="212" t="s">
        <v>1723</v>
      </c>
      <c r="H743" s="212" t="s">
        <v>1811</v>
      </c>
      <c r="I743" s="212" t="s">
        <v>1137</v>
      </c>
      <c r="J743" s="212" t="s">
        <v>104</v>
      </c>
      <c r="K743" s="227" t="s">
        <v>269</v>
      </c>
      <c r="L743" s="227" t="s">
        <v>1725</v>
      </c>
      <c r="M743" t="s">
        <v>1738</v>
      </c>
      <c r="N743" s="211">
        <v>-15.37</v>
      </c>
      <c r="O743" s="211">
        <v>-15.4</v>
      </c>
      <c r="P743" s="211">
        <v>5.8</v>
      </c>
      <c r="S743" s="211">
        <v>3</v>
      </c>
    </row>
    <row r="744" spans="1:21" ht="19">
      <c r="A744" s="212" t="s">
        <v>579</v>
      </c>
      <c r="B744" s="212" t="s">
        <v>580</v>
      </c>
      <c r="C744" s="233" t="s">
        <v>585</v>
      </c>
      <c r="D744" s="234" t="s">
        <v>151</v>
      </c>
      <c r="E744" s="236">
        <v>41229</v>
      </c>
      <c r="F744" s="236">
        <v>2896</v>
      </c>
      <c r="G744" s="236" t="s">
        <v>1723</v>
      </c>
      <c r="H744" s="212" t="s">
        <v>1811</v>
      </c>
      <c r="I744" s="212" t="s">
        <v>1137</v>
      </c>
      <c r="J744" s="212" t="s">
        <v>225</v>
      </c>
      <c r="K744" s="227" t="s">
        <v>269</v>
      </c>
      <c r="L744" s="227" t="s">
        <v>1725</v>
      </c>
      <c r="M744" t="s">
        <v>1738</v>
      </c>
      <c r="N744" s="214">
        <v>-18.3</v>
      </c>
      <c r="O744" s="214">
        <v>-18.3</v>
      </c>
      <c r="P744" s="211">
        <v>5.9</v>
      </c>
      <c r="S744" s="211">
        <v>2.9</v>
      </c>
    </row>
    <row r="745" spans="1:21" ht="19">
      <c r="A745" s="212" t="s">
        <v>579</v>
      </c>
      <c r="B745" s="212" t="s">
        <v>580</v>
      </c>
      <c r="C745" s="233" t="s">
        <v>585</v>
      </c>
      <c r="D745" s="234" t="s">
        <v>151</v>
      </c>
      <c r="E745" s="212">
        <v>41229</v>
      </c>
      <c r="F745" s="212">
        <v>2926</v>
      </c>
      <c r="G745" s="212" t="s">
        <v>1723</v>
      </c>
      <c r="H745" s="212" t="s">
        <v>1811</v>
      </c>
      <c r="I745" s="212" t="s">
        <v>1137</v>
      </c>
      <c r="J745" s="212" t="s">
        <v>225</v>
      </c>
      <c r="K745" s="227" t="s">
        <v>269</v>
      </c>
      <c r="L745" s="227" t="s">
        <v>1725</v>
      </c>
      <c r="M745" t="s">
        <v>1805</v>
      </c>
      <c r="N745" s="211">
        <v>-22.1</v>
      </c>
      <c r="O745" s="211">
        <v>-22.1</v>
      </c>
      <c r="P745" s="211">
        <v>4.4000000000000004</v>
      </c>
      <c r="S745" s="211">
        <v>3.1</v>
      </c>
    </row>
    <row r="746" spans="1:21" ht="19">
      <c r="A746" s="212" t="s">
        <v>579</v>
      </c>
      <c r="B746" s="212" t="s">
        <v>580</v>
      </c>
      <c r="C746" s="233" t="s">
        <v>585</v>
      </c>
      <c r="D746" s="234" t="s">
        <v>151</v>
      </c>
      <c r="E746" s="212">
        <v>41229</v>
      </c>
      <c r="F746" s="212">
        <v>2939</v>
      </c>
      <c r="G746" s="212" t="s">
        <v>1723</v>
      </c>
      <c r="H746" s="212" t="s">
        <v>1811</v>
      </c>
      <c r="I746" s="212" t="s">
        <v>1137</v>
      </c>
      <c r="J746" s="212" t="s">
        <v>225</v>
      </c>
      <c r="K746" s="227" t="s">
        <v>269</v>
      </c>
      <c r="L746" s="227" t="s">
        <v>1725</v>
      </c>
      <c r="M746" t="s">
        <v>1726</v>
      </c>
      <c r="N746" s="211">
        <v>-19.399999999999999</v>
      </c>
      <c r="O746" s="211">
        <v>-19.399999999999999</v>
      </c>
      <c r="P746" s="211">
        <v>4.3</v>
      </c>
      <c r="S746" s="211">
        <v>2.8</v>
      </c>
    </row>
    <row r="747" spans="1:21" ht="19">
      <c r="A747" s="212" t="s">
        <v>579</v>
      </c>
      <c r="B747" s="212" t="s">
        <v>580</v>
      </c>
      <c r="C747" s="233" t="s">
        <v>585</v>
      </c>
      <c r="D747" s="234" t="s">
        <v>151</v>
      </c>
      <c r="E747" s="212">
        <v>41229</v>
      </c>
      <c r="F747" s="212">
        <v>2952</v>
      </c>
      <c r="G747" s="212" t="s">
        <v>1723</v>
      </c>
      <c r="H747" s="212" t="s">
        <v>1811</v>
      </c>
      <c r="I747" s="212" t="s">
        <v>1137</v>
      </c>
      <c r="J747" s="212" t="s">
        <v>104</v>
      </c>
      <c r="K747" s="227" t="s">
        <v>269</v>
      </c>
      <c r="L747" s="227" t="s">
        <v>1725</v>
      </c>
      <c r="M747" t="s">
        <v>1755</v>
      </c>
      <c r="N747" s="211">
        <v>-17.190000000000001</v>
      </c>
      <c r="O747" s="211">
        <v>-17.2</v>
      </c>
      <c r="P747" s="211">
        <v>6.1</v>
      </c>
      <c r="S747" s="211">
        <v>2.8</v>
      </c>
    </row>
    <row r="748" spans="1:21" ht="19">
      <c r="A748" s="212" t="s">
        <v>579</v>
      </c>
      <c r="B748" s="212" t="s">
        <v>580</v>
      </c>
      <c r="C748" s="233" t="s">
        <v>585</v>
      </c>
      <c r="D748" s="234" t="s">
        <v>151</v>
      </c>
      <c r="E748" s="236">
        <v>41229</v>
      </c>
      <c r="F748" s="236">
        <v>2953</v>
      </c>
      <c r="G748" s="236" t="s">
        <v>1723</v>
      </c>
      <c r="H748" s="212" t="s">
        <v>1811</v>
      </c>
      <c r="I748" s="212" t="s">
        <v>1137</v>
      </c>
      <c r="J748" s="212" t="s">
        <v>104</v>
      </c>
      <c r="K748" s="227" t="s">
        <v>269</v>
      </c>
      <c r="L748" s="227" t="s">
        <v>1725</v>
      </c>
      <c r="M748" t="s">
        <v>1876</v>
      </c>
      <c r="N748" s="214">
        <v>-18.88</v>
      </c>
      <c r="O748" s="214">
        <v>-18.899999999999999</v>
      </c>
      <c r="P748" s="211">
        <v>3.6</v>
      </c>
      <c r="S748" s="211">
        <v>2.9</v>
      </c>
      <c r="U748" s="216"/>
    </row>
    <row r="749" spans="1:21" ht="19">
      <c r="A749" s="212" t="s">
        <v>579</v>
      </c>
      <c r="B749" s="212" t="s">
        <v>580</v>
      </c>
      <c r="C749" s="233" t="s">
        <v>585</v>
      </c>
      <c r="D749" s="234" t="s">
        <v>151</v>
      </c>
      <c r="E749" s="212">
        <v>41229</v>
      </c>
      <c r="F749" s="212">
        <v>2954</v>
      </c>
      <c r="G749" s="212" t="s">
        <v>1723</v>
      </c>
      <c r="H749" s="212" t="s">
        <v>1811</v>
      </c>
      <c r="I749" s="212" t="s">
        <v>1137</v>
      </c>
      <c r="J749" s="212" t="s">
        <v>104</v>
      </c>
      <c r="K749" s="227" t="s">
        <v>269</v>
      </c>
      <c r="L749" s="227" t="s">
        <v>1725</v>
      </c>
      <c r="M749" t="s">
        <v>1738</v>
      </c>
      <c r="N749" s="211">
        <v>-21.12</v>
      </c>
      <c r="O749" s="211">
        <v>-21.1</v>
      </c>
      <c r="P749" s="211">
        <v>5.0999999999999996</v>
      </c>
      <c r="S749" s="211">
        <v>3</v>
      </c>
    </row>
    <row r="750" spans="1:21" ht="19">
      <c r="A750" s="212" t="s">
        <v>579</v>
      </c>
      <c r="B750" s="212" t="s">
        <v>580</v>
      </c>
      <c r="C750" s="233" t="s">
        <v>585</v>
      </c>
      <c r="D750" s="234" t="s">
        <v>151</v>
      </c>
      <c r="E750" s="212">
        <v>41229</v>
      </c>
      <c r="F750" s="212">
        <v>3434</v>
      </c>
      <c r="G750" s="212" t="s">
        <v>1723</v>
      </c>
      <c r="H750" s="212" t="s">
        <v>1811</v>
      </c>
      <c r="I750" s="212" t="s">
        <v>1137</v>
      </c>
      <c r="J750" s="212" t="s">
        <v>104</v>
      </c>
      <c r="K750" s="227" t="s">
        <v>269</v>
      </c>
      <c r="L750" s="227" t="s">
        <v>1725</v>
      </c>
      <c r="M750" t="s">
        <v>1754</v>
      </c>
      <c r="N750" s="211">
        <v>-20.49</v>
      </c>
      <c r="O750" s="211">
        <v>-20.5</v>
      </c>
      <c r="P750" s="211">
        <v>4.9000000000000004</v>
      </c>
      <c r="S750" s="211">
        <v>2.8</v>
      </c>
    </row>
    <row r="751" spans="1:21" ht="19">
      <c r="A751" s="212" t="s">
        <v>579</v>
      </c>
      <c r="B751" s="212" t="s">
        <v>580</v>
      </c>
      <c r="C751" s="233" t="s">
        <v>585</v>
      </c>
      <c r="D751" s="234" t="s">
        <v>151</v>
      </c>
      <c r="E751" s="212">
        <v>41229</v>
      </c>
      <c r="F751" s="212">
        <v>3527</v>
      </c>
      <c r="G751" s="212" t="s">
        <v>1723</v>
      </c>
      <c r="H751" s="212" t="s">
        <v>1811</v>
      </c>
      <c r="I751" s="212" t="s">
        <v>1137</v>
      </c>
      <c r="J751" s="212" t="s">
        <v>104</v>
      </c>
      <c r="K751" s="227" t="s">
        <v>269</v>
      </c>
      <c r="L751" s="227" t="s">
        <v>1725</v>
      </c>
      <c r="M751" t="s">
        <v>1738</v>
      </c>
      <c r="N751" s="211">
        <v>-20.079999999999998</v>
      </c>
      <c r="O751" s="211">
        <v>-20.100000000000001</v>
      </c>
      <c r="P751" s="211">
        <v>6.2</v>
      </c>
      <c r="S751" s="211">
        <v>3</v>
      </c>
    </row>
    <row r="752" spans="1:21" ht="19">
      <c r="A752" s="212" t="s">
        <v>579</v>
      </c>
      <c r="B752" s="212" t="s">
        <v>580</v>
      </c>
      <c r="C752" s="233" t="s">
        <v>585</v>
      </c>
      <c r="D752" s="234" t="s">
        <v>151</v>
      </c>
      <c r="E752" s="212">
        <v>41229</v>
      </c>
      <c r="F752" s="212">
        <v>4017</v>
      </c>
      <c r="G752" s="212" t="s">
        <v>1723</v>
      </c>
      <c r="H752" s="212" t="s">
        <v>1811</v>
      </c>
      <c r="I752" s="212" t="s">
        <v>1137</v>
      </c>
      <c r="J752" s="212" t="s">
        <v>225</v>
      </c>
      <c r="K752" s="227" t="s">
        <v>269</v>
      </c>
      <c r="L752" s="227" t="s">
        <v>1725</v>
      </c>
      <c r="M752" t="s">
        <v>1786</v>
      </c>
      <c r="N752" s="211">
        <v>-13.1</v>
      </c>
      <c r="O752" s="211">
        <v>-13.1</v>
      </c>
      <c r="P752" s="211">
        <v>5.3</v>
      </c>
      <c r="S752" s="211">
        <v>2.9</v>
      </c>
    </row>
    <row r="753" spans="1:19" ht="19">
      <c r="A753" s="212" t="s">
        <v>579</v>
      </c>
      <c r="B753" s="212" t="s">
        <v>580</v>
      </c>
      <c r="C753" s="233" t="s">
        <v>585</v>
      </c>
      <c r="D753" s="234" t="s">
        <v>151</v>
      </c>
      <c r="E753" s="212">
        <v>41229</v>
      </c>
      <c r="F753" s="212">
        <v>4018</v>
      </c>
      <c r="G753" s="212" t="s">
        <v>1723</v>
      </c>
      <c r="H753" s="212" t="s">
        <v>1811</v>
      </c>
      <c r="I753" s="212" t="s">
        <v>1137</v>
      </c>
      <c r="J753" s="212" t="s">
        <v>225</v>
      </c>
      <c r="K753" s="227" t="s">
        <v>269</v>
      </c>
      <c r="L753" s="227" t="s">
        <v>1725</v>
      </c>
      <c r="M753" t="s">
        <v>1786</v>
      </c>
      <c r="N753" s="211">
        <v>-13.3</v>
      </c>
      <c r="O753" s="211">
        <v>-13.3</v>
      </c>
      <c r="P753" s="211">
        <v>5.7</v>
      </c>
      <c r="S753" s="211">
        <v>2.9</v>
      </c>
    </row>
    <row r="754" spans="1:19" ht="19">
      <c r="A754" s="212" t="s">
        <v>579</v>
      </c>
      <c r="B754" s="212" t="s">
        <v>580</v>
      </c>
      <c r="C754" s="233" t="s">
        <v>585</v>
      </c>
      <c r="D754" s="234" t="s">
        <v>151</v>
      </c>
      <c r="E754" s="212">
        <v>41229</v>
      </c>
      <c r="F754" s="212">
        <v>4042</v>
      </c>
      <c r="G754" s="212" t="s">
        <v>1723</v>
      </c>
      <c r="H754" s="212" t="s">
        <v>1811</v>
      </c>
      <c r="I754" s="212" t="s">
        <v>1137</v>
      </c>
      <c r="J754" s="212" t="s">
        <v>1744</v>
      </c>
      <c r="K754" s="227" t="s">
        <v>269</v>
      </c>
      <c r="L754" s="227" t="s">
        <v>1725</v>
      </c>
      <c r="M754" t="s">
        <v>1757</v>
      </c>
      <c r="N754" s="211">
        <v>-15.81</v>
      </c>
      <c r="O754" s="211">
        <v>-15.8</v>
      </c>
      <c r="P754" s="211">
        <v>5.4</v>
      </c>
      <c r="S754" s="211">
        <v>2.8</v>
      </c>
    </row>
    <row r="755" spans="1:19" ht="19">
      <c r="A755" s="212" t="s">
        <v>579</v>
      </c>
      <c r="B755" s="212" t="s">
        <v>580</v>
      </c>
      <c r="C755" s="233" t="s">
        <v>585</v>
      </c>
      <c r="D755" s="234" t="s">
        <v>151</v>
      </c>
      <c r="E755" s="212">
        <v>41229</v>
      </c>
      <c r="F755" s="212">
        <v>4098</v>
      </c>
      <c r="G755" s="212" t="s">
        <v>1723</v>
      </c>
      <c r="H755" s="212" t="s">
        <v>1811</v>
      </c>
      <c r="I755" s="212" t="s">
        <v>1137</v>
      </c>
      <c r="J755" s="212" t="s">
        <v>225</v>
      </c>
      <c r="K755" s="227" t="s">
        <v>269</v>
      </c>
      <c r="L755" s="227" t="s">
        <v>1725</v>
      </c>
      <c r="M755" t="s">
        <v>1738</v>
      </c>
      <c r="N755" s="211">
        <v>-14.1</v>
      </c>
      <c r="O755" s="211">
        <v>-14.1</v>
      </c>
      <c r="P755" s="211">
        <v>6</v>
      </c>
      <c r="S755" s="211">
        <v>2.9</v>
      </c>
    </row>
    <row r="756" spans="1:19" ht="19">
      <c r="A756" s="212" t="s">
        <v>579</v>
      </c>
      <c r="B756" s="212" t="s">
        <v>580</v>
      </c>
      <c r="C756" s="233" t="s">
        <v>585</v>
      </c>
      <c r="D756" s="234" t="s">
        <v>151</v>
      </c>
      <c r="E756" s="212">
        <v>41229</v>
      </c>
      <c r="F756" s="212">
        <v>4753</v>
      </c>
      <c r="G756" s="212" t="s">
        <v>1723</v>
      </c>
      <c r="H756" s="212" t="s">
        <v>1811</v>
      </c>
      <c r="I756" s="212" t="s">
        <v>1137</v>
      </c>
      <c r="J756" s="212" t="s">
        <v>225</v>
      </c>
      <c r="K756" s="227" t="s">
        <v>269</v>
      </c>
      <c r="L756" s="227" t="s">
        <v>1725</v>
      </c>
      <c r="M756" t="s">
        <v>1761</v>
      </c>
      <c r="N756" s="211">
        <v>-15.7</v>
      </c>
      <c r="O756" s="211">
        <v>-15.7</v>
      </c>
      <c r="P756" s="211">
        <v>6.2</v>
      </c>
      <c r="S756" s="211">
        <v>2.9</v>
      </c>
    </row>
    <row r="757" spans="1:19" ht="19">
      <c r="A757" s="212" t="s">
        <v>579</v>
      </c>
      <c r="B757" s="212" t="s">
        <v>580</v>
      </c>
      <c r="C757" s="233" t="s">
        <v>585</v>
      </c>
      <c r="D757" s="234" t="s">
        <v>151</v>
      </c>
      <c r="E757" s="212">
        <v>41229</v>
      </c>
      <c r="F757" s="212">
        <v>4841</v>
      </c>
      <c r="G757" s="212" t="s">
        <v>1723</v>
      </c>
      <c r="H757" s="212" t="s">
        <v>1811</v>
      </c>
      <c r="I757" s="212" t="s">
        <v>1137</v>
      </c>
      <c r="J757" s="212" t="s">
        <v>1728</v>
      </c>
      <c r="K757" s="227" t="s">
        <v>269</v>
      </c>
      <c r="L757" s="227" t="s">
        <v>1725</v>
      </c>
      <c r="M757" t="s">
        <v>1332</v>
      </c>
      <c r="N757" s="211">
        <v>-13.85</v>
      </c>
      <c r="O757" s="211">
        <v>-13.8</v>
      </c>
      <c r="P757" s="211">
        <v>5</v>
      </c>
      <c r="S757" s="211">
        <v>2.8</v>
      </c>
    </row>
    <row r="758" spans="1:19" ht="19">
      <c r="A758" s="212" t="s">
        <v>579</v>
      </c>
      <c r="B758" s="212" t="s">
        <v>580</v>
      </c>
      <c r="C758" s="233" t="s">
        <v>585</v>
      </c>
      <c r="D758" s="234" t="s">
        <v>151</v>
      </c>
      <c r="E758" s="212">
        <v>41229</v>
      </c>
      <c r="F758" s="212">
        <v>4998</v>
      </c>
      <c r="G758" s="212" t="s">
        <v>1723</v>
      </c>
      <c r="H758" s="212" t="s">
        <v>1811</v>
      </c>
      <c r="I758" s="212" t="s">
        <v>1137</v>
      </c>
      <c r="J758" s="212" t="s">
        <v>225</v>
      </c>
      <c r="K758" s="227" t="s">
        <v>269</v>
      </c>
      <c r="L758" s="227" t="s">
        <v>1725</v>
      </c>
      <c r="M758" t="s">
        <v>1786</v>
      </c>
      <c r="N758" s="211">
        <v>-18.100000000000001</v>
      </c>
      <c r="O758" s="211">
        <v>-18.100000000000001</v>
      </c>
      <c r="P758" s="211">
        <v>7.2</v>
      </c>
      <c r="S758" s="211">
        <v>2.8</v>
      </c>
    </row>
    <row r="759" spans="1:19" ht="19">
      <c r="A759" s="212" t="s">
        <v>579</v>
      </c>
      <c r="B759" s="212" t="s">
        <v>580</v>
      </c>
      <c r="C759" s="233" t="s">
        <v>585</v>
      </c>
      <c r="D759" s="234" t="s">
        <v>151</v>
      </c>
      <c r="E759" s="212">
        <v>41229</v>
      </c>
      <c r="F759" s="212">
        <v>5000</v>
      </c>
      <c r="G759" s="212" t="s">
        <v>1723</v>
      </c>
      <c r="H759" s="212" t="s">
        <v>1811</v>
      </c>
      <c r="I759" s="212" t="s">
        <v>1137</v>
      </c>
      <c r="J759" s="212" t="s">
        <v>225</v>
      </c>
      <c r="K759" s="227" t="s">
        <v>269</v>
      </c>
      <c r="L759" s="227" t="s">
        <v>1725</v>
      </c>
      <c r="M759" t="s">
        <v>1805</v>
      </c>
      <c r="N759" s="211">
        <v>-16.91</v>
      </c>
      <c r="O759" s="211">
        <v>-16.899999999999999</v>
      </c>
      <c r="P759" s="211">
        <v>5.7</v>
      </c>
      <c r="S759" s="211">
        <v>2.9</v>
      </c>
    </row>
    <row r="760" spans="1:19" ht="19">
      <c r="A760" s="212" t="s">
        <v>579</v>
      </c>
      <c r="B760" s="212" t="s">
        <v>580</v>
      </c>
      <c r="C760" s="233" t="s">
        <v>585</v>
      </c>
      <c r="D760" s="234" t="s">
        <v>151</v>
      </c>
      <c r="E760" s="236">
        <v>41229</v>
      </c>
      <c r="F760" s="236">
        <v>5001</v>
      </c>
      <c r="G760" s="236" t="s">
        <v>1723</v>
      </c>
      <c r="H760" s="212" t="s">
        <v>1811</v>
      </c>
      <c r="I760" s="212" t="s">
        <v>1137</v>
      </c>
      <c r="J760" s="212" t="s">
        <v>225</v>
      </c>
      <c r="K760" s="227" t="s">
        <v>269</v>
      </c>
      <c r="L760" s="227" t="s">
        <v>1725</v>
      </c>
      <c r="M760" t="s">
        <v>1738</v>
      </c>
      <c r="N760" s="214">
        <v>-18.190000000000001</v>
      </c>
      <c r="O760" s="214">
        <v>-18.2</v>
      </c>
      <c r="P760" s="211">
        <v>4.4000000000000004</v>
      </c>
      <c r="S760" s="211">
        <v>2.8</v>
      </c>
    </row>
    <row r="761" spans="1:19" ht="19">
      <c r="A761" s="212" t="s">
        <v>579</v>
      </c>
      <c r="B761" s="212" t="s">
        <v>580</v>
      </c>
      <c r="C761" s="233" t="s">
        <v>585</v>
      </c>
      <c r="D761" s="234" t="s">
        <v>151</v>
      </c>
      <c r="E761" s="212">
        <v>41229</v>
      </c>
      <c r="F761" s="212">
        <v>5002</v>
      </c>
      <c r="G761" s="212" t="s">
        <v>1723</v>
      </c>
      <c r="H761" s="212" t="s">
        <v>1811</v>
      </c>
      <c r="I761" s="212" t="s">
        <v>1137</v>
      </c>
      <c r="J761" s="212" t="s">
        <v>225</v>
      </c>
      <c r="K761" s="227" t="s">
        <v>269</v>
      </c>
      <c r="L761" s="227" t="s">
        <v>1725</v>
      </c>
      <c r="M761" t="s">
        <v>1738</v>
      </c>
      <c r="N761" s="211">
        <v>-15.43</v>
      </c>
      <c r="O761" s="211">
        <v>-15.4</v>
      </c>
      <c r="P761" s="211">
        <v>5.3</v>
      </c>
      <c r="S761" s="211">
        <v>2.9</v>
      </c>
    </row>
    <row r="762" spans="1:19" ht="19">
      <c r="A762" s="212" t="s">
        <v>579</v>
      </c>
      <c r="B762" s="212" t="s">
        <v>580</v>
      </c>
      <c r="C762" s="233" t="s">
        <v>585</v>
      </c>
      <c r="D762" s="234" t="s">
        <v>151</v>
      </c>
      <c r="E762" s="212">
        <v>41229</v>
      </c>
      <c r="F762" s="212">
        <v>5003</v>
      </c>
      <c r="G762" s="212" t="s">
        <v>1723</v>
      </c>
      <c r="H762" s="212" t="s">
        <v>1811</v>
      </c>
      <c r="I762" s="212" t="s">
        <v>1137</v>
      </c>
      <c r="J762" s="212" t="s">
        <v>225</v>
      </c>
      <c r="K762" s="227" t="s">
        <v>269</v>
      </c>
      <c r="L762" s="227" t="s">
        <v>1725</v>
      </c>
      <c r="M762" t="s">
        <v>1786</v>
      </c>
      <c r="N762" s="211">
        <v>-16.21</v>
      </c>
      <c r="O762" s="211">
        <v>-16.2</v>
      </c>
      <c r="P762" s="211">
        <v>6.6</v>
      </c>
      <c r="S762" s="211">
        <v>2.9</v>
      </c>
    </row>
    <row r="763" spans="1:19" ht="19">
      <c r="A763" s="212" t="s">
        <v>579</v>
      </c>
      <c r="B763" s="212" t="s">
        <v>580</v>
      </c>
      <c r="C763" s="233" t="s">
        <v>585</v>
      </c>
      <c r="D763" s="234" t="s">
        <v>151</v>
      </c>
      <c r="E763" s="212">
        <v>41229</v>
      </c>
      <c r="F763" s="212">
        <v>5111</v>
      </c>
      <c r="G763" s="212" t="s">
        <v>1723</v>
      </c>
      <c r="H763" s="212" t="s">
        <v>1811</v>
      </c>
      <c r="I763" s="212" t="s">
        <v>1137</v>
      </c>
      <c r="J763" s="212" t="s">
        <v>225</v>
      </c>
      <c r="K763" s="227" t="s">
        <v>269</v>
      </c>
      <c r="L763" s="227" t="s">
        <v>1725</v>
      </c>
      <c r="M763" t="s">
        <v>1332</v>
      </c>
      <c r="N763" s="211">
        <v>-15.81</v>
      </c>
      <c r="O763" s="211">
        <v>-15.8</v>
      </c>
      <c r="P763" s="211">
        <v>5</v>
      </c>
      <c r="S763" s="211">
        <v>2.9</v>
      </c>
    </row>
    <row r="764" spans="1:19" ht="19">
      <c r="A764" s="212" t="s">
        <v>579</v>
      </c>
      <c r="B764" s="212" t="s">
        <v>580</v>
      </c>
      <c r="C764" s="233" t="s">
        <v>585</v>
      </c>
      <c r="D764" s="234" t="s">
        <v>151</v>
      </c>
      <c r="E764" s="212">
        <v>41229</v>
      </c>
      <c r="F764" s="212">
        <v>5301</v>
      </c>
      <c r="G764" s="212" t="s">
        <v>1723</v>
      </c>
      <c r="H764" s="212" t="s">
        <v>1811</v>
      </c>
      <c r="I764" s="212" t="s">
        <v>1137</v>
      </c>
      <c r="J764" s="212" t="s">
        <v>1728</v>
      </c>
      <c r="K764" s="227" t="s">
        <v>269</v>
      </c>
      <c r="L764" s="227" t="s">
        <v>1725</v>
      </c>
      <c r="M764" t="s">
        <v>1761</v>
      </c>
      <c r="N764" s="211">
        <v>-18</v>
      </c>
      <c r="O764" s="211">
        <v>-18</v>
      </c>
      <c r="P764" s="211">
        <v>5.4</v>
      </c>
      <c r="S764" s="211">
        <v>2.8</v>
      </c>
    </row>
    <row r="765" spans="1:19" ht="19">
      <c r="A765" s="212" t="s">
        <v>579</v>
      </c>
      <c r="B765" s="212" t="s">
        <v>580</v>
      </c>
      <c r="C765" s="233" t="s">
        <v>585</v>
      </c>
      <c r="D765" s="234" t="s">
        <v>151</v>
      </c>
      <c r="E765" s="212">
        <v>41229</v>
      </c>
      <c r="F765" s="212">
        <v>5921</v>
      </c>
      <c r="G765" s="212" t="s">
        <v>1723</v>
      </c>
      <c r="H765" s="212" t="s">
        <v>1811</v>
      </c>
      <c r="I765" s="212" t="s">
        <v>1137</v>
      </c>
      <c r="J765" s="212" t="s">
        <v>225</v>
      </c>
      <c r="K765" s="227" t="s">
        <v>269</v>
      </c>
      <c r="L765" s="227" t="s">
        <v>1725</v>
      </c>
      <c r="M765" t="s">
        <v>1786</v>
      </c>
      <c r="N765" s="211">
        <v>-18.600000000000001</v>
      </c>
      <c r="O765" s="211">
        <v>-18.600000000000001</v>
      </c>
      <c r="P765" s="211">
        <v>6.6</v>
      </c>
      <c r="S765" s="211">
        <v>3.1</v>
      </c>
    </row>
    <row r="766" spans="1:19" ht="19">
      <c r="A766" s="212" t="s">
        <v>579</v>
      </c>
      <c r="B766" s="212" t="s">
        <v>580</v>
      </c>
      <c r="C766" s="233" t="s">
        <v>585</v>
      </c>
      <c r="D766" s="234" t="s">
        <v>151</v>
      </c>
      <c r="E766" s="236">
        <v>41229</v>
      </c>
      <c r="F766" s="236">
        <v>5922</v>
      </c>
      <c r="G766" s="236" t="s">
        <v>1723</v>
      </c>
      <c r="H766" s="212" t="s">
        <v>1811</v>
      </c>
      <c r="I766" s="212" t="s">
        <v>1137</v>
      </c>
      <c r="J766" s="212" t="s">
        <v>225</v>
      </c>
      <c r="K766" s="227" t="s">
        <v>269</v>
      </c>
      <c r="L766" s="227" t="s">
        <v>1725</v>
      </c>
      <c r="M766" t="s">
        <v>1786</v>
      </c>
      <c r="N766" s="214">
        <v>-18.100000000000001</v>
      </c>
      <c r="O766" s="214">
        <v>-18.100000000000001</v>
      </c>
      <c r="P766" s="211">
        <v>6.6</v>
      </c>
      <c r="S766" s="211">
        <v>3</v>
      </c>
    </row>
    <row r="767" spans="1:19" ht="19">
      <c r="A767" s="212" t="s">
        <v>579</v>
      </c>
      <c r="B767" s="212" t="s">
        <v>580</v>
      </c>
      <c r="C767" s="233" t="s">
        <v>585</v>
      </c>
      <c r="D767" s="234" t="s">
        <v>151</v>
      </c>
      <c r="E767" s="212">
        <v>41229</v>
      </c>
      <c r="F767" s="212">
        <v>6076</v>
      </c>
      <c r="G767" s="212" t="s">
        <v>1723</v>
      </c>
      <c r="H767" s="212" t="s">
        <v>1811</v>
      </c>
      <c r="I767" s="212" t="s">
        <v>1137</v>
      </c>
      <c r="J767" s="212" t="s">
        <v>225</v>
      </c>
      <c r="K767" s="227" t="s">
        <v>269</v>
      </c>
      <c r="L767" s="227" t="s">
        <v>1725</v>
      </c>
      <c r="M767" t="s">
        <v>205</v>
      </c>
      <c r="N767" s="211">
        <v>-18.86</v>
      </c>
      <c r="O767" s="211">
        <v>-18.899999999999999</v>
      </c>
      <c r="P767" s="211">
        <v>5.3</v>
      </c>
      <c r="S767" s="211">
        <v>2.8</v>
      </c>
    </row>
    <row r="768" spans="1:19" ht="19">
      <c r="A768" s="212" t="s">
        <v>579</v>
      </c>
      <c r="B768" s="212" t="s">
        <v>580</v>
      </c>
      <c r="C768" s="233" t="s">
        <v>585</v>
      </c>
      <c r="D768" s="234" t="s">
        <v>151</v>
      </c>
      <c r="E768" s="212">
        <v>41229</v>
      </c>
      <c r="F768" s="212">
        <v>6077</v>
      </c>
      <c r="G768" s="212" t="s">
        <v>1723</v>
      </c>
      <c r="H768" s="212" t="s">
        <v>1811</v>
      </c>
      <c r="I768" s="212" t="s">
        <v>1137</v>
      </c>
      <c r="J768" s="212" t="s">
        <v>104</v>
      </c>
      <c r="K768" s="227" t="s">
        <v>269</v>
      </c>
      <c r="L768" s="227" t="s">
        <v>1725</v>
      </c>
      <c r="M768" t="s">
        <v>1726</v>
      </c>
      <c r="N768" s="211">
        <v>-17.88</v>
      </c>
      <c r="O768" s="211">
        <v>-17.899999999999999</v>
      </c>
      <c r="P768" s="211">
        <v>3.8</v>
      </c>
      <c r="S768" s="211">
        <v>2.8</v>
      </c>
    </row>
    <row r="769" spans="1:19" ht="19">
      <c r="A769" s="212" t="s">
        <v>579</v>
      </c>
      <c r="B769" s="212" t="s">
        <v>580</v>
      </c>
      <c r="C769" s="233" t="s">
        <v>585</v>
      </c>
      <c r="D769" s="234" t="s">
        <v>151</v>
      </c>
      <c r="E769" s="212">
        <v>41229</v>
      </c>
      <c r="F769" s="212">
        <v>7405</v>
      </c>
      <c r="G769" s="212" t="s">
        <v>1723</v>
      </c>
      <c r="H769" s="212" t="s">
        <v>1811</v>
      </c>
      <c r="I769" s="212" t="s">
        <v>1137</v>
      </c>
      <c r="J769" s="212" t="s">
        <v>1728</v>
      </c>
      <c r="K769" s="227" t="s">
        <v>269</v>
      </c>
      <c r="L769" s="227" t="s">
        <v>1725</v>
      </c>
      <c r="M769" t="s">
        <v>1332</v>
      </c>
      <c r="N769" s="211">
        <v>-12.81</v>
      </c>
      <c r="O769" s="211">
        <v>-12.8</v>
      </c>
      <c r="P769" s="211">
        <v>4.4000000000000004</v>
      </c>
      <c r="S769" s="211">
        <v>2.8</v>
      </c>
    </row>
    <row r="770" spans="1:19" ht="19">
      <c r="A770" s="212" t="s">
        <v>579</v>
      </c>
      <c r="B770" s="212" t="s">
        <v>580</v>
      </c>
      <c r="C770" s="233" t="s">
        <v>585</v>
      </c>
      <c r="D770" s="234" t="s">
        <v>151</v>
      </c>
      <c r="E770" s="212">
        <v>41229</v>
      </c>
      <c r="F770" s="212">
        <v>7429</v>
      </c>
      <c r="G770" s="212" t="s">
        <v>1723</v>
      </c>
      <c r="H770" s="212" t="s">
        <v>1811</v>
      </c>
      <c r="I770" s="212" t="s">
        <v>1137</v>
      </c>
      <c r="J770" s="212" t="s">
        <v>225</v>
      </c>
      <c r="K770" s="227" t="s">
        <v>269</v>
      </c>
      <c r="L770" s="227" t="s">
        <v>1725</v>
      </c>
      <c r="M770" t="s">
        <v>1738</v>
      </c>
      <c r="N770" s="211">
        <v>-13</v>
      </c>
      <c r="O770" s="211">
        <v>-13</v>
      </c>
      <c r="P770" s="211">
        <v>6.6</v>
      </c>
      <c r="S770" s="211">
        <v>3</v>
      </c>
    </row>
    <row r="771" spans="1:19" ht="19">
      <c r="A771" s="212" t="s">
        <v>579</v>
      </c>
      <c r="B771" s="212" t="s">
        <v>580</v>
      </c>
      <c r="C771" s="233" t="s">
        <v>585</v>
      </c>
      <c r="D771" s="234" t="s">
        <v>151</v>
      </c>
      <c r="E771" s="236">
        <v>41229</v>
      </c>
      <c r="F771" s="236">
        <v>7436</v>
      </c>
      <c r="G771" s="236" t="s">
        <v>1723</v>
      </c>
      <c r="H771" s="212" t="s">
        <v>1811</v>
      </c>
      <c r="I771" s="212" t="s">
        <v>1137</v>
      </c>
      <c r="J771" s="212" t="s">
        <v>225</v>
      </c>
      <c r="K771" s="227" t="s">
        <v>269</v>
      </c>
      <c r="L771" s="227" t="s">
        <v>1725</v>
      </c>
      <c r="M771" t="s">
        <v>1871</v>
      </c>
      <c r="N771" s="214">
        <v>-13.1</v>
      </c>
      <c r="O771" s="214">
        <v>-13.1</v>
      </c>
      <c r="P771" s="211">
        <v>5</v>
      </c>
      <c r="S771" s="211">
        <v>2.8</v>
      </c>
    </row>
    <row r="772" spans="1:19" ht="19">
      <c r="A772" s="212" t="s">
        <v>579</v>
      </c>
      <c r="B772" s="212" t="s">
        <v>580</v>
      </c>
      <c r="C772" s="233" t="s">
        <v>585</v>
      </c>
      <c r="D772" s="234" t="s">
        <v>151</v>
      </c>
      <c r="E772" s="212">
        <v>41229</v>
      </c>
      <c r="F772" s="212">
        <v>7437</v>
      </c>
      <c r="G772" s="212" t="s">
        <v>1723</v>
      </c>
      <c r="H772" s="212" t="s">
        <v>1811</v>
      </c>
      <c r="I772" s="212" t="s">
        <v>1137</v>
      </c>
      <c r="J772" s="212" t="s">
        <v>225</v>
      </c>
      <c r="K772" s="227" t="s">
        <v>269</v>
      </c>
      <c r="L772" s="227" t="s">
        <v>1725</v>
      </c>
      <c r="M772" t="s">
        <v>1871</v>
      </c>
      <c r="N772" s="211">
        <v>-15.5</v>
      </c>
      <c r="O772" s="211">
        <v>-15.5</v>
      </c>
      <c r="P772" s="211">
        <v>5</v>
      </c>
      <c r="S772" s="211">
        <v>2.9</v>
      </c>
    </row>
    <row r="773" spans="1:19" ht="19">
      <c r="A773" s="212" t="s">
        <v>579</v>
      </c>
      <c r="B773" s="212" t="s">
        <v>580</v>
      </c>
      <c r="C773" s="233" t="s">
        <v>585</v>
      </c>
      <c r="D773" s="234" t="s">
        <v>151</v>
      </c>
      <c r="E773" s="212">
        <v>41229</v>
      </c>
      <c r="F773" s="212">
        <v>7438</v>
      </c>
      <c r="G773" s="212" t="s">
        <v>1723</v>
      </c>
      <c r="H773" s="212" t="s">
        <v>1811</v>
      </c>
      <c r="I773" s="212" t="s">
        <v>1137</v>
      </c>
      <c r="J773" s="212" t="s">
        <v>225</v>
      </c>
      <c r="K773" s="227" t="s">
        <v>269</v>
      </c>
      <c r="L773" s="227" t="s">
        <v>1725</v>
      </c>
      <c r="M773" t="s">
        <v>1871</v>
      </c>
      <c r="N773" s="211">
        <v>-19.2</v>
      </c>
      <c r="O773" s="211">
        <v>-19.2</v>
      </c>
      <c r="P773" s="211">
        <v>5.4</v>
      </c>
      <c r="S773" s="211">
        <v>2.9</v>
      </c>
    </row>
    <row r="774" spans="1:19" ht="19">
      <c r="A774" s="212" t="s">
        <v>579</v>
      </c>
      <c r="B774" s="212" t="s">
        <v>580</v>
      </c>
      <c r="C774" s="233" t="s">
        <v>585</v>
      </c>
      <c r="D774" s="234" t="s">
        <v>151</v>
      </c>
      <c r="E774" s="212">
        <v>41229</v>
      </c>
      <c r="F774" s="212">
        <v>7439</v>
      </c>
      <c r="G774" s="212" t="s">
        <v>1723</v>
      </c>
      <c r="H774" s="212" t="s">
        <v>1811</v>
      </c>
      <c r="I774" s="212" t="s">
        <v>1137</v>
      </c>
      <c r="J774" s="212" t="s">
        <v>225</v>
      </c>
      <c r="K774" s="227" t="s">
        <v>269</v>
      </c>
      <c r="L774" s="227" t="s">
        <v>1725</v>
      </c>
      <c r="M774" t="s">
        <v>1738</v>
      </c>
      <c r="N774" s="211">
        <v>-13.6</v>
      </c>
      <c r="O774" s="211">
        <v>-13.6</v>
      </c>
      <c r="P774" s="211">
        <v>4.9000000000000004</v>
      </c>
      <c r="S774" s="211">
        <v>2.9</v>
      </c>
    </row>
    <row r="775" spans="1:19" ht="19">
      <c r="A775" s="212" t="s">
        <v>579</v>
      </c>
      <c r="B775" s="212" t="s">
        <v>580</v>
      </c>
      <c r="C775" s="233" t="s">
        <v>585</v>
      </c>
      <c r="D775" s="234" t="s">
        <v>151</v>
      </c>
      <c r="E775" s="212">
        <v>41229</v>
      </c>
      <c r="F775" s="212">
        <v>7442</v>
      </c>
      <c r="G775" s="212" t="s">
        <v>1723</v>
      </c>
      <c r="H775" s="212" t="s">
        <v>1811</v>
      </c>
      <c r="I775" s="212" t="s">
        <v>1137</v>
      </c>
      <c r="J775" s="212" t="s">
        <v>225</v>
      </c>
      <c r="K775" s="227" t="s">
        <v>269</v>
      </c>
      <c r="L775" s="227" t="s">
        <v>1725</v>
      </c>
      <c r="M775" t="s">
        <v>1738</v>
      </c>
      <c r="N775" s="211">
        <v>-17.600000000000001</v>
      </c>
      <c r="O775" s="211">
        <v>-17.600000000000001</v>
      </c>
      <c r="P775" s="211">
        <v>5.2</v>
      </c>
      <c r="S775" s="211">
        <v>2.9</v>
      </c>
    </row>
    <row r="776" spans="1:19" ht="19">
      <c r="A776" s="212" t="s">
        <v>579</v>
      </c>
      <c r="B776" s="212" t="s">
        <v>580</v>
      </c>
      <c r="C776" s="233" t="s">
        <v>585</v>
      </c>
      <c r="D776" s="234" t="s">
        <v>151</v>
      </c>
      <c r="E776" s="212">
        <v>41229</v>
      </c>
      <c r="F776" s="212">
        <v>7936</v>
      </c>
      <c r="G776" s="212" t="s">
        <v>1723</v>
      </c>
      <c r="H776" s="212" t="s">
        <v>1811</v>
      </c>
      <c r="I776" s="212" t="s">
        <v>1137</v>
      </c>
      <c r="J776" s="212" t="s">
        <v>225</v>
      </c>
      <c r="K776" s="227" t="s">
        <v>269</v>
      </c>
      <c r="L776" s="227" t="s">
        <v>1725</v>
      </c>
      <c r="M776" t="s">
        <v>1750</v>
      </c>
      <c r="N776" s="211">
        <v>-17.399999999999999</v>
      </c>
      <c r="O776" s="211">
        <v>-17.399999999999999</v>
      </c>
      <c r="P776" s="211">
        <v>4.8</v>
      </c>
      <c r="S776" s="211">
        <v>2.8</v>
      </c>
    </row>
    <row r="777" spans="1:19" ht="19">
      <c r="A777" s="212" t="s">
        <v>579</v>
      </c>
      <c r="B777" s="212" t="s">
        <v>580</v>
      </c>
      <c r="C777" s="233" t="s">
        <v>585</v>
      </c>
      <c r="D777" s="234" t="s">
        <v>151</v>
      </c>
      <c r="E777" s="212">
        <v>41229</v>
      </c>
      <c r="F777" s="212">
        <v>8009</v>
      </c>
      <c r="G777" s="212" t="s">
        <v>1723</v>
      </c>
      <c r="H777" s="212" t="s">
        <v>1811</v>
      </c>
      <c r="I777" s="212" t="s">
        <v>1137</v>
      </c>
      <c r="J777" s="212" t="s">
        <v>104</v>
      </c>
      <c r="K777" s="227" t="s">
        <v>269</v>
      </c>
      <c r="L777" s="227" t="s">
        <v>1725</v>
      </c>
      <c r="M777" t="s">
        <v>1758</v>
      </c>
      <c r="N777" s="211">
        <v>-16.899999999999999</v>
      </c>
      <c r="O777" s="211">
        <v>-16.899999999999999</v>
      </c>
      <c r="P777" s="211">
        <v>5.6</v>
      </c>
      <c r="S777" s="211">
        <v>2.8</v>
      </c>
    </row>
    <row r="778" spans="1:19" ht="19">
      <c r="A778" s="212" t="s">
        <v>579</v>
      </c>
      <c r="B778" s="212" t="s">
        <v>580</v>
      </c>
      <c r="C778" s="233" t="s">
        <v>585</v>
      </c>
      <c r="D778" s="234" t="s">
        <v>151</v>
      </c>
      <c r="E778" s="212">
        <v>41229</v>
      </c>
      <c r="F778" s="212">
        <v>8209</v>
      </c>
      <c r="G778" s="212" t="s">
        <v>1723</v>
      </c>
      <c r="H778" s="212" t="s">
        <v>1811</v>
      </c>
      <c r="I778" s="212" t="s">
        <v>1137</v>
      </c>
      <c r="J778" s="212" t="s">
        <v>1728</v>
      </c>
      <c r="K778" s="227" t="s">
        <v>269</v>
      </c>
      <c r="L778" s="227" t="s">
        <v>1725</v>
      </c>
      <c r="M778" t="s">
        <v>1726</v>
      </c>
      <c r="N778" s="211">
        <v>-19.3</v>
      </c>
      <c r="O778" s="211">
        <v>-19.3</v>
      </c>
      <c r="P778" s="211">
        <v>6.4</v>
      </c>
      <c r="S778" s="211">
        <v>2.9</v>
      </c>
    </row>
    <row r="779" spans="1:19" ht="19">
      <c r="A779" s="212" t="s">
        <v>579</v>
      </c>
      <c r="B779" s="212" t="s">
        <v>580</v>
      </c>
      <c r="C779" s="233" t="s">
        <v>585</v>
      </c>
      <c r="D779" s="234" t="s">
        <v>151</v>
      </c>
      <c r="E779" s="212">
        <v>41229</v>
      </c>
      <c r="F779" s="212">
        <v>8271</v>
      </c>
      <c r="G779" s="212" t="s">
        <v>1723</v>
      </c>
      <c r="H779" s="212" t="s">
        <v>1811</v>
      </c>
      <c r="I779" s="212" t="s">
        <v>1137</v>
      </c>
      <c r="J779" s="212" t="s">
        <v>104</v>
      </c>
      <c r="K779" s="227" t="s">
        <v>269</v>
      </c>
      <c r="L779" s="227" t="s">
        <v>1725</v>
      </c>
      <c r="M779" t="s">
        <v>1805</v>
      </c>
      <c r="N779" s="211">
        <v>-20</v>
      </c>
      <c r="O779" s="211">
        <v>-20</v>
      </c>
      <c r="P779" s="211">
        <v>5.3</v>
      </c>
      <c r="S779" s="211">
        <v>2.8</v>
      </c>
    </row>
    <row r="780" spans="1:19" ht="19">
      <c r="A780" s="212" t="s">
        <v>579</v>
      </c>
      <c r="B780" s="212" t="s">
        <v>580</v>
      </c>
      <c r="C780" s="233" t="s">
        <v>585</v>
      </c>
      <c r="D780" s="234" t="s">
        <v>151</v>
      </c>
      <c r="E780" s="212">
        <v>41229</v>
      </c>
      <c r="F780" s="212">
        <v>9006</v>
      </c>
      <c r="G780" s="212" t="s">
        <v>1723</v>
      </c>
      <c r="H780" s="212" t="s">
        <v>1811</v>
      </c>
      <c r="I780" s="212" t="s">
        <v>1137</v>
      </c>
      <c r="J780" s="212" t="s">
        <v>1728</v>
      </c>
      <c r="K780" s="227" t="s">
        <v>269</v>
      </c>
      <c r="L780" s="227" t="s">
        <v>1725</v>
      </c>
      <c r="M780" t="s">
        <v>1869</v>
      </c>
      <c r="N780" s="211">
        <v>-15.41</v>
      </c>
      <c r="O780" s="211">
        <v>-15.4</v>
      </c>
      <c r="P780" s="211">
        <v>3.5</v>
      </c>
      <c r="S780" s="211">
        <v>2.8</v>
      </c>
    </row>
    <row r="781" spans="1:19" ht="19">
      <c r="A781" s="212" t="s">
        <v>579</v>
      </c>
      <c r="B781" s="212" t="s">
        <v>580</v>
      </c>
      <c r="C781" s="233" t="s">
        <v>585</v>
      </c>
      <c r="D781" s="234" t="s">
        <v>151</v>
      </c>
      <c r="E781" s="236">
        <v>41229</v>
      </c>
      <c r="F781" s="236">
        <v>9027</v>
      </c>
      <c r="G781" s="236" t="s">
        <v>1723</v>
      </c>
      <c r="H781" s="212" t="s">
        <v>1811</v>
      </c>
      <c r="I781" s="212" t="s">
        <v>1137</v>
      </c>
      <c r="J781" s="212" t="s">
        <v>1744</v>
      </c>
      <c r="K781" s="227" t="s">
        <v>269</v>
      </c>
      <c r="L781" s="227" t="s">
        <v>1725</v>
      </c>
      <c r="M781" t="s">
        <v>1332</v>
      </c>
      <c r="N781" s="214">
        <v>-18.350000000000001</v>
      </c>
      <c r="O781" s="214">
        <v>-18.3</v>
      </c>
      <c r="P781" s="211">
        <v>4.5</v>
      </c>
      <c r="S781" s="211">
        <v>2.9</v>
      </c>
    </row>
    <row r="782" spans="1:19" ht="19">
      <c r="A782" s="212" t="s">
        <v>579</v>
      </c>
      <c r="B782" s="212" t="s">
        <v>580</v>
      </c>
      <c r="C782" s="233" t="s">
        <v>585</v>
      </c>
      <c r="D782" s="234" t="s">
        <v>151</v>
      </c>
      <c r="E782" s="212">
        <v>41229</v>
      </c>
      <c r="F782" s="212">
        <v>9509</v>
      </c>
      <c r="G782" s="212" t="s">
        <v>1723</v>
      </c>
      <c r="H782" s="212" t="s">
        <v>1811</v>
      </c>
      <c r="I782" s="212" t="s">
        <v>1137</v>
      </c>
      <c r="J782" s="212" t="s">
        <v>225</v>
      </c>
      <c r="K782" s="227" t="s">
        <v>269</v>
      </c>
      <c r="L782" s="227" t="s">
        <v>1725</v>
      </c>
      <c r="M782" t="s">
        <v>1738</v>
      </c>
      <c r="N782" s="211">
        <v>-21.6</v>
      </c>
      <c r="O782" s="211">
        <v>-21.6</v>
      </c>
      <c r="P782" s="211">
        <v>4.0999999999999996</v>
      </c>
      <c r="S782" s="211">
        <v>2.9</v>
      </c>
    </row>
    <row r="783" spans="1:19" ht="19">
      <c r="A783" s="212" t="s">
        <v>579</v>
      </c>
      <c r="B783" s="212" t="s">
        <v>580</v>
      </c>
      <c r="C783" s="233" t="s">
        <v>585</v>
      </c>
      <c r="D783" s="234" t="s">
        <v>151</v>
      </c>
      <c r="E783" s="212">
        <v>41229</v>
      </c>
      <c r="F783" s="212">
        <v>9510</v>
      </c>
      <c r="G783" s="212" t="s">
        <v>1723</v>
      </c>
      <c r="H783" s="212" t="s">
        <v>1811</v>
      </c>
      <c r="I783" s="212" t="s">
        <v>1137</v>
      </c>
      <c r="J783" s="212" t="s">
        <v>225</v>
      </c>
      <c r="K783" s="227" t="s">
        <v>269</v>
      </c>
      <c r="L783" s="227" t="s">
        <v>1725</v>
      </c>
      <c r="M783" t="s">
        <v>1738</v>
      </c>
      <c r="N783" s="211">
        <v>-19.2</v>
      </c>
      <c r="O783" s="211">
        <v>-19.2</v>
      </c>
      <c r="P783" s="211">
        <v>5.8</v>
      </c>
      <c r="S783" s="211">
        <v>2.8</v>
      </c>
    </row>
    <row r="784" spans="1:19" ht="19">
      <c r="A784" s="212" t="s">
        <v>579</v>
      </c>
      <c r="B784" s="212" t="s">
        <v>580</v>
      </c>
      <c r="C784" s="233" t="s">
        <v>585</v>
      </c>
      <c r="D784" s="234" t="s">
        <v>151</v>
      </c>
      <c r="E784" s="212">
        <v>41229</v>
      </c>
      <c r="F784" s="212">
        <v>9806</v>
      </c>
      <c r="G784" s="212" t="s">
        <v>1723</v>
      </c>
      <c r="H784" s="212" t="s">
        <v>1811</v>
      </c>
      <c r="I784" s="212" t="s">
        <v>1137</v>
      </c>
      <c r="J784" s="212" t="s">
        <v>225</v>
      </c>
      <c r="K784" s="227" t="s">
        <v>269</v>
      </c>
      <c r="L784" s="227" t="s">
        <v>1725</v>
      </c>
      <c r="M784" t="s">
        <v>1786</v>
      </c>
      <c r="N784" s="211">
        <v>-17</v>
      </c>
      <c r="O784" s="211">
        <v>-17</v>
      </c>
      <c r="P784" s="211">
        <v>4.5999999999999996</v>
      </c>
      <c r="S784" s="211">
        <v>2.8</v>
      </c>
    </row>
    <row r="785" spans="1:19" ht="19">
      <c r="A785" s="212" t="s">
        <v>579</v>
      </c>
      <c r="B785" s="212" t="s">
        <v>580</v>
      </c>
      <c r="C785" s="233" t="s">
        <v>585</v>
      </c>
      <c r="D785" s="234" t="s">
        <v>151</v>
      </c>
      <c r="E785" s="212">
        <v>41229</v>
      </c>
      <c r="F785" s="212">
        <v>9825</v>
      </c>
      <c r="G785" s="212" t="s">
        <v>1723</v>
      </c>
      <c r="H785" s="212" t="s">
        <v>1811</v>
      </c>
      <c r="I785" s="212" t="s">
        <v>1137</v>
      </c>
      <c r="J785" s="212" t="s">
        <v>104</v>
      </c>
      <c r="K785" s="227" t="s">
        <v>269</v>
      </c>
      <c r="L785" s="227" t="s">
        <v>1725</v>
      </c>
      <c r="M785" t="s">
        <v>1332</v>
      </c>
      <c r="N785" s="211">
        <v>-14.5</v>
      </c>
      <c r="O785" s="211">
        <v>-14.5</v>
      </c>
      <c r="P785" s="211">
        <v>8.6999999999999993</v>
      </c>
      <c r="S785" s="211">
        <v>2.7</v>
      </c>
    </row>
    <row r="786" spans="1:19" ht="19">
      <c r="A786" s="212" t="s">
        <v>579</v>
      </c>
      <c r="B786" s="212" t="s">
        <v>580</v>
      </c>
      <c r="C786" s="233" t="s">
        <v>585</v>
      </c>
      <c r="D786" s="234" t="s">
        <v>151</v>
      </c>
      <c r="E786" s="212">
        <v>41229</v>
      </c>
      <c r="F786" s="212">
        <v>9988</v>
      </c>
      <c r="G786" s="212" t="s">
        <v>1723</v>
      </c>
      <c r="H786" s="212" t="s">
        <v>1811</v>
      </c>
      <c r="I786" s="212" t="s">
        <v>1137</v>
      </c>
      <c r="J786" s="212" t="s">
        <v>225</v>
      </c>
      <c r="K786" s="227" t="s">
        <v>269</v>
      </c>
      <c r="L786" s="227" t="s">
        <v>1725</v>
      </c>
      <c r="M786" t="s">
        <v>1784</v>
      </c>
      <c r="N786" s="211">
        <v>-16.7</v>
      </c>
      <c r="O786" s="211">
        <v>-16.7</v>
      </c>
      <c r="P786" s="211">
        <v>4.0999999999999996</v>
      </c>
      <c r="S786" s="211">
        <v>2.9</v>
      </c>
    </row>
    <row r="787" spans="1:19" ht="19">
      <c r="A787" s="212" t="s">
        <v>579</v>
      </c>
      <c r="B787" s="212" t="s">
        <v>580</v>
      </c>
      <c r="C787" s="233" t="s">
        <v>585</v>
      </c>
      <c r="D787" s="234" t="s">
        <v>151</v>
      </c>
      <c r="E787" s="212">
        <v>41229</v>
      </c>
      <c r="F787" s="212">
        <v>9989</v>
      </c>
      <c r="G787" s="212" t="s">
        <v>1723</v>
      </c>
      <c r="H787" s="212" t="s">
        <v>1811</v>
      </c>
      <c r="I787" s="212" t="s">
        <v>1137</v>
      </c>
      <c r="J787" s="212" t="s">
        <v>225</v>
      </c>
      <c r="K787" s="227" t="s">
        <v>269</v>
      </c>
      <c r="L787" s="227" t="s">
        <v>1725</v>
      </c>
      <c r="M787" t="s">
        <v>1761</v>
      </c>
      <c r="N787" s="211">
        <v>-18.899999999999999</v>
      </c>
      <c r="O787" s="211">
        <v>-18.899999999999999</v>
      </c>
      <c r="P787" s="211">
        <v>4.5999999999999996</v>
      </c>
      <c r="S787" s="211">
        <v>2.8</v>
      </c>
    </row>
    <row r="788" spans="1:19" ht="19">
      <c r="A788" s="212" t="s">
        <v>579</v>
      </c>
      <c r="B788" s="212" t="s">
        <v>580</v>
      </c>
      <c r="C788" s="233" t="s">
        <v>585</v>
      </c>
      <c r="D788" s="234" t="s">
        <v>151</v>
      </c>
      <c r="E788" s="212">
        <v>41229</v>
      </c>
      <c r="F788" s="212">
        <v>10166</v>
      </c>
      <c r="G788" s="212" t="s">
        <v>1723</v>
      </c>
      <c r="H788" s="212" t="s">
        <v>1811</v>
      </c>
      <c r="I788" s="212" t="s">
        <v>1137</v>
      </c>
      <c r="J788" s="212" t="s">
        <v>104</v>
      </c>
      <c r="K788" s="227" t="s">
        <v>269</v>
      </c>
      <c r="L788" s="227" t="s">
        <v>1725</v>
      </c>
      <c r="M788" t="s">
        <v>1726</v>
      </c>
      <c r="N788" s="211">
        <v>-18.829999999999998</v>
      </c>
      <c r="O788" s="211">
        <v>-18.8</v>
      </c>
      <c r="P788" s="211">
        <v>3.1</v>
      </c>
      <c r="S788" s="211">
        <v>2.8</v>
      </c>
    </row>
    <row r="789" spans="1:19" ht="19">
      <c r="A789" s="212" t="s">
        <v>579</v>
      </c>
      <c r="B789" s="212" t="s">
        <v>580</v>
      </c>
      <c r="C789" s="233" t="s">
        <v>585</v>
      </c>
      <c r="D789" s="234" t="s">
        <v>151</v>
      </c>
      <c r="E789" s="212">
        <v>41229</v>
      </c>
      <c r="F789" s="212">
        <v>10167</v>
      </c>
      <c r="G789" s="212" t="s">
        <v>1723</v>
      </c>
      <c r="H789" s="212" t="s">
        <v>1811</v>
      </c>
      <c r="I789" s="212" t="s">
        <v>1137</v>
      </c>
      <c r="J789" s="212" t="s">
        <v>104</v>
      </c>
      <c r="K789" s="227" t="s">
        <v>269</v>
      </c>
      <c r="L789" s="227" t="s">
        <v>1725</v>
      </c>
      <c r="M789" s="203" t="s">
        <v>1737</v>
      </c>
      <c r="N789" s="211">
        <v>-14.01</v>
      </c>
      <c r="O789" s="211">
        <v>-14</v>
      </c>
      <c r="P789" s="211">
        <v>6.9</v>
      </c>
      <c r="S789" s="211">
        <v>2.8</v>
      </c>
    </row>
    <row r="790" spans="1:19" ht="19">
      <c r="A790" s="212" t="s">
        <v>579</v>
      </c>
      <c r="B790" s="212" t="s">
        <v>580</v>
      </c>
      <c r="C790" s="233" t="s">
        <v>585</v>
      </c>
      <c r="D790" s="234" t="s">
        <v>151</v>
      </c>
      <c r="E790" s="212">
        <v>41229</v>
      </c>
      <c r="F790" s="212">
        <v>10265</v>
      </c>
      <c r="G790" s="212" t="s">
        <v>1723</v>
      </c>
      <c r="H790" s="212" t="s">
        <v>1811</v>
      </c>
      <c r="I790" s="212" t="s">
        <v>1137</v>
      </c>
      <c r="J790" s="212" t="s">
        <v>104</v>
      </c>
      <c r="K790" s="227" t="s">
        <v>269</v>
      </c>
      <c r="L790" s="227" t="s">
        <v>1725</v>
      </c>
      <c r="M790" s="203" t="s">
        <v>1755</v>
      </c>
      <c r="N790" s="211">
        <v>-18.2</v>
      </c>
      <c r="O790" s="211">
        <v>-18.2</v>
      </c>
      <c r="P790" s="211">
        <v>8.6</v>
      </c>
      <c r="S790" s="211">
        <v>2.9</v>
      </c>
    </row>
    <row r="791" spans="1:19" ht="19">
      <c r="A791" s="212" t="s">
        <v>579</v>
      </c>
      <c r="B791" s="212" t="s">
        <v>580</v>
      </c>
      <c r="C791" s="233" t="s">
        <v>585</v>
      </c>
      <c r="D791" s="234" t="s">
        <v>151</v>
      </c>
      <c r="E791" s="236">
        <v>41229</v>
      </c>
      <c r="F791" s="236">
        <v>10268</v>
      </c>
      <c r="G791" s="236" t="s">
        <v>1723</v>
      </c>
      <c r="H791" s="212" t="s">
        <v>1811</v>
      </c>
      <c r="I791" s="212" t="s">
        <v>1137</v>
      </c>
      <c r="J791" s="212" t="s">
        <v>104</v>
      </c>
      <c r="K791" s="227" t="s">
        <v>269</v>
      </c>
      <c r="L791" s="227" t="s">
        <v>1725</v>
      </c>
      <c r="M791" t="s">
        <v>1733</v>
      </c>
      <c r="N791" s="214">
        <v>-17.71</v>
      </c>
      <c r="O791" s="214">
        <v>-17.7</v>
      </c>
      <c r="P791" s="211">
        <v>5.3</v>
      </c>
      <c r="S791" s="211">
        <v>2.8</v>
      </c>
    </row>
    <row r="792" spans="1:19" ht="19">
      <c r="A792" s="212" t="s">
        <v>579</v>
      </c>
      <c r="B792" s="212" t="s">
        <v>580</v>
      </c>
      <c r="C792" s="233" t="s">
        <v>585</v>
      </c>
      <c r="D792" s="234" t="s">
        <v>151</v>
      </c>
      <c r="E792" s="212">
        <v>41229</v>
      </c>
      <c r="F792" s="212">
        <v>10284</v>
      </c>
      <c r="G792" s="212" t="s">
        <v>1723</v>
      </c>
      <c r="H792" s="212" t="s">
        <v>1811</v>
      </c>
      <c r="I792" s="212" t="s">
        <v>1137</v>
      </c>
      <c r="J792" s="212" t="s">
        <v>104</v>
      </c>
      <c r="K792" s="227" t="s">
        <v>269</v>
      </c>
      <c r="L792" s="227" t="s">
        <v>1725</v>
      </c>
      <c r="M792" t="s">
        <v>1803</v>
      </c>
      <c r="N792" s="211">
        <v>-20.21</v>
      </c>
      <c r="O792" s="211">
        <v>-20.2</v>
      </c>
      <c r="P792" s="211">
        <v>4.5</v>
      </c>
      <c r="S792" s="211">
        <v>2.8</v>
      </c>
    </row>
    <row r="793" spans="1:19" ht="19">
      <c r="A793" s="212" t="s">
        <v>579</v>
      </c>
      <c r="B793" s="212" t="s">
        <v>580</v>
      </c>
      <c r="C793" s="233" t="s">
        <v>585</v>
      </c>
      <c r="D793" s="234" t="s">
        <v>151</v>
      </c>
      <c r="E793" s="212">
        <v>41229</v>
      </c>
      <c r="F793" s="212">
        <v>10351</v>
      </c>
      <c r="G793" s="212" t="s">
        <v>1723</v>
      </c>
      <c r="H793" s="212" t="s">
        <v>1811</v>
      </c>
      <c r="I793" s="212" t="s">
        <v>1137</v>
      </c>
      <c r="J793" s="212" t="s">
        <v>225</v>
      </c>
      <c r="K793" s="227" t="s">
        <v>269</v>
      </c>
      <c r="L793" s="227" t="s">
        <v>1725</v>
      </c>
      <c r="M793" t="s">
        <v>1738</v>
      </c>
      <c r="N793" s="211">
        <v>-15.8</v>
      </c>
      <c r="O793" s="211">
        <v>-15.8</v>
      </c>
      <c r="P793" s="211">
        <v>6</v>
      </c>
      <c r="S793" s="211">
        <v>2.9</v>
      </c>
    </row>
    <row r="794" spans="1:19" ht="19">
      <c r="A794" s="212" t="s">
        <v>579</v>
      </c>
      <c r="B794" s="212" t="s">
        <v>580</v>
      </c>
      <c r="C794" s="233" t="s">
        <v>585</v>
      </c>
      <c r="D794" s="234" t="s">
        <v>151</v>
      </c>
      <c r="E794" s="212">
        <v>41229</v>
      </c>
      <c r="F794" s="212">
        <v>10903</v>
      </c>
      <c r="G794" s="212" t="s">
        <v>1723</v>
      </c>
      <c r="H794" s="212" t="s">
        <v>1811</v>
      </c>
      <c r="I794" s="212" t="s">
        <v>1137</v>
      </c>
      <c r="J794" s="212" t="s">
        <v>1744</v>
      </c>
      <c r="K794" s="227" t="s">
        <v>269</v>
      </c>
      <c r="L794" s="227" t="s">
        <v>1725</v>
      </c>
      <c r="M794" t="s">
        <v>1118</v>
      </c>
      <c r="N794" s="211">
        <v>-19.989999999999998</v>
      </c>
      <c r="O794" s="211">
        <v>-20</v>
      </c>
      <c r="P794" s="211">
        <v>4.5999999999999996</v>
      </c>
      <c r="S794" s="211">
        <v>2.8</v>
      </c>
    </row>
    <row r="795" spans="1:19" ht="19">
      <c r="A795" s="212" t="s">
        <v>579</v>
      </c>
      <c r="B795" s="212" t="s">
        <v>580</v>
      </c>
      <c r="C795" s="233" t="s">
        <v>585</v>
      </c>
      <c r="D795" s="234" t="s">
        <v>151</v>
      </c>
      <c r="E795" s="212">
        <v>41229</v>
      </c>
      <c r="F795" s="212">
        <v>10914</v>
      </c>
      <c r="G795" s="212" t="s">
        <v>1723</v>
      </c>
      <c r="H795" s="212" t="s">
        <v>1811</v>
      </c>
      <c r="I795" s="212" t="s">
        <v>1137</v>
      </c>
      <c r="J795" s="212" t="s">
        <v>1744</v>
      </c>
      <c r="K795" s="227" t="s">
        <v>269</v>
      </c>
      <c r="L795" s="227" t="s">
        <v>1725</v>
      </c>
      <c r="M795" t="s">
        <v>1755</v>
      </c>
      <c r="N795" s="211">
        <v>-15.08</v>
      </c>
      <c r="O795" s="211">
        <v>-15.1</v>
      </c>
      <c r="P795" s="211">
        <v>6.4</v>
      </c>
      <c r="S795" s="211">
        <v>2.8</v>
      </c>
    </row>
    <row r="796" spans="1:19" ht="19">
      <c r="A796" s="212" t="s">
        <v>579</v>
      </c>
      <c r="B796" s="212" t="s">
        <v>580</v>
      </c>
      <c r="C796" s="233" t="s">
        <v>585</v>
      </c>
      <c r="D796" s="234" t="s">
        <v>151</v>
      </c>
      <c r="E796" s="212">
        <v>41229</v>
      </c>
      <c r="F796" s="212">
        <v>10924</v>
      </c>
      <c r="G796" s="212" t="s">
        <v>1723</v>
      </c>
      <c r="H796" s="212" t="s">
        <v>1811</v>
      </c>
      <c r="I796" s="212" t="s">
        <v>1137</v>
      </c>
      <c r="J796" s="212" t="s">
        <v>1744</v>
      </c>
      <c r="K796" s="227" t="s">
        <v>269</v>
      </c>
      <c r="L796" s="227" t="s">
        <v>1725</v>
      </c>
      <c r="M796" t="s">
        <v>1726</v>
      </c>
      <c r="N796" s="211">
        <v>-17.48</v>
      </c>
      <c r="O796" s="211">
        <v>-17.5</v>
      </c>
      <c r="P796" s="211">
        <v>3.9</v>
      </c>
      <c r="S796" s="211">
        <v>2.8</v>
      </c>
    </row>
    <row r="797" spans="1:19" ht="19">
      <c r="A797" s="212" t="s">
        <v>579</v>
      </c>
      <c r="B797" s="212" t="s">
        <v>580</v>
      </c>
      <c r="C797" s="233" t="s">
        <v>585</v>
      </c>
      <c r="D797" s="234" t="s">
        <v>151</v>
      </c>
      <c r="E797" s="212">
        <v>41229</v>
      </c>
      <c r="F797" s="212">
        <v>10925</v>
      </c>
      <c r="G797" s="212" t="s">
        <v>1723</v>
      </c>
      <c r="H797" s="212" t="s">
        <v>1811</v>
      </c>
      <c r="I797" s="212" t="s">
        <v>1137</v>
      </c>
      <c r="J797" s="212" t="s">
        <v>1744</v>
      </c>
      <c r="K797" s="227" t="s">
        <v>269</v>
      </c>
      <c r="L797" s="227" t="s">
        <v>1725</v>
      </c>
      <c r="M797" t="s">
        <v>1726</v>
      </c>
      <c r="N797" s="211">
        <v>-21.33</v>
      </c>
      <c r="O797" s="211">
        <v>-21.3</v>
      </c>
      <c r="P797" s="211">
        <v>3.4</v>
      </c>
      <c r="S797" s="211">
        <v>2.8</v>
      </c>
    </row>
    <row r="798" spans="1:19" ht="19">
      <c r="A798" s="212" t="s">
        <v>579</v>
      </c>
      <c r="B798" s="212" t="s">
        <v>580</v>
      </c>
      <c r="C798" s="233" t="s">
        <v>585</v>
      </c>
      <c r="D798" s="234" t="s">
        <v>151</v>
      </c>
      <c r="E798" s="236">
        <v>41229</v>
      </c>
      <c r="F798" s="236">
        <v>10926</v>
      </c>
      <c r="G798" s="236" t="s">
        <v>1723</v>
      </c>
      <c r="H798" s="212" t="s">
        <v>1811</v>
      </c>
      <c r="I798" s="212" t="s">
        <v>1137</v>
      </c>
      <c r="J798" s="212" t="s">
        <v>1744</v>
      </c>
      <c r="K798" s="227" t="s">
        <v>269</v>
      </c>
      <c r="L798" s="227" t="s">
        <v>1725</v>
      </c>
      <c r="M798" t="s">
        <v>1757</v>
      </c>
      <c r="N798" s="214">
        <v>-16.37</v>
      </c>
      <c r="O798" s="214">
        <v>-16.399999999999999</v>
      </c>
      <c r="P798" s="211">
        <v>5.0999999999999996</v>
      </c>
      <c r="S798" s="211">
        <v>2.8</v>
      </c>
    </row>
    <row r="799" spans="1:19" ht="19">
      <c r="A799" s="212" t="s">
        <v>579</v>
      </c>
      <c r="B799" s="212" t="s">
        <v>580</v>
      </c>
      <c r="C799" s="233" t="s">
        <v>585</v>
      </c>
      <c r="D799" s="234" t="s">
        <v>151</v>
      </c>
      <c r="E799" s="212">
        <v>41229</v>
      </c>
      <c r="F799" s="212">
        <v>10927</v>
      </c>
      <c r="G799" s="212" t="s">
        <v>1723</v>
      </c>
      <c r="H799" s="212" t="s">
        <v>1811</v>
      </c>
      <c r="I799" s="212" t="s">
        <v>1137</v>
      </c>
      <c r="J799" s="212" t="s">
        <v>1744</v>
      </c>
      <c r="K799" s="227" t="s">
        <v>269</v>
      </c>
      <c r="L799" s="227" t="s">
        <v>1725</v>
      </c>
      <c r="M799" t="s">
        <v>1756</v>
      </c>
      <c r="N799" s="211">
        <v>-17.239999999999998</v>
      </c>
      <c r="O799" s="211">
        <v>-17.2</v>
      </c>
      <c r="P799" s="211">
        <v>3.7</v>
      </c>
      <c r="S799" s="211">
        <v>2.8</v>
      </c>
    </row>
    <row r="800" spans="1:19" ht="19">
      <c r="A800" s="212" t="s">
        <v>579</v>
      </c>
      <c r="B800" s="212" t="s">
        <v>580</v>
      </c>
      <c r="C800" s="233" t="s">
        <v>585</v>
      </c>
      <c r="D800" s="234" t="s">
        <v>151</v>
      </c>
      <c r="E800" s="212">
        <v>41229</v>
      </c>
      <c r="F800" s="212">
        <v>10998</v>
      </c>
      <c r="G800" s="212" t="s">
        <v>1723</v>
      </c>
      <c r="H800" s="212" t="s">
        <v>1811</v>
      </c>
      <c r="I800" s="212" t="s">
        <v>1137</v>
      </c>
      <c r="J800" s="212" t="s">
        <v>1744</v>
      </c>
      <c r="K800" s="227" t="s">
        <v>269</v>
      </c>
      <c r="L800" s="227" t="s">
        <v>1725</v>
      </c>
      <c r="M800" t="s">
        <v>1738</v>
      </c>
      <c r="N800" s="211">
        <v>-19.329999999999998</v>
      </c>
      <c r="O800" s="211">
        <v>-19.3</v>
      </c>
      <c r="P800" s="211">
        <v>4</v>
      </c>
      <c r="S800" s="211">
        <v>2.9</v>
      </c>
    </row>
    <row r="801" spans="1:19" ht="19">
      <c r="A801" s="212" t="s">
        <v>579</v>
      </c>
      <c r="B801" s="212" t="s">
        <v>580</v>
      </c>
      <c r="C801" s="233" t="s">
        <v>585</v>
      </c>
      <c r="D801" s="234" t="s">
        <v>151</v>
      </c>
      <c r="E801" s="236">
        <v>41229</v>
      </c>
      <c r="F801" s="236">
        <v>10999</v>
      </c>
      <c r="G801" s="236" t="s">
        <v>1723</v>
      </c>
      <c r="H801" s="212" t="s">
        <v>1811</v>
      </c>
      <c r="I801" s="212" t="s">
        <v>1137</v>
      </c>
      <c r="J801" s="212" t="s">
        <v>1744</v>
      </c>
      <c r="K801" s="227" t="s">
        <v>269</v>
      </c>
      <c r="L801" s="227" t="s">
        <v>1725</v>
      </c>
      <c r="M801" t="s">
        <v>1758</v>
      </c>
      <c r="N801" s="214">
        <v>-18.77</v>
      </c>
      <c r="O801" s="214">
        <v>-18.8</v>
      </c>
      <c r="P801" s="211">
        <v>3.6</v>
      </c>
      <c r="S801" s="211">
        <v>2.8</v>
      </c>
    </row>
    <row r="802" spans="1:19" ht="19">
      <c r="A802" s="212" t="s">
        <v>579</v>
      </c>
      <c r="B802" s="212" t="s">
        <v>580</v>
      </c>
      <c r="C802" s="233" t="s">
        <v>585</v>
      </c>
      <c r="D802" s="234" t="s">
        <v>151</v>
      </c>
      <c r="E802" s="212">
        <v>41229</v>
      </c>
      <c r="F802" s="212">
        <v>11002</v>
      </c>
      <c r="G802" s="212" t="s">
        <v>1723</v>
      </c>
      <c r="H802" s="212" t="s">
        <v>1811</v>
      </c>
      <c r="I802" s="212" t="s">
        <v>1137</v>
      </c>
      <c r="J802" s="212" t="s">
        <v>104</v>
      </c>
      <c r="K802" s="227" t="s">
        <v>269</v>
      </c>
      <c r="L802" s="227" t="s">
        <v>1725</v>
      </c>
      <c r="M802" t="s">
        <v>1844</v>
      </c>
      <c r="N802" s="211">
        <v>-20.100000000000001</v>
      </c>
      <c r="O802" s="211">
        <v>-20.100000000000001</v>
      </c>
      <c r="P802" s="211">
        <v>3</v>
      </c>
      <c r="S802" s="211">
        <v>2.8</v>
      </c>
    </row>
    <row r="803" spans="1:19" ht="19">
      <c r="A803" s="212" t="s">
        <v>579</v>
      </c>
      <c r="B803" s="212" t="s">
        <v>580</v>
      </c>
      <c r="C803" s="233" t="s">
        <v>585</v>
      </c>
      <c r="D803" s="234" t="s">
        <v>151</v>
      </c>
      <c r="E803" s="212">
        <v>41229</v>
      </c>
      <c r="F803" s="212">
        <v>11019</v>
      </c>
      <c r="G803" s="212" t="s">
        <v>1723</v>
      </c>
      <c r="H803" s="212" t="s">
        <v>1811</v>
      </c>
      <c r="I803" s="212" t="s">
        <v>1137</v>
      </c>
      <c r="J803" s="212" t="s">
        <v>1744</v>
      </c>
      <c r="K803" s="227" t="s">
        <v>269</v>
      </c>
      <c r="L803" s="227" t="s">
        <v>1725</v>
      </c>
      <c r="M803" t="s">
        <v>1757</v>
      </c>
      <c r="N803" s="211">
        <v>-20.52</v>
      </c>
      <c r="O803" s="211">
        <v>-20.5</v>
      </c>
      <c r="P803" s="211">
        <v>4.5999999999999996</v>
      </c>
      <c r="S803" s="211">
        <v>2.8</v>
      </c>
    </row>
    <row r="804" spans="1:19" ht="19">
      <c r="A804" s="212" t="s">
        <v>579</v>
      </c>
      <c r="B804" s="212" t="s">
        <v>580</v>
      </c>
      <c r="C804" s="233" t="s">
        <v>585</v>
      </c>
      <c r="D804" s="234" t="s">
        <v>151</v>
      </c>
      <c r="E804" s="212">
        <v>41229</v>
      </c>
      <c r="F804" s="212">
        <v>11022</v>
      </c>
      <c r="G804" s="212" t="s">
        <v>1723</v>
      </c>
      <c r="H804" s="212" t="s">
        <v>1811</v>
      </c>
      <c r="I804" s="212" t="s">
        <v>1137</v>
      </c>
      <c r="J804" s="212" t="s">
        <v>1744</v>
      </c>
      <c r="K804" s="227" t="s">
        <v>269</v>
      </c>
      <c r="L804" s="227" t="s">
        <v>1725</v>
      </c>
      <c r="M804" t="s">
        <v>1755</v>
      </c>
      <c r="N804" s="211">
        <v>-22.01</v>
      </c>
      <c r="O804" s="211">
        <v>-22</v>
      </c>
      <c r="P804" s="211">
        <v>6</v>
      </c>
      <c r="S804" s="211">
        <v>2.8</v>
      </c>
    </row>
    <row r="805" spans="1:19" ht="19">
      <c r="A805" s="212" t="s">
        <v>579</v>
      </c>
      <c r="B805" s="212" t="s">
        <v>580</v>
      </c>
      <c r="C805" s="233" t="s">
        <v>585</v>
      </c>
      <c r="D805" s="234" t="s">
        <v>151</v>
      </c>
      <c r="E805" s="212">
        <v>41229</v>
      </c>
      <c r="F805" s="212">
        <v>11236</v>
      </c>
      <c r="G805" s="212" t="s">
        <v>1723</v>
      </c>
      <c r="H805" s="212" t="s">
        <v>1811</v>
      </c>
      <c r="I805" s="212" t="s">
        <v>1137</v>
      </c>
      <c r="J805" s="212" t="s">
        <v>104</v>
      </c>
      <c r="K805" s="227" t="s">
        <v>269</v>
      </c>
      <c r="L805" s="227" t="s">
        <v>1725</v>
      </c>
      <c r="M805" t="s">
        <v>1761</v>
      </c>
      <c r="N805" s="211">
        <v>-17.66</v>
      </c>
      <c r="O805" s="211">
        <v>-17.7</v>
      </c>
      <c r="P805" s="211">
        <v>3.8</v>
      </c>
      <c r="S805" s="211">
        <v>2.8</v>
      </c>
    </row>
    <row r="806" spans="1:19" ht="19">
      <c r="A806" s="212" t="s">
        <v>579</v>
      </c>
      <c r="B806" s="212" t="s">
        <v>580</v>
      </c>
      <c r="C806" s="233" t="s">
        <v>585</v>
      </c>
      <c r="D806" s="234" t="s">
        <v>151</v>
      </c>
      <c r="E806" s="212">
        <v>41229</v>
      </c>
      <c r="F806" s="212">
        <v>11245</v>
      </c>
      <c r="G806" s="212" t="s">
        <v>1723</v>
      </c>
      <c r="H806" s="212" t="s">
        <v>1811</v>
      </c>
      <c r="I806" s="212" t="s">
        <v>1137</v>
      </c>
      <c r="J806" s="212" t="s">
        <v>1744</v>
      </c>
      <c r="K806" s="227" t="s">
        <v>269</v>
      </c>
      <c r="L806" s="227" t="s">
        <v>1725</v>
      </c>
      <c r="M806" t="s">
        <v>1869</v>
      </c>
      <c r="N806" s="211">
        <v>-18.45</v>
      </c>
      <c r="O806" s="211">
        <v>-18.5</v>
      </c>
      <c r="P806" s="211">
        <v>4.2</v>
      </c>
      <c r="S806" s="211">
        <v>2.8</v>
      </c>
    </row>
    <row r="807" spans="1:19" ht="19">
      <c r="A807" s="212" t="s">
        <v>579</v>
      </c>
      <c r="B807" s="212" t="s">
        <v>580</v>
      </c>
      <c r="C807" s="233" t="s">
        <v>585</v>
      </c>
      <c r="D807" s="234" t="s">
        <v>151</v>
      </c>
      <c r="E807" s="212">
        <v>41229</v>
      </c>
      <c r="F807" s="212">
        <v>11246</v>
      </c>
      <c r="G807" s="212" t="s">
        <v>1723</v>
      </c>
      <c r="H807" s="212" t="s">
        <v>1811</v>
      </c>
      <c r="I807" s="212" t="s">
        <v>1137</v>
      </c>
      <c r="J807" s="212" t="s">
        <v>1744</v>
      </c>
      <c r="K807" s="227" t="s">
        <v>269</v>
      </c>
      <c r="L807" s="227" t="s">
        <v>1725</v>
      </c>
      <c r="M807" t="s">
        <v>1757</v>
      </c>
      <c r="N807" s="211">
        <v>-18.649999999999999</v>
      </c>
      <c r="O807" s="211">
        <v>-18.600000000000001</v>
      </c>
      <c r="P807" s="211">
        <v>3.5</v>
      </c>
      <c r="S807" s="211">
        <v>2.8</v>
      </c>
    </row>
    <row r="808" spans="1:19" ht="19">
      <c r="A808" s="212" t="s">
        <v>579</v>
      </c>
      <c r="B808" s="212" t="s">
        <v>580</v>
      </c>
      <c r="C808" s="233" t="s">
        <v>585</v>
      </c>
      <c r="D808" s="234" t="s">
        <v>151</v>
      </c>
      <c r="E808" s="212">
        <v>41229</v>
      </c>
      <c r="F808" s="212">
        <v>11247</v>
      </c>
      <c r="G808" s="212" t="s">
        <v>1723</v>
      </c>
      <c r="H808" s="212" t="s">
        <v>1811</v>
      </c>
      <c r="I808" s="212" t="s">
        <v>1137</v>
      </c>
      <c r="J808" s="212" t="s">
        <v>104</v>
      </c>
      <c r="K808" s="227" t="s">
        <v>269</v>
      </c>
      <c r="L808" s="227" t="s">
        <v>1725</v>
      </c>
      <c r="M808" t="s">
        <v>1738</v>
      </c>
      <c r="N808" s="211">
        <v>-21.82</v>
      </c>
      <c r="O808" s="211">
        <v>-21.8</v>
      </c>
      <c r="P808" s="211">
        <v>3.6</v>
      </c>
      <c r="S808" s="211">
        <v>2.9</v>
      </c>
    </row>
    <row r="809" spans="1:19" ht="19">
      <c r="A809" s="212" t="s">
        <v>579</v>
      </c>
      <c r="B809" s="212" t="s">
        <v>580</v>
      </c>
      <c r="C809" s="233" t="s">
        <v>585</v>
      </c>
      <c r="D809" s="234" t="s">
        <v>151</v>
      </c>
      <c r="E809" s="236">
        <v>41229</v>
      </c>
      <c r="F809" s="236">
        <v>11446</v>
      </c>
      <c r="G809" s="236" t="s">
        <v>1723</v>
      </c>
      <c r="H809" s="212" t="s">
        <v>1811</v>
      </c>
      <c r="I809" s="212" t="s">
        <v>1137</v>
      </c>
      <c r="J809" s="212" t="s">
        <v>1744</v>
      </c>
      <c r="K809" s="227" t="s">
        <v>269</v>
      </c>
      <c r="L809" s="227" t="s">
        <v>1725</v>
      </c>
      <c r="M809" t="s">
        <v>1758</v>
      </c>
      <c r="N809" s="214">
        <v>-20.34</v>
      </c>
      <c r="O809" s="214">
        <v>-20.3</v>
      </c>
      <c r="P809" s="211">
        <v>1.8</v>
      </c>
      <c r="S809" s="211">
        <v>2.8</v>
      </c>
    </row>
    <row r="810" spans="1:19" ht="19">
      <c r="A810" s="212" t="s">
        <v>579</v>
      </c>
      <c r="B810" s="212" t="s">
        <v>580</v>
      </c>
      <c r="C810" s="233" t="s">
        <v>585</v>
      </c>
      <c r="D810" s="234" t="s">
        <v>151</v>
      </c>
      <c r="E810" s="212">
        <v>41229</v>
      </c>
      <c r="F810" s="212">
        <v>11683</v>
      </c>
      <c r="G810" s="212" t="s">
        <v>1723</v>
      </c>
      <c r="H810" s="212" t="s">
        <v>1811</v>
      </c>
      <c r="I810" s="212" t="s">
        <v>1137</v>
      </c>
      <c r="J810" s="212" t="s">
        <v>1744</v>
      </c>
      <c r="K810" s="227" t="s">
        <v>269</v>
      </c>
      <c r="L810" s="227" t="s">
        <v>1725</v>
      </c>
      <c r="M810" t="s">
        <v>1757</v>
      </c>
      <c r="N810" s="211">
        <v>-15.72</v>
      </c>
      <c r="O810" s="211">
        <v>-15.7</v>
      </c>
      <c r="P810" s="211">
        <v>3.7</v>
      </c>
      <c r="S810" s="211">
        <v>2.8</v>
      </c>
    </row>
    <row r="811" spans="1:19" ht="19">
      <c r="A811" s="212" t="s">
        <v>579</v>
      </c>
      <c r="B811" s="212" t="s">
        <v>580</v>
      </c>
      <c r="C811" s="233" t="s">
        <v>585</v>
      </c>
      <c r="D811" s="234" t="s">
        <v>151</v>
      </c>
      <c r="E811" s="212">
        <v>41229</v>
      </c>
      <c r="F811" s="212">
        <v>11684</v>
      </c>
      <c r="G811" s="212" t="s">
        <v>1723</v>
      </c>
      <c r="H811" s="212" t="s">
        <v>1811</v>
      </c>
      <c r="I811" s="212" t="s">
        <v>1137</v>
      </c>
      <c r="J811" s="212" t="s">
        <v>1744</v>
      </c>
      <c r="K811" s="227" t="s">
        <v>269</v>
      </c>
      <c r="L811" s="227" t="s">
        <v>1725</v>
      </c>
      <c r="M811" t="s">
        <v>1738</v>
      </c>
      <c r="N811" s="211">
        <v>-16.68</v>
      </c>
      <c r="O811" s="211">
        <v>-16.7</v>
      </c>
      <c r="P811" s="211">
        <v>4.2</v>
      </c>
      <c r="S811" s="211">
        <v>2.9</v>
      </c>
    </row>
    <row r="812" spans="1:19" ht="19">
      <c r="A812" s="212" t="s">
        <v>579</v>
      </c>
      <c r="B812" s="212" t="s">
        <v>580</v>
      </c>
      <c r="C812" s="233" t="s">
        <v>585</v>
      </c>
      <c r="D812" s="234" t="s">
        <v>151</v>
      </c>
      <c r="E812" s="212">
        <v>41229</v>
      </c>
      <c r="F812" s="212">
        <v>14000</v>
      </c>
      <c r="G812" s="212" t="s">
        <v>1723</v>
      </c>
      <c r="H812" s="212" t="s">
        <v>1811</v>
      </c>
      <c r="I812" s="212" t="s">
        <v>1137</v>
      </c>
      <c r="J812" s="212" t="s">
        <v>1728</v>
      </c>
      <c r="K812" s="227" t="s">
        <v>269</v>
      </c>
      <c r="L812" s="227" t="s">
        <v>1725</v>
      </c>
      <c r="M812" t="s">
        <v>1733</v>
      </c>
      <c r="N812" s="211">
        <v>-16.809999999999999</v>
      </c>
      <c r="O812" s="211">
        <v>-16.8</v>
      </c>
      <c r="P812" s="211">
        <v>5</v>
      </c>
      <c r="S812" s="211">
        <v>2.8</v>
      </c>
    </row>
    <row r="813" spans="1:19" ht="19">
      <c r="A813" s="212" t="s">
        <v>579</v>
      </c>
      <c r="B813" s="212" t="s">
        <v>580</v>
      </c>
      <c r="C813" s="233" t="s">
        <v>585</v>
      </c>
      <c r="D813" s="234" t="s">
        <v>151</v>
      </c>
      <c r="E813" s="212">
        <v>41229</v>
      </c>
      <c r="F813" s="212">
        <v>14048</v>
      </c>
      <c r="G813" s="212" t="s">
        <v>1723</v>
      </c>
      <c r="H813" s="212" t="s">
        <v>1811</v>
      </c>
      <c r="I813" s="212" t="s">
        <v>1137</v>
      </c>
      <c r="J813" s="212" t="s">
        <v>225</v>
      </c>
      <c r="K813" s="227" t="s">
        <v>269</v>
      </c>
      <c r="L813" s="227" t="s">
        <v>1725</v>
      </c>
      <c r="M813" t="s">
        <v>1786</v>
      </c>
      <c r="N813" s="211">
        <v>-17.399999999999999</v>
      </c>
      <c r="O813" s="211">
        <v>-17.399999999999999</v>
      </c>
      <c r="P813" s="211">
        <v>5.4</v>
      </c>
      <c r="S813" s="211">
        <v>3</v>
      </c>
    </row>
    <row r="814" spans="1:19" ht="19">
      <c r="A814" s="212" t="s">
        <v>579</v>
      </c>
      <c r="B814" s="212" t="s">
        <v>580</v>
      </c>
      <c r="C814" s="233" t="s">
        <v>585</v>
      </c>
      <c r="D814" s="234" t="s">
        <v>151</v>
      </c>
      <c r="E814" s="212">
        <v>41229</v>
      </c>
      <c r="F814" s="212">
        <v>16952</v>
      </c>
      <c r="G814" s="212" t="s">
        <v>1723</v>
      </c>
      <c r="H814" s="212" t="s">
        <v>1811</v>
      </c>
      <c r="I814" s="212" t="s">
        <v>1137</v>
      </c>
      <c r="J814" s="212" t="s">
        <v>225</v>
      </c>
      <c r="K814" s="227" t="s">
        <v>269</v>
      </c>
      <c r="L814" s="227" t="s">
        <v>1725</v>
      </c>
      <c r="M814" t="s">
        <v>1758</v>
      </c>
      <c r="N814" s="211">
        <v>-18.45</v>
      </c>
      <c r="O814" s="211">
        <v>-18.5</v>
      </c>
      <c r="P814" s="211">
        <v>5</v>
      </c>
      <c r="S814" s="211">
        <v>2.9</v>
      </c>
    </row>
    <row r="815" spans="1:19" ht="19">
      <c r="A815" s="212" t="s">
        <v>579</v>
      </c>
      <c r="B815" s="212" t="s">
        <v>580</v>
      </c>
      <c r="C815" s="233" t="s">
        <v>585</v>
      </c>
      <c r="D815" s="234" t="s">
        <v>151</v>
      </c>
      <c r="E815" s="212">
        <v>41229</v>
      </c>
      <c r="F815" s="212">
        <v>16955</v>
      </c>
      <c r="G815" s="212" t="s">
        <v>1723</v>
      </c>
      <c r="H815" s="212" t="s">
        <v>1811</v>
      </c>
      <c r="I815" s="212" t="s">
        <v>1137</v>
      </c>
      <c r="J815" s="212" t="s">
        <v>225</v>
      </c>
      <c r="K815" s="227" t="s">
        <v>269</v>
      </c>
      <c r="L815" s="227" t="s">
        <v>1725</v>
      </c>
      <c r="M815" t="s">
        <v>1737</v>
      </c>
      <c r="N815" s="211">
        <v>-17.77</v>
      </c>
      <c r="O815" s="211">
        <v>-17.8</v>
      </c>
      <c r="P815" s="211">
        <v>5.4</v>
      </c>
      <c r="S815" s="211">
        <v>2.8</v>
      </c>
    </row>
    <row r="816" spans="1:19" ht="19">
      <c r="A816" s="212" t="s">
        <v>579</v>
      </c>
      <c r="B816" s="212" t="s">
        <v>580</v>
      </c>
      <c r="C816" s="233" t="s">
        <v>585</v>
      </c>
      <c r="D816" s="234" t="s">
        <v>151</v>
      </c>
      <c r="E816" s="212">
        <v>41229</v>
      </c>
      <c r="F816" s="212">
        <v>16956</v>
      </c>
      <c r="G816" s="212" t="s">
        <v>1723</v>
      </c>
      <c r="H816" s="212" t="s">
        <v>1811</v>
      </c>
      <c r="I816" s="212" t="s">
        <v>1137</v>
      </c>
      <c r="J816" s="212" t="s">
        <v>225</v>
      </c>
      <c r="K816" s="227" t="s">
        <v>269</v>
      </c>
      <c r="L816" s="227" t="s">
        <v>1725</v>
      </c>
      <c r="M816" t="s">
        <v>1754</v>
      </c>
      <c r="N816" s="211">
        <v>-20.23</v>
      </c>
      <c r="O816" s="211">
        <v>-20.2</v>
      </c>
      <c r="P816" s="211">
        <v>6.1</v>
      </c>
      <c r="S816" s="211">
        <v>2.8</v>
      </c>
    </row>
    <row r="817" spans="1:19" ht="19">
      <c r="A817" s="212" t="s">
        <v>579</v>
      </c>
      <c r="B817" s="212" t="s">
        <v>580</v>
      </c>
      <c r="C817" s="233" t="s">
        <v>585</v>
      </c>
      <c r="D817" s="234" t="s">
        <v>151</v>
      </c>
      <c r="E817" s="212">
        <v>41229</v>
      </c>
      <c r="F817" s="212">
        <v>16958</v>
      </c>
      <c r="G817" s="212" t="s">
        <v>1723</v>
      </c>
      <c r="H817" s="212" t="s">
        <v>1811</v>
      </c>
      <c r="I817" s="212" t="s">
        <v>1137</v>
      </c>
      <c r="J817" s="212" t="s">
        <v>225</v>
      </c>
      <c r="K817" s="227" t="s">
        <v>269</v>
      </c>
      <c r="L817" s="227" t="s">
        <v>1725</v>
      </c>
      <c r="M817" t="s">
        <v>1784</v>
      </c>
      <c r="N817" s="211">
        <v>-19.55</v>
      </c>
      <c r="O817" s="211">
        <v>-19.600000000000001</v>
      </c>
      <c r="P817" s="211">
        <v>4.4000000000000004</v>
      </c>
      <c r="S817" s="211">
        <v>3</v>
      </c>
    </row>
    <row r="818" spans="1:19" ht="19">
      <c r="A818" s="212" t="s">
        <v>579</v>
      </c>
      <c r="B818" s="212" t="s">
        <v>580</v>
      </c>
      <c r="C818" s="233" t="s">
        <v>585</v>
      </c>
      <c r="D818" s="234" t="s">
        <v>151</v>
      </c>
      <c r="E818" s="212">
        <v>41229</v>
      </c>
      <c r="F818" s="212">
        <v>16959</v>
      </c>
      <c r="G818" s="212" t="s">
        <v>1723</v>
      </c>
      <c r="H818" s="212" t="s">
        <v>1811</v>
      </c>
      <c r="I818" s="212" t="s">
        <v>1137</v>
      </c>
      <c r="J818" s="212" t="s">
        <v>225</v>
      </c>
      <c r="K818" s="227" t="s">
        <v>269</v>
      </c>
      <c r="L818" s="227" t="s">
        <v>1725</v>
      </c>
      <c r="M818" t="s">
        <v>1761</v>
      </c>
      <c r="N818" s="211">
        <v>-17.88</v>
      </c>
      <c r="O818" s="211">
        <v>-17.899999999999999</v>
      </c>
      <c r="P818" s="211">
        <v>4.8</v>
      </c>
      <c r="S818" s="211">
        <v>2.8</v>
      </c>
    </row>
    <row r="819" spans="1:19" ht="19">
      <c r="A819" s="212" t="s">
        <v>579</v>
      </c>
      <c r="B819" s="212" t="s">
        <v>580</v>
      </c>
      <c r="C819" s="233" t="s">
        <v>585</v>
      </c>
      <c r="D819" s="234" t="s">
        <v>151</v>
      </c>
      <c r="E819" s="212">
        <v>41229</v>
      </c>
      <c r="F819" s="212">
        <v>16974</v>
      </c>
      <c r="G819" s="212" t="s">
        <v>1723</v>
      </c>
      <c r="H819" s="212" t="s">
        <v>1811</v>
      </c>
      <c r="I819" s="212" t="s">
        <v>1137</v>
      </c>
      <c r="J819" s="212" t="s">
        <v>225</v>
      </c>
      <c r="K819" s="227" t="s">
        <v>269</v>
      </c>
      <c r="L819" s="227" t="s">
        <v>1725</v>
      </c>
      <c r="M819" t="s">
        <v>1738</v>
      </c>
      <c r="N819" s="211">
        <v>-18.5</v>
      </c>
      <c r="O819" s="211">
        <v>-18.5</v>
      </c>
      <c r="P819" s="211">
        <v>5.7</v>
      </c>
      <c r="S819" s="211">
        <v>2.9</v>
      </c>
    </row>
    <row r="820" spans="1:19" ht="19">
      <c r="A820" s="212" t="s">
        <v>579</v>
      </c>
      <c r="B820" s="212" t="s">
        <v>580</v>
      </c>
      <c r="C820" s="233" t="s">
        <v>585</v>
      </c>
      <c r="D820" s="234" t="s">
        <v>151</v>
      </c>
      <c r="E820" s="212">
        <v>41229</v>
      </c>
      <c r="F820" s="212">
        <v>16978</v>
      </c>
      <c r="G820" s="212" t="s">
        <v>1723</v>
      </c>
      <c r="H820" s="212" t="s">
        <v>1811</v>
      </c>
      <c r="I820" s="212" t="s">
        <v>1137</v>
      </c>
      <c r="J820" s="212" t="s">
        <v>225</v>
      </c>
      <c r="K820" s="227" t="s">
        <v>269</v>
      </c>
      <c r="L820" s="227" t="s">
        <v>1725</v>
      </c>
      <c r="M820" t="s">
        <v>1786</v>
      </c>
      <c r="N820" s="211">
        <v>-17.899999999999999</v>
      </c>
      <c r="O820" s="211">
        <v>-17.899999999999999</v>
      </c>
      <c r="P820" s="211">
        <v>4.2</v>
      </c>
      <c r="S820" s="211">
        <v>2.9</v>
      </c>
    </row>
    <row r="821" spans="1:19" ht="19">
      <c r="A821" s="212" t="s">
        <v>579</v>
      </c>
      <c r="B821" s="212" t="s">
        <v>580</v>
      </c>
      <c r="C821" s="233" t="s">
        <v>585</v>
      </c>
      <c r="D821" s="234" t="s">
        <v>151</v>
      </c>
      <c r="E821" s="212">
        <v>41229</v>
      </c>
      <c r="F821" s="212">
        <v>16992</v>
      </c>
      <c r="G821" s="212" t="s">
        <v>1723</v>
      </c>
      <c r="H821" s="212" t="s">
        <v>1811</v>
      </c>
      <c r="I821" s="212" t="s">
        <v>1137</v>
      </c>
      <c r="J821" s="212" t="s">
        <v>225</v>
      </c>
      <c r="K821" s="227" t="s">
        <v>269</v>
      </c>
      <c r="L821" s="227" t="s">
        <v>1725</v>
      </c>
      <c r="M821" t="s">
        <v>1805</v>
      </c>
      <c r="N821" s="211">
        <v>-17.7</v>
      </c>
      <c r="O821" s="211">
        <v>-17.7</v>
      </c>
      <c r="P821" s="211">
        <v>4.7</v>
      </c>
      <c r="S821" s="211">
        <v>3</v>
      </c>
    </row>
    <row r="822" spans="1:19" ht="19">
      <c r="A822" s="212" t="s">
        <v>579</v>
      </c>
      <c r="B822" s="212" t="s">
        <v>580</v>
      </c>
      <c r="C822" s="233" t="s">
        <v>585</v>
      </c>
      <c r="D822" s="234" t="s">
        <v>151</v>
      </c>
      <c r="E822" s="212">
        <v>41229</v>
      </c>
      <c r="F822" s="212">
        <v>16995</v>
      </c>
      <c r="G822" s="212" t="s">
        <v>1723</v>
      </c>
      <c r="H822" s="212" t="s">
        <v>1811</v>
      </c>
      <c r="I822" s="212" t="s">
        <v>1137</v>
      </c>
      <c r="J822" s="212" t="s">
        <v>225</v>
      </c>
      <c r="K822" s="227" t="s">
        <v>269</v>
      </c>
      <c r="L822" s="227" t="s">
        <v>1725</v>
      </c>
      <c r="M822" t="s">
        <v>1737</v>
      </c>
      <c r="N822" s="211">
        <v>-15</v>
      </c>
      <c r="O822" s="211">
        <v>-15</v>
      </c>
      <c r="P822" s="211">
        <v>3.6</v>
      </c>
      <c r="S822" s="211">
        <v>2.8</v>
      </c>
    </row>
    <row r="823" spans="1:19" ht="19">
      <c r="A823" s="212" t="s">
        <v>579</v>
      </c>
      <c r="B823" s="212" t="s">
        <v>580</v>
      </c>
      <c r="C823" s="233" t="s">
        <v>585</v>
      </c>
      <c r="D823" s="234" t="s">
        <v>151</v>
      </c>
      <c r="E823" s="212">
        <v>41229</v>
      </c>
      <c r="F823" s="212">
        <v>16997</v>
      </c>
      <c r="G823" s="212" t="s">
        <v>1723</v>
      </c>
      <c r="H823" s="212" t="s">
        <v>1811</v>
      </c>
      <c r="I823" s="212" t="s">
        <v>1137</v>
      </c>
      <c r="J823" s="212" t="s">
        <v>225</v>
      </c>
      <c r="K823" s="227" t="s">
        <v>269</v>
      </c>
      <c r="L823" s="227" t="s">
        <v>1725</v>
      </c>
      <c r="M823" t="s">
        <v>1738</v>
      </c>
      <c r="N823" s="211">
        <v>-17.7</v>
      </c>
      <c r="O823" s="211">
        <v>-17.7</v>
      </c>
      <c r="P823" s="211">
        <v>4.5999999999999996</v>
      </c>
      <c r="S823" s="211">
        <v>2.9</v>
      </c>
    </row>
    <row r="824" spans="1:19" ht="19">
      <c r="A824" s="212" t="s">
        <v>579</v>
      </c>
      <c r="B824" s="212" t="s">
        <v>580</v>
      </c>
      <c r="C824" s="233" t="s">
        <v>585</v>
      </c>
      <c r="D824" s="234" t="s">
        <v>151</v>
      </c>
      <c r="E824" s="212">
        <v>41229</v>
      </c>
      <c r="F824" s="212">
        <v>17003</v>
      </c>
      <c r="G824" s="212" t="s">
        <v>1723</v>
      </c>
      <c r="H824" s="212" t="s">
        <v>1811</v>
      </c>
      <c r="I824" s="212" t="s">
        <v>1137</v>
      </c>
      <c r="J824" s="212" t="s">
        <v>225</v>
      </c>
      <c r="K824" s="227" t="s">
        <v>269</v>
      </c>
      <c r="L824" s="227" t="s">
        <v>1725</v>
      </c>
      <c r="M824" t="s">
        <v>1757</v>
      </c>
      <c r="N824" s="211">
        <v>-21.5</v>
      </c>
      <c r="O824" s="211">
        <v>-21.5</v>
      </c>
      <c r="P824" s="211">
        <v>3.5</v>
      </c>
      <c r="S824" s="211">
        <v>2.9</v>
      </c>
    </row>
    <row r="825" spans="1:19" ht="19">
      <c r="A825" s="212" t="s">
        <v>579</v>
      </c>
      <c r="B825" s="212" t="s">
        <v>580</v>
      </c>
      <c r="C825" s="233" t="s">
        <v>585</v>
      </c>
      <c r="D825" s="234" t="s">
        <v>151</v>
      </c>
      <c r="E825" s="236">
        <v>41229</v>
      </c>
      <c r="F825" s="236">
        <v>17015</v>
      </c>
      <c r="G825" s="236" t="s">
        <v>1723</v>
      </c>
      <c r="H825" s="212" t="s">
        <v>1811</v>
      </c>
      <c r="I825" s="212" t="s">
        <v>1137</v>
      </c>
      <c r="J825" s="212" t="s">
        <v>225</v>
      </c>
      <c r="K825" s="227" t="s">
        <v>269</v>
      </c>
      <c r="L825" s="227" t="s">
        <v>1725</v>
      </c>
      <c r="M825" t="s">
        <v>1754</v>
      </c>
      <c r="N825" s="214">
        <v>-16.100000000000001</v>
      </c>
      <c r="O825" s="214">
        <v>-16.100000000000001</v>
      </c>
      <c r="P825" s="211">
        <v>4.0999999999999996</v>
      </c>
      <c r="S825" s="211">
        <v>2.7</v>
      </c>
    </row>
    <row r="826" spans="1:19" ht="19">
      <c r="A826" s="212" t="s">
        <v>579</v>
      </c>
      <c r="B826" s="212" t="s">
        <v>580</v>
      </c>
      <c r="C826" s="233" t="s">
        <v>585</v>
      </c>
      <c r="D826" s="234" t="s">
        <v>151</v>
      </c>
      <c r="E826" s="212">
        <v>41229</v>
      </c>
      <c r="F826" s="212">
        <v>17024</v>
      </c>
      <c r="G826" s="212" t="s">
        <v>1723</v>
      </c>
      <c r="H826" s="212" t="s">
        <v>1811</v>
      </c>
      <c r="I826" s="212" t="s">
        <v>1137</v>
      </c>
      <c r="J826" s="212" t="s">
        <v>225</v>
      </c>
      <c r="K826" s="227" t="s">
        <v>269</v>
      </c>
      <c r="L826" s="227" t="s">
        <v>1725</v>
      </c>
      <c r="M826" t="s">
        <v>1332</v>
      </c>
      <c r="N826" s="211">
        <v>-17.7</v>
      </c>
      <c r="O826" s="211">
        <v>-17.7</v>
      </c>
      <c r="P826" s="211">
        <v>3.8</v>
      </c>
      <c r="S826" s="211">
        <v>3.1</v>
      </c>
    </row>
    <row r="827" spans="1:19" ht="19">
      <c r="A827" s="212" t="s">
        <v>579</v>
      </c>
      <c r="B827" s="212" t="s">
        <v>580</v>
      </c>
      <c r="C827" s="233" t="s">
        <v>585</v>
      </c>
      <c r="D827" s="234" t="s">
        <v>151</v>
      </c>
      <c r="E827" s="212">
        <v>41229</v>
      </c>
      <c r="F827" s="212">
        <v>17026</v>
      </c>
      <c r="G827" s="212" t="s">
        <v>1723</v>
      </c>
      <c r="H827" s="212" t="s">
        <v>1811</v>
      </c>
      <c r="I827" s="212" t="s">
        <v>1137</v>
      </c>
      <c r="J827" s="212" t="s">
        <v>225</v>
      </c>
      <c r="K827" s="227" t="s">
        <v>269</v>
      </c>
      <c r="L827" s="227" t="s">
        <v>1725</v>
      </c>
      <c r="M827" t="s">
        <v>1757</v>
      </c>
      <c r="N827" s="211">
        <v>-17.8</v>
      </c>
      <c r="O827" s="211">
        <v>-17.8</v>
      </c>
      <c r="P827" s="211">
        <v>4.0999999999999996</v>
      </c>
      <c r="S827" s="211">
        <v>2.9</v>
      </c>
    </row>
    <row r="828" spans="1:19" ht="19">
      <c r="A828" s="212" t="s">
        <v>579</v>
      </c>
      <c r="B828" s="212" t="s">
        <v>580</v>
      </c>
      <c r="C828" s="233" t="s">
        <v>585</v>
      </c>
      <c r="D828" s="234" t="s">
        <v>151</v>
      </c>
      <c r="E828" s="212">
        <v>41229</v>
      </c>
      <c r="F828" s="212">
        <v>17029</v>
      </c>
      <c r="G828" s="212" t="s">
        <v>1723</v>
      </c>
      <c r="H828" s="212" t="s">
        <v>1811</v>
      </c>
      <c r="I828" s="212" t="s">
        <v>1137</v>
      </c>
      <c r="J828" s="212" t="s">
        <v>225</v>
      </c>
      <c r="K828" s="227" t="s">
        <v>269</v>
      </c>
      <c r="L828" s="227" t="s">
        <v>1725</v>
      </c>
      <c r="M828" t="s">
        <v>1757</v>
      </c>
      <c r="N828" s="211">
        <v>-21.3</v>
      </c>
      <c r="O828" s="211">
        <v>-21.3</v>
      </c>
      <c r="P828" s="211">
        <v>3</v>
      </c>
      <c r="S828" s="211">
        <v>2.9</v>
      </c>
    </row>
    <row r="829" spans="1:19" ht="19">
      <c r="A829" s="212" t="s">
        <v>579</v>
      </c>
      <c r="B829" s="212" t="s">
        <v>580</v>
      </c>
      <c r="C829" s="233" t="s">
        <v>585</v>
      </c>
      <c r="D829" s="234" t="s">
        <v>151</v>
      </c>
      <c r="E829" s="212">
        <v>41229</v>
      </c>
      <c r="F829" s="212">
        <v>17031</v>
      </c>
      <c r="G829" s="212" t="s">
        <v>1723</v>
      </c>
      <c r="H829" s="212" t="s">
        <v>1811</v>
      </c>
      <c r="I829" s="212" t="s">
        <v>1137</v>
      </c>
      <c r="J829" s="212" t="s">
        <v>225</v>
      </c>
      <c r="K829" s="227" t="s">
        <v>269</v>
      </c>
      <c r="L829" s="227" t="s">
        <v>1725</v>
      </c>
      <c r="M829" t="s">
        <v>1805</v>
      </c>
      <c r="N829" s="211">
        <v>-15.9</v>
      </c>
      <c r="O829" s="211">
        <v>-15.9</v>
      </c>
      <c r="P829" s="211">
        <v>6</v>
      </c>
      <c r="S829" s="211">
        <v>2.9</v>
      </c>
    </row>
    <row r="830" spans="1:19" ht="19">
      <c r="A830" s="212" t="s">
        <v>579</v>
      </c>
      <c r="B830" s="212" t="s">
        <v>580</v>
      </c>
      <c r="C830" s="233" t="s">
        <v>585</v>
      </c>
      <c r="D830" s="234" t="s">
        <v>151</v>
      </c>
      <c r="E830" s="236">
        <v>41229</v>
      </c>
      <c r="F830" s="236">
        <v>17032</v>
      </c>
      <c r="G830" s="236" t="s">
        <v>1723</v>
      </c>
      <c r="H830" s="212" t="s">
        <v>1811</v>
      </c>
      <c r="I830" s="212" t="s">
        <v>1137</v>
      </c>
      <c r="J830" s="212" t="s">
        <v>225</v>
      </c>
      <c r="K830" s="227" t="s">
        <v>269</v>
      </c>
      <c r="L830" s="227" t="s">
        <v>1725</v>
      </c>
      <c r="M830" t="s">
        <v>1805</v>
      </c>
      <c r="N830" s="214">
        <v>-18.100000000000001</v>
      </c>
      <c r="O830" s="214">
        <v>-18.100000000000001</v>
      </c>
      <c r="P830" s="211">
        <v>3.7</v>
      </c>
      <c r="S830" s="211">
        <v>2.9</v>
      </c>
    </row>
    <row r="831" spans="1:19" ht="19">
      <c r="A831" s="212" t="s">
        <v>579</v>
      </c>
      <c r="B831" s="212" t="s">
        <v>580</v>
      </c>
      <c r="C831" s="233" t="s">
        <v>585</v>
      </c>
      <c r="D831" s="234" t="s">
        <v>151</v>
      </c>
      <c r="E831" s="212">
        <v>41229</v>
      </c>
      <c r="F831" s="212">
        <v>17033</v>
      </c>
      <c r="G831" s="212" t="s">
        <v>1723</v>
      </c>
      <c r="H831" s="212" t="s">
        <v>1811</v>
      </c>
      <c r="I831" s="212" t="s">
        <v>1137</v>
      </c>
      <c r="J831" s="212" t="s">
        <v>225</v>
      </c>
      <c r="K831" s="227" t="s">
        <v>269</v>
      </c>
      <c r="L831" s="227" t="s">
        <v>1725</v>
      </c>
      <c r="M831" t="s">
        <v>1738</v>
      </c>
      <c r="N831" s="211">
        <v>-18.3</v>
      </c>
      <c r="O831" s="211">
        <v>-18.3</v>
      </c>
      <c r="P831" s="211">
        <v>4.4000000000000004</v>
      </c>
      <c r="S831" s="211">
        <v>2.8</v>
      </c>
    </row>
    <row r="832" spans="1:19" ht="19">
      <c r="A832" s="212" t="s">
        <v>579</v>
      </c>
      <c r="B832" s="212" t="s">
        <v>580</v>
      </c>
      <c r="C832" s="233" t="s">
        <v>585</v>
      </c>
      <c r="D832" s="234" t="s">
        <v>151</v>
      </c>
      <c r="E832" s="212">
        <v>41229</v>
      </c>
      <c r="F832" s="212">
        <v>17034</v>
      </c>
      <c r="G832" s="212" t="s">
        <v>1723</v>
      </c>
      <c r="H832" s="212" t="s">
        <v>1811</v>
      </c>
      <c r="I832" s="212" t="s">
        <v>1137</v>
      </c>
      <c r="J832" s="212" t="s">
        <v>225</v>
      </c>
      <c r="K832" s="227" t="s">
        <v>269</v>
      </c>
      <c r="L832" s="227" t="s">
        <v>1725</v>
      </c>
      <c r="M832" t="s">
        <v>1805</v>
      </c>
      <c r="N832" s="211">
        <v>-16.899999999999999</v>
      </c>
      <c r="O832" s="211">
        <v>-16.899999999999999</v>
      </c>
      <c r="P832" s="211">
        <v>4.2</v>
      </c>
      <c r="S832" s="211">
        <v>2.8</v>
      </c>
    </row>
    <row r="833" spans="1:19" ht="19">
      <c r="A833" s="212" t="s">
        <v>579</v>
      </c>
      <c r="B833" s="212" t="s">
        <v>580</v>
      </c>
      <c r="C833" s="233" t="s">
        <v>585</v>
      </c>
      <c r="D833" s="234" t="s">
        <v>151</v>
      </c>
      <c r="E833" s="212">
        <v>41229</v>
      </c>
      <c r="F833" s="212">
        <v>17035</v>
      </c>
      <c r="G833" s="212" t="s">
        <v>1723</v>
      </c>
      <c r="H833" s="212" t="s">
        <v>1811</v>
      </c>
      <c r="I833" s="212" t="s">
        <v>1137</v>
      </c>
      <c r="J833" s="212" t="s">
        <v>225</v>
      </c>
      <c r="K833" s="227" t="s">
        <v>269</v>
      </c>
      <c r="L833" s="227" t="s">
        <v>1725</v>
      </c>
      <c r="M833" t="s">
        <v>1750</v>
      </c>
      <c r="N833" s="211">
        <v>-15.1</v>
      </c>
      <c r="O833" s="211">
        <v>-15.1</v>
      </c>
      <c r="P833" s="211">
        <v>4.2</v>
      </c>
      <c r="S833" s="211">
        <v>2.9</v>
      </c>
    </row>
    <row r="834" spans="1:19" ht="19">
      <c r="A834" s="212" t="s">
        <v>579</v>
      </c>
      <c r="B834" s="212" t="s">
        <v>580</v>
      </c>
      <c r="C834" s="233" t="s">
        <v>585</v>
      </c>
      <c r="D834" s="234" t="s">
        <v>151</v>
      </c>
      <c r="E834" s="212">
        <v>41229</v>
      </c>
      <c r="F834" s="212">
        <v>17038</v>
      </c>
      <c r="G834" s="212" t="s">
        <v>1723</v>
      </c>
      <c r="H834" s="212" t="s">
        <v>1811</v>
      </c>
      <c r="I834" s="212" t="s">
        <v>1137</v>
      </c>
      <c r="J834" s="212" t="s">
        <v>225</v>
      </c>
      <c r="K834" s="227" t="s">
        <v>269</v>
      </c>
      <c r="L834" s="227" t="s">
        <v>1725</v>
      </c>
      <c r="M834" t="s">
        <v>1750</v>
      </c>
      <c r="N834" s="211">
        <v>-18.399999999999999</v>
      </c>
      <c r="O834" s="211">
        <v>-18.399999999999999</v>
      </c>
      <c r="P834" s="211">
        <v>4.8</v>
      </c>
      <c r="S834" s="211">
        <v>2.8</v>
      </c>
    </row>
    <row r="835" spans="1:19" ht="19">
      <c r="A835" s="212" t="s">
        <v>579</v>
      </c>
      <c r="B835" s="212" t="s">
        <v>580</v>
      </c>
      <c r="C835" s="233" t="s">
        <v>585</v>
      </c>
      <c r="D835" s="234" t="s">
        <v>151</v>
      </c>
      <c r="E835" s="212">
        <v>41229</v>
      </c>
      <c r="F835" s="212">
        <v>17039</v>
      </c>
      <c r="G835" s="212" t="s">
        <v>1723</v>
      </c>
      <c r="H835" s="212" t="s">
        <v>1811</v>
      </c>
      <c r="I835" s="212" t="s">
        <v>1137</v>
      </c>
      <c r="J835" s="212" t="s">
        <v>225</v>
      </c>
      <c r="K835" s="227" t="s">
        <v>269</v>
      </c>
      <c r="L835" s="227" t="s">
        <v>1725</v>
      </c>
      <c r="M835" t="s">
        <v>1738</v>
      </c>
      <c r="N835" s="211">
        <v>-17.5</v>
      </c>
      <c r="O835" s="211">
        <v>-17.5</v>
      </c>
      <c r="P835" s="211">
        <v>6.2</v>
      </c>
      <c r="S835" s="211">
        <v>2.8</v>
      </c>
    </row>
    <row r="836" spans="1:19" ht="19">
      <c r="A836" s="212" t="s">
        <v>579</v>
      </c>
      <c r="B836" s="212" t="s">
        <v>580</v>
      </c>
      <c r="C836" s="233" t="s">
        <v>585</v>
      </c>
      <c r="D836" s="234" t="s">
        <v>151</v>
      </c>
      <c r="E836" s="212">
        <v>41229</v>
      </c>
      <c r="F836" s="212">
        <v>17040</v>
      </c>
      <c r="G836" s="212" t="s">
        <v>1723</v>
      </c>
      <c r="H836" s="212" t="s">
        <v>1811</v>
      </c>
      <c r="I836" s="212" t="s">
        <v>1137</v>
      </c>
      <c r="J836" s="212" t="s">
        <v>225</v>
      </c>
      <c r="K836" s="227" t="s">
        <v>269</v>
      </c>
      <c r="L836" s="227" t="s">
        <v>1725</v>
      </c>
      <c r="M836" t="s">
        <v>1738</v>
      </c>
      <c r="N836" s="211">
        <v>-18.5</v>
      </c>
      <c r="O836" s="211">
        <v>-18.5</v>
      </c>
      <c r="P836" s="211">
        <v>3.7</v>
      </c>
      <c r="S836" s="211">
        <v>2.8</v>
      </c>
    </row>
    <row r="837" spans="1:19" ht="19">
      <c r="A837" s="212" t="s">
        <v>579</v>
      </c>
      <c r="B837" s="212" t="s">
        <v>580</v>
      </c>
      <c r="C837" s="233" t="s">
        <v>585</v>
      </c>
      <c r="D837" s="234" t="s">
        <v>151</v>
      </c>
      <c r="E837" s="212">
        <v>41229</v>
      </c>
      <c r="F837" s="212">
        <v>17041</v>
      </c>
      <c r="G837" s="212" t="s">
        <v>1723</v>
      </c>
      <c r="H837" s="212" t="s">
        <v>1811</v>
      </c>
      <c r="I837" s="212" t="s">
        <v>1137</v>
      </c>
      <c r="J837" s="212" t="s">
        <v>225</v>
      </c>
      <c r="K837" s="227" t="s">
        <v>269</v>
      </c>
      <c r="L837" s="227" t="s">
        <v>1725</v>
      </c>
      <c r="M837" t="s">
        <v>1750</v>
      </c>
      <c r="N837" s="211">
        <v>-16.100000000000001</v>
      </c>
      <c r="O837" s="211">
        <v>-16.100000000000001</v>
      </c>
      <c r="P837" s="211">
        <v>5.2</v>
      </c>
      <c r="S837" s="211">
        <v>2.9</v>
      </c>
    </row>
    <row r="838" spans="1:19" ht="19">
      <c r="A838" s="212" t="s">
        <v>579</v>
      </c>
      <c r="B838" s="212" t="s">
        <v>580</v>
      </c>
      <c r="C838" s="233" t="s">
        <v>585</v>
      </c>
      <c r="D838" s="234" t="s">
        <v>151</v>
      </c>
      <c r="E838" s="212">
        <v>41229</v>
      </c>
      <c r="F838" s="212">
        <v>17042</v>
      </c>
      <c r="G838" s="212" t="s">
        <v>1723</v>
      </c>
      <c r="H838" s="212" t="s">
        <v>1811</v>
      </c>
      <c r="I838" s="212" t="s">
        <v>1137</v>
      </c>
      <c r="J838" s="212" t="s">
        <v>225</v>
      </c>
      <c r="K838" s="227" t="s">
        <v>269</v>
      </c>
      <c r="L838" s="227" t="s">
        <v>1725</v>
      </c>
      <c r="M838" t="s">
        <v>1738</v>
      </c>
      <c r="N838" s="211">
        <v>-18.100000000000001</v>
      </c>
      <c r="O838" s="211">
        <v>-18.100000000000001</v>
      </c>
      <c r="P838" s="211">
        <v>6</v>
      </c>
      <c r="S838" s="211">
        <v>2.8</v>
      </c>
    </row>
    <row r="839" spans="1:19" ht="19">
      <c r="A839" s="212" t="s">
        <v>579</v>
      </c>
      <c r="B839" s="212" t="s">
        <v>580</v>
      </c>
      <c r="C839" s="233" t="s">
        <v>585</v>
      </c>
      <c r="D839" s="234" t="s">
        <v>151</v>
      </c>
      <c r="E839" s="212">
        <v>41229</v>
      </c>
      <c r="F839" s="212">
        <v>17044</v>
      </c>
      <c r="G839" s="212" t="s">
        <v>1723</v>
      </c>
      <c r="H839" s="212" t="s">
        <v>1811</v>
      </c>
      <c r="I839" s="212" t="s">
        <v>1137</v>
      </c>
      <c r="J839" s="212" t="s">
        <v>225</v>
      </c>
      <c r="K839" s="227" t="s">
        <v>269</v>
      </c>
      <c r="L839" s="227" t="s">
        <v>1725</v>
      </c>
      <c r="M839" t="s">
        <v>1738</v>
      </c>
      <c r="N839" s="211">
        <v>-15.5</v>
      </c>
      <c r="O839" s="211">
        <v>-15.5</v>
      </c>
      <c r="P839" s="211">
        <v>4.7</v>
      </c>
      <c r="S839" s="211">
        <v>2.9</v>
      </c>
    </row>
    <row r="840" spans="1:19" ht="19">
      <c r="A840" s="212" t="s">
        <v>579</v>
      </c>
      <c r="B840" s="212" t="s">
        <v>580</v>
      </c>
      <c r="C840" s="233" t="s">
        <v>585</v>
      </c>
      <c r="D840" s="234" t="s">
        <v>151</v>
      </c>
      <c r="E840" s="212">
        <v>41229</v>
      </c>
      <c r="F840" s="212">
        <v>17045</v>
      </c>
      <c r="G840" s="212" t="s">
        <v>1723</v>
      </c>
      <c r="H840" s="212" t="s">
        <v>1811</v>
      </c>
      <c r="I840" s="212" t="s">
        <v>1137</v>
      </c>
      <c r="J840" s="212" t="s">
        <v>225</v>
      </c>
      <c r="K840" s="227" t="s">
        <v>269</v>
      </c>
      <c r="L840" s="227" t="s">
        <v>1725</v>
      </c>
      <c r="M840" t="s">
        <v>1738</v>
      </c>
      <c r="N840" s="211">
        <v>-13.7</v>
      </c>
      <c r="O840" s="211">
        <v>-13.7</v>
      </c>
      <c r="P840" s="211">
        <v>4.3</v>
      </c>
      <c r="S840" s="211">
        <v>3</v>
      </c>
    </row>
    <row r="841" spans="1:19" ht="19">
      <c r="A841" s="212" t="s">
        <v>579</v>
      </c>
      <c r="B841" s="212" t="s">
        <v>580</v>
      </c>
      <c r="C841" s="233" t="s">
        <v>585</v>
      </c>
      <c r="D841" s="234" t="s">
        <v>151</v>
      </c>
      <c r="E841" s="212">
        <v>41229</v>
      </c>
      <c r="F841" s="212">
        <v>17046</v>
      </c>
      <c r="G841" s="212" t="s">
        <v>1723</v>
      </c>
      <c r="H841" s="212" t="s">
        <v>1811</v>
      </c>
      <c r="I841" s="212" t="s">
        <v>1137</v>
      </c>
      <c r="J841" s="212" t="s">
        <v>225</v>
      </c>
      <c r="K841" s="227" t="s">
        <v>269</v>
      </c>
      <c r="L841" s="227" t="s">
        <v>1725</v>
      </c>
      <c r="M841" t="s">
        <v>1754</v>
      </c>
      <c r="N841" s="211">
        <v>-13.4</v>
      </c>
      <c r="O841" s="211">
        <v>-13.4</v>
      </c>
      <c r="P841" s="211">
        <v>4.9000000000000004</v>
      </c>
      <c r="S841" s="211">
        <v>2.9</v>
      </c>
    </row>
    <row r="842" spans="1:19" ht="19">
      <c r="A842" s="212" t="s">
        <v>579</v>
      </c>
      <c r="B842" s="212" t="s">
        <v>580</v>
      </c>
      <c r="C842" s="233" t="s">
        <v>585</v>
      </c>
      <c r="D842" s="234" t="s">
        <v>151</v>
      </c>
      <c r="E842" s="212">
        <v>41229</v>
      </c>
      <c r="F842" s="212">
        <v>17051</v>
      </c>
      <c r="G842" s="212" t="s">
        <v>1723</v>
      </c>
      <c r="H842" s="212" t="s">
        <v>1811</v>
      </c>
      <c r="I842" s="212" t="s">
        <v>1137</v>
      </c>
      <c r="J842" s="212" t="s">
        <v>225</v>
      </c>
      <c r="K842" s="227" t="s">
        <v>269</v>
      </c>
      <c r="L842" s="227" t="s">
        <v>1725</v>
      </c>
      <c r="M842" t="s">
        <v>1738</v>
      </c>
      <c r="N842" s="211">
        <v>-16.399999999999999</v>
      </c>
      <c r="O842" s="211">
        <v>-16.399999999999999</v>
      </c>
      <c r="P842" s="211">
        <v>5.5</v>
      </c>
      <c r="S842" s="211">
        <v>3</v>
      </c>
    </row>
    <row r="843" spans="1:19" ht="19">
      <c r="A843" s="212" t="s">
        <v>579</v>
      </c>
      <c r="B843" s="212" t="s">
        <v>580</v>
      </c>
      <c r="C843" s="233" t="s">
        <v>585</v>
      </c>
      <c r="D843" s="234" t="s">
        <v>151</v>
      </c>
      <c r="E843" s="212">
        <v>41229</v>
      </c>
      <c r="F843" s="212">
        <v>17052</v>
      </c>
      <c r="G843" s="212" t="s">
        <v>1723</v>
      </c>
      <c r="H843" s="212" t="s">
        <v>1811</v>
      </c>
      <c r="I843" s="212" t="s">
        <v>1137</v>
      </c>
      <c r="J843" s="212" t="s">
        <v>225</v>
      </c>
      <c r="K843" s="227" t="s">
        <v>269</v>
      </c>
      <c r="L843" s="227" t="s">
        <v>1725</v>
      </c>
      <c r="M843" t="s">
        <v>1738</v>
      </c>
      <c r="N843" s="211">
        <v>-17.7</v>
      </c>
      <c r="O843" s="211">
        <v>-17.7</v>
      </c>
      <c r="P843" s="211">
        <v>5.2</v>
      </c>
      <c r="S843" s="211">
        <v>3</v>
      </c>
    </row>
    <row r="844" spans="1:19" ht="19">
      <c r="A844" s="212" t="s">
        <v>579</v>
      </c>
      <c r="B844" s="212" t="s">
        <v>580</v>
      </c>
      <c r="C844" s="233" t="s">
        <v>585</v>
      </c>
      <c r="D844" s="234" t="s">
        <v>151</v>
      </c>
      <c r="E844" s="212">
        <v>41229</v>
      </c>
      <c r="F844" s="212">
        <v>17056</v>
      </c>
      <c r="G844" s="212" t="s">
        <v>1723</v>
      </c>
      <c r="H844" s="212" t="s">
        <v>1811</v>
      </c>
      <c r="I844" s="212" t="s">
        <v>1137</v>
      </c>
      <c r="J844" s="212" t="s">
        <v>225</v>
      </c>
      <c r="K844" s="227" t="s">
        <v>269</v>
      </c>
      <c r="L844" s="227" t="s">
        <v>1725</v>
      </c>
      <c r="M844" t="s">
        <v>1873</v>
      </c>
      <c r="N844" s="211">
        <v>-17</v>
      </c>
      <c r="O844" s="211">
        <v>-17</v>
      </c>
      <c r="P844" s="211">
        <v>5.7</v>
      </c>
      <c r="S844" s="211">
        <v>2.9</v>
      </c>
    </row>
    <row r="845" spans="1:19" ht="19">
      <c r="A845" s="212" t="s">
        <v>579</v>
      </c>
      <c r="B845" s="212" t="s">
        <v>580</v>
      </c>
      <c r="C845" s="233" t="s">
        <v>585</v>
      </c>
      <c r="D845" s="234" t="s">
        <v>151</v>
      </c>
      <c r="E845" s="212">
        <v>41229</v>
      </c>
      <c r="F845" s="212">
        <v>17058</v>
      </c>
      <c r="G845" s="212" t="s">
        <v>1723</v>
      </c>
      <c r="H845" s="212" t="s">
        <v>1811</v>
      </c>
      <c r="I845" s="212" t="s">
        <v>1137</v>
      </c>
      <c r="J845" s="212" t="s">
        <v>225</v>
      </c>
      <c r="K845" s="227" t="s">
        <v>269</v>
      </c>
      <c r="L845" s="227" t="s">
        <v>1725</v>
      </c>
      <c r="M845" t="s">
        <v>1784</v>
      </c>
      <c r="N845" s="211">
        <v>-16.399999999999999</v>
      </c>
      <c r="O845" s="211">
        <v>-16.399999999999999</v>
      </c>
      <c r="P845" s="211">
        <v>5.2</v>
      </c>
      <c r="S845" s="211">
        <v>2.7</v>
      </c>
    </row>
    <row r="846" spans="1:19" ht="19">
      <c r="A846" s="212" t="s">
        <v>579</v>
      </c>
      <c r="B846" s="212" t="s">
        <v>580</v>
      </c>
      <c r="C846" s="233" t="s">
        <v>585</v>
      </c>
      <c r="D846" s="234" t="s">
        <v>151</v>
      </c>
      <c r="E846" s="236">
        <v>41229</v>
      </c>
      <c r="F846" s="236">
        <v>17061</v>
      </c>
      <c r="G846" s="236" t="s">
        <v>1723</v>
      </c>
      <c r="H846" s="212" t="s">
        <v>1811</v>
      </c>
      <c r="I846" s="212" t="s">
        <v>1137</v>
      </c>
      <c r="J846" s="212" t="s">
        <v>225</v>
      </c>
      <c r="K846" s="227" t="s">
        <v>269</v>
      </c>
      <c r="L846" s="227" t="s">
        <v>1725</v>
      </c>
      <c r="M846" t="s">
        <v>1332</v>
      </c>
      <c r="N846" s="214">
        <v>-20.3</v>
      </c>
      <c r="O846" s="214">
        <v>-20.3</v>
      </c>
      <c r="P846" s="211">
        <v>3.1</v>
      </c>
      <c r="S846" s="211">
        <v>3</v>
      </c>
    </row>
    <row r="847" spans="1:19" ht="19">
      <c r="A847" s="212" t="s">
        <v>579</v>
      </c>
      <c r="B847" s="212" t="s">
        <v>580</v>
      </c>
      <c r="C847" s="233" t="s">
        <v>585</v>
      </c>
      <c r="D847" s="234" t="s">
        <v>151</v>
      </c>
      <c r="E847" s="212">
        <v>41229</v>
      </c>
      <c r="F847" s="212">
        <v>17063</v>
      </c>
      <c r="G847" s="212" t="s">
        <v>1723</v>
      </c>
      <c r="H847" s="212" t="s">
        <v>1811</v>
      </c>
      <c r="I847" s="212" t="s">
        <v>1137</v>
      </c>
      <c r="J847" s="212" t="s">
        <v>225</v>
      </c>
      <c r="K847" s="227" t="s">
        <v>269</v>
      </c>
      <c r="L847" s="227" t="s">
        <v>1725</v>
      </c>
      <c r="M847" t="s">
        <v>1738</v>
      </c>
      <c r="N847" s="211">
        <v>-17.600000000000001</v>
      </c>
      <c r="O847" s="211">
        <v>-17.600000000000001</v>
      </c>
      <c r="P847" s="211">
        <v>4.0999999999999996</v>
      </c>
      <c r="S847" s="211">
        <v>2.9</v>
      </c>
    </row>
    <row r="848" spans="1:19" ht="19">
      <c r="A848" s="212" t="s">
        <v>579</v>
      </c>
      <c r="B848" s="212" t="s">
        <v>580</v>
      </c>
      <c r="C848" s="233" t="s">
        <v>585</v>
      </c>
      <c r="D848" s="234" t="s">
        <v>151</v>
      </c>
      <c r="E848" s="212">
        <v>41229</v>
      </c>
      <c r="F848" s="212">
        <v>17066</v>
      </c>
      <c r="G848" s="212" t="s">
        <v>1723</v>
      </c>
      <c r="H848" s="212" t="s">
        <v>1811</v>
      </c>
      <c r="I848" s="212" t="s">
        <v>1137</v>
      </c>
      <c r="J848" s="212" t="s">
        <v>225</v>
      </c>
      <c r="K848" s="227" t="s">
        <v>269</v>
      </c>
      <c r="L848" s="227" t="s">
        <v>1725</v>
      </c>
      <c r="M848" t="s">
        <v>1738</v>
      </c>
      <c r="N848" s="211">
        <v>-18.399999999999999</v>
      </c>
      <c r="O848" s="211">
        <v>-18.399999999999999</v>
      </c>
      <c r="P848" s="211">
        <v>6.3</v>
      </c>
      <c r="S848" s="211">
        <v>3</v>
      </c>
    </row>
    <row r="849" spans="1:19" ht="19">
      <c r="A849" s="212" t="s">
        <v>579</v>
      </c>
      <c r="B849" s="212" t="s">
        <v>580</v>
      </c>
      <c r="C849" s="233" t="s">
        <v>585</v>
      </c>
      <c r="D849" s="234" t="s">
        <v>151</v>
      </c>
      <c r="E849" s="212">
        <v>41229</v>
      </c>
      <c r="F849" s="212">
        <v>17076</v>
      </c>
      <c r="G849" s="212" t="s">
        <v>1723</v>
      </c>
      <c r="H849" s="212" t="s">
        <v>1811</v>
      </c>
      <c r="I849" s="212" t="s">
        <v>1137</v>
      </c>
      <c r="J849" s="212" t="s">
        <v>225</v>
      </c>
      <c r="K849" s="227" t="s">
        <v>269</v>
      </c>
      <c r="L849" s="227" t="s">
        <v>1725</v>
      </c>
      <c r="M849" t="s">
        <v>1761</v>
      </c>
      <c r="N849" s="211">
        <v>-17.399999999999999</v>
      </c>
      <c r="O849" s="211">
        <v>-17.399999999999999</v>
      </c>
      <c r="P849" s="211">
        <v>3.8</v>
      </c>
      <c r="S849" s="211">
        <v>2.9</v>
      </c>
    </row>
    <row r="850" spans="1:19" ht="19">
      <c r="A850" s="212" t="s">
        <v>579</v>
      </c>
      <c r="B850" s="212" t="s">
        <v>580</v>
      </c>
      <c r="C850" s="233" t="s">
        <v>585</v>
      </c>
      <c r="D850" s="234" t="s">
        <v>151</v>
      </c>
      <c r="E850" s="212">
        <v>41229</v>
      </c>
      <c r="F850" s="212">
        <v>17077</v>
      </c>
      <c r="G850" s="212" t="s">
        <v>1723</v>
      </c>
      <c r="H850" s="212" t="s">
        <v>1811</v>
      </c>
      <c r="I850" s="212" t="s">
        <v>1137</v>
      </c>
      <c r="J850" s="212" t="s">
        <v>225</v>
      </c>
      <c r="K850" s="227" t="s">
        <v>269</v>
      </c>
      <c r="L850" s="227" t="s">
        <v>1725</v>
      </c>
      <c r="M850" t="s">
        <v>1869</v>
      </c>
      <c r="N850" s="211">
        <v>-16.600000000000001</v>
      </c>
      <c r="O850" s="211">
        <v>-16.600000000000001</v>
      </c>
      <c r="P850" s="211">
        <v>4.0999999999999996</v>
      </c>
      <c r="S850" s="211">
        <v>2.8</v>
      </c>
    </row>
    <row r="851" spans="1:19" ht="19">
      <c r="A851" s="212" t="s">
        <v>579</v>
      </c>
      <c r="B851" s="212" t="s">
        <v>580</v>
      </c>
      <c r="C851" s="233" t="s">
        <v>585</v>
      </c>
      <c r="D851" s="234" t="s">
        <v>151</v>
      </c>
      <c r="E851" s="212">
        <v>41229</v>
      </c>
      <c r="F851" s="212">
        <v>17078</v>
      </c>
      <c r="G851" s="212" t="s">
        <v>1723</v>
      </c>
      <c r="H851" s="212" t="s">
        <v>1811</v>
      </c>
      <c r="I851" s="212" t="s">
        <v>1137</v>
      </c>
      <c r="J851" s="212" t="s">
        <v>225</v>
      </c>
      <c r="K851" s="227" t="s">
        <v>269</v>
      </c>
      <c r="L851" s="227" t="s">
        <v>1725</v>
      </c>
      <c r="M851" t="s">
        <v>1738</v>
      </c>
      <c r="N851" s="211">
        <v>-21.3</v>
      </c>
      <c r="O851" s="211">
        <v>-21.3</v>
      </c>
      <c r="P851" s="211">
        <v>4.4000000000000004</v>
      </c>
      <c r="S851" s="211">
        <v>2.9</v>
      </c>
    </row>
    <row r="852" spans="1:19" ht="19">
      <c r="A852" s="212" t="s">
        <v>579</v>
      </c>
      <c r="B852" s="212" t="s">
        <v>580</v>
      </c>
      <c r="C852" s="233" t="s">
        <v>585</v>
      </c>
      <c r="D852" s="234" t="s">
        <v>151</v>
      </c>
      <c r="E852" s="212">
        <v>41229</v>
      </c>
      <c r="F852" s="212">
        <v>17079</v>
      </c>
      <c r="G852" s="212" t="s">
        <v>1723</v>
      </c>
      <c r="H852" s="212" t="s">
        <v>1811</v>
      </c>
      <c r="I852" s="212" t="s">
        <v>1137</v>
      </c>
      <c r="J852" s="212" t="s">
        <v>225</v>
      </c>
      <c r="K852" s="227" t="s">
        <v>269</v>
      </c>
      <c r="L852" s="227" t="s">
        <v>1725</v>
      </c>
      <c r="M852" t="s">
        <v>1738</v>
      </c>
      <c r="N852" s="211">
        <v>-20</v>
      </c>
      <c r="O852" s="211">
        <v>-20</v>
      </c>
      <c r="P852" s="211">
        <v>5.9</v>
      </c>
      <c r="S852" s="211">
        <v>2.9</v>
      </c>
    </row>
    <row r="853" spans="1:19" ht="19">
      <c r="A853" s="212" t="s">
        <v>579</v>
      </c>
      <c r="B853" s="212" t="s">
        <v>580</v>
      </c>
      <c r="C853" s="233" t="s">
        <v>585</v>
      </c>
      <c r="D853" s="234" t="s">
        <v>151</v>
      </c>
      <c r="E853" s="236">
        <v>41229</v>
      </c>
      <c r="F853" s="236">
        <v>17081</v>
      </c>
      <c r="G853" s="236" t="s">
        <v>1723</v>
      </c>
      <c r="H853" s="212" t="s">
        <v>1811</v>
      </c>
      <c r="I853" s="212" t="s">
        <v>1137</v>
      </c>
      <c r="J853" s="212" t="s">
        <v>225</v>
      </c>
      <c r="K853" s="227" t="s">
        <v>269</v>
      </c>
      <c r="L853" s="227" t="s">
        <v>1725</v>
      </c>
      <c r="M853" t="s">
        <v>1805</v>
      </c>
      <c r="N853" s="214">
        <v>-19.100000000000001</v>
      </c>
      <c r="O853" s="214">
        <v>-19.100000000000001</v>
      </c>
      <c r="P853" s="211">
        <v>5.3</v>
      </c>
      <c r="S853" s="211">
        <v>2.9</v>
      </c>
    </row>
    <row r="854" spans="1:19" ht="19">
      <c r="A854" s="212" t="s">
        <v>579</v>
      </c>
      <c r="B854" s="212" t="s">
        <v>580</v>
      </c>
      <c r="C854" s="233" t="s">
        <v>585</v>
      </c>
      <c r="D854" s="234" t="s">
        <v>151</v>
      </c>
      <c r="E854" s="212">
        <v>41229</v>
      </c>
      <c r="F854" s="212">
        <v>17083</v>
      </c>
      <c r="G854" s="212" t="s">
        <v>1723</v>
      </c>
      <c r="H854" s="212" t="s">
        <v>1811</v>
      </c>
      <c r="I854" s="212" t="s">
        <v>1137</v>
      </c>
      <c r="J854" s="212" t="s">
        <v>225</v>
      </c>
      <c r="K854" s="227" t="s">
        <v>269</v>
      </c>
      <c r="L854" s="227" t="s">
        <v>1725</v>
      </c>
      <c r="M854" t="s">
        <v>1738</v>
      </c>
      <c r="N854" s="211">
        <v>-17.100000000000001</v>
      </c>
      <c r="O854" s="211">
        <v>-17.100000000000001</v>
      </c>
      <c r="P854" s="211">
        <v>4</v>
      </c>
      <c r="S854" s="211">
        <v>3</v>
      </c>
    </row>
    <row r="855" spans="1:19" ht="19">
      <c r="A855" s="212" t="s">
        <v>579</v>
      </c>
      <c r="B855" s="212" t="s">
        <v>580</v>
      </c>
      <c r="C855" s="233" t="s">
        <v>585</v>
      </c>
      <c r="D855" s="234" t="s">
        <v>151</v>
      </c>
      <c r="E855" s="212">
        <v>41229</v>
      </c>
      <c r="F855" s="212">
        <v>17084</v>
      </c>
      <c r="G855" s="212" t="s">
        <v>1723</v>
      </c>
      <c r="H855" s="212" t="s">
        <v>1811</v>
      </c>
      <c r="I855" s="212" t="s">
        <v>1137</v>
      </c>
      <c r="J855" s="212" t="s">
        <v>225</v>
      </c>
      <c r="K855" s="227" t="s">
        <v>269</v>
      </c>
      <c r="L855" s="227" t="s">
        <v>1725</v>
      </c>
      <c r="M855" t="s">
        <v>1738</v>
      </c>
      <c r="N855" s="211">
        <v>-21.2</v>
      </c>
      <c r="O855" s="211">
        <v>-21.2</v>
      </c>
      <c r="P855" s="211">
        <v>4.7</v>
      </c>
      <c r="S855" s="211">
        <v>2.9</v>
      </c>
    </row>
    <row r="856" spans="1:19" ht="19">
      <c r="A856" s="212" t="s">
        <v>579</v>
      </c>
      <c r="B856" s="212" t="s">
        <v>580</v>
      </c>
      <c r="C856" s="233" t="s">
        <v>585</v>
      </c>
      <c r="D856" s="234" t="s">
        <v>151</v>
      </c>
      <c r="E856" s="212">
        <v>41229</v>
      </c>
      <c r="F856" s="212">
        <v>17086</v>
      </c>
      <c r="G856" s="212" t="s">
        <v>1723</v>
      </c>
      <c r="H856" s="212" t="s">
        <v>1811</v>
      </c>
      <c r="I856" s="212" t="s">
        <v>1137</v>
      </c>
      <c r="J856" s="212" t="s">
        <v>225</v>
      </c>
      <c r="K856" s="227" t="s">
        <v>269</v>
      </c>
      <c r="L856" s="227" t="s">
        <v>1725</v>
      </c>
      <c r="M856" t="s">
        <v>1738</v>
      </c>
      <c r="N856" s="211">
        <v>-17</v>
      </c>
      <c r="O856" s="211">
        <v>-17</v>
      </c>
      <c r="P856" s="211">
        <v>5.6</v>
      </c>
      <c r="S856" s="211">
        <v>2.8</v>
      </c>
    </row>
    <row r="857" spans="1:19" ht="19">
      <c r="A857" s="212" t="s">
        <v>579</v>
      </c>
      <c r="B857" s="212" t="s">
        <v>580</v>
      </c>
      <c r="C857" s="233" t="s">
        <v>585</v>
      </c>
      <c r="D857" s="234" t="s">
        <v>151</v>
      </c>
      <c r="E857" s="212">
        <v>41229</v>
      </c>
      <c r="F857" s="212">
        <v>17087</v>
      </c>
      <c r="G857" s="212" t="s">
        <v>1723</v>
      </c>
      <c r="H857" s="212" t="s">
        <v>1811</v>
      </c>
      <c r="I857" s="212" t="s">
        <v>1137</v>
      </c>
      <c r="J857" s="212" t="s">
        <v>225</v>
      </c>
      <c r="K857" s="227" t="s">
        <v>269</v>
      </c>
      <c r="L857" s="227" t="s">
        <v>1725</v>
      </c>
      <c r="M857" t="s">
        <v>1738</v>
      </c>
      <c r="N857" s="211">
        <v>-18.600000000000001</v>
      </c>
      <c r="O857" s="211">
        <v>-18.600000000000001</v>
      </c>
      <c r="P857" s="211">
        <v>7.6</v>
      </c>
      <c r="S857" s="211">
        <v>2.8</v>
      </c>
    </row>
    <row r="858" spans="1:19" ht="19">
      <c r="A858" s="212" t="s">
        <v>579</v>
      </c>
      <c r="B858" s="212" t="s">
        <v>580</v>
      </c>
      <c r="C858" s="233" t="s">
        <v>585</v>
      </c>
      <c r="D858" s="234" t="s">
        <v>151</v>
      </c>
      <c r="E858" s="212">
        <v>41229</v>
      </c>
      <c r="F858" s="212">
        <v>17089</v>
      </c>
      <c r="G858" s="212" t="s">
        <v>1723</v>
      </c>
      <c r="H858" s="212" t="s">
        <v>1811</v>
      </c>
      <c r="I858" s="212" t="s">
        <v>1137</v>
      </c>
      <c r="J858" s="212" t="s">
        <v>225</v>
      </c>
      <c r="K858" s="227" t="s">
        <v>269</v>
      </c>
      <c r="L858" s="227" t="s">
        <v>1725</v>
      </c>
      <c r="M858" t="s">
        <v>1738</v>
      </c>
      <c r="N858" s="211">
        <v>-16.7</v>
      </c>
      <c r="O858" s="211">
        <v>-16.7</v>
      </c>
      <c r="P858" s="211">
        <v>7.8</v>
      </c>
      <c r="S858" s="211">
        <v>2.9</v>
      </c>
    </row>
    <row r="859" spans="1:19" ht="19">
      <c r="A859" s="212" t="s">
        <v>579</v>
      </c>
      <c r="B859" s="212" t="s">
        <v>580</v>
      </c>
      <c r="C859" s="233" t="s">
        <v>585</v>
      </c>
      <c r="D859" s="234" t="s">
        <v>151</v>
      </c>
      <c r="E859" s="212">
        <v>41229</v>
      </c>
      <c r="F859" s="212">
        <v>17091</v>
      </c>
      <c r="G859" s="212" t="s">
        <v>1723</v>
      </c>
      <c r="H859" s="212" t="s">
        <v>1811</v>
      </c>
      <c r="I859" s="212" t="s">
        <v>1137</v>
      </c>
      <c r="J859" s="212" t="s">
        <v>225</v>
      </c>
      <c r="K859" s="227" t="s">
        <v>269</v>
      </c>
      <c r="L859" s="227" t="s">
        <v>1725</v>
      </c>
      <c r="M859" t="s">
        <v>1784</v>
      </c>
      <c r="N859" s="211">
        <v>-17.399999999999999</v>
      </c>
      <c r="O859" s="211">
        <v>-17.399999999999999</v>
      </c>
      <c r="P859" s="211">
        <v>4</v>
      </c>
      <c r="S859" s="211">
        <v>2.9</v>
      </c>
    </row>
    <row r="860" spans="1:19" ht="19">
      <c r="A860" s="212" t="s">
        <v>579</v>
      </c>
      <c r="B860" s="212" t="s">
        <v>580</v>
      </c>
      <c r="C860" s="233" t="s">
        <v>585</v>
      </c>
      <c r="D860" s="234" t="s">
        <v>151</v>
      </c>
      <c r="E860" s="236">
        <v>41229</v>
      </c>
      <c r="F860" s="236">
        <v>17108</v>
      </c>
      <c r="G860" s="236" t="s">
        <v>1723</v>
      </c>
      <c r="H860" s="212" t="s">
        <v>1811</v>
      </c>
      <c r="I860" s="212" t="s">
        <v>1137</v>
      </c>
      <c r="J860" s="212" t="s">
        <v>225</v>
      </c>
      <c r="K860" s="227" t="s">
        <v>269</v>
      </c>
      <c r="L860" s="227" t="s">
        <v>1725</v>
      </c>
      <c r="M860" t="s">
        <v>1738</v>
      </c>
      <c r="N860" s="214">
        <v>-9.9</v>
      </c>
      <c r="O860" s="214">
        <v>-9.9</v>
      </c>
      <c r="P860" s="211">
        <v>6.8</v>
      </c>
      <c r="S860" s="211">
        <v>3</v>
      </c>
    </row>
    <row r="861" spans="1:19" ht="19">
      <c r="A861" s="212" t="s">
        <v>579</v>
      </c>
      <c r="B861" s="212" t="s">
        <v>580</v>
      </c>
      <c r="C861" s="233" t="s">
        <v>585</v>
      </c>
      <c r="D861" s="234" t="s">
        <v>151</v>
      </c>
      <c r="E861" s="212">
        <v>41229</v>
      </c>
      <c r="F861" s="212">
        <v>17116</v>
      </c>
      <c r="G861" s="212" t="s">
        <v>1723</v>
      </c>
      <c r="H861" s="212" t="s">
        <v>1811</v>
      </c>
      <c r="I861" s="212" t="s">
        <v>1137</v>
      </c>
      <c r="J861" s="212" t="s">
        <v>225</v>
      </c>
      <c r="K861" s="227" t="s">
        <v>269</v>
      </c>
      <c r="L861" s="227" t="s">
        <v>1725</v>
      </c>
      <c r="M861" t="s">
        <v>1738</v>
      </c>
      <c r="N861" s="211">
        <v>-17.899999999999999</v>
      </c>
      <c r="O861" s="211">
        <v>-17.899999999999999</v>
      </c>
      <c r="P861" s="211">
        <v>4.8</v>
      </c>
      <c r="S861" s="211">
        <v>2.9</v>
      </c>
    </row>
    <row r="862" spans="1:19" ht="19">
      <c r="A862" s="212" t="s">
        <v>579</v>
      </c>
      <c r="B862" s="212" t="s">
        <v>580</v>
      </c>
      <c r="C862" s="233" t="s">
        <v>585</v>
      </c>
      <c r="D862" s="234" t="s">
        <v>151</v>
      </c>
      <c r="E862" s="212">
        <v>41229</v>
      </c>
      <c r="F862" s="212">
        <v>17118</v>
      </c>
      <c r="G862" s="212" t="s">
        <v>1723</v>
      </c>
      <c r="H862" s="212" t="s">
        <v>1811</v>
      </c>
      <c r="I862" s="212" t="s">
        <v>1137</v>
      </c>
      <c r="J862" s="212" t="s">
        <v>225</v>
      </c>
      <c r="K862" s="227" t="s">
        <v>269</v>
      </c>
      <c r="L862" s="227" t="s">
        <v>1725</v>
      </c>
      <c r="M862" t="s">
        <v>1738</v>
      </c>
      <c r="N862" s="211">
        <v>-17.5</v>
      </c>
      <c r="O862" s="211">
        <v>-17.5</v>
      </c>
      <c r="P862" s="211">
        <v>5.5</v>
      </c>
      <c r="S862" s="211">
        <v>2.9</v>
      </c>
    </row>
    <row r="863" spans="1:19" ht="19">
      <c r="A863" s="212" t="s">
        <v>579</v>
      </c>
      <c r="B863" s="212" t="s">
        <v>580</v>
      </c>
      <c r="C863" s="233" t="s">
        <v>585</v>
      </c>
      <c r="D863" s="234" t="s">
        <v>151</v>
      </c>
      <c r="E863" s="212">
        <v>41229</v>
      </c>
      <c r="F863" s="212">
        <v>17119</v>
      </c>
      <c r="G863" s="212" t="s">
        <v>1723</v>
      </c>
      <c r="H863" s="212" t="s">
        <v>1811</v>
      </c>
      <c r="I863" s="212" t="s">
        <v>1137</v>
      </c>
      <c r="J863" s="212" t="s">
        <v>225</v>
      </c>
      <c r="K863" s="227" t="s">
        <v>269</v>
      </c>
      <c r="L863" s="227" t="s">
        <v>1725</v>
      </c>
      <c r="M863" t="s">
        <v>1738</v>
      </c>
      <c r="N863" s="211">
        <v>-12.2</v>
      </c>
      <c r="O863" s="211">
        <v>-12.2</v>
      </c>
      <c r="P863" s="211">
        <v>6.2</v>
      </c>
      <c r="S863" s="211">
        <v>3</v>
      </c>
    </row>
    <row r="864" spans="1:19" ht="19">
      <c r="A864" s="212" t="s">
        <v>579</v>
      </c>
      <c r="B864" s="212" t="s">
        <v>580</v>
      </c>
      <c r="C864" s="233" t="s">
        <v>585</v>
      </c>
      <c r="D864" s="234" t="s">
        <v>151</v>
      </c>
      <c r="E864" s="212">
        <v>41229</v>
      </c>
      <c r="F864" s="212">
        <v>17120</v>
      </c>
      <c r="G864" s="212" t="s">
        <v>1723</v>
      </c>
      <c r="H864" s="212" t="s">
        <v>1811</v>
      </c>
      <c r="I864" s="212" t="s">
        <v>1137</v>
      </c>
      <c r="J864" s="212" t="s">
        <v>225</v>
      </c>
      <c r="K864" s="227" t="s">
        <v>269</v>
      </c>
      <c r="L864" s="227" t="s">
        <v>1725</v>
      </c>
      <c r="M864" t="s">
        <v>1738</v>
      </c>
      <c r="N864" s="211">
        <v>-17.5</v>
      </c>
      <c r="O864" s="211">
        <v>-17.5</v>
      </c>
      <c r="P864" s="211">
        <v>4</v>
      </c>
      <c r="S864" s="211">
        <v>2.8</v>
      </c>
    </row>
    <row r="865" spans="1:19" ht="19">
      <c r="A865" s="212" t="s">
        <v>579</v>
      </c>
      <c r="B865" s="212" t="s">
        <v>580</v>
      </c>
      <c r="C865" s="233" t="s">
        <v>585</v>
      </c>
      <c r="D865" s="234" t="s">
        <v>151</v>
      </c>
      <c r="E865" s="212">
        <v>41229</v>
      </c>
      <c r="F865" s="212">
        <v>17122</v>
      </c>
      <c r="G865" s="212" t="s">
        <v>1723</v>
      </c>
      <c r="H865" s="212" t="s">
        <v>1811</v>
      </c>
      <c r="I865" s="212" t="s">
        <v>1137</v>
      </c>
      <c r="J865" s="212" t="s">
        <v>225</v>
      </c>
      <c r="K865" s="227" t="s">
        <v>269</v>
      </c>
      <c r="L865" s="227" t="s">
        <v>1725</v>
      </c>
      <c r="M865" t="s">
        <v>1758</v>
      </c>
      <c r="N865" s="211">
        <v>-20.399999999999999</v>
      </c>
      <c r="O865" s="211">
        <v>-20.399999999999999</v>
      </c>
      <c r="P865" s="211">
        <v>4.2</v>
      </c>
      <c r="S865" s="211">
        <v>2.8</v>
      </c>
    </row>
    <row r="866" spans="1:19" ht="19">
      <c r="A866" s="212" t="s">
        <v>579</v>
      </c>
      <c r="B866" s="212" t="s">
        <v>580</v>
      </c>
      <c r="C866" s="233" t="s">
        <v>585</v>
      </c>
      <c r="D866" s="234" t="s">
        <v>151</v>
      </c>
      <c r="E866" s="236">
        <v>41229</v>
      </c>
      <c r="F866" s="236">
        <v>17123</v>
      </c>
      <c r="G866" s="236" t="s">
        <v>1723</v>
      </c>
      <c r="H866" s="212" t="s">
        <v>1811</v>
      </c>
      <c r="I866" s="212" t="s">
        <v>1137</v>
      </c>
      <c r="J866" s="212" t="s">
        <v>225</v>
      </c>
      <c r="K866" s="227" t="s">
        <v>269</v>
      </c>
      <c r="L866" s="227" t="s">
        <v>1725</v>
      </c>
      <c r="M866" t="s">
        <v>1869</v>
      </c>
      <c r="N866" s="214">
        <v>-14.3</v>
      </c>
      <c r="O866" s="214">
        <v>-14.3</v>
      </c>
      <c r="P866" s="211">
        <v>4.9000000000000004</v>
      </c>
      <c r="S866" s="211">
        <v>2.9</v>
      </c>
    </row>
    <row r="867" spans="1:19" ht="19">
      <c r="A867" s="212" t="s">
        <v>579</v>
      </c>
      <c r="B867" s="212" t="s">
        <v>580</v>
      </c>
      <c r="C867" s="233" t="s">
        <v>585</v>
      </c>
      <c r="D867" s="234" t="s">
        <v>151</v>
      </c>
      <c r="E867" s="212">
        <v>41229</v>
      </c>
      <c r="F867" s="212">
        <v>17129</v>
      </c>
      <c r="G867" s="212" t="s">
        <v>1723</v>
      </c>
      <c r="H867" s="212" t="s">
        <v>1811</v>
      </c>
      <c r="I867" s="212" t="s">
        <v>1137</v>
      </c>
      <c r="J867" s="212" t="s">
        <v>225</v>
      </c>
      <c r="K867" s="227" t="s">
        <v>269</v>
      </c>
      <c r="L867" s="227" t="s">
        <v>1725</v>
      </c>
      <c r="M867" t="s">
        <v>1738</v>
      </c>
      <c r="N867" s="211">
        <v>-15.4</v>
      </c>
      <c r="O867" s="211">
        <v>-15.4</v>
      </c>
      <c r="P867" s="211">
        <v>6</v>
      </c>
      <c r="S867" s="211">
        <v>2.8</v>
      </c>
    </row>
    <row r="868" spans="1:19" ht="19">
      <c r="A868" s="212" t="s">
        <v>579</v>
      </c>
      <c r="B868" s="212" t="s">
        <v>580</v>
      </c>
      <c r="C868" s="233" t="s">
        <v>585</v>
      </c>
      <c r="D868" s="234" t="s">
        <v>151</v>
      </c>
      <c r="E868" s="212">
        <v>41229</v>
      </c>
      <c r="F868" s="212">
        <v>17131</v>
      </c>
      <c r="G868" s="212" t="s">
        <v>1723</v>
      </c>
      <c r="H868" s="212" t="s">
        <v>1811</v>
      </c>
      <c r="I868" s="212" t="s">
        <v>1137</v>
      </c>
      <c r="J868" s="212" t="s">
        <v>225</v>
      </c>
      <c r="K868" s="227" t="s">
        <v>269</v>
      </c>
      <c r="L868" s="227" t="s">
        <v>1725</v>
      </c>
      <c r="M868" t="s">
        <v>1738</v>
      </c>
      <c r="N868" s="211">
        <v>-16.899999999999999</v>
      </c>
      <c r="O868" s="211">
        <v>-16.899999999999999</v>
      </c>
      <c r="P868" s="211">
        <v>4.5999999999999996</v>
      </c>
      <c r="S868" s="211">
        <v>2.9</v>
      </c>
    </row>
    <row r="869" spans="1:19" ht="19">
      <c r="A869" s="212" t="s">
        <v>579</v>
      </c>
      <c r="B869" s="212" t="s">
        <v>580</v>
      </c>
      <c r="C869" s="233" t="s">
        <v>585</v>
      </c>
      <c r="D869" s="234" t="s">
        <v>151</v>
      </c>
      <c r="E869" s="212">
        <v>41229</v>
      </c>
      <c r="F869" s="212">
        <v>17137</v>
      </c>
      <c r="G869" s="212" t="s">
        <v>1723</v>
      </c>
      <c r="H869" s="212" t="s">
        <v>1811</v>
      </c>
      <c r="I869" s="212" t="s">
        <v>1137</v>
      </c>
      <c r="J869" s="212" t="s">
        <v>225</v>
      </c>
      <c r="K869" s="227" t="s">
        <v>269</v>
      </c>
      <c r="L869" s="227" t="s">
        <v>1725</v>
      </c>
      <c r="M869" t="s">
        <v>1738</v>
      </c>
      <c r="N869" s="211">
        <v>-16</v>
      </c>
      <c r="O869" s="211">
        <v>-16</v>
      </c>
      <c r="P869" s="211">
        <v>4.5999999999999996</v>
      </c>
      <c r="S869" s="211">
        <v>2.9</v>
      </c>
    </row>
    <row r="870" spans="1:19" ht="19">
      <c r="A870" s="212" t="s">
        <v>579</v>
      </c>
      <c r="B870" s="212" t="s">
        <v>580</v>
      </c>
      <c r="C870" s="233" t="s">
        <v>585</v>
      </c>
      <c r="D870" s="234" t="s">
        <v>151</v>
      </c>
      <c r="E870" s="212">
        <v>41229</v>
      </c>
      <c r="F870" s="212">
        <v>17138</v>
      </c>
      <c r="G870" s="212" t="s">
        <v>1723</v>
      </c>
      <c r="H870" s="212" t="s">
        <v>1811</v>
      </c>
      <c r="I870" s="212" t="s">
        <v>1137</v>
      </c>
      <c r="J870" s="212" t="s">
        <v>225</v>
      </c>
      <c r="K870" s="227" t="s">
        <v>269</v>
      </c>
      <c r="L870" s="227" t="s">
        <v>1725</v>
      </c>
      <c r="M870" t="s">
        <v>1738</v>
      </c>
      <c r="N870" s="211">
        <v>-14.6</v>
      </c>
      <c r="O870" s="211">
        <v>-14.6</v>
      </c>
      <c r="P870" s="211">
        <v>6.1</v>
      </c>
      <c r="S870" s="211">
        <v>2.9</v>
      </c>
    </row>
    <row r="871" spans="1:19" ht="19">
      <c r="A871" s="212" t="s">
        <v>579</v>
      </c>
      <c r="B871" s="212" t="s">
        <v>580</v>
      </c>
      <c r="C871" s="233" t="s">
        <v>585</v>
      </c>
      <c r="D871" s="234" t="s">
        <v>151</v>
      </c>
      <c r="E871" s="212">
        <v>41229</v>
      </c>
      <c r="F871" s="212">
        <v>17142</v>
      </c>
      <c r="G871" s="212" t="s">
        <v>1723</v>
      </c>
      <c r="H871" s="212" t="s">
        <v>1811</v>
      </c>
      <c r="I871" s="212" t="s">
        <v>1137</v>
      </c>
      <c r="J871" s="212" t="s">
        <v>225</v>
      </c>
      <c r="K871" s="227" t="s">
        <v>269</v>
      </c>
      <c r="L871" s="227" t="s">
        <v>1725</v>
      </c>
      <c r="M871" t="s">
        <v>1738</v>
      </c>
      <c r="N871" s="211">
        <v>-17.899999999999999</v>
      </c>
      <c r="O871" s="211">
        <v>-17.899999999999999</v>
      </c>
      <c r="P871" s="211">
        <v>3.8</v>
      </c>
      <c r="S871" s="211">
        <v>2.9</v>
      </c>
    </row>
    <row r="872" spans="1:19" ht="19">
      <c r="A872" s="212" t="s">
        <v>579</v>
      </c>
      <c r="B872" s="212" t="s">
        <v>580</v>
      </c>
      <c r="C872" s="233" t="s">
        <v>585</v>
      </c>
      <c r="D872" s="234" t="s">
        <v>151</v>
      </c>
      <c r="E872" s="212">
        <v>41229</v>
      </c>
      <c r="F872" s="212">
        <v>17143</v>
      </c>
      <c r="G872" s="212" t="s">
        <v>1723</v>
      </c>
      <c r="H872" s="212" t="s">
        <v>1811</v>
      </c>
      <c r="I872" s="212" t="s">
        <v>1137</v>
      </c>
      <c r="J872" s="212" t="s">
        <v>225</v>
      </c>
      <c r="K872" s="227" t="s">
        <v>269</v>
      </c>
      <c r="L872" s="227" t="s">
        <v>1725</v>
      </c>
      <c r="M872" t="s">
        <v>1738</v>
      </c>
      <c r="N872" s="211">
        <v>-13.1</v>
      </c>
      <c r="O872" s="211">
        <v>-13.1</v>
      </c>
      <c r="P872" s="211">
        <v>6.6</v>
      </c>
      <c r="S872" s="211">
        <v>3</v>
      </c>
    </row>
    <row r="873" spans="1:19" ht="19">
      <c r="A873" s="212" t="s">
        <v>579</v>
      </c>
      <c r="B873" s="212" t="s">
        <v>580</v>
      </c>
      <c r="C873" s="233" t="s">
        <v>585</v>
      </c>
      <c r="D873" s="234" t="s">
        <v>151</v>
      </c>
      <c r="E873" s="212">
        <v>41229</v>
      </c>
      <c r="F873" s="212">
        <v>17144</v>
      </c>
      <c r="G873" s="212" t="s">
        <v>1723</v>
      </c>
      <c r="H873" s="212" t="s">
        <v>1811</v>
      </c>
      <c r="I873" s="212" t="s">
        <v>1137</v>
      </c>
      <c r="J873" s="212" t="s">
        <v>225</v>
      </c>
      <c r="K873" s="227" t="s">
        <v>269</v>
      </c>
      <c r="L873" s="227" t="s">
        <v>1725</v>
      </c>
      <c r="M873" t="s">
        <v>1738</v>
      </c>
      <c r="N873" s="211">
        <v>-13.5</v>
      </c>
      <c r="O873" s="211">
        <v>-13.5</v>
      </c>
      <c r="P873" s="211">
        <v>4.0999999999999996</v>
      </c>
      <c r="S873" s="211">
        <v>3.1</v>
      </c>
    </row>
    <row r="874" spans="1:19" ht="19">
      <c r="A874" s="212" t="s">
        <v>579</v>
      </c>
      <c r="B874" s="212" t="s">
        <v>580</v>
      </c>
      <c r="C874" s="233" t="s">
        <v>585</v>
      </c>
      <c r="D874" s="234" t="s">
        <v>151</v>
      </c>
      <c r="E874" s="212">
        <v>41229</v>
      </c>
      <c r="F874" s="212">
        <v>17146</v>
      </c>
      <c r="G874" s="212" t="s">
        <v>1723</v>
      </c>
      <c r="H874" s="212" t="s">
        <v>1811</v>
      </c>
      <c r="I874" s="212" t="s">
        <v>1137</v>
      </c>
      <c r="J874" s="212" t="s">
        <v>225</v>
      </c>
      <c r="K874" s="227" t="s">
        <v>269</v>
      </c>
      <c r="L874" s="227" t="s">
        <v>1725</v>
      </c>
      <c r="M874" t="s">
        <v>1738</v>
      </c>
      <c r="N874" s="211">
        <v>-21.5</v>
      </c>
      <c r="O874" s="211">
        <v>-21.5</v>
      </c>
      <c r="P874" s="211">
        <v>4.4000000000000004</v>
      </c>
      <c r="S874" s="211">
        <v>2.9</v>
      </c>
    </row>
    <row r="875" spans="1:19" ht="19">
      <c r="A875" s="212" t="s">
        <v>579</v>
      </c>
      <c r="B875" s="212" t="s">
        <v>580</v>
      </c>
      <c r="C875" s="233" t="s">
        <v>585</v>
      </c>
      <c r="D875" s="234" t="s">
        <v>151</v>
      </c>
      <c r="E875" s="212">
        <v>41229</v>
      </c>
      <c r="F875" s="212">
        <v>17147</v>
      </c>
      <c r="G875" s="212" t="s">
        <v>1723</v>
      </c>
      <c r="H875" s="212" t="s">
        <v>1811</v>
      </c>
      <c r="I875" s="212" t="s">
        <v>1137</v>
      </c>
      <c r="J875" s="212" t="s">
        <v>225</v>
      </c>
      <c r="K875" s="227" t="s">
        <v>269</v>
      </c>
      <c r="L875" s="227" t="s">
        <v>1725</v>
      </c>
      <c r="M875" t="s">
        <v>1805</v>
      </c>
      <c r="N875" s="211">
        <v>-15.2</v>
      </c>
      <c r="O875" s="211">
        <v>-15.2</v>
      </c>
      <c r="P875" s="211">
        <v>5.0999999999999996</v>
      </c>
      <c r="S875" s="211">
        <v>2.9</v>
      </c>
    </row>
    <row r="876" spans="1:19" ht="19">
      <c r="A876" s="212" t="s">
        <v>579</v>
      </c>
      <c r="B876" s="212" t="s">
        <v>580</v>
      </c>
      <c r="C876" s="233" t="s">
        <v>585</v>
      </c>
      <c r="D876" s="234" t="s">
        <v>151</v>
      </c>
      <c r="E876" s="212">
        <v>41229</v>
      </c>
      <c r="F876" s="212">
        <v>17151</v>
      </c>
      <c r="G876" s="212" t="s">
        <v>1723</v>
      </c>
      <c r="H876" s="212" t="s">
        <v>1811</v>
      </c>
      <c r="I876" s="212" t="s">
        <v>1137</v>
      </c>
      <c r="J876" s="212" t="s">
        <v>225</v>
      </c>
      <c r="K876" s="227" t="s">
        <v>269</v>
      </c>
      <c r="L876" s="227" t="s">
        <v>1725</v>
      </c>
      <c r="M876" t="s">
        <v>1761</v>
      </c>
      <c r="N876" s="211">
        <v>-17.899999999999999</v>
      </c>
      <c r="O876" s="211">
        <v>-17.899999999999999</v>
      </c>
      <c r="P876" s="211">
        <v>5</v>
      </c>
      <c r="S876" s="211">
        <v>2.9</v>
      </c>
    </row>
    <row r="877" spans="1:19" ht="19">
      <c r="A877" s="212" t="s">
        <v>579</v>
      </c>
      <c r="B877" s="212" t="s">
        <v>580</v>
      </c>
      <c r="C877" s="233" t="s">
        <v>585</v>
      </c>
      <c r="D877" s="234" t="s">
        <v>151</v>
      </c>
      <c r="E877" s="212">
        <v>41229</v>
      </c>
      <c r="F877" s="212">
        <v>17154</v>
      </c>
      <c r="G877" s="212" t="s">
        <v>1723</v>
      </c>
      <c r="H877" s="212" t="s">
        <v>1811</v>
      </c>
      <c r="I877" s="212" t="s">
        <v>1137</v>
      </c>
      <c r="J877" s="212" t="s">
        <v>225</v>
      </c>
      <c r="K877" s="227" t="s">
        <v>269</v>
      </c>
      <c r="L877" s="227" t="s">
        <v>1725</v>
      </c>
      <c r="M877" t="s">
        <v>1332</v>
      </c>
      <c r="N877" s="211">
        <v>-17.899999999999999</v>
      </c>
      <c r="O877" s="211">
        <v>-17.899999999999999</v>
      </c>
      <c r="P877" s="211">
        <v>6</v>
      </c>
      <c r="S877" s="211">
        <v>2.9</v>
      </c>
    </row>
    <row r="878" spans="1:19" ht="19">
      <c r="A878" s="212" t="s">
        <v>579</v>
      </c>
      <c r="B878" s="212" t="s">
        <v>580</v>
      </c>
      <c r="C878" s="233" t="s">
        <v>585</v>
      </c>
      <c r="D878" s="234" t="s">
        <v>151</v>
      </c>
      <c r="E878" s="212">
        <v>41229</v>
      </c>
      <c r="F878" s="212">
        <v>17156</v>
      </c>
      <c r="G878" s="212" t="s">
        <v>1723</v>
      </c>
      <c r="H878" s="212" t="s">
        <v>1811</v>
      </c>
      <c r="I878" s="212" t="s">
        <v>1137</v>
      </c>
      <c r="J878" s="212" t="s">
        <v>225</v>
      </c>
      <c r="K878" s="227" t="s">
        <v>269</v>
      </c>
      <c r="L878" s="227" t="s">
        <v>1725</v>
      </c>
      <c r="M878" t="s">
        <v>1761</v>
      </c>
      <c r="N878" s="211">
        <v>-21.6</v>
      </c>
      <c r="O878" s="211">
        <v>-21.6</v>
      </c>
      <c r="P878" s="211">
        <v>5</v>
      </c>
      <c r="S878" s="211">
        <v>2.9</v>
      </c>
    </row>
    <row r="879" spans="1:19" ht="19">
      <c r="A879" s="212" t="s">
        <v>579</v>
      </c>
      <c r="B879" s="212" t="s">
        <v>580</v>
      </c>
      <c r="C879" s="233" t="s">
        <v>585</v>
      </c>
      <c r="D879" s="234" t="s">
        <v>151</v>
      </c>
      <c r="E879" s="212">
        <v>41229</v>
      </c>
      <c r="F879" s="212">
        <v>17157</v>
      </c>
      <c r="G879" s="212" t="s">
        <v>1723</v>
      </c>
      <c r="H879" s="212" t="s">
        <v>1811</v>
      </c>
      <c r="I879" s="212" t="s">
        <v>1137</v>
      </c>
      <c r="J879" s="212" t="s">
        <v>225</v>
      </c>
      <c r="K879" s="227" t="s">
        <v>269</v>
      </c>
      <c r="L879" s="227" t="s">
        <v>1725</v>
      </c>
      <c r="M879" t="s">
        <v>1757</v>
      </c>
      <c r="N879" s="211">
        <v>-18.2</v>
      </c>
      <c r="O879" s="211">
        <v>-18.2</v>
      </c>
      <c r="P879" s="211">
        <v>4.9000000000000004</v>
      </c>
      <c r="S879" s="211">
        <v>2.7</v>
      </c>
    </row>
    <row r="880" spans="1:19" ht="19">
      <c r="A880" s="212" t="s">
        <v>579</v>
      </c>
      <c r="B880" s="212" t="s">
        <v>580</v>
      </c>
      <c r="C880" s="233" t="s">
        <v>585</v>
      </c>
      <c r="D880" s="234" t="s">
        <v>151</v>
      </c>
      <c r="E880" s="212">
        <v>41229</v>
      </c>
      <c r="F880" s="212">
        <v>17159</v>
      </c>
      <c r="G880" s="212" t="s">
        <v>1723</v>
      </c>
      <c r="H880" s="212" t="s">
        <v>1811</v>
      </c>
      <c r="I880" s="212" t="s">
        <v>1137</v>
      </c>
      <c r="J880" s="212" t="s">
        <v>225</v>
      </c>
      <c r="K880" s="227" t="s">
        <v>269</v>
      </c>
      <c r="L880" s="227" t="s">
        <v>1725</v>
      </c>
      <c r="M880" t="s">
        <v>1757</v>
      </c>
      <c r="N880" s="211">
        <v>-19.399999999999999</v>
      </c>
      <c r="O880" s="211">
        <v>-19.399999999999999</v>
      </c>
      <c r="P880" s="211">
        <v>4.3</v>
      </c>
      <c r="S880" s="211">
        <v>2.7</v>
      </c>
    </row>
    <row r="881" spans="1:21" ht="19">
      <c r="A881" s="212" t="s">
        <v>579</v>
      </c>
      <c r="B881" s="212" t="s">
        <v>580</v>
      </c>
      <c r="C881" s="233" t="s">
        <v>585</v>
      </c>
      <c r="D881" s="234" t="s">
        <v>151</v>
      </c>
      <c r="E881" s="212">
        <v>41229</v>
      </c>
      <c r="F881" s="212">
        <v>17170</v>
      </c>
      <c r="G881" s="212" t="s">
        <v>1723</v>
      </c>
      <c r="H881" s="212" t="s">
        <v>1811</v>
      </c>
      <c r="I881" s="212" t="s">
        <v>1137</v>
      </c>
      <c r="J881" s="212" t="s">
        <v>225</v>
      </c>
      <c r="K881" s="227" t="s">
        <v>269</v>
      </c>
      <c r="L881" s="227" t="s">
        <v>1725</v>
      </c>
      <c r="M881" t="s">
        <v>1761</v>
      </c>
      <c r="N881" s="211">
        <v>-16.100000000000001</v>
      </c>
      <c r="O881" s="211">
        <v>-16.100000000000001</v>
      </c>
      <c r="P881" s="211">
        <v>5</v>
      </c>
      <c r="S881" s="211">
        <v>2.8</v>
      </c>
    </row>
    <row r="882" spans="1:21" ht="19">
      <c r="A882" s="212" t="s">
        <v>579</v>
      </c>
      <c r="B882" s="212" t="s">
        <v>580</v>
      </c>
      <c r="C882" s="233" t="s">
        <v>585</v>
      </c>
      <c r="D882" s="234" t="s">
        <v>151</v>
      </c>
      <c r="E882" s="212">
        <v>41229</v>
      </c>
      <c r="F882" s="212">
        <v>17171</v>
      </c>
      <c r="G882" s="212" t="s">
        <v>1723</v>
      </c>
      <c r="H882" s="212" t="s">
        <v>1811</v>
      </c>
      <c r="I882" s="212" t="s">
        <v>1137</v>
      </c>
      <c r="J882" s="212" t="s">
        <v>225</v>
      </c>
      <c r="K882" s="227" t="s">
        <v>269</v>
      </c>
      <c r="L882" s="227" t="s">
        <v>1725</v>
      </c>
      <c r="M882" t="s">
        <v>1738</v>
      </c>
      <c r="N882" s="211">
        <v>-21.1</v>
      </c>
      <c r="O882" s="211">
        <v>-21.1</v>
      </c>
      <c r="P882" s="211">
        <v>6.9</v>
      </c>
      <c r="S882" s="211">
        <v>3</v>
      </c>
    </row>
    <row r="883" spans="1:21" ht="19">
      <c r="A883" s="212" t="s">
        <v>579</v>
      </c>
      <c r="B883" s="212" t="s">
        <v>580</v>
      </c>
      <c r="C883" s="233" t="s">
        <v>585</v>
      </c>
      <c r="D883" s="234" t="s">
        <v>151</v>
      </c>
      <c r="E883" s="212">
        <v>41229</v>
      </c>
      <c r="F883" s="212">
        <v>17172</v>
      </c>
      <c r="G883" s="212" t="s">
        <v>1723</v>
      </c>
      <c r="H883" s="212" t="s">
        <v>1811</v>
      </c>
      <c r="I883" s="212" t="s">
        <v>1137</v>
      </c>
      <c r="J883" s="212" t="s">
        <v>225</v>
      </c>
      <c r="K883" s="227" t="s">
        <v>269</v>
      </c>
      <c r="L883" s="227" t="s">
        <v>1725</v>
      </c>
      <c r="M883" t="s">
        <v>1805</v>
      </c>
      <c r="N883" s="211">
        <v>-18</v>
      </c>
      <c r="O883" s="211">
        <v>-18</v>
      </c>
      <c r="P883" s="211">
        <v>5.7</v>
      </c>
      <c r="S883" s="211">
        <v>3</v>
      </c>
    </row>
    <row r="884" spans="1:21" ht="19">
      <c r="A884" s="212" t="s">
        <v>579</v>
      </c>
      <c r="B884" s="212" t="s">
        <v>580</v>
      </c>
      <c r="C884" s="233" t="s">
        <v>585</v>
      </c>
      <c r="D884" s="234" t="s">
        <v>151</v>
      </c>
      <c r="E884" s="212">
        <v>41229</v>
      </c>
      <c r="F884" s="212">
        <v>17173</v>
      </c>
      <c r="G884" s="212" t="s">
        <v>1723</v>
      </c>
      <c r="H884" s="212" t="s">
        <v>1811</v>
      </c>
      <c r="I884" s="212" t="s">
        <v>1137</v>
      </c>
      <c r="J884" s="212" t="s">
        <v>225</v>
      </c>
      <c r="K884" s="227" t="s">
        <v>269</v>
      </c>
      <c r="L884" s="227" t="s">
        <v>1725</v>
      </c>
      <c r="M884" t="s">
        <v>1738</v>
      </c>
      <c r="N884" s="211">
        <v>-18.2</v>
      </c>
      <c r="O884" s="211">
        <v>-18.2</v>
      </c>
      <c r="P884" s="211">
        <v>3.2</v>
      </c>
      <c r="S884" s="211">
        <v>2.9</v>
      </c>
    </row>
    <row r="885" spans="1:21" ht="19">
      <c r="A885" s="212" t="s">
        <v>579</v>
      </c>
      <c r="B885" s="212" t="s">
        <v>580</v>
      </c>
      <c r="C885" s="233" t="s">
        <v>585</v>
      </c>
      <c r="D885" s="234" t="s">
        <v>151</v>
      </c>
      <c r="E885" s="212">
        <v>41229</v>
      </c>
      <c r="F885" s="212">
        <v>17174</v>
      </c>
      <c r="G885" s="212" t="s">
        <v>1723</v>
      </c>
      <c r="H885" s="212" t="s">
        <v>1811</v>
      </c>
      <c r="I885" s="212" t="s">
        <v>1137</v>
      </c>
      <c r="J885" s="212" t="s">
        <v>225</v>
      </c>
      <c r="K885" s="227" t="s">
        <v>269</v>
      </c>
      <c r="L885" s="227" t="s">
        <v>1725</v>
      </c>
      <c r="M885" t="s">
        <v>1805</v>
      </c>
      <c r="N885" s="211">
        <v>-15.8</v>
      </c>
      <c r="O885" s="211">
        <v>-15.8</v>
      </c>
      <c r="P885" s="211">
        <v>5.2</v>
      </c>
      <c r="S885" s="211">
        <v>3.1</v>
      </c>
    </row>
    <row r="886" spans="1:21" ht="19">
      <c r="A886" s="212" t="s">
        <v>579</v>
      </c>
      <c r="B886" s="212" t="s">
        <v>580</v>
      </c>
      <c r="C886" s="233" t="s">
        <v>585</v>
      </c>
      <c r="D886" s="234" t="s">
        <v>151</v>
      </c>
      <c r="E886" s="212">
        <v>41229</v>
      </c>
      <c r="F886" s="212">
        <v>17176</v>
      </c>
      <c r="G886" s="212" t="s">
        <v>1723</v>
      </c>
      <c r="H886" s="212" t="s">
        <v>1811</v>
      </c>
      <c r="I886" s="212" t="s">
        <v>1137</v>
      </c>
      <c r="J886" s="212" t="s">
        <v>225</v>
      </c>
      <c r="K886" s="227" t="s">
        <v>269</v>
      </c>
      <c r="L886" s="227" t="s">
        <v>1725</v>
      </c>
      <c r="M886" t="s">
        <v>1738</v>
      </c>
      <c r="N886" s="211">
        <v>-17.600000000000001</v>
      </c>
      <c r="O886" s="211">
        <v>-17.600000000000001</v>
      </c>
      <c r="P886" s="211">
        <v>6.6</v>
      </c>
      <c r="S886" s="211">
        <v>2.9</v>
      </c>
    </row>
    <row r="887" spans="1:21" s="208" customFormat="1" ht="19">
      <c r="A887" s="212" t="s">
        <v>579</v>
      </c>
      <c r="B887" s="212" t="s">
        <v>580</v>
      </c>
      <c r="C887" s="233" t="s">
        <v>585</v>
      </c>
      <c r="D887" s="234" t="s">
        <v>151</v>
      </c>
      <c r="E887" s="212">
        <v>41229</v>
      </c>
      <c r="F887" s="212">
        <v>17177</v>
      </c>
      <c r="G887" s="212" t="s">
        <v>1723</v>
      </c>
      <c r="H887" s="212" t="s">
        <v>1811</v>
      </c>
      <c r="I887" s="212" t="s">
        <v>1137</v>
      </c>
      <c r="J887" s="212" t="s">
        <v>225</v>
      </c>
      <c r="K887" s="227" t="s">
        <v>269</v>
      </c>
      <c r="L887" s="227" t="s">
        <v>1725</v>
      </c>
      <c r="M887" s="207" t="s">
        <v>1757</v>
      </c>
      <c r="N887" s="211">
        <v>-13.2</v>
      </c>
      <c r="O887" s="211">
        <v>-13.2</v>
      </c>
      <c r="P887" s="211">
        <v>6</v>
      </c>
      <c r="Q887" s="211"/>
      <c r="R887" s="211"/>
      <c r="S887" s="211">
        <v>2.9</v>
      </c>
      <c r="T887" s="212"/>
      <c r="U887" s="212"/>
    </row>
    <row r="888" spans="1:21" ht="19">
      <c r="A888" s="212" t="s">
        <v>579</v>
      </c>
      <c r="B888" s="212" t="s">
        <v>580</v>
      </c>
      <c r="C888" s="233" t="s">
        <v>585</v>
      </c>
      <c r="D888" s="234" t="s">
        <v>151</v>
      </c>
      <c r="E888" s="212">
        <v>41229</v>
      </c>
      <c r="F888" s="212">
        <v>17179</v>
      </c>
      <c r="G888" s="212" t="s">
        <v>1723</v>
      </c>
      <c r="H888" s="212" t="s">
        <v>1811</v>
      </c>
      <c r="I888" s="212" t="s">
        <v>1137</v>
      </c>
      <c r="J888" s="212" t="s">
        <v>225</v>
      </c>
      <c r="K888" s="227" t="s">
        <v>269</v>
      </c>
      <c r="L888" s="227" t="s">
        <v>1725</v>
      </c>
      <c r="M888" t="s">
        <v>1738</v>
      </c>
      <c r="N888" s="211">
        <v>-17</v>
      </c>
      <c r="O888" s="211">
        <v>-17</v>
      </c>
      <c r="P888" s="211">
        <v>5.4</v>
      </c>
      <c r="S888" s="211">
        <v>2.7</v>
      </c>
    </row>
    <row r="889" spans="1:21" ht="19">
      <c r="A889" s="212" t="s">
        <v>579</v>
      </c>
      <c r="B889" s="212" t="s">
        <v>580</v>
      </c>
      <c r="C889" s="233" t="s">
        <v>585</v>
      </c>
      <c r="D889" s="234" t="s">
        <v>151</v>
      </c>
      <c r="E889" s="212">
        <v>41229</v>
      </c>
      <c r="F889" s="212">
        <v>17187</v>
      </c>
      <c r="G889" s="212" t="s">
        <v>1723</v>
      </c>
      <c r="H889" s="212" t="s">
        <v>1811</v>
      </c>
      <c r="I889" s="212" t="s">
        <v>1137</v>
      </c>
      <c r="J889" s="212" t="s">
        <v>225</v>
      </c>
      <c r="K889" s="227" t="s">
        <v>269</v>
      </c>
      <c r="L889" s="227" t="s">
        <v>1725</v>
      </c>
      <c r="M889" s="205" t="s">
        <v>1784</v>
      </c>
      <c r="N889" s="211">
        <v>-12.9</v>
      </c>
      <c r="O889" s="211">
        <v>-12.9</v>
      </c>
      <c r="P889" s="211">
        <v>4.2</v>
      </c>
      <c r="S889" s="211">
        <v>2.8</v>
      </c>
    </row>
    <row r="890" spans="1:21" ht="19">
      <c r="A890" s="212" t="s">
        <v>579</v>
      </c>
      <c r="B890" s="212" t="s">
        <v>580</v>
      </c>
      <c r="C890" s="233" t="s">
        <v>585</v>
      </c>
      <c r="D890" s="234" t="s">
        <v>151</v>
      </c>
      <c r="E890" s="212">
        <v>41229</v>
      </c>
      <c r="F890" s="212">
        <v>17191</v>
      </c>
      <c r="G890" s="212" t="s">
        <v>1723</v>
      </c>
      <c r="H890" s="212" t="s">
        <v>1811</v>
      </c>
      <c r="I890" s="212" t="s">
        <v>1137</v>
      </c>
      <c r="J890" s="212" t="s">
        <v>225</v>
      </c>
      <c r="K890" s="227" t="s">
        <v>269</v>
      </c>
      <c r="L890" s="227" t="s">
        <v>1725</v>
      </c>
      <c r="M890" t="s">
        <v>1784</v>
      </c>
      <c r="N890" s="211">
        <v>-19.100000000000001</v>
      </c>
      <c r="O890" s="211">
        <v>-19.100000000000001</v>
      </c>
      <c r="P890" s="211">
        <v>4.5</v>
      </c>
      <c r="S890" s="211">
        <v>2.9</v>
      </c>
    </row>
    <row r="891" spans="1:21" ht="19">
      <c r="A891" s="212" t="s">
        <v>579</v>
      </c>
      <c r="B891" s="212" t="s">
        <v>580</v>
      </c>
      <c r="C891" s="233" t="s">
        <v>585</v>
      </c>
      <c r="D891" s="234" t="s">
        <v>151</v>
      </c>
      <c r="E891" s="212">
        <v>41229</v>
      </c>
      <c r="F891" s="212">
        <v>17200</v>
      </c>
      <c r="G891" s="212" t="s">
        <v>1723</v>
      </c>
      <c r="H891" s="212" t="s">
        <v>1811</v>
      </c>
      <c r="I891" s="212" t="s">
        <v>1137</v>
      </c>
      <c r="J891" s="212" t="s">
        <v>1728</v>
      </c>
      <c r="K891" s="227" t="s">
        <v>269</v>
      </c>
      <c r="L891" s="227" t="s">
        <v>1725</v>
      </c>
      <c r="M891" t="s">
        <v>1757</v>
      </c>
      <c r="N891" s="211">
        <v>-17.02</v>
      </c>
      <c r="O891" s="211">
        <v>-17</v>
      </c>
      <c r="P891" s="211">
        <v>5.8</v>
      </c>
      <c r="S891" s="211">
        <v>2.8</v>
      </c>
    </row>
    <row r="892" spans="1:21" ht="19">
      <c r="A892" s="212" t="s">
        <v>579</v>
      </c>
      <c r="B892" s="212" t="s">
        <v>580</v>
      </c>
      <c r="C892" s="233" t="s">
        <v>585</v>
      </c>
      <c r="D892" s="234" t="s">
        <v>151</v>
      </c>
      <c r="E892" s="212">
        <v>41229</v>
      </c>
      <c r="F892" s="212">
        <v>17201</v>
      </c>
      <c r="G892" s="212" t="s">
        <v>1723</v>
      </c>
      <c r="H892" s="212" t="s">
        <v>1811</v>
      </c>
      <c r="I892" s="212" t="s">
        <v>1137</v>
      </c>
      <c r="J892" s="212" t="s">
        <v>1728</v>
      </c>
      <c r="K892" s="227" t="s">
        <v>269</v>
      </c>
      <c r="L892" s="227" t="s">
        <v>1725</v>
      </c>
      <c r="M892" t="s">
        <v>1757</v>
      </c>
      <c r="N892" s="211">
        <v>-17.809999999999999</v>
      </c>
      <c r="O892" s="211">
        <v>-17.8</v>
      </c>
      <c r="P892" s="211">
        <v>5</v>
      </c>
      <c r="S892" s="211">
        <v>2.9</v>
      </c>
    </row>
    <row r="893" spans="1:21" ht="19">
      <c r="A893" s="212" t="s">
        <v>579</v>
      </c>
      <c r="B893" s="212" t="s">
        <v>580</v>
      </c>
      <c r="C893" s="233" t="s">
        <v>585</v>
      </c>
      <c r="D893" s="234" t="s">
        <v>151</v>
      </c>
      <c r="E893" s="212">
        <v>41229</v>
      </c>
      <c r="F893" s="212">
        <v>17202</v>
      </c>
      <c r="G893" s="212" t="s">
        <v>1723</v>
      </c>
      <c r="H893" s="212" t="s">
        <v>1811</v>
      </c>
      <c r="I893" s="212" t="s">
        <v>1137</v>
      </c>
      <c r="J893" s="212" t="s">
        <v>1728</v>
      </c>
      <c r="K893" s="227" t="s">
        <v>269</v>
      </c>
      <c r="L893" s="227" t="s">
        <v>1725</v>
      </c>
      <c r="M893" t="s">
        <v>1757</v>
      </c>
      <c r="N893" s="211">
        <v>-21.91</v>
      </c>
      <c r="O893" s="211">
        <v>-21.9</v>
      </c>
      <c r="P893" s="211">
        <v>6</v>
      </c>
      <c r="S893" s="211">
        <v>2.8</v>
      </c>
    </row>
    <row r="894" spans="1:21" ht="19">
      <c r="A894" s="212" t="s">
        <v>579</v>
      </c>
      <c r="B894" s="212" t="s">
        <v>580</v>
      </c>
      <c r="C894" s="233" t="s">
        <v>585</v>
      </c>
      <c r="D894" s="234" t="s">
        <v>151</v>
      </c>
      <c r="E894" s="212">
        <v>41229</v>
      </c>
      <c r="F894" s="212">
        <v>17205</v>
      </c>
      <c r="G894" s="212" t="s">
        <v>1723</v>
      </c>
      <c r="H894" s="212" t="s">
        <v>1811</v>
      </c>
      <c r="I894" s="212" t="s">
        <v>1137</v>
      </c>
      <c r="J894" s="212" t="s">
        <v>1728</v>
      </c>
      <c r="K894" s="227" t="s">
        <v>269</v>
      </c>
      <c r="L894" s="227" t="s">
        <v>1725</v>
      </c>
      <c r="M894" t="s">
        <v>1332</v>
      </c>
      <c r="N894" s="211">
        <v>-13.52</v>
      </c>
      <c r="O894" s="211">
        <v>-13.5</v>
      </c>
      <c r="P894" s="211">
        <v>4</v>
      </c>
      <c r="S894" s="211">
        <v>2.9</v>
      </c>
    </row>
    <row r="895" spans="1:21" ht="19">
      <c r="A895" s="212" t="s">
        <v>579</v>
      </c>
      <c r="B895" s="212" t="s">
        <v>580</v>
      </c>
      <c r="C895" s="233" t="s">
        <v>585</v>
      </c>
      <c r="D895" s="234" t="s">
        <v>151</v>
      </c>
      <c r="E895" s="212">
        <v>41229</v>
      </c>
      <c r="F895" s="212">
        <v>17220</v>
      </c>
      <c r="G895" s="212" t="s">
        <v>1723</v>
      </c>
      <c r="H895" s="212" t="s">
        <v>1811</v>
      </c>
      <c r="I895" s="212" t="s">
        <v>1137</v>
      </c>
      <c r="J895" s="212" t="s">
        <v>225</v>
      </c>
      <c r="K895" s="227" t="s">
        <v>269</v>
      </c>
      <c r="L895" s="227" t="s">
        <v>1725</v>
      </c>
      <c r="M895" t="s">
        <v>1805</v>
      </c>
      <c r="N895" s="211">
        <v>-11.3</v>
      </c>
      <c r="O895" s="211">
        <v>-11.3</v>
      </c>
      <c r="P895" s="211">
        <v>7</v>
      </c>
      <c r="S895" s="211">
        <v>2.7</v>
      </c>
    </row>
    <row r="896" spans="1:21">
      <c r="A896" s="212" t="s">
        <v>579</v>
      </c>
      <c r="B896" s="212" t="s">
        <v>580</v>
      </c>
      <c r="C896" s="233" t="s">
        <v>585</v>
      </c>
      <c r="D896" s="233" t="s">
        <v>151</v>
      </c>
      <c r="E896" s="212">
        <v>41229</v>
      </c>
      <c r="F896" s="212">
        <v>17221</v>
      </c>
      <c r="G896" s="212" t="s">
        <v>1723</v>
      </c>
      <c r="H896" s="212" t="s">
        <v>1811</v>
      </c>
      <c r="I896" s="212" t="s">
        <v>1137</v>
      </c>
      <c r="J896" s="212" t="s">
        <v>225</v>
      </c>
      <c r="K896" s="227" t="s">
        <v>269</v>
      </c>
      <c r="L896" s="227" t="s">
        <v>1725</v>
      </c>
      <c r="M896" t="s">
        <v>1738</v>
      </c>
      <c r="N896" s="211">
        <v>-20.5</v>
      </c>
      <c r="O896" s="211">
        <v>-20.5</v>
      </c>
      <c r="P896" s="211">
        <v>7.3</v>
      </c>
      <c r="S896" s="211">
        <v>2.7</v>
      </c>
    </row>
    <row r="897" spans="1:19" ht="19">
      <c r="A897" s="212" t="s">
        <v>579</v>
      </c>
      <c r="B897" s="212" t="s">
        <v>580</v>
      </c>
      <c r="C897" s="233" t="s">
        <v>585</v>
      </c>
      <c r="D897" s="234" t="s">
        <v>151</v>
      </c>
      <c r="E897" s="212">
        <v>41229</v>
      </c>
      <c r="F897" s="212">
        <v>17230</v>
      </c>
      <c r="G897" s="212" t="s">
        <v>1723</v>
      </c>
      <c r="H897" s="212" t="s">
        <v>1811</v>
      </c>
      <c r="I897" s="212" t="s">
        <v>1137</v>
      </c>
      <c r="J897" s="212" t="s">
        <v>225</v>
      </c>
      <c r="K897" s="227" t="s">
        <v>269</v>
      </c>
      <c r="L897" s="227" t="s">
        <v>1725</v>
      </c>
      <c r="M897" t="s">
        <v>1738</v>
      </c>
      <c r="N897" s="211">
        <v>-17.2</v>
      </c>
      <c r="O897" s="211">
        <v>-17.2</v>
      </c>
      <c r="P897" s="211">
        <v>4.8</v>
      </c>
      <c r="S897" s="211">
        <v>3.1</v>
      </c>
    </row>
    <row r="898" spans="1:19" ht="19">
      <c r="A898" s="212" t="s">
        <v>579</v>
      </c>
      <c r="B898" s="212" t="s">
        <v>580</v>
      </c>
      <c r="C898" s="233" t="s">
        <v>585</v>
      </c>
      <c r="D898" s="234" t="s">
        <v>151</v>
      </c>
      <c r="E898" s="212">
        <v>41229</v>
      </c>
      <c r="F898" s="212">
        <v>17231</v>
      </c>
      <c r="G898" s="212" t="s">
        <v>1723</v>
      </c>
      <c r="H898" s="212" t="s">
        <v>1811</v>
      </c>
      <c r="I898" s="212" t="s">
        <v>1137</v>
      </c>
      <c r="J898" s="212" t="s">
        <v>225</v>
      </c>
      <c r="K898" s="227" t="s">
        <v>269</v>
      </c>
      <c r="L898" s="227" t="s">
        <v>1725</v>
      </c>
      <c r="M898" t="s">
        <v>1738</v>
      </c>
      <c r="N898" s="211">
        <v>-15.4</v>
      </c>
      <c r="O898" s="211">
        <v>-15.4</v>
      </c>
      <c r="P898" s="211">
        <v>6</v>
      </c>
      <c r="S898" s="211">
        <v>2.9</v>
      </c>
    </row>
    <row r="899" spans="1:19" ht="19">
      <c r="A899" s="212" t="s">
        <v>579</v>
      </c>
      <c r="B899" s="212" t="s">
        <v>580</v>
      </c>
      <c r="C899" s="233" t="s">
        <v>585</v>
      </c>
      <c r="D899" s="234" t="s">
        <v>151</v>
      </c>
      <c r="E899" s="212">
        <v>41229</v>
      </c>
      <c r="F899" s="212">
        <v>17232</v>
      </c>
      <c r="G899" s="212" t="s">
        <v>1723</v>
      </c>
      <c r="H899" s="212" t="s">
        <v>1811</v>
      </c>
      <c r="I899" s="212" t="s">
        <v>1137</v>
      </c>
      <c r="J899" s="212" t="s">
        <v>225</v>
      </c>
      <c r="K899" s="227" t="s">
        <v>269</v>
      </c>
      <c r="L899" s="227" t="s">
        <v>1725</v>
      </c>
      <c r="M899" t="s">
        <v>1738</v>
      </c>
      <c r="N899" s="211">
        <v>-21.4</v>
      </c>
      <c r="O899" s="211">
        <v>-21.4</v>
      </c>
      <c r="P899" s="211">
        <v>6.2</v>
      </c>
      <c r="S899" s="211">
        <v>3</v>
      </c>
    </row>
    <row r="900" spans="1:19" ht="19">
      <c r="A900" s="212" t="s">
        <v>579</v>
      </c>
      <c r="B900" s="212" t="s">
        <v>580</v>
      </c>
      <c r="C900" s="233" t="s">
        <v>585</v>
      </c>
      <c r="D900" s="234" t="s">
        <v>151</v>
      </c>
      <c r="E900" s="212">
        <v>41229</v>
      </c>
      <c r="F900" s="212">
        <v>17233</v>
      </c>
      <c r="G900" s="212" t="s">
        <v>1723</v>
      </c>
      <c r="H900" s="212" t="s">
        <v>1811</v>
      </c>
      <c r="I900" s="212" t="s">
        <v>1137</v>
      </c>
      <c r="J900" s="212" t="s">
        <v>225</v>
      </c>
      <c r="K900" s="227" t="s">
        <v>269</v>
      </c>
      <c r="L900" s="227" t="s">
        <v>1725</v>
      </c>
      <c r="M900" t="s">
        <v>1738</v>
      </c>
      <c r="N900" s="211">
        <v>-15.4</v>
      </c>
      <c r="O900" s="211">
        <v>-15.4</v>
      </c>
      <c r="P900" s="211">
        <v>5.7</v>
      </c>
      <c r="S900" s="211">
        <v>2.9</v>
      </c>
    </row>
    <row r="901" spans="1:19" ht="19">
      <c r="A901" s="212" t="s">
        <v>579</v>
      </c>
      <c r="B901" s="212" t="s">
        <v>580</v>
      </c>
      <c r="C901" s="233" t="s">
        <v>585</v>
      </c>
      <c r="D901" s="234" t="s">
        <v>151</v>
      </c>
      <c r="E901" s="212">
        <v>41229</v>
      </c>
      <c r="F901" s="212">
        <v>17234</v>
      </c>
      <c r="G901" s="212" t="s">
        <v>1723</v>
      </c>
      <c r="H901" s="212" t="s">
        <v>1811</v>
      </c>
      <c r="I901" s="212" t="s">
        <v>1137</v>
      </c>
      <c r="J901" s="212" t="s">
        <v>225</v>
      </c>
      <c r="K901" s="227" t="s">
        <v>269</v>
      </c>
      <c r="L901" s="227" t="s">
        <v>1725</v>
      </c>
      <c r="M901" t="s">
        <v>1761</v>
      </c>
      <c r="N901" s="211">
        <v>-17</v>
      </c>
      <c r="O901" s="211">
        <v>-17</v>
      </c>
      <c r="P901" s="211">
        <v>4.7</v>
      </c>
      <c r="S901" s="211">
        <v>2.8</v>
      </c>
    </row>
    <row r="902" spans="1:19" ht="19">
      <c r="A902" s="212" t="s">
        <v>579</v>
      </c>
      <c r="B902" s="212" t="s">
        <v>580</v>
      </c>
      <c r="C902" s="233" t="s">
        <v>585</v>
      </c>
      <c r="D902" s="234" t="s">
        <v>151</v>
      </c>
      <c r="E902" s="212">
        <v>41229</v>
      </c>
      <c r="F902" s="212">
        <v>17235</v>
      </c>
      <c r="G902" s="212" t="s">
        <v>1723</v>
      </c>
      <c r="H902" s="212" t="s">
        <v>1811</v>
      </c>
      <c r="I902" s="212" t="s">
        <v>1137</v>
      </c>
      <c r="J902" s="212" t="s">
        <v>225</v>
      </c>
      <c r="K902" s="227" t="s">
        <v>269</v>
      </c>
      <c r="L902" s="227" t="s">
        <v>1725</v>
      </c>
      <c r="M902" t="s">
        <v>1738</v>
      </c>
      <c r="N902" s="211">
        <v>-17.8</v>
      </c>
      <c r="O902" s="211">
        <v>-17.8</v>
      </c>
      <c r="P902" s="211">
        <v>6.2</v>
      </c>
      <c r="S902" s="211">
        <v>3</v>
      </c>
    </row>
    <row r="903" spans="1:19" ht="19">
      <c r="A903" s="212" t="s">
        <v>579</v>
      </c>
      <c r="B903" s="212" t="s">
        <v>580</v>
      </c>
      <c r="C903" s="233" t="s">
        <v>585</v>
      </c>
      <c r="D903" s="234" t="s">
        <v>151</v>
      </c>
      <c r="E903" s="212">
        <v>41229</v>
      </c>
      <c r="F903" s="212">
        <v>17236</v>
      </c>
      <c r="G903" s="212" t="s">
        <v>1723</v>
      </c>
      <c r="H903" s="212" t="s">
        <v>1811</v>
      </c>
      <c r="I903" s="212" t="s">
        <v>1137</v>
      </c>
      <c r="J903" s="212" t="s">
        <v>225</v>
      </c>
      <c r="K903" s="227" t="s">
        <v>269</v>
      </c>
      <c r="L903" s="227" t="s">
        <v>1725</v>
      </c>
      <c r="M903" t="s">
        <v>1738</v>
      </c>
      <c r="N903" s="211">
        <v>-14.9</v>
      </c>
      <c r="O903" s="211">
        <v>-14.9</v>
      </c>
      <c r="P903" s="211">
        <v>6.9</v>
      </c>
      <c r="S903" s="211">
        <v>2.9</v>
      </c>
    </row>
    <row r="904" spans="1:19" ht="19">
      <c r="A904" s="212" t="s">
        <v>579</v>
      </c>
      <c r="B904" s="212" t="s">
        <v>580</v>
      </c>
      <c r="C904" s="233" t="s">
        <v>585</v>
      </c>
      <c r="D904" s="234" t="s">
        <v>151</v>
      </c>
      <c r="E904" s="212">
        <v>41229</v>
      </c>
      <c r="F904" s="212">
        <v>17239</v>
      </c>
      <c r="G904" s="212" t="s">
        <v>1723</v>
      </c>
      <c r="H904" s="212" t="s">
        <v>1811</v>
      </c>
      <c r="I904" s="212" t="s">
        <v>1137</v>
      </c>
      <c r="J904" s="212" t="s">
        <v>225</v>
      </c>
      <c r="K904" s="227" t="s">
        <v>269</v>
      </c>
      <c r="L904" s="227" t="s">
        <v>1725</v>
      </c>
      <c r="M904" t="s">
        <v>1784</v>
      </c>
      <c r="N904" s="211">
        <v>-22.3</v>
      </c>
      <c r="O904" s="211">
        <v>-22.3</v>
      </c>
      <c r="P904" s="211">
        <v>5.2</v>
      </c>
      <c r="S904" s="211">
        <v>3</v>
      </c>
    </row>
    <row r="905" spans="1:19" ht="19">
      <c r="A905" s="212" t="s">
        <v>579</v>
      </c>
      <c r="B905" s="212" t="s">
        <v>580</v>
      </c>
      <c r="C905" s="233" t="s">
        <v>585</v>
      </c>
      <c r="D905" s="234" t="s">
        <v>151</v>
      </c>
      <c r="E905" s="212">
        <v>41229</v>
      </c>
      <c r="F905" s="212">
        <v>17244</v>
      </c>
      <c r="G905" s="212" t="s">
        <v>1723</v>
      </c>
      <c r="H905" s="212" t="s">
        <v>1811</v>
      </c>
      <c r="I905" s="212" t="s">
        <v>1137</v>
      </c>
      <c r="J905" s="212" t="s">
        <v>225</v>
      </c>
      <c r="K905" s="227" t="s">
        <v>269</v>
      </c>
      <c r="L905" s="227" t="s">
        <v>1725</v>
      </c>
      <c r="M905" t="s">
        <v>1738</v>
      </c>
      <c r="N905" s="211">
        <v>-18.5</v>
      </c>
      <c r="O905" s="211">
        <v>-18.5</v>
      </c>
      <c r="P905" s="211">
        <v>5.5</v>
      </c>
      <c r="S905" s="211">
        <v>2.9</v>
      </c>
    </row>
    <row r="906" spans="1:19" ht="19">
      <c r="A906" s="212" t="s">
        <v>579</v>
      </c>
      <c r="B906" s="212" t="s">
        <v>580</v>
      </c>
      <c r="C906" s="233" t="s">
        <v>585</v>
      </c>
      <c r="D906" s="234" t="s">
        <v>151</v>
      </c>
      <c r="E906" s="212">
        <v>41229</v>
      </c>
      <c r="F906" s="212">
        <v>17246</v>
      </c>
      <c r="G906" s="212" t="s">
        <v>1723</v>
      </c>
      <c r="H906" s="212" t="s">
        <v>1811</v>
      </c>
      <c r="I906" s="212" t="s">
        <v>1137</v>
      </c>
      <c r="J906" s="212" t="s">
        <v>225</v>
      </c>
      <c r="K906" s="227" t="s">
        <v>269</v>
      </c>
      <c r="L906" s="227" t="s">
        <v>1725</v>
      </c>
      <c r="M906" t="s">
        <v>1738</v>
      </c>
      <c r="N906" s="211">
        <v>-16.8</v>
      </c>
      <c r="O906" s="211">
        <v>-16.8</v>
      </c>
      <c r="P906" s="211">
        <v>5.2</v>
      </c>
      <c r="S906" s="211">
        <v>2.9</v>
      </c>
    </row>
    <row r="907" spans="1:19" ht="19">
      <c r="A907" s="212" t="s">
        <v>579</v>
      </c>
      <c r="B907" s="212" t="s">
        <v>580</v>
      </c>
      <c r="C907" s="233" t="s">
        <v>585</v>
      </c>
      <c r="D907" s="234" t="s">
        <v>151</v>
      </c>
      <c r="E907" s="212">
        <v>41229</v>
      </c>
      <c r="F907" s="212">
        <v>17247</v>
      </c>
      <c r="G907" s="212" t="s">
        <v>1723</v>
      </c>
      <c r="H907" s="212" t="s">
        <v>1811</v>
      </c>
      <c r="I907" s="212" t="s">
        <v>1137</v>
      </c>
      <c r="J907" s="212" t="s">
        <v>225</v>
      </c>
      <c r="K907" s="227" t="s">
        <v>269</v>
      </c>
      <c r="L907" s="227" t="s">
        <v>1725</v>
      </c>
      <c r="M907" t="s">
        <v>1805</v>
      </c>
      <c r="N907" s="211">
        <v>-16.5</v>
      </c>
      <c r="O907" s="211">
        <v>-16.5</v>
      </c>
      <c r="P907" s="211">
        <v>4.3</v>
      </c>
      <c r="S907" s="211">
        <v>2.9</v>
      </c>
    </row>
    <row r="908" spans="1:19" ht="19">
      <c r="A908" s="212" t="s">
        <v>579</v>
      </c>
      <c r="B908" s="212" t="s">
        <v>580</v>
      </c>
      <c r="C908" s="233" t="s">
        <v>585</v>
      </c>
      <c r="D908" s="234" t="s">
        <v>151</v>
      </c>
      <c r="E908" s="212">
        <v>41229</v>
      </c>
      <c r="F908" s="212">
        <v>17248</v>
      </c>
      <c r="G908" s="212" t="s">
        <v>1723</v>
      </c>
      <c r="H908" s="212" t="s">
        <v>1811</v>
      </c>
      <c r="I908" s="212" t="s">
        <v>1137</v>
      </c>
      <c r="J908" s="212" t="s">
        <v>225</v>
      </c>
      <c r="K908" s="227" t="s">
        <v>269</v>
      </c>
      <c r="L908" s="227" t="s">
        <v>1725</v>
      </c>
      <c r="M908" t="s">
        <v>1754</v>
      </c>
      <c r="N908" s="211">
        <v>-22.2</v>
      </c>
      <c r="O908" s="211">
        <v>-22.2</v>
      </c>
      <c r="P908" s="211">
        <v>6.1</v>
      </c>
      <c r="S908" s="211">
        <v>3</v>
      </c>
    </row>
    <row r="909" spans="1:19" ht="19">
      <c r="A909" s="212" t="s">
        <v>579</v>
      </c>
      <c r="B909" s="212" t="s">
        <v>580</v>
      </c>
      <c r="C909" s="233" t="s">
        <v>585</v>
      </c>
      <c r="D909" s="234" t="s">
        <v>151</v>
      </c>
      <c r="E909" s="212">
        <v>41229</v>
      </c>
      <c r="F909" s="212">
        <v>17254</v>
      </c>
      <c r="G909" s="212" t="s">
        <v>1723</v>
      </c>
      <c r="H909" s="212" t="s">
        <v>1811</v>
      </c>
      <c r="I909" s="212" t="s">
        <v>1137</v>
      </c>
      <c r="J909" s="212" t="s">
        <v>225</v>
      </c>
      <c r="K909" s="227" t="s">
        <v>269</v>
      </c>
      <c r="L909" s="227" t="s">
        <v>1725</v>
      </c>
      <c r="M909" t="s">
        <v>1784</v>
      </c>
      <c r="N909" s="211">
        <v>-17.899999999999999</v>
      </c>
      <c r="O909" s="211">
        <v>-17.899999999999999</v>
      </c>
      <c r="P909" s="211">
        <v>5.3</v>
      </c>
      <c r="S909" s="211">
        <v>2.9</v>
      </c>
    </row>
    <row r="910" spans="1:19" ht="19">
      <c r="A910" s="212" t="s">
        <v>579</v>
      </c>
      <c r="B910" s="212" t="s">
        <v>580</v>
      </c>
      <c r="C910" s="233" t="s">
        <v>585</v>
      </c>
      <c r="D910" s="234" t="s">
        <v>151</v>
      </c>
      <c r="E910" s="236">
        <v>41229</v>
      </c>
      <c r="F910" s="236">
        <v>17255</v>
      </c>
      <c r="G910" s="236" t="s">
        <v>1723</v>
      </c>
      <c r="H910" s="212" t="s">
        <v>1811</v>
      </c>
      <c r="I910" s="212" t="s">
        <v>1137</v>
      </c>
      <c r="J910" s="212" t="s">
        <v>225</v>
      </c>
      <c r="K910" s="227" t="s">
        <v>269</v>
      </c>
      <c r="L910" s="227" t="s">
        <v>1725</v>
      </c>
      <c r="M910" t="s">
        <v>1738</v>
      </c>
      <c r="N910" s="214">
        <v>-16.8</v>
      </c>
      <c r="O910" s="214">
        <v>-16.8</v>
      </c>
      <c r="P910" s="211">
        <v>7.8</v>
      </c>
      <c r="S910" s="211">
        <v>2.9</v>
      </c>
    </row>
    <row r="911" spans="1:19" ht="19">
      <c r="A911" s="212" t="s">
        <v>579</v>
      </c>
      <c r="B911" s="212" t="s">
        <v>580</v>
      </c>
      <c r="C911" s="233" t="s">
        <v>585</v>
      </c>
      <c r="D911" s="234" t="s">
        <v>151</v>
      </c>
      <c r="E911" s="236">
        <v>41229</v>
      </c>
      <c r="F911" s="236">
        <v>17256</v>
      </c>
      <c r="G911" s="236" t="s">
        <v>1723</v>
      </c>
      <c r="H911" s="212" t="s">
        <v>1811</v>
      </c>
      <c r="I911" s="212" t="s">
        <v>1137</v>
      </c>
      <c r="J911" s="212" t="s">
        <v>225</v>
      </c>
      <c r="K911" s="227" t="s">
        <v>269</v>
      </c>
      <c r="L911" s="227" t="s">
        <v>1725</v>
      </c>
      <c r="M911" t="s">
        <v>1738</v>
      </c>
      <c r="N911" s="214">
        <v>-18.100000000000001</v>
      </c>
      <c r="O911" s="214">
        <v>-18.100000000000001</v>
      </c>
      <c r="P911" s="211">
        <v>5</v>
      </c>
      <c r="S911" s="211">
        <v>3.1</v>
      </c>
    </row>
    <row r="912" spans="1:19" ht="19">
      <c r="A912" s="212" t="s">
        <v>579</v>
      </c>
      <c r="B912" s="212" t="s">
        <v>580</v>
      </c>
      <c r="C912" s="233" t="s">
        <v>585</v>
      </c>
      <c r="D912" s="234" t="s">
        <v>151</v>
      </c>
      <c r="E912" s="236">
        <v>41229</v>
      </c>
      <c r="F912" s="236">
        <v>17270</v>
      </c>
      <c r="G912" s="236" t="s">
        <v>1723</v>
      </c>
      <c r="H912" s="212" t="s">
        <v>1811</v>
      </c>
      <c r="I912" s="212" t="s">
        <v>1137</v>
      </c>
      <c r="J912" s="212" t="s">
        <v>225</v>
      </c>
      <c r="K912" s="227" t="s">
        <v>269</v>
      </c>
      <c r="L912" s="227" t="s">
        <v>1725</v>
      </c>
      <c r="M912" t="s">
        <v>1738</v>
      </c>
      <c r="N912" s="214">
        <v>-20.8</v>
      </c>
      <c r="O912" s="214">
        <v>-20.8</v>
      </c>
      <c r="P912" s="211">
        <v>6.3</v>
      </c>
      <c r="S912" s="211">
        <v>2.9</v>
      </c>
    </row>
    <row r="913" spans="1:19" ht="19">
      <c r="A913" s="212" t="s">
        <v>579</v>
      </c>
      <c r="B913" s="212" t="s">
        <v>580</v>
      </c>
      <c r="C913" s="233" t="s">
        <v>585</v>
      </c>
      <c r="D913" s="234" t="s">
        <v>151</v>
      </c>
      <c r="E913" s="236">
        <v>41229</v>
      </c>
      <c r="F913" s="236">
        <v>17271</v>
      </c>
      <c r="G913" s="236" t="s">
        <v>1723</v>
      </c>
      <c r="H913" s="212" t="s">
        <v>1811</v>
      </c>
      <c r="I913" s="212" t="s">
        <v>1137</v>
      </c>
      <c r="J913" s="212" t="s">
        <v>225</v>
      </c>
      <c r="K913" s="227" t="s">
        <v>269</v>
      </c>
      <c r="L913" s="227" t="s">
        <v>1725</v>
      </c>
      <c r="M913" t="s">
        <v>1738</v>
      </c>
      <c r="N913" s="214">
        <v>-19.3</v>
      </c>
      <c r="O913" s="214">
        <v>-19.3</v>
      </c>
      <c r="P913" s="211">
        <v>6.5</v>
      </c>
      <c r="S913" s="211">
        <v>2.9</v>
      </c>
    </row>
    <row r="914" spans="1:19" ht="19">
      <c r="A914" s="212" t="s">
        <v>579</v>
      </c>
      <c r="B914" s="212" t="s">
        <v>580</v>
      </c>
      <c r="C914" s="233" t="s">
        <v>585</v>
      </c>
      <c r="D914" s="234" t="s">
        <v>151</v>
      </c>
      <c r="E914" s="236">
        <v>41229</v>
      </c>
      <c r="F914" s="236">
        <v>17272</v>
      </c>
      <c r="G914" s="236" t="s">
        <v>1723</v>
      </c>
      <c r="H914" s="212" t="s">
        <v>1811</v>
      </c>
      <c r="I914" s="212" t="s">
        <v>1137</v>
      </c>
      <c r="J914" s="212" t="s">
        <v>225</v>
      </c>
      <c r="K914" s="227" t="s">
        <v>269</v>
      </c>
      <c r="L914" s="227" t="s">
        <v>1725</v>
      </c>
      <c r="M914" t="s">
        <v>1738</v>
      </c>
      <c r="N914" s="214">
        <v>-18.5</v>
      </c>
      <c r="O914" s="214">
        <v>-18.5</v>
      </c>
      <c r="P914" s="211">
        <v>7.5</v>
      </c>
      <c r="S914" s="211">
        <v>2.9</v>
      </c>
    </row>
    <row r="915" spans="1:19" ht="19">
      <c r="A915" s="212" t="s">
        <v>579</v>
      </c>
      <c r="B915" s="212" t="s">
        <v>580</v>
      </c>
      <c r="C915" s="233" t="s">
        <v>585</v>
      </c>
      <c r="D915" s="234" t="s">
        <v>151</v>
      </c>
      <c r="E915" s="236">
        <v>41229</v>
      </c>
      <c r="F915" s="236">
        <v>17276</v>
      </c>
      <c r="G915" s="236" t="s">
        <v>1723</v>
      </c>
      <c r="H915" s="212" t="s">
        <v>1811</v>
      </c>
      <c r="I915" s="212" t="s">
        <v>1137</v>
      </c>
      <c r="J915" s="212" t="s">
        <v>225</v>
      </c>
      <c r="K915" s="227" t="s">
        <v>269</v>
      </c>
      <c r="L915" s="227" t="s">
        <v>1725</v>
      </c>
      <c r="M915" t="s">
        <v>1757</v>
      </c>
      <c r="N915" s="214">
        <v>-18</v>
      </c>
      <c r="O915" s="214">
        <v>-18</v>
      </c>
      <c r="P915" s="211">
        <v>5.7</v>
      </c>
      <c r="S915" s="211">
        <v>2.8</v>
      </c>
    </row>
    <row r="916" spans="1:19" ht="19">
      <c r="A916" s="212" t="s">
        <v>579</v>
      </c>
      <c r="B916" s="212" t="s">
        <v>580</v>
      </c>
      <c r="C916" s="233" t="s">
        <v>585</v>
      </c>
      <c r="D916" s="234" t="s">
        <v>151</v>
      </c>
      <c r="E916" s="236">
        <v>41229</v>
      </c>
      <c r="F916" s="236">
        <v>17278</v>
      </c>
      <c r="G916" s="236" t="s">
        <v>1723</v>
      </c>
      <c r="H916" s="212" t="s">
        <v>1811</v>
      </c>
      <c r="I916" s="212" t="s">
        <v>1137</v>
      </c>
      <c r="J916" s="212" t="s">
        <v>225</v>
      </c>
      <c r="K916" s="227" t="s">
        <v>269</v>
      </c>
      <c r="L916" s="227" t="s">
        <v>1725</v>
      </c>
      <c r="M916" t="s">
        <v>1754</v>
      </c>
      <c r="N916" s="214">
        <v>-20.9</v>
      </c>
      <c r="O916" s="214">
        <v>-20.9</v>
      </c>
      <c r="P916" s="211">
        <v>3.8</v>
      </c>
      <c r="S916" s="211">
        <v>2.8</v>
      </c>
    </row>
    <row r="917" spans="1:19" ht="19">
      <c r="A917" s="212" t="s">
        <v>579</v>
      </c>
      <c r="B917" s="212" t="s">
        <v>580</v>
      </c>
      <c r="C917" s="233" t="s">
        <v>585</v>
      </c>
      <c r="D917" s="234" t="s">
        <v>151</v>
      </c>
      <c r="E917" s="236">
        <v>41229</v>
      </c>
      <c r="F917" s="236">
        <v>17280</v>
      </c>
      <c r="G917" s="236" t="s">
        <v>1723</v>
      </c>
      <c r="H917" s="212" t="s">
        <v>1811</v>
      </c>
      <c r="I917" s="212" t="s">
        <v>1137</v>
      </c>
      <c r="J917" s="212" t="s">
        <v>225</v>
      </c>
      <c r="K917" s="227" t="s">
        <v>269</v>
      </c>
      <c r="L917" s="227" t="s">
        <v>1725</v>
      </c>
      <c r="M917" t="s">
        <v>1754</v>
      </c>
      <c r="N917" s="214">
        <v>-15</v>
      </c>
      <c r="O917" s="214">
        <v>-15</v>
      </c>
      <c r="P917" s="211">
        <v>4.5</v>
      </c>
      <c r="S917" s="211">
        <v>2.9</v>
      </c>
    </row>
    <row r="918" spans="1:19" ht="19">
      <c r="A918" s="212" t="s">
        <v>579</v>
      </c>
      <c r="B918" s="212" t="s">
        <v>580</v>
      </c>
      <c r="C918" s="233" t="s">
        <v>585</v>
      </c>
      <c r="D918" s="234" t="s">
        <v>151</v>
      </c>
      <c r="E918" s="236">
        <v>41229</v>
      </c>
      <c r="F918" s="236">
        <v>17284</v>
      </c>
      <c r="G918" s="236" t="s">
        <v>1723</v>
      </c>
      <c r="H918" s="212" t="s">
        <v>1811</v>
      </c>
      <c r="I918" s="212" t="s">
        <v>1137</v>
      </c>
      <c r="J918" s="212" t="s">
        <v>225</v>
      </c>
      <c r="K918" s="227" t="s">
        <v>269</v>
      </c>
      <c r="L918" s="227" t="s">
        <v>1725</v>
      </c>
      <c r="M918" t="s">
        <v>1738</v>
      </c>
      <c r="N918" s="214">
        <v>-14.7</v>
      </c>
      <c r="O918" s="214">
        <v>-14.7</v>
      </c>
      <c r="P918" s="211">
        <v>5.6</v>
      </c>
      <c r="S918" s="211">
        <v>2.8</v>
      </c>
    </row>
    <row r="919" spans="1:19" ht="19">
      <c r="A919" s="212" t="s">
        <v>579</v>
      </c>
      <c r="B919" s="212" t="s">
        <v>580</v>
      </c>
      <c r="C919" s="233" t="s">
        <v>585</v>
      </c>
      <c r="D919" s="234" t="s">
        <v>151</v>
      </c>
      <c r="E919" s="236">
        <v>41229</v>
      </c>
      <c r="F919" s="236">
        <v>17285</v>
      </c>
      <c r="G919" s="236" t="s">
        <v>1723</v>
      </c>
      <c r="H919" s="212" t="s">
        <v>1811</v>
      </c>
      <c r="I919" s="212" t="s">
        <v>1137</v>
      </c>
      <c r="J919" s="212" t="s">
        <v>225</v>
      </c>
      <c r="K919" s="227" t="s">
        <v>269</v>
      </c>
      <c r="L919" s="227" t="s">
        <v>1725</v>
      </c>
      <c r="M919" t="s">
        <v>1738</v>
      </c>
      <c r="N919" s="214">
        <v>-20.399999999999999</v>
      </c>
      <c r="O919" s="214">
        <v>-20.399999999999999</v>
      </c>
      <c r="P919" s="211">
        <v>5.6</v>
      </c>
      <c r="S919" s="211">
        <v>2.9</v>
      </c>
    </row>
    <row r="920" spans="1:19" ht="19">
      <c r="A920" s="212" t="s">
        <v>579</v>
      </c>
      <c r="B920" s="212" t="s">
        <v>580</v>
      </c>
      <c r="C920" s="233" t="s">
        <v>585</v>
      </c>
      <c r="D920" s="234" t="s">
        <v>151</v>
      </c>
      <c r="E920" s="236">
        <v>41229</v>
      </c>
      <c r="F920" s="236">
        <v>17286</v>
      </c>
      <c r="G920" s="236" t="s">
        <v>1723</v>
      </c>
      <c r="H920" s="212" t="s">
        <v>1811</v>
      </c>
      <c r="I920" s="212" t="s">
        <v>1137</v>
      </c>
      <c r="J920" s="212" t="s">
        <v>225</v>
      </c>
      <c r="K920" s="227" t="s">
        <v>269</v>
      </c>
      <c r="L920" s="227" t="s">
        <v>1725</v>
      </c>
      <c r="M920" t="s">
        <v>1738</v>
      </c>
      <c r="N920" s="214">
        <v>-12.1</v>
      </c>
      <c r="O920" s="214">
        <v>-12.1</v>
      </c>
      <c r="P920" s="211">
        <v>5.0999999999999996</v>
      </c>
      <c r="S920" s="211">
        <v>2.9</v>
      </c>
    </row>
    <row r="921" spans="1:19" ht="19">
      <c r="A921" s="212" t="s">
        <v>579</v>
      </c>
      <c r="B921" s="212" t="s">
        <v>580</v>
      </c>
      <c r="C921" s="233" t="s">
        <v>585</v>
      </c>
      <c r="D921" s="234" t="s">
        <v>151</v>
      </c>
      <c r="E921" s="236">
        <v>41229</v>
      </c>
      <c r="F921" s="236">
        <v>17287</v>
      </c>
      <c r="G921" s="236" t="s">
        <v>1723</v>
      </c>
      <c r="H921" s="212" t="s">
        <v>1811</v>
      </c>
      <c r="I921" s="212" t="s">
        <v>1137</v>
      </c>
      <c r="J921" s="212" t="s">
        <v>225</v>
      </c>
      <c r="K921" s="227" t="s">
        <v>269</v>
      </c>
      <c r="L921" s="227" t="s">
        <v>1725</v>
      </c>
      <c r="M921" t="s">
        <v>1738</v>
      </c>
      <c r="N921" s="214">
        <v>-16.399999999999999</v>
      </c>
      <c r="O921" s="214">
        <v>-16.399999999999999</v>
      </c>
      <c r="P921" s="211">
        <v>6.7</v>
      </c>
      <c r="S921" s="211">
        <v>2.8</v>
      </c>
    </row>
    <row r="922" spans="1:19" ht="19">
      <c r="A922" s="212" t="s">
        <v>579</v>
      </c>
      <c r="B922" s="212" t="s">
        <v>580</v>
      </c>
      <c r="C922" s="233" t="s">
        <v>585</v>
      </c>
      <c r="D922" s="234" t="s">
        <v>151</v>
      </c>
      <c r="E922" s="236">
        <v>41229</v>
      </c>
      <c r="F922" s="236">
        <v>17289</v>
      </c>
      <c r="G922" s="236" t="s">
        <v>1723</v>
      </c>
      <c r="H922" s="212" t="s">
        <v>1811</v>
      </c>
      <c r="I922" s="212" t="s">
        <v>1137</v>
      </c>
      <c r="J922" s="212" t="s">
        <v>225</v>
      </c>
      <c r="K922" s="227" t="s">
        <v>269</v>
      </c>
      <c r="L922" s="227" t="s">
        <v>1725</v>
      </c>
      <c r="M922" t="s">
        <v>1873</v>
      </c>
      <c r="N922" s="214">
        <v>-18.8</v>
      </c>
      <c r="O922" s="214">
        <v>-18.8</v>
      </c>
      <c r="P922" s="211">
        <v>5.8</v>
      </c>
      <c r="S922" s="211">
        <v>2.9</v>
      </c>
    </row>
    <row r="923" spans="1:19" ht="19">
      <c r="A923" s="212" t="s">
        <v>579</v>
      </c>
      <c r="B923" s="212" t="s">
        <v>580</v>
      </c>
      <c r="C923" s="233" t="s">
        <v>585</v>
      </c>
      <c r="D923" s="234" t="s">
        <v>151</v>
      </c>
      <c r="E923" s="236">
        <v>41229</v>
      </c>
      <c r="F923" s="236">
        <v>17290</v>
      </c>
      <c r="G923" s="236" t="s">
        <v>1723</v>
      </c>
      <c r="H923" s="212" t="s">
        <v>1811</v>
      </c>
      <c r="I923" s="212" t="s">
        <v>1137</v>
      </c>
      <c r="J923" s="212" t="s">
        <v>225</v>
      </c>
      <c r="K923" s="227" t="s">
        <v>269</v>
      </c>
      <c r="L923" s="227" t="s">
        <v>1725</v>
      </c>
      <c r="M923" t="s">
        <v>1738</v>
      </c>
      <c r="N923" s="214">
        <v>-18.3</v>
      </c>
      <c r="O923" s="214">
        <v>-18.3</v>
      </c>
      <c r="P923" s="211">
        <v>6.2</v>
      </c>
      <c r="S923" s="211">
        <v>2.9</v>
      </c>
    </row>
    <row r="924" spans="1:19" ht="19">
      <c r="A924" s="212" t="s">
        <v>579</v>
      </c>
      <c r="B924" s="212" t="s">
        <v>580</v>
      </c>
      <c r="C924" s="233" t="s">
        <v>585</v>
      </c>
      <c r="D924" s="234" t="s">
        <v>151</v>
      </c>
      <c r="E924" s="212">
        <v>41229</v>
      </c>
      <c r="F924" s="212">
        <v>17291</v>
      </c>
      <c r="G924" s="212" t="s">
        <v>1723</v>
      </c>
      <c r="H924" s="212" t="s">
        <v>1811</v>
      </c>
      <c r="I924" s="212" t="s">
        <v>1137</v>
      </c>
      <c r="J924" s="212" t="s">
        <v>225</v>
      </c>
      <c r="K924" s="227" t="s">
        <v>269</v>
      </c>
      <c r="L924" s="227" t="s">
        <v>1725</v>
      </c>
      <c r="M924" t="s">
        <v>1873</v>
      </c>
      <c r="N924" s="211">
        <v>-16.3</v>
      </c>
      <c r="O924" s="211">
        <v>-16.3</v>
      </c>
      <c r="P924" s="211">
        <v>6.1</v>
      </c>
      <c r="S924" s="211">
        <v>2.9</v>
      </c>
    </row>
    <row r="925" spans="1:19" ht="19">
      <c r="A925" s="212" t="s">
        <v>579</v>
      </c>
      <c r="B925" s="212" t="s">
        <v>580</v>
      </c>
      <c r="C925" s="233" t="s">
        <v>585</v>
      </c>
      <c r="D925" s="234" t="s">
        <v>151</v>
      </c>
      <c r="E925" s="236">
        <v>41229</v>
      </c>
      <c r="F925" s="236">
        <v>17295</v>
      </c>
      <c r="G925" s="236" t="s">
        <v>1723</v>
      </c>
      <c r="H925" s="212" t="s">
        <v>1811</v>
      </c>
      <c r="I925" s="212" t="s">
        <v>1137</v>
      </c>
      <c r="J925" s="212" t="s">
        <v>225</v>
      </c>
      <c r="K925" s="227" t="s">
        <v>269</v>
      </c>
      <c r="L925" s="227" t="s">
        <v>1725</v>
      </c>
      <c r="M925" t="s">
        <v>1873</v>
      </c>
      <c r="N925" s="214">
        <v>-14.2</v>
      </c>
      <c r="O925" s="214">
        <v>-14.2</v>
      </c>
      <c r="P925" s="211">
        <v>5.5</v>
      </c>
      <c r="S925" s="211">
        <v>2.9</v>
      </c>
    </row>
    <row r="926" spans="1:19" ht="19">
      <c r="A926" s="212" t="s">
        <v>579</v>
      </c>
      <c r="B926" s="212" t="s">
        <v>580</v>
      </c>
      <c r="C926" s="233" t="s">
        <v>585</v>
      </c>
      <c r="D926" s="234" t="s">
        <v>151</v>
      </c>
      <c r="E926" s="236">
        <v>41229</v>
      </c>
      <c r="F926" s="236">
        <v>17296</v>
      </c>
      <c r="G926" s="236" t="s">
        <v>1723</v>
      </c>
      <c r="H926" s="212" t="s">
        <v>1811</v>
      </c>
      <c r="I926" s="212" t="s">
        <v>1137</v>
      </c>
      <c r="J926" s="212" t="s">
        <v>225</v>
      </c>
      <c r="K926" s="227" t="s">
        <v>269</v>
      </c>
      <c r="L926" s="227" t="s">
        <v>1725</v>
      </c>
      <c r="M926" t="s">
        <v>1869</v>
      </c>
      <c r="N926" s="214">
        <v>-20.100000000000001</v>
      </c>
      <c r="O926" s="214">
        <v>-20.100000000000001</v>
      </c>
      <c r="P926" s="211">
        <v>6.3</v>
      </c>
      <c r="S926" s="211">
        <v>3</v>
      </c>
    </row>
    <row r="927" spans="1:19" ht="19">
      <c r="A927" s="212" t="s">
        <v>579</v>
      </c>
      <c r="B927" s="212" t="s">
        <v>580</v>
      </c>
      <c r="C927" s="233" t="s">
        <v>585</v>
      </c>
      <c r="D927" s="234" t="s">
        <v>151</v>
      </c>
      <c r="E927" s="236">
        <v>41229</v>
      </c>
      <c r="F927" s="236">
        <v>17308</v>
      </c>
      <c r="G927" s="236" t="s">
        <v>1723</v>
      </c>
      <c r="H927" s="212" t="s">
        <v>1811</v>
      </c>
      <c r="I927" s="212" t="s">
        <v>1137</v>
      </c>
      <c r="J927" s="212" t="s">
        <v>225</v>
      </c>
      <c r="K927" s="227" t="s">
        <v>269</v>
      </c>
      <c r="L927" s="227" t="s">
        <v>1725</v>
      </c>
      <c r="M927" t="s">
        <v>1738</v>
      </c>
      <c r="N927" s="214">
        <v>-22.3</v>
      </c>
      <c r="O927" s="214">
        <v>-22.3</v>
      </c>
      <c r="P927" s="211">
        <v>5.6</v>
      </c>
      <c r="S927" s="211">
        <v>2.9</v>
      </c>
    </row>
    <row r="928" spans="1:19" ht="19">
      <c r="A928" s="212" t="s">
        <v>579</v>
      </c>
      <c r="B928" s="212" t="s">
        <v>580</v>
      </c>
      <c r="C928" s="233" t="s">
        <v>585</v>
      </c>
      <c r="D928" s="234" t="s">
        <v>151</v>
      </c>
      <c r="E928" s="236">
        <v>41229</v>
      </c>
      <c r="F928" s="236">
        <v>17309</v>
      </c>
      <c r="G928" s="236" t="s">
        <v>1723</v>
      </c>
      <c r="H928" s="212" t="s">
        <v>1811</v>
      </c>
      <c r="I928" s="212" t="s">
        <v>1137</v>
      </c>
      <c r="J928" s="212" t="s">
        <v>225</v>
      </c>
      <c r="K928" s="227" t="s">
        <v>269</v>
      </c>
      <c r="L928" s="227" t="s">
        <v>1725</v>
      </c>
      <c r="M928" t="s">
        <v>1805</v>
      </c>
      <c r="N928" s="214">
        <v>-16.899999999999999</v>
      </c>
      <c r="O928" s="214">
        <v>-16.899999999999999</v>
      </c>
      <c r="P928" s="211">
        <v>5.9</v>
      </c>
      <c r="S928" s="211">
        <v>2.8</v>
      </c>
    </row>
    <row r="929" spans="1:19" ht="19">
      <c r="A929" s="212" t="s">
        <v>579</v>
      </c>
      <c r="B929" s="212" t="s">
        <v>580</v>
      </c>
      <c r="C929" s="233" t="s">
        <v>585</v>
      </c>
      <c r="D929" s="234" t="s">
        <v>151</v>
      </c>
      <c r="E929" s="236">
        <v>41229</v>
      </c>
      <c r="F929" s="236">
        <v>17310</v>
      </c>
      <c r="G929" s="236" t="s">
        <v>1723</v>
      </c>
      <c r="H929" s="212" t="s">
        <v>1811</v>
      </c>
      <c r="I929" s="212" t="s">
        <v>1137</v>
      </c>
      <c r="J929" s="212" t="s">
        <v>225</v>
      </c>
      <c r="K929" s="227" t="s">
        <v>269</v>
      </c>
      <c r="L929" s="227" t="s">
        <v>1725</v>
      </c>
      <c r="M929" t="s">
        <v>1738</v>
      </c>
      <c r="N929" s="214">
        <v>-16.399999999999999</v>
      </c>
      <c r="O929" s="214">
        <v>-16.399999999999999</v>
      </c>
      <c r="P929" s="211">
        <v>5.8</v>
      </c>
      <c r="S929" s="211">
        <v>3</v>
      </c>
    </row>
    <row r="930" spans="1:19" ht="19">
      <c r="A930" s="212" t="s">
        <v>579</v>
      </c>
      <c r="B930" s="212" t="s">
        <v>580</v>
      </c>
      <c r="C930" s="233" t="s">
        <v>585</v>
      </c>
      <c r="D930" s="234" t="s">
        <v>151</v>
      </c>
      <c r="E930" s="236">
        <v>41229</v>
      </c>
      <c r="F930" s="236">
        <v>17311</v>
      </c>
      <c r="G930" s="236" t="s">
        <v>1723</v>
      </c>
      <c r="H930" s="212" t="s">
        <v>1811</v>
      </c>
      <c r="I930" s="212" t="s">
        <v>1137</v>
      </c>
      <c r="J930" s="212" t="s">
        <v>225</v>
      </c>
      <c r="K930" s="227" t="s">
        <v>269</v>
      </c>
      <c r="L930" s="227" t="s">
        <v>1725</v>
      </c>
      <c r="M930" t="s">
        <v>1738</v>
      </c>
      <c r="N930" s="214">
        <v>-15.8</v>
      </c>
      <c r="O930" s="214">
        <v>-15.8</v>
      </c>
      <c r="P930" s="211">
        <v>6</v>
      </c>
      <c r="S930" s="211">
        <v>3</v>
      </c>
    </row>
    <row r="931" spans="1:19" ht="19">
      <c r="A931" s="212" t="s">
        <v>579</v>
      </c>
      <c r="B931" s="212" t="s">
        <v>580</v>
      </c>
      <c r="C931" s="233" t="s">
        <v>585</v>
      </c>
      <c r="D931" s="234" t="s">
        <v>151</v>
      </c>
      <c r="E931" s="236">
        <v>41229</v>
      </c>
      <c r="F931" s="236">
        <v>17314</v>
      </c>
      <c r="G931" s="236" t="s">
        <v>1723</v>
      </c>
      <c r="H931" s="212" t="s">
        <v>1811</v>
      </c>
      <c r="I931" s="212" t="s">
        <v>1137</v>
      </c>
      <c r="J931" s="212" t="s">
        <v>225</v>
      </c>
      <c r="K931" s="227" t="s">
        <v>269</v>
      </c>
      <c r="L931" s="227" t="s">
        <v>1725</v>
      </c>
      <c r="M931" t="s">
        <v>1754</v>
      </c>
      <c r="N931" s="214">
        <v>-18</v>
      </c>
      <c r="O931" s="214">
        <v>-18</v>
      </c>
      <c r="P931" s="211">
        <v>5.0999999999999996</v>
      </c>
      <c r="S931" s="211">
        <v>2.8</v>
      </c>
    </row>
    <row r="932" spans="1:19" ht="19">
      <c r="A932" s="212" t="s">
        <v>579</v>
      </c>
      <c r="B932" s="212" t="s">
        <v>580</v>
      </c>
      <c r="C932" s="233" t="s">
        <v>585</v>
      </c>
      <c r="D932" s="234" t="s">
        <v>151</v>
      </c>
      <c r="E932" s="236">
        <v>41229</v>
      </c>
      <c r="F932" s="236">
        <v>17316</v>
      </c>
      <c r="G932" s="236" t="s">
        <v>1723</v>
      </c>
      <c r="H932" s="212" t="s">
        <v>1811</v>
      </c>
      <c r="I932" s="212" t="s">
        <v>1137</v>
      </c>
      <c r="J932" s="212" t="s">
        <v>225</v>
      </c>
      <c r="K932" s="227" t="s">
        <v>269</v>
      </c>
      <c r="L932" s="227" t="s">
        <v>1725</v>
      </c>
      <c r="M932" t="s">
        <v>1805</v>
      </c>
      <c r="N932" s="214">
        <v>-12.1</v>
      </c>
      <c r="O932" s="214">
        <v>-12.1</v>
      </c>
      <c r="P932" s="211">
        <v>7.1</v>
      </c>
      <c r="S932" s="211">
        <v>2.9</v>
      </c>
    </row>
    <row r="933" spans="1:19" ht="19">
      <c r="A933" s="212" t="s">
        <v>579</v>
      </c>
      <c r="B933" s="212" t="s">
        <v>580</v>
      </c>
      <c r="C933" s="233" t="s">
        <v>585</v>
      </c>
      <c r="D933" s="234" t="s">
        <v>151</v>
      </c>
      <c r="E933" s="236">
        <v>41229</v>
      </c>
      <c r="F933" s="236">
        <v>17318</v>
      </c>
      <c r="G933" s="236" t="s">
        <v>1723</v>
      </c>
      <c r="H933" s="212" t="s">
        <v>1811</v>
      </c>
      <c r="I933" s="212" t="s">
        <v>1137</v>
      </c>
      <c r="J933" s="212" t="s">
        <v>225</v>
      </c>
      <c r="K933" s="227" t="s">
        <v>269</v>
      </c>
      <c r="L933" s="227" t="s">
        <v>1725</v>
      </c>
      <c r="M933" t="s">
        <v>1784</v>
      </c>
      <c r="N933" s="214">
        <v>-16.899999999999999</v>
      </c>
      <c r="O933" s="214">
        <v>-16.899999999999999</v>
      </c>
      <c r="P933" s="211">
        <v>5.8</v>
      </c>
      <c r="S933" s="211">
        <v>2.8</v>
      </c>
    </row>
    <row r="934" spans="1:19" ht="19">
      <c r="A934" s="212" t="s">
        <v>579</v>
      </c>
      <c r="B934" s="212" t="s">
        <v>580</v>
      </c>
      <c r="C934" s="233" t="s">
        <v>585</v>
      </c>
      <c r="D934" s="234" t="s">
        <v>151</v>
      </c>
      <c r="E934" s="212">
        <v>41229</v>
      </c>
      <c r="F934" s="212">
        <v>17325</v>
      </c>
      <c r="G934" s="212" t="s">
        <v>1723</v>
      </c>
      <c r="H934" s="212" t="s">
        <v>1811</v>
      </c>
      <c r="I934" s="212" t="s">
        <v>1137</v>
      </c>
      <c r="J934" s="212" t="s">
        <v>225</v>
      </c>
      <c r="K934" s="227" t="s">
        <v>269</v>
      </c>
      <c r="L934" s="227" t="s">
        <v>1725</v>
      </c>
      <c r="M934" t="s">
        <v>1738</v>
      </c>
      <c r="N934" s="211">
        <v>-19.100000000000001</v>
      </c>
      <c r="O934" s="211">
        <v>-19.100000000000001</v>
      </c>
      <c r="P934" s="211">
        <v>6.7</v>
      </c>
      <c r="S934" s="211">
        <v>2.8</v>
      </c>
    </row>
    <row r="935" spans="1:19" ht="19">
      <c r="A935" s="212" t="s">
        <v>579</v>
      </c>
      <c r="B935" s="212" t="s">
        <v>580</v>
      </c>
      <c r="C935" s="233" t="s">
        <v>585</v>
      </c>
      <c r="D935" s="234" t="s">
        <v>151</v>
      </c>
      <c r="E935" s="236">
        <v>41229</v>
      </c>
      <c r="F935" s="236">
        <v>17327</v>
      </c>
      <c r="G935" s="236" t="s">
        <v>1723</v>
      </c>
      <c r="H935" s="212" t="s">
        <v>1811</v>
      </c>
      <c r="I935" s="212" t="s">
        <v>1137</v>
      </c>
      <c r="J935" s="212" t="s">
        <v>225</v>
      </c>
      <c r="K935" s="227" t="s">
        <v>269</v>
      </c>
      <c r="L935" s="227" t="s">
        <v>1725</v>
      </c>
      <c r="M935" t="s">
        <v>1784</v>
      </c>
      <c r="N935" s="214">
        <v>-21.8</v>
      </c>
      <c r="O935" s="214">
        <v>-21.8</v>
      </c>
      <c r="P935" s="211">
        <v>4.7</v>
      </c>
      <c r="S935" s="211">
        <v>3</v>
      </c>
    </row>
    <row r="936" spans="1:19" ht="19">
      <c r="A936" s="212" t="s">
        <v>579</v>
      </c>
      <c r="B936" s="212" t="s">
        <v>580</v>
      </c>
      <c r="C936" s="233" t="s">
        <v>585</v>
      </c>
      <c r="D936" s="234" t="s">
        <v>151</v>
      </c>
      <c r="E936" s="236">
        <v>41229</v>
      </c>
      <c r="F936" s="236">
        <v>17330</v>
      </c>
      <c r="G936" s="236" t="s">
        <v>1723</v>
      </c>
      <c r="H936" s="212" t="s">
        <v>1811</v>
      </c>
      <c r="I936" s="212" t="s">
        <v>1137</v>
      </c>
      <c r="J936" s="212" t="s">
        <v>225</v>
      </c>
      <c r="K936" s="227" t="s">
        <v>269</v>
      </c>
      <c r="L936" s="227" t="s">
        <v>1725</v>
      </c>
      <c r="M936" t="s">
        <v>1754</v>
      </c>
      <c r="N936" s="214">
        <v>-16.3</v>
      </c>
      <c r="O936" s="214">
        <v>-16.3</v>
      </c>
      <c r="P936" s="211">
        <v>4.7</v>
      </c>
      <c r="S936" s="211">
        <v>2.8</v>
      </c>
    </row>
    <row r="937" spans="1:19" ht="19">
      <c r="A937" s="212" t="s">
        <v>579</v>
      </c>
      <c r="B937" s="212" t="s">
        <v>580</v>
      </c>
      <c r="C937" s="233" t="s">
        <v>585</v>
      </c>
      <c r="D937" s="234" t="s">
        <v>151</v>
      </c>
      <c r="E937" s="236">
        <v>41229</v>
      </c>
      <c r="F937" s="236">
        <v>17379</v>
      </c>
      <c r="G937" s="236" t="s">
        <v>1723</v>
      </c>
      <c r="H937" s="212" t="s">
        <v>1811</v>
      </c>
      <c r="I937" s="212" t="s">
        <v>1137</v>
      </c>
      <c r="J937" s="212" t="s">
        <v>225</v>
      </c>
      <c r="K937" s="227" t="s">
        <v>269</v>
      </c>
      <c r="L937" s="227" t="s">
        <v>1725</v>
      </c>
      <c r="M937" t="s">
        <v>1757</v>
      </c>
      <c r="N937" s="214">
        <v>-21.7</v>
      </c>
      <c r="O937" s="214">
        <v>-21.7</v>
      </c>
      <c r="P937" s="211">
        <v>6.8</v>
      </c>
      <c r="S937" s="211">
        <v>2.9</v>
      </c>
    </row>
    <row r="938" spans="1:19" ht="19">
      <c r="A938" s="212" t="s">
        <v>579</v>
      </c>
      <c r="B938" s="212" t="s">
        <v>580</v>
      </c>
      <c r="C938" s="233" t="s">
        <v>585</v>
      </c>
      <c r="D938" s="234" t="s">
        <v>151</v>
      </c>
      <c r="E938" s="236">
        <v>41229</v>
      </c>
      <c r="F938" s="236">
        <v>17383</v>
      </c>
      <c r="G938" s="236" t="s">
        <v>1723</v>
      </c>
      <c r="H938" s="212" t="s">
        <v>1811</v>
      </c>
      <c r="I938" s="212" t="s">
        <v>1137</v>
      </c>
      <c r="J938" s="212" t="s">
        <v>225</v>
      </c>
      <c r="K938" s="227" t="s">
        <v>269</v>
      </c>
      <c r="L938" s="227" t="s">
        <v>1725</v>
      </c>
      <c r="M938" t="s">
        <v>1754</v>
      </c>
      <c r="N938" s="214">
        <v>-21.2</v>
      </c>
      <c r="O938" s="214">
        <v>-21.2</v>
      </c>
      <c r="P938" s="211">
        <v>4.3</v>
      </c>
      <c r="S938" s="211">
        <v>3.1</v>
      </c>
    </row>
    <row r="939" spans="1:19" ht="19">
      <c r="A939" s="212" t="s">
        <v>579</v>
      </c>
      <c r="B939" s="212" t="s">
        <v>580</v>
      </c>
      <c r="C939" s="233" t="s">
        <v>585</v>
      </c>
      <c r="D939" s="234" t="s">
        <v>151</v>
      </c>
      <c r="E939" s="236">
        <v>41229</v>
      </c>
      <c r="F939" s="236">
        <v>17385</v>
      </c>
      <c r="G939" s="236" t="s">
        <v>1723</v>
      </c>
      <c r="H939" s="212" t="s">
        <v>1811</v>
      </c>
      <c r="I939" s="212" t="s">
        <v>1137</v>
      </c>
      <c r="J939" s="212" t="s">
        <v>225</v>
      </c>
      <c r="K939" s="227" t="s">
        <v>269</v>
      </c>
      <c r="L939" s="227" t="s">
        <v>1725</v>
      </c>
      <c r="M939" t="s">
        <v>1757</v>
      </c>
      <c r="N939" s="214">
        <v>-22.4</v>
      </c>
      <c r="O939" s="214">
        <v>-22.4</v>
      </c>
      <c r="P939" s="211">
        <v>7.5</v>
      </c>
      <c r="S939" s="211">
        <v>2.9</v>
      </c>
    </row>
    <row r="940" spans="1:19" ht="19">
      <c r="A940" s="212" t="s">
        <v>579</v>
      </c>
      <c r="B940" s="212" t="s">
        <v>580</v>
      </c>
      <c r="C940" s="233" t="s">
        <v>585</v>
      </c>
      <c r="D940" s="234" t="s">
        <v>151</v>
      </c>
      <c r="E940" s="236">
        <v>41229</v>
      </c>
      <c r="F940" s="236">
        <v>17386</v>
      </c>
      <c r="G940" s="236" t="s">
        <v>1723</v>
      </c>
      <c r="H940" s="212" t="s">
        <v>1811</v>
      </c>
      <c r="I940" s="212" t="s">
        <v>1137</v>
      </c>
      <c r="J940" s="212" t="s">
        <v>225</v>
      </c>
      <c r="K940" s="227" t="s">
        <v>269</v>
      </c>
      <c r="L940" s="227" t="s">
        <v>1725</v>
      </c>
      <c r="M940" t="s">
        <v>1332</v>
      </c>
      <c r="N940" s="214">
        <v>-20.3</v>
      </c>
      <c r="O940" s="214">
        <v>-20.3</v>
      </c>
      <c r="P940" s="211">
        <v>6.1</v>
      </c>
      <c r="S940" s="211">
        <v>2.9</v>
      </c>
    </row>
    <row r="941" spans="1:19" ht="19">
      <c r="A941" s="212" t="s">
        <v>579</v>
      </c>
      <c r="B941" s="212" t="s">
        <v>580</v>
      </c>
      <c r="C941" s="233" t="s">
        <v>585</v>
      </c>
      <c r="D941" s="234" t="s">
        <v>151</v>
      </c>
      <c r="E941" s="236">
        <v>41229</v>
      </c>
      <c r="F941" s="236">
        <v>17387</v>
      </c>
      <c r="G941" s="236" t="s">
        <v>1723</v>
      </c>
      <c r="H941" s="212" t="s">
        <v>1811</v>
      </c>
      <c r="I941" s="212" t="s">
        <v>1137</v>
      </c>
      <c r="J941" s="212" t="s">
        <v>225</v>
      </c>
      <c r="K941" s="227" t="s">
        <v>269</v>
      </c>
      <c r="L941" s="227" t="s">
        <v>1725</v>
      </c>
      <c r="M941" t="s">
        <v>1738</v>
      </c>
      <c r="N941" s="214">
        <v>-20.2</v>
      </c>
      <c r="O941" s="214">
        <v>-20.2</v>
      </c>
      <c r="P941" s="211">
        <v>7.1</v>
      </c>
      <c r="S941" s="211">
        <v>2.9</v>
      </c>
    </row>
    <row r="942" spans="1:19" ht="19">
      <c r="A942" s="212" t="s">
        <v>579</v>
      </c>
      <c r="B942" s="212" t="s">
        <v>580</v>
      </c>
      <c r="C942" s="233" t="s">
        <v>585</v>
      </c>
      <c r="D942" s="234" t="s">
        <v>151</v>
      </c>
      <c r="E942" s="236">
        <v>41229</v>
      </c>
      <c r="F942" s="236">
        <v>17389</v>
      </c>
      <c r="G942" s="236" t="s">
        <v>1723</v>
      </c>
      <c r="H942" s="212" t="s">
        <v>1811</v>
      </c>
      <c r="I942" s="212" t="s">
        <v>1137</v>
      </c>
      <c r="J942" s="212" t="s">
        <v>225</v>
      </c>
      <c r="K942" s="227" t="s">
        <v>269</v>
      </c>
      <c r="L942" s="227" t="s">
        <v>1725</v>
      </c>
      <c r="M942" t="s">
        <v>1738</v>
      </c>
      <c r="N942" s="214">
        <v>-15.3</v>
      </c>
      <c r="O942" s="214">
        <v>-15.3</v>
      </c>
      <c r="P942" s="211">
        <v>6.4</v>
      </c>
      <c r="S942" s="211">
        <v>2.8</v>
      </c>
    </row>
    <row r="943" spans="1:19" ht="19">
      <c r="A943" s="212" t="s">
        <v>579</v>
      </c>
      <c r="B943" s="212" t="s">
        <v>580</v>
      </c>
      <c r="C943" s="233" t="s">
        <v>585</v>
      </c>
      <c r="D943" s="234" t="s">
        <v>151</v>
      </c>
      <c r="E943" s="236">
        <v>41229</v>
      </c>
      <c r="F943" s="236">
        <v>17391</v>
      </c>
      <c r="G943" s="236" t="s">
        <v>1723</v>
      </c>
      <c r="H943" s="212" t="s">
        <v>1811</v>
      </c>
      <c r="I943" s="212" t="s">
        <v>1137</v>
      </c>
      <c r="J943" s="212" t="s">
        <v>225</v>
      </c>
      <c r="K943" s="227" t="s">
        <v>269</v>
      </c>
      <c r="L943" s="227" t="s">
        <v>1725</v>
      </c>
      <c r="M943" t="s">
        <v>1738</v>
      </c>
      <c r="N943" s="214">
        <v>-21.5</v>
      </c>
      <c r="O943" s="214">
        <v>-21.5</v>
      </c>
      <c r="P943" s="211">
        <v>7.3</v>
      </c>
      <c r="S943" s="211">
        <v>2.9</v>
      </c>
    </row>
    <row r="944" spans="1:19" ht="19">
      <c r="A944" s="212" t="s">
        <v>579</v>
      </c>
      <c r="B944" s="212" t="s">
        <v>580</v>
      </c>
      <c r="C944" s="233" t="s">
        <v>585</v>
      </c>
      <c r="D944" s="234" t="s">
        <v>151</v>
      </c>
      <c r="E944" s="236">
        <v>41229</v>
      </c>
      <c r="F944" s="236">
        <v>17392</v>
      </c>
      <c r="G944" s="236" t="s">
        <v>1723</v>
      </c>
      <c r="H944" s="212" t="s">
        <v>1811</v>
      </c>
      <c r="I944" s="212" t="s">
        <v>1137</v>
      </c>
      <c r="J944" s="212" t="s">
        <v>225</v>
      </c>
      <c r="K944" s="227" t="s">
        <v>269</v>
      </c>
      <c r="L944" s="227" t="s">
        <v>1725</v>
      </c>
      <c r="M944" t="s">
        <v>1738</v>
      </c>
      <c r="N944" s="214">
        <v>-20.8</v>
      </c>
      <c r="O944" s="214">
        <v>-20.8</v>
      </c>
      <c r="P944" s="211">
        <v>6.4</v>
      </c>
      <c r="S944" s="211">
        <v>2.9</v>
      </c>
    </row>
    <row r="945" spans="1:21" ht="19">
      <c r="A945" s="212" t="s">
        <v>579</v>
      </c>
      <c r="B945" s="212" t="s">
        <v>580</v>
      </c>
      <c r="C945" s="233" t="s">
        <v>585</v>
      </c>
      <c r="D945" s="234" t="s">
        <v>151</v>
      </c>
      <c r="E945" s="236">
        <v>41229</v>
      </c>
      <c r="F945" s="236">
        <v>17411</v>
      </c>
      <c r="G945" s="236" t="s">
        <v>1723</v>
      </c>
      <c r="H945" s="212" t="s">
        <v>1811</v>
      </c>
      <c r="I945" s="212" t="s">
        <v>1137</v>
      </c>
      <c r="J945" s="212" t="s">
        <v>225</v>
      </c>
      <c r="K945" s="227" t="s">
        <v>269</v>
      </c>
      <c r="L945" s="227" t="s">
        <v>1725</v>
      </c>
      <c r="M945" t="s">
        <v>1869</v>
      </c>
      <c r="N945" s="214">
        <v>-21.9</v>
      </c>
      <c r="O945" s="214">
        <v>-21.9</v>
      </c>
      <c r="P945" s="211">
        <v>4</v>
      </c>
      <c r="S945" s="211">
        <v>3.1</v>
      </c>
    </row>
    <row r="946" spans="1:21" ht="19">
      <c r="A946" s="212" t="s">
        <v>579</v>
      </c>
      <c r="B946" s="212" t="s">
        <v>580</v>
      </c>
      <c r="C946" s="233" t="s">
        <v>585</v>
      </c>
      <c r="D946" s="234" t="s">
        <v>151</v>
      </c>
      <c r="E946" s="236">
        <v>41229</v>
      </c>
      <c r="F946" s="236">
        <v>17412</v>
      </c>
      <c r="G946" s="236" t="s">
        <v>1723</v>
      </c>
      <c r="H946" s="212" t="s">
        <v>1811</v>
      </c>
      <c r="I946" s="212" t="s">
        <v>1137</v>
      </c>
      <c r="J946" s="212" t="s">
        <v>225</v>
      </c>
      <c r="K946" s="227" t="s">
        <v>269</v>
      </c>
      <c r="L946" s="227" t="s">
        <v>1725</v>
      </c>
      <c r="M946" t="s">
        <v>1738</v>
      </c>
      <c r="N946" s="214">
        <v>-22.7</v>
      </c>
      <c r="O946" s="214">
        <v>-22.7</v>
      </c>
      <c r="P946" s="211">
        <v>6.8</v>
      </c>
      <c r="S946" s="211">
        <v>2.9</v>
      </c>
    </row>
    <row r="947" spans="1:21" ht="19">
      <c r="A947" s="212" t="s">
        <v>579</v>
      </c>
      <c r="B947" s="212" t="s">
        <v>580</v>
      </c>
      <c r="C947" s="233" t="s">
        <v>585</v>
      </c>
      <c r="D947" s="234" t="s">
        <v>151</v>
      </c>
      <c r="E947" s="236">
        <v>41229</v>
      </c>
      <c r="F947" s="236">
        <v>17413</v>
      </c>
      <c r="G947" s="236" t="s">
        <v>1723</v>
      </c>
      <c r="H947" s="212" t="s">
        <v>1811</v>
      </c>
      <c r="I947" s="212" t="s">
        <v>1137</v>
      </c>
      <c r="J947" s="212" t="s">
        <v>225</v>
      </c>
      <c r="K947" s="227" t="s">
        <v>269</v>
      </c>
      <c r="L947" s="227" t="s">
        <v>1725</v>
      </c>
      <c r="M947" t="s">
        <v>1738</v>
      </c>
      <c r="N947" s="214">
        <v>-21.2</v>
      </c>
      <c r="O947" s="214">
        <v>-21.2</v>
      </c>
      <c r="P947" s="211">
        <v>6.8</v>
      </c>
      <c r="S947" s="211">
        <v>2.9</v>
      </c>
    </row>
    <row r="948" spans="1:21" ht="19">
      <c r="A948" s="212" t="s">
        <v>579</v>
      </c>
      <c r="B948" s="212" t="s">
        <v>580</v>
      </c>
      <c r="C948" s="233" t="s">
        <v>585</v>
      </c>
      <c r="D948" s="234" t="s">
        <v>151</v>
      </c>
      <c r="E948" s="212">
        <v>41229</v>
      </c>
      <c r="F948" s="212">
        <v>17414</v>
      </c>
      <c r="G948" s="212" t="s">
        <v>1723</v>
      </c>
      <c r="H948" s="212" t="s">
        <v>1811</v>
      </c>
      <c r="I948" s="212" t="s">
        <v>1137</v>
      </c>
      <c r="J948" s="212" t="s">
        <v>225</v>
      </c>
      <c r="K948" s="227" t="s">
        <v>269</v>
      </c>
      <c r="L948" s="227" t="s">
        <v>1725</v>
      </c>
      <c r="M948" t="s">
        <v>1738</v>
      </c>
      <c r="N948" s="211">
        <v>-22.8</v>
      </c>
      <c r="O948" s="211">
        <v>-22.8</v>
      </c>
      <c r="P948" s="211">
        <v>6.9</v>
      </c>
      <c r="S948" s="211">
        <v>2.9</v>
      </c>
    </row>
    <row r="949" spans="1:21" ht="19">
      <c r="A949" s="212" t="s">
        <v>579</v>
      </c>
      <c r="B949" s="212" t="s">
        <v>580</v>
      </c>
      <c r="C949" s="233" t="s">
        <v>585</v>
      </c>
      <c r="D949" s="234" t="s">
        <v>151</v>
      </c>
      <c r="E949" s="236">
        <v>41229</v>
      </c>
      <c r="F949" s="236">
        <v>17415</v>
      </c>
      <c r="G949" s="236" t="s">
        <v>1723</v>
      </c>
      <c r="H949" s="212" t="s">
        <v>1811</v>
      </c>
      <c r="I949" s="212" t="s">
        <v>1137</v>
      </c>
      <c r="J949" s="212" t="s">
        <v>225</v>
      </c>
      <c r="K949" s="227" t="s">
        <v>269</v>
      </c>
      <c r="L949" s="227" t="s">
        <v>1725</v>
      </c>
      <c r="M949" t="s">
        <v>1738</v>
      </c>
      <c r="N949" s="214">
        <v>-22.4</v>
      </c>
      <c r="O949" s="214">
        <v>-22.4</v>
      </c>
      <c r="P949" s="211">
        <v>6.3</v>
      </c>
      <c r="S949" s="211">
        <v>3</v>
      </c>
    </row>
    <row r="950" spans="1:21" ht="19">
      <c r="A950" s="212" t="s">
        <v>579</v>
      </c>
      <c r="B950" s="212" t="s">
        <v>580</v>
      </c>
      <c r="C950" s="233" t="s">
        <v>585</v>
      </c>
      <c r="D950" s="234" t="s">
        <v>151</v>
      </c>
      <c r="E950" s="212">
        <v>41229</v>
      </c>
      <c r="F950" s="212">
        <v>17416</v>
      </c>
      <c r="G950" s="212" t="s">
        <v>1723</v>
      </c>
      <c r="H950" s="212" t="s">
        <v>1811</v>
      </c>
      <c r="I950" s="212" t="s">
        <v>1137</v>
      </c>
      <c r="J950" s="212" t="s">
        <v>225</v>
      </c>
      <c r="K950" s="227" t="s">
        <v>269</v>
      </c>
      <c r="L950" s="227" t="s">
        <v>1725</v>
      </c>
      <c r="M950" t="s">
        <v>1738</v>
      </c>
      <c r="N950" s="211">
        <v>-18</v>
      </c>
      <c r="O950" s="211">
        <v>-18</v>
      </c>
      <c r="P950" s="211">
        <v>4.9000000000000004</v>
      </c>
      <c r="S950" s="211">
        <v>3</v>
      </c>
    </row>
    <row r="951" spans="1:21" ht="19">
      <c r="A951" s="216" t="s">
        <v>579</v>
      </c>
      <c r="B951" s="216" t="s">
        <v>580</v>
      </c>
      <c r="C951" s="239" t="s">
        <v>585</v>
      </c>
      <c r="D951" s="238" t="s">
        <v>151</v>
      </c>
      <c r="E951" s="216">
        <v>41229</v>
      </c>
      <c r="F951" s="216">
        <v>17417</v>
      </c>
      <c r="G951" s="240" t="s">
        <v>1723</v>
      </c>
      <c r="H951" s="216" t="s">
        <v>1811</v>
      </c>
      <c r="I951" s="216" t="s">
        <v>1137</v>
      </c>
      <c r="J951" s="216" t="s">
        <v>225</v>
      </c>
      <c r="K951" s="216" t="s">
        <v>269</v>
      </c>
      <c r="L951" s="216" t="s">
        <v>1725</v>
      </c>
      <c r="M951" t="s">
        <v>1738</v>
      </c>
      <c r="N951" s="217">
        <v>-21</v>
      </c>
      <c r="O951" s="217">
        <v>-21</v>
      </c>
      <c r="P951" s="217">
        <v>6.1</v>
      </c>
      <c r="R951" s="217"/>
      <c r="S951" s="217">
        <v>3</v>
      </c>
      <c r="T951" s="216"/>
      <c r="U951" s="216"/>
    </row>
    <row r="952" spans="1:21" ht="19">
      <c r="A952" s="212" t="s">
        <v>579</v>
      </c>
      <c r="B952" s="212" t="s">
        <v>580</v>
      </c>
      <c r="C952" s="233" t="s">
        <v>585</v>
      </c>
      <c r="D952" s="234" t="s">
        <v>151</v>
      </c>
      <c r="E952" s="212">
        <v>41229</v>
      </c>
      <c r="F952" s="212">
        <v>17418</v>
      </c>
      <c r="G952" s="212" t="s">
        <v>1723</v>
      </c>
      <c r="H952" s="212" t="s">
        <v>1811</v>
      </c>
      <c r="I952" s="212" t="s">
        <v>1137</v>
      </c>
      <c r="J952" s="212" t="s">
        <v>225</v>
      </c>
      <c r="K952" s="227" t="s">
        <v>269</v>
      </c>
      <c r="L952" s="227" t="s">
        <v>1725</v>
      </c>
      <c r="M952" t="s">
        <v>1738</v>
      </c>
      <c r="N952" s="211">
        <v>-19.100000000000001</v>
      </c>
      <c r="O952" s="211">
        <v>-19.100000000000001</v>
      </c>
      <c r="P952" s="211">
        <v>4</v>
      </c>
      <c r="S952" s="211">
        <v>2.9</v>
      </c>
    </row>
    <row r="953" spans="1:21" ht="19">
      <c r="A953" s="212" t="s">
        <v>579</v>
      </c>
      <c r="B953" s="212" t="s">
        <v>580</v>
      </c>
      <c r="C953" s="233" t="s">
        <v>585</v>
      </c>
      <c r="D953" s="234" t="s">
        <v>151</v>
      </c>
      <c r="E953" s="212">
        <v>41229</v>
      </c>
      <c r="F953" s="212">
        <v>17421</v>
      </c>
      <c r="G953" s="212" t="s">
        <v>1723</v>
      </c>
      <c r="H953" s="212" t="s">
        <v>1811</v>
      </c>
      <c r="I953" s="212" t="s">
        <v>1137</v>
      </c>
      <c r="J953" s="212" t="s">
        <v>225</v>
      </c>
      <c r="K953" s="227" t="s">
        <v>269</v>
      </c>
      <c r="L953" s="227" t="s">
        <v>1725</v>
      </c>
      <c r="M953" t="s">
        <v>1784</v>
      </c>
      <c r="N953" s="211">
        <v>-11.9</v>
      </c>
      <c r="O953" s="211">
        <v>-11.9</v>
      </c>
      <c r="P953" s="211">
        <v>5.6</v>
      </c>
      <c r="S953" s="211">
        <v>2.9</v>
      </c>
    </row>
    <row r="954" spans="1:21" ht="19">
      <c r="A954" s="212" t="s">
        <v>579</v>
      </c>
      <c r="B954" s="212" t="s">
        <v>580</v>
      </c>
      <c r="C954" s="233" t="s">
        <v>585</v>
      </c>
      <c r="D954" s="234" t="s">
        <v>151</v>
      </c>
      <c r="E954" s="212">
        <v>41229</v>
      </c>
      <c r="F954" s="212">
        <v>17422</v>
      </c>
      <c r="G954" s="212" t="s">
        <v>1723</v>
      </c>
      <c r="H954" s="212" t="s">
        <v>1811</v>
      </c>
      <c r="I954" s="212" t="s">
        <v>1137</v>
      </c>
      <c r="J954" s="212" t="s">
        <v>225</v>
      </c>
      <c r="K954" s="227" t="s">
        <v>269</v>
      </c>
      <c r="L954" s="227" t="s">
        <v>1725</v>
      </c>
      <c r="M954" t="s">
        <v>1738</v>
      </c>
      <c r="N954" s="211">
        <v>-18.8</v>
      </c>
      <c r="O954" s="211">
        <v>-18.8</v>
      </c>
      <c r="P954" s="211">
        <v>4</v>
      </c>
      <c r="S954" s="211">
        <v>2.9</v>
      </c>
    </row>
    <row r="955" spans="1:21" ht="19">
      <c r="A955" s="212" t="s">
        <v>579</v>
      </c>
      <c r="B955" s="212" t="s">
        <v>580</v>
      </c>
      <c r="C955" s="233" t="s">
        <v>585</v>
      </c>
      <c r="D955" s="234" t="s">
        <v>151</v>
      </c>
      <c r="E955" s="212">
        <v>41229</v>
      </c>
      <c r="F955" s="212">
        <v>17451</v>
      </c>
      <c r="G955" s="212" t="s">
        <v>1723</v>
      </c>
      <c r="H955" s="212" t="s">
        <v>1811</v>
      </c>
      <c r="I955" s="212" t="s">
        <v>1137</v>
      </c>
      <c r="J955" s="212" t="s">
        <v>225</v>
      </c>
      <c r="K955" s="227" t="s">
        <v>269</v>
      </c>
      <c r="L955" s="227" t="s">
        <v>1725</v>
      </c>
      <c r="M955" t="s">
        <v>1754</v>
      </c>
      <c r="N955" s="211">
        <v>-21.3</v>
      </c>
      <c r="O955" s="211">
        <v>-21.3</v>
      </c>
      <c r="P955" s="211">
        <v>4.8</v>
      </c>
      <c r="S955" s="211">
        <v>2.9</v>
      </c>
    </row>
    <row r="956" spans="1:21" ht="19">
      <c r="A956" s="212" t="s">
        <v>579</v>
      </c>
      <c r="B956" s="212" t="s">
        <v>580</v>
      </c>
      <c r="C956" s="233" t="s">
        <v>585</v>
      </c>
      <c r="D956" s="234" t="s">
        <v>151</v>
      </c>
      <c r="E956" s="212">
        <v>41229</v>
      </c>
      <c r="F956" s="212">
        <v>17453</v>
      </c>
      <c r="G956" s="212" t="s">
        <v>1723</v>
      </c>
      <c r="H956" s="212" t="s">
        <v>1811</v>
      </c>
      <c r="I956" s="212" t="s">
        <v>1137</v>
      </c>
      <c r="J956" s="212" t="s">
        <v>225</v>
      </c>
      <c r="K956" s="227" t="s">
        <v>269</v>
      </c>
      <c r="L956" s="227" t="s">
        <v>1725</v>
      </c>
      <c r="M956" t="s">
        <v>1738</v>
      </c>
      <c r="N956" s="211">
        <v>-20.9</v>
      </c>
      <c r="O956" s="211">
        <v>-20.9</v>
      </c>
      <c r="P956" s="211">
        <v>6.5</v>
      </c>
      <c r="S956" s="211">
        <v>3</v>
      </c>
    </row>
    <row r="957" spans="1:21" ht="19">
      <c r="A957" s="212" t="s">
        <v>579</v>
      </c>
      <c r="B957" s="212" t="s">
        <v>580</v>
      </c>
      <c r="C957" s="233" t="s">
        <v>585</v>
      </c>
      <c r="D957" s="234" t="s">
        <v>151</v>
      </c>
      <c r="E957" s="212">
        <v>41229</v>
      </c>
      <c r="F957" s="212">
        <v>17454</v>
      </c>
      <c r="G957" s="212" t="s">
        <v>1723</v>
      </c>
      <c r="H957" s="212" t="s">
        <v>1811</v>
      </c>
      <c r="I957" s="212" t="s">
        <v>1137</v>
      </c>
      <c r="J957" s="212" t="s">
        <v>225</v>
      </c>
      <c r="K957" s="227" t="s">
        <v>269</v>
      </c>
      <c r="L957" s="227" t="s">
        <v>1725</v>
      </c>
      <c r="M957" t="s">
        <v>1869</v>
      </c>
      <c r="N957" s="211">
        <v>-19.100000000000001</v>
      </c>
      <c r="O957" s="211">
        <v>-19.100000000000001</v>
      </c>
      <c r="P957" s="211">
        <v>7</v>
      </c>
      <c r="S957" s="211">
        <v>2.9</v>
      </c>
    </row>
    <row r="958" spans="1:21" ht="19">
      <c r="A958" s="212" t="s">
        <v>579</v>
      </c>
      <c r="B958" s="212" t="s">
        <v>580</v>
      </c>
      <c r="C958" s="233" t="s">
        <v>585</v>
      </c>
      <c r="D958" s="234" t="s">
        <v>151</v>
      </c>
      <c r="E958" s="212">
        <v>41229</v>
      </c>
      <c r="F958" s="212">
        <v>17457</v>
      </c>
      <c r="G958" s="212" t="s">
        <v>1723</v>
      </c>
      <c r="H958" s="212" t="s">
        <v>1811</v>
      </c>
      <c r="I958" s="212" t="s">
        <v>1137</v>
      </c>
      <c r="J958" s="212" t="s">
        <v>225</v>
      </c>
      <c r="K958" s="227" t="s">
        <v>269</v>
      </c>
      <c r="L958" s="227" t="s">
        <v>1725</v>
      </c>
      <c r="M958" t="s">
        <v>1754</v>
      </c>
      <c r="N958" s="211">
        <v>-16.5</v>
      </c>
      <c r="O958" s="211">
        <v>-16.5</v>
      </c>
      <c r="P958" s="211">
        <v>5.9</v>
      </c>
      <c r="S958" s="211">
        <v>2.8</v>
      </c>
    </row>
    <row r="959" spans="1:21" ht="19">
      <c r="A959" s="212" t="s">
        <v>579</v>
      </c>
      <c r="B959" s="212" t="s">
        <v>580</v>
      </c>
      <c r="C959" s="233" t="s">
        <v>585</v>
      </c>
      <c r="D959" s="234" t="s">
        <v>151</v>
      </c>
      <c r="E959" s="212">
        <v>41229</v>
      </c>
      <c r="F959" s="212">
        <v>17459</v>
      </c>
      <c r="G959" s="212" t="s">
        <v>1723</v>
      </c>
      <c r="H959" s="212" t="s">
        <v>1811</v>
      </c>
      <c r="I959" s="212" t="s">
        <v>1137</v>
      </c>
      <c r="J959" s="212" t="s">
        <v>225</v>
      </c>
      <c r="K959" s="227" t="s">
        <v>269</v>
      </c>
      <c r="L959" s="227" t="s">
        <v>1725</v>
      </c>
      <c r="M959" t="s">
        <v>1757</v>
      </c>
      <c r="N959" s="211">
        <v>-16.2</v>
      </c>
      <c r="O959" s="211">
        <v>-16.2</v>
      </c>
      <c r="P959" s="211">
        <v>5.3</v>
      </c>
      <c r="S959" s="211">
        <v>2.9</v>
      </c>
    </row>
    <row r="960" spans="1:21" ht="19">
      <c r="A960" s="212" t="s">
        <v>579</v>
      </c>
      <c r="B960" s="212" t="s">
        <v>580</v>
      </c>
      <c r="C960" s="233" t="s">
        <v>585</v>
      </c>
      <c r="D960" s="234" t="s">
        <v>151</v>
      </c>
      <c r="E960" s="212">
        <v>41229</v>
      </c>
      <c r="F960" s="212">
        <v>17510</v>
      </c>
      <c r="G960" s="212" t="s">
        <v>1723</v>
      </c>
      <c r="H960" s="212" t="s">
        <v>1811</v>
      </c>
      <c r="I960" s="212" t="s">
        <v>1137</v>
      </c>
      <c r="J960" s="212" t="s">
        <v>104</v>
      </c>
      <c r="K960" s="227" t="s">
        <v>269</v>
      </c>
      <c r="L960" s="227" t="s">
        <v>1725</v>
      </c>
      <c r="M960" t="s">
        <v>1784</v>
      </c>
      <c r="N960" s="211">
        <v>-12.8</v>
      </c>
      <c r="O960" s="211">
        <v>-12.8</v>
      </c>
      <c r="P960" s="211">
        <v>4.7</v>
      </c>
      <c r="S960" s="211">
        <v>2.9</v>
      </c>
    </row>
    <row r="961" spans="1:19" ht="19">
      <c r="A961" s="212" t="s">
        <v>579</v>
      </c>
      <c r="B961" s="212" t="s">
        <v>580</v>
      </c>
      <c r="C961" s="233" t="s">
        <v>585</v>
      </c>
      <c r="D961" s="234" t="s">
        <v>151</v>
      </c>
      <c r="E961" s="212">
        <v>41229</v>
      </c>
      <c r="F961" s="212">
        <v>17544</v>
      </c>
      <c r="G961" s="212" t="s">
        <v>1723</v>
      </c>
      <c r="H961" s="212" t="s">
        <v>1811</v>
      </c>
      <c r="I961" s="212" t="s">
        <v>1137</v>
      </c>
      <c r="J961" s="212" t="s">
        <v>1744</v>
      </c>
      <c r="K961" s="227" t="s">
        <v>269</v>
      </c>
      <c r="L961" s="227" t="s">
        <v>1725</v>
      </c>
      <c r="M961" t="s">
        <v>1332</v>
      </c>
      <c r="N961" s="211">
        <v>-17.57</v>
      </c>
      <c r="O961" s="211">
        <v>-17.600000000000001</v>
      </c>
      <c r="P961" s="211">
        <v>5</v>
      </c>
      <c r="S961" s="211">
        <v>2.8</v>
      </c>
    </row>
    <row r="962" spans="1:19" ht="19">
      <c r="A962" s="212" t="s">
        <v>579</v>
      </c>
      <c r="B962" s="212" t="s">
        <v>580</v>
      </c>
      <c r="C962" s="233" t="s">
        <v>585</v>
      </c>
      <c r="D962" s="234" t="s">
        <v>151</v>
      </c>
      <c r="E962" s="212">
        <v>41229</v>
      </c>
      <c r="F962" s="212">
        <v>17546</v>
      </c>
      <c r="G962" s="212" t="s">
        <v>1723</v>
      </c>
      <c r="H962" s="212" t="s">
        <v>1811</v>
      </c>
      <c r="I962" s="212" t="s">
        <v>1137</v>
      </c>
      <c r="J962" s="212" t="s">
        <v>1744</v>
      </c>
      <c r="K962" s="227" t="s">
        <v>269</v>
      </c>
      <c r="L962" s="227" t="s">
        <v>1725</v>
      </c>
      <c r="M962" t="s">
        <v>1332</v>
      </c>
      <c r="N962" s="211">
        <v>-22.08</v>
      </c>
      <c r="O962" s="211">
        <v>-22.1</v>
      </c>
      <c r="P962" s="211">
        <v>3.7</v>
      </c>
      <c r="S962" s="211">
        <v>2.8</v>
      </c>
    </row>
    <row r="963" spans="1:19" ht="19">
      <c r="A963" s="212" t="s">
        <v>579</v>
      </c>
      <c r="B963" s="212" t="s">
        <v>580</v>
      </c>
      <c r="C963" s="233" t="s">
        <v>585</v>
      </c>
      <c r="D963" s="234" t="s">
        <v>151</v>
      </c>
      <c r="E963" s="212">
        <v>41229</v>
      </c>
      <c r="F963" s="212">
        <v>17548</v>
      </c>
      <c r="G963" s="212" t="s">
        <v>1723</v>
      </c>
      <c r="H963" s="212" t="s">
        <v>1811</v>
      </c>
      <c r="I963" s="212" t="s">
        <v>1137</v>
      </c>
      <c r="J963" s="212" t="s">
        <v>1744</v>
      </c>
      <c r="K963" s="227" t="s">
        <v>269</v>
      </c>
      <c r="L963" s="227" t="s">
        <v>1725</v>
      </c>
      <c r="M963" t="s">
        <v>1332</v>
      </c>
      <c r="N963" s="211">
        <v>-18.670000000000002</v>
      </c>
      <c r="O963" s="211">
        <v>-18.7</v>
      </c>
      <c r="P963" s="211">
        <v>3.1</v>
      </c>
      <c r="S963" s="211">
        <v>2.8</v>
      </c>
    </row>
    <row r="964" spans="1:19" ht="19">
      <c r="A964" s="212" t="s">
        <v>579</v>
      </c>
      <c r="B964" s="212" t="s">
        <v>580</v>
      </c>
      <c r="C964" s="233" t="s">
        <v>585</v>
      </c>
      <c r="D964" s="234" t="s">
        <v>151</v>
      </c>
      <c r="E964" s="212">
        <v>41229</v>
      </c>
      <c r="F964" s="212">
        <v>17550</v>
      </c>
      <c r="G964" s="212" t="s">
        <v>1723</v>
      </c>
      <c r="H964" s="212" t="s">
        <v>1811</v>
      </c>
      <c r="I964" s="212" t="s">
        <v>1137</v>
      </c>
      <c r="J964" s="212" t="s">
        <v>1744</v>
      </c>
      <c r="K964" s="227" t="s">
        <v>269</v>
      </c>
      <c r="L964" s="227" t="s">
        <v>1725</v>
      </c>
      <c r="M964" t="s">
        <v>1332</v>
      </c>
      <c r="N964" s="211">
        <v>-17.86</v>
      </c>
      <c r="O964" s="211">
        <v>-17.899999999999999</v>
      </c>
      <c r="P964" s="211">
        <v>4.4000000000000004</v>
      </c>
      <c r="S964" s="211">
        <v>2.9</v>
      </c>
    </row>
    <row r="965" spans="1:19" ht="19">
      <c r="A965" s="212" t="s">
        <v>579</v>
      </c>
      <c r="B965" s="212" t="s">
        <v>580</v>
      </c>
      <c r="C965" s="233" t="s">
        <v>585</v>
      </c>
      <c r="D965" s="234" t="s">
        <v>151</v>
      </c>
      <c r="E965" s="212">
        <v>41229</v>
      </c>
      <c r="F965" s="212">
        <v>17552</v>
      </c>
      <c r="G965" s="212" t="s">
        <v>1723</v>
      </c>
      <c r="H965" s="212" t="s">
        <v>1811</v>
      </c>
      <c r="I965" s="212" t="s">
        <v>1137</v>
      </c>
      <c r="J965" s="212" t="s">
        <v>1744</v>
      </c>
      <c r="K965" s="227" t="s">
        <v>269</v>
      </c>
      <c r="L965" s="227" t="s">
        <v>1725</v>
      </c>
      <c r="M965" t="s">
        <v>1332</v>
      </c>
      <c r="N965" s="211">
        <v>-18.21</v>
      </c>
      <c r="O965" s="211">
        <v>-18.2</v>
      </c>
      <c r="P965" s="211">
        <v>4.4000000000000004</v>
      </c>
      <c r="S965" s="211">
        <v>2.8</v>
      </c>
    </row>
    <row r="966" spans="1:19" ht="19">
      <c r="A966" s="212" t="s">
        <v>579</v>
      </c>
      <c r="B966" s="212" t="s">
        <v>580</v>
      </c>
      <c r="C966" s="233" t="s">
        <v>585</v>
      </c>
      <c r="D966" s="234" t="s">
        <v>151</v>
      </c>
      <c r="E966" s="212">
        <v>41229</v>
      </c>
      <c r="F966" s="212">
        <v>17555</v>
      </c>
      <c r="G966" s="212" t="s">
        <v>1723</v>
      </c>
      <c r="H966" s="212" t="s">
        <v>1811</v>
      </c>
      <c r="I966" s="212" t="s">
        <v>1137</v>
      </c>
      <c r="J966" s="212" t="s">
        <v>104</v>
      </c>
      <c r="K966" s="227" t="s">
        <v>269</v>
      </c>
      <c r="L966" s="227" t="s">
        <v>1725</v>
      </c>
      <c r="M966" t="s">
        <v>1761</v>
      </c>
      <c r="N966" s="211">
        <v>-19.07</v>
      </c>
      <c r="O966" s="211">
        <v>-19.100000000000001</v>
      </c>
      <c r="P966" s="211">
        <v>4.3</v>
      </c>
      <c r="S966" s="211">
        <v>2.8</v>
      </c>
    </row>
    <row r="967" spans="1:19" ht="19">
      <c r="A967" s="212" t="s">
        <v>579</v>
      </c>
      <c r="B967" s="212" t="s">
        <v>580</v>
      </c>
      <c r="C967" s="233" t="s">
        <v>585</v>
      </c>
      <c r="D967" s="234" t="s">
        <v>151</v>
      </c>
      <c r="E967" s="212">
        <v>41229</v>
      </c>
      <c r="F967" s="212">
        <v>17557</v>
      </c>
      <c r="G967" s="212" t="s">
        <v>1723</v>
      </c>
      <c r="H967" s="212" t="s">
        <v>1811</v>
      </c>
      <c r="I967" s="212" t="s">
        <v>1137</v>
      </c>
      <c r="J967" s="212" t="s">
        <v>1744</v>
      </c>
      <c r="K967" s="227" t="s">
        <v>269</v>
      </c>
      <c r="L967" s="227" t="s">
        <v>1725</v>
      </c>
      <c r="M967" t="s">
        <v>1757</v>
      </c>
      <c r="N967" s="211">
        <v>-20.54</v>
      </c>
      <c r="O967" s="211">
        <v>-20.5</v>
      </c>
      <c r="P967" s="211">
        <v>5</v>
      </c>
      <c r="S967" s="211">
        <v>2.8</v>
      </c>
    </row>
    <row r="968" spans="1:19" ht="19">
      <c r="A968" s="212" t="s">
        <v>579</v>
      </c>
      <c r="B968" s="212" t="s">
        <v>580</v>
      </c>
      <c r="C968" s="233" t="s">
        <v>585</v>
      </c>
      <c r="D968" s="234" t="s">
        <v>151</v>
      </c>
      <c r="E968" s="212">
        <v>41229</v>
      </c>
      <c r="F968" s="212">
        <v>17600</v>
      </c>
      <c r="G968" s="212" t="s">
        <v>1723</v>
      </c>
      <c r="H968" s="212" t="s">
        <v>1811</v>
      </c>
      <c r="I968" s="212" t="s">
        <v>1137</v>
      </c>
      <c r="J968" s="212" t="s">
        <v>1744</v>
      </c>
      <c r="K968" s="227" t="s">
        <v>269</v>
      </c>
      <c r="L968" s="227" t="s">
        <v>1725</v>
      </c>
      <c r="M968" t="s">
        <v>1332</v>
      </c>
      <c r="N968" s="211">
        <v>-18.23</v>
      </c>
      <c r="O968" s="211">
        <v>-18.2</v>
      </c>
      <c r="P968" s="211">
        <v>4.3</v>
      </c>
      <c r="S968" s="211">
        <v>2.8</v>
      </c>
    </row>
    <row r="969" spans="1:19" ht="19">
      <c r="A969" s="212" t="s">
        <v>579</v>
      </c>
      <c r="B969" s="212" t="s">
        <v>580</v>
      </c>
      <c r="C969" s="233" t="s">
        <v>585</v>
      </c>
      <c r="D969" s="234" t="s">
        <v>151</v>
      </c>
      <c r="E969" s="212">
        <v>41229</v>
      </c>
      <c r="F969" s="212">
        <v>17602</v>
      </c>
      <c r="G969" s="212" t="s">
        <v>1723</v>
      </c>
      <c r="H969" s="212" t="s">
        <v>1811</v>
      </c>
      <c r="I969" s="212" t="s">
        <v>1137</v>
      </c>
      <c r="J969" s="212" t="s">
        <v>1744</v>
      </c>
      <c r="K969" s="227" t="s">
        <v>269</v>
      </c>
      <c r="L969" s="227" t="s">
        <v>1725</v>
      </c>
      <c r="M969" t="s">
        <v>1332</v>
      </c>
      <c r="N969" s="211">
        <v>-19.739999999999998</v>
      </c>
      <c r="O969" s="211">
        <v>-19.7</v>
      </c>
      <c r="P969" s="211">
        <v>4.0999999999999996</v>
      </c>
      <c r="S969" s="211">
        <v>2.8</v>
      </c>
    </row>
    <row r="970" spans="1:19" ht="19">
      <c r="A970" s="212" t="s">
        <v>579</v>
      </c>
      <c r="B970" s="212" t="s">
        <v>580</v>
      </c>
      <c r="C970" s="233" t="s">
        <v>585</v>
      </c>
      <c r="D970" s="234" t="s">
        <v>151</v>
      </c>
      <c r="E970" s="212">
        <v>41229</v>
      </c>
      <c r="F970" s="212">
        <v>17603</v>
      </c>
      <c r="G970" s="212" t="s">
        <v>1723</v>
      </c>
      <c r="H970" s="212" t="s">
        <v>1811</v>
      </c>
      <c r="I970" s="212" t="s">
        <v>1137</v>
      </c>
      <c r="J970" s="212" t="s">
        <v>1744</v>
      </c>
      <c r="K970" s="227" t="s">
        <v>269</v>
      </c>
      <c r="L970" s="227" t="s">
        <v>1725</v>
      </c>
      <c r="M970" t="s">
        <v>1332</v>
      </c>
      <c r="N970" s="211">
        <v>-19.399999999999999</v>
      </c>
      <c r="O970" s="211">
        <v>-19.399999999999999</v>
      </c>
      <c r="P970" s="211">
        <v>2.6</v>
      </c>
      <c r="S970" s="211">
        <v>2.8</v>
      </c>
    </row>
    <row r="971" spans="1:19" ht="19">
      <c r="A971" s="212" t="s">
        <v>579</v>
      </c>
      <c r="B971" s="212" t="s">
        <v>580</v>
      </c>
      <c r="C971" s="233" t="s">
        <v>585</v>
      </c>
      <c r="D971" s="234" t="s">
        <v>151</v>
      </c>
      <c r="E971" s="212">
        <v>41229</v>
      </c>
      <c r="F971" s="212">
        <v>17605</v>
      </c>
      <c r="G971" s="212" t="s">
        <v>1723</v>
      </c>
      <c r="H971" s="212" t="s">
        <v>1811</v>
      </c>
      <c r="I971" s="212" t="s">
        <v>1137</v>
      </c>
      <c r="J971" s="212" t="s">
        <v>1744</v>
      </c>
      <c r="K971" s="227" t="s">
        <v>269</v>
      </c>
      <c r="L971" s="227" t="s">
        <v>1725</v>
      </c>
      <c r="M971" t="s">
        <v>1332</v>
      </c>
      <c r="N971" s="211">
        <v>-20.440000000000001</v>
      </c>
      <c r="O971" s="211">
        <v>-20.399999999999999</v>
      </c>
      <c r="P971" s="211">
        <v>3.9</v>
      </c>
      <c r="S971" s="211">
        <v>2.8</v>
      </c>
    </row>
    <row r="972" spans="1:19" ht="19">
      <c r="A972" s="212" t="s">
        <v>579</v>
      </c>
      <c r="B972" s="212" t="s">
        <v>580</v>
      </c>
      <c r="C972" s="233" t="s">
        <v>585</v>
      </c>
      <c r="D972" s="234" t="s">
        <v>151</v>
      </c>
      <c r="E972" s="212">
        <v>41229</v>
      </c>
      <c r="F972" s="212">
        <v>17606</v>
      </c>
      <c r="G972" s="212" t="s">
        <v>1723</v>
      </c>
      <c r="H972" s="212" t="s">
        <v>1811</v>
      </c>
      <c r="I972" s="212" t="s">
        <v>1137</v>
      </c>
      <c r="J972" s="212" t="s">
        <v>1744</v>
      </c>
      <c r="K972" s="227" t="s">
        <v>269</v>
      </c>
      <c r="L972" s="227" t="s">
        <v>1725</v>
      </c>
      <c r="M972" t="s">
        <v>1332</v>
      </c>
      <c r="N972" s="211">
        <v>-19.739999999999998</v>
      </c>
      <c r="O972" s="211">
        <v>-19.7</v>
      </c>
      <c r="P972" s="211">
        <v>3.1</v>
      </c>
      <c r="S972" s="211">
        <v>2.8</v>
      </c>
    </row>
    <row r="973" spans="1:19" ht="19">
      <c r="A973" s="212" t="s">
        <v>579</v>
      </c>
      <c r="B973" s="212" t="s">
        <v>580</v>
      </c>
      <c r="C973" s="233" t="s">
        <v>585</v>
      </c>
      <c r="D973" s="234" t="s">
        <v>151</v>
      </c>
      <c r="E973" s="212">
        <v>41229</v>
      </c>
      <c r="F973" s="212">
        <v>17607</v>
      </c>
      <c r="G973" s="212" t="s">
        <v>1723</v>
      </c>
      <c r="H973" s="212" t="s">
        <v>1811</v>
      </c>
      <c r="I973" s="212" t="s">
        <v>1137</v>
      </c>
      <c r="J973" s="212" t="s">
        <v>1744</v>
      </c>
      <c r="K973" s="227" t="s">
        <v>269</v>
      </c>
      <c r="L973" s="227" t="s">
        <v>1725</v>
      </c>
      <c r="M973" t="s">
        <v>1332</v>
      </c>
      <c r="N973" s="211">
        <v>-18.579999999999998</v>
      </c>
      <c r="O973" s="211">
        <v>-18.600000000000001</v>
      </c>
      <c r="P973" s="211">
        <v>3.9</v>
      </c>
      <c r="S973" s="211">
        <v>2.8</v>
      </c>
    </row>
    <row r="974" spans="1:19" ht="19">
      <c r="A974" s="212" t="s">
        <v>579</v>
      </c>
      <c r="B974" s="212" t="s">
        <v>580</v>
      </c>
      <c r="C974" s="233" t="s">
        <v>585</v>
      </c>
      <c r="D974" s="234" t="s">
        <v>151</v>
      </c>
      <c r="E974" s="212">
        <v>41229</v>
      </c>
      <c r="F974" s="212">
        <v>17609</v>
      </c>
      <c r="G974" s="212" t="s">
        <v>1723</v>
      </c>
      <c r="H974" s="212" t="s">
        <v>1811</v>
      </c>
      <c r="I974" s="212" t="s">
        <v>1137</v>
      </c>
      <c r="J974" s="212" t="s">
        <v>1744</v>
      </c>
      <c r="K974" s="227" t="s">
        <v>269</v>
      </c>
      <c r="L974" s="227" t="s">
        <v>1725</v>
      </c>
      <c r="M974" t="s">
        <v>1332</v>
      </c>
      <c r="N974" s="211">
        <v>-19.84</v>
      </c>
      <c r="O974" s="211">
        <v>-19.8</v>
      </c>
      <c r="P974" s="211">
        <v>5.6</v>
      </c>
      <c r="S974" s="211">
        <v>2.8</v>
      </c>
    </row>
    <row r="975" spans="1:19" ht="19">
      <c r="A975" s="212" t="s">
        <v>579</v>
      </c>
      <c r="B975" s="212" t="s">
        <v>580</v>
      </c>
      <c r="C975" s="233" t="s">
        <v>585</v>
      </c>
      <c r="D975" s="234" t="s">
        <v>151</v>
      </c>
      <c r="E975" s="212">
        <v>41229</v>
      </c>
      <c r="F975" s="212">
        <v>17613</v>
      </c>
      <c r="G975" s="212" t="s">
        <v>1723</v>
      </c>
      <c r="H975" s="212" t="s">
        <v>1811</v>
      </c>
      <c r="I975" s="212" t="s">
        <v>1137</v>
      </c>
      <c r="J975" s="212" t="s">
        <v>1744</v>
      </c>
      <c r="K975" s="227" t="s">
        <v>269</v>
      </c>
      <c r="L975" s="227" t="s">
        <v>1725</v>
      </c>
      <c r="M975" t="s">
        <v>1869</v>
      </c>
      <c r="N975" s="211">
        <v>-20.010000000000002</v>
      </c>
      <c r="O975" s="211">
        <v>-20</v>
      </c>
      <c r="P975" s="211">
        <v>4.2</v>
      </c>
      <c r="S975" s="211">
        <v>2.8</v>
      </c>
    </row>
    <row r="976" spans="1:19" ht="19">
      <c r="A976" s="212" t="s">
        <v>579</v>
      </c>
      <c r="B976" s="212" t="s">
        <v>580</v>
      </c>
      <c r="C976" s="233" t="s">
        <v>585</v>
      </c>
      <c r="D976" s="234" t="s">
        <v>151</v>
      </c>
      <c r="E976" s="212">
        <v>41229</v>
      </c>
      <c r="F976" s="212">
        <v>17625</v>
      </c>
      <c r="G976" s="212" t="s">
        <v>1723</v>
      </c>
      <c r="H976" s="212" t="s">
        <v>1811</v>
      </c>
      <c r="I976" s="212" t="s">
        <v>1137</v>
      </c>
      <c r="J976" s="212" t="s">
        <v>1744</v>
      </c>
      <c r="K976" s="227" t="s">
        <v>269</v>
      </c>
      <c r="L976" s="227" t="s">
        <v>1725</v>
      </c>
      <c r="M976" t="s">
        <v>1738</v>
      </c>
      <c r="N976" s="211">
        <v>-17.37</v>
      </c>
      <c r="O976" s="211">
        <v>-17.399999999999999</v>
      </c>
      <c r="P976" s="211">
        <v>5.9</v>
      </c>
      <c r="S976" s="211">
        <v>2.9</v>
      </c>
    </row>
    <row r="977" spans="1:19" ht="19">
      <c r="A977" s="212" t="s">
        <v>579</v>
      </c>
      <c r="B977" s="212" t="s">
        <v>580</v>
      </c>
      <c r="C977" s="233" t="s">
        <v>585</v>
      </c>
      <c r="D977" s="234" t="s">
        <v>151</v>
      </c>
      <c r="E977" s="212">
        <v>41229</v>
      </c>
      <c r="F977" s="212">
        <v>17626</v>
      </c>
      <c r="G977" s="212" t="s">
        <v>1723</v>
      </c>
      <c r="H977" s="212" t="s">
        <v>1811</v>
      </c>
      <c r="I977" s="212" t="s">
        <v>1137</v>
      </c>
      <c r="J977" s="212" t="s">
        <v>1744</v>
      </c>
      <c r="K977" s="227" t="s">
        <v>269</v>
      </c>
      <c r="L977" s="227" t="s">
        <v>1725</v>
      </c>
      <c r="M977" t="s">
        <v>1738</v>
      </c>
      <c r="N977" s="211">
        <v>-22.1</v>
      </c>
      <c r="O977" s="211">
        <v>-22.1</v>
      </c>
      <c r="P977" s="211">
        <v>3.9</v>
      </c>
      <c r="S977" s="211">
        <v>2.9</v>
      </c>
    </row>
    <row r="978" spans="1:19" ht="19">
      <c r="A978" s="212" t="s">
        <v>579</v>
      </c>
      <c r="B978" s="212" t="s">
        <v>580</v>
      </c>
      <c r="C978" s="233" t="s">
        <v>585</v>
      </c>
      <c r="D978" s="234" t="s">
        <v>151</v>
      </c>
      <c r="E978" s="212">
        <v>41229</v>
      </c>
      <c r="F978" s="212">
        <v>17627</v>
      </c>
      <c r="G978" s="212" t="s">
        <v>1723</v>
      </c>
      <c r="H978" s="212" t="s">
        <v>1811</v>
      </c>
      <c r="I978" s="212" t="s">
        <v>1137</v>
      </c>
      <c r="J978" s="212" t="s">
        <v>104</v>
      </c>
      <c r="K978" s="227" t="s">
        <v>269</v>
      </c>
      <c r="L978" s="227" t="s">
        <v>1725</v>
      </c>
      <c r="M978" t="s">
        <v>1786</v>
      </c>
      <c r="N978" s="211">
        <v>-20.420000000000002</v>
      </c>
      <c r="O978" s="211">
        <v>-20.399999999999999</v>
      </c>
      <c r="P978" s="211">
        <v>6.2</v>
      </c>
      <c r="S978" s="211">
        <v>2.8</v>
      </c>
    </row>
    <row r="979" spans="1:19" ht="19">
      <c r="A979" s="212" t="s">
        <v>579</v>
      </c>
      <c r="B979" s="212" t="s">
        <v>580</v>
      </c>
      <c r="C979" s="233" t="s">
        <v>585</v>
      </c>
      <c r="D979" s="234" t="s">
        <v>151</v>
      </c>
      <c r="E979" s="212">
        <v>41229</v>
      </c>
      <c r="F979" s="212">
        <v>17628</v>
      </c>
      <c r="G979" s="212" t="s">
        <v>1723</v>
      </c>
      <c r="H979" s="212" t="s">
        <v>1811</v>
      </c>
      <c r="I979" s="212" t="s">
        <v>1137</v>
      </c>
      <c r="J979" s="212" t="s">
        <v>104</v>
      </c>
      <c r="K979" s="227" t="s">
        <v>269</v>
      </c>
      <c r="L979" s="227" t="s">
        <v>1725</v>
      </c>
      <c r="M979" t="s">
        <v>1332</v>
      </c>
      <c r="N979" s="211">
        <v>-15.64</v>
      </c>
      <c r="O979" s="211">
        <v>-15.6</v>
      </c>
      <c r="P979" s="211">
        <v>4.5999999999999996</v>
      </c>
      <c r="S979" s="211">
        <v>2.7</v>
      </c>
    </row>
    <row r="980" spans="1:19" ht="19">
      <c r="A980" s="212" t="s">
        <v>579</v>
      </c>
      <c r="B980" s="212" t="s">
        <v>580</v>
      </c>
      <c r="C980" s="233" t="s">
        <v>585</v>
      </c>
      <c r="D980" s="234" t="s">
        <v>151</v>
      </c>
      <c r="E980" s="212">
        <v>41229</v>
      </c>
      <c r="F980" s="212">
        <v>17630</v>
      </c>
      <c r="G980" s="212" t="s">
        <v>1723</v>
      </c>
      <c r="H980" s="212" t="s">
        <v>1811</v>
      </c>
      <c r="I980" s="212" t="s">
        <v>1137</v>
      </c>
      <c r="J980" s="212" t="s">
        <v>104</v>
      </c>
      <c r="K980" s="227" t="s">
        <v>269</v>
      </c>
      <c r="L980" s="227" t="s">
        <v>1725</v>
      </c>
      <c r="M980" t="s">
        <v>1754</v>
      </c>
      <c r="N980" s="211">
        <v>-19.079999999999998</v>
      </c>
      <c r="O980" s="211">
        <v>-19.100000000000001</v>
      </c>
      <c r="P980" s="211">
        <v>5.7</v>
      </c>
      <c r="S980" s="211">
        <v>2.8</v>
      </c>
    </row>
    <row r="981" spans="1:19" ht="19">
      <c r="A981" s="212" t="s">
        <v>579</v>
      </c>
      <c r="B981" s="212" t="s">
        <v>580</v>
      </c>
      <c r="C981" s="233" t="s">
        <v>585</v>
      </c>
      <c r="D981" s="234" t="s">
        <v>151</v>
      </c>
      <c r="E981" s="212">
        <v>41229</v>
      </c>
      <c r="F981" s="212">
        <v>17631</v>
      </c>
      <c r="G981" s="212" t="s">
        <v>1723</v>
      </c>
      <c r="H981" s="212" t="s">
        <v>1811</v>
      </c>
      <c r="I981" s="212" t="s">
        <v>1137</v>
      </c>
      <c r="J981" s="212" t="s">
        <v>1744</v>
      </c>
      <c r="K981" s="227" t="s">
        <v>269</v>
      </c>
      <c r="L981" s="227" t="s">
        <v>1725</v>
      </c>
      <c r="M981" t="s">
        <v>1738</v>
      </c>
      <c r="N981" s="211">
        <v>-21.52</v>
      </c>
      <c r="O981" s="211">
        <v>-21.5</v>
      </c>
      <c r="P981" s="211">
        <v>2.8</v>
      </c>
      <c r="S981" s="211">
        <v>2.8</v>
      </c>
    </row>
    <row r="982" spans="1:19" ht="19">
      <c r="A982" s="212" t="s">
        <v>579</v>
      </c>
      <c r="B982" s="212" t="s">
        <v>580</v>
      </c>
      <c r="C982" s="233" t="s">
        <v>585</v>
      </c>
      <c r="D982" s="234" t="s">
        <v>151</v>
      </c>
      <c r="E982" s="212">
        <v>41229</v>
      </c>
      <c r="F982" s="212">
        <v>17633</v>
      </c>
      <c r="G982" s="212" t="s">
        <v>1723</v>
      </c>
      <c r="H982" s="212" t="s">
        <v>1811</v>
      </c>
      <c r="I982" s="212" t="s">
        <v>1137</v>
      </c>
      <c r="J982" s="212" t="s">
        <v>1744</v>
      </c>
      <c r="K982" s="227" t="s">
        <v>269</v>
      </c>
      <c r="L982" s="227" t="s">
        <v>1725</v>
      </c>
      <c r="M982" t="s">
        <v>1726</v>
      </c>
      <c r="N982" s="211">
        <v>-17.899999999999999</v>
      </c>
      <c r="O982" s="211">
        <v>-17.899999999999999</v>
      </c>
      <c r="P982" s="211">
        <v>5.4</v>
      </c>
      <c r="S982" s="211">
        <v>2.9</v>
      </c>
    </row>
    <row r="983" spans="1:19" ht="19">
      <c r="A983" s="212" t="s">
        <v>579</v>
      </c>
      <c r="B983" s="212" t="s">
        <v>580</v>
      </c>
      <c r="C983" s="233" t="s">
        <v>585</v>
      </c>
      <c r="D983" s="234" t="s">
        <v>151</v>
      </c>
      <c r="E983" s="212">
        <v>41229</v>
      </c>
      <c r="F983" s="212">
        <v>17639</v>
      </c>
      <c r="G983" s="212" t="s">
        <v>1723</v>
      </c>
      <c r="H983" s="212" t="s">
        <v>1811</v>
      </c>
      <c r="I983" s="212" t="s">
        <v>1137</v>
      </c>
      <c r="J983" s="212" t="s">
        <v>104</v>
      </c>
      <c r="K983" s="227" t="s">
        <v>269</v>
      </c>
      <c r="L983" s="227" t="s">
        <v>1725</v>
      </c>
      <c r="M983" t="s">
        <v>1761</v>
      </c>
      <c r="N983" s="211">
        <v>-16.09</v>
      </c>
      <c r="O983" s="211">
        <v>-16.100000000000001</v>
      </c>
      <c r="P983" s="211">
        <v>5.0999999999999996</v>
      </c>
      <c r="S983" s="211">
        <v>2.8</v>
      </c>
    </row>
    <row r="984" spans="1:19" ht="19">
      <c r="A984" s="212" t="s">
        <v>579</v>
      </c>
      <c r="B984" s="212" t="s">
        <v>580</v>
      </c>
      <c r="C984" s="233" t="s">
        <v>585</v>
      </c>
      <c r="D984" s="234" t="s">
        <v>151</v>
      </c>
      <c r="E984" s="212">
        <v>41229</v>
      </c>
      <c r="F984" s="212">
        <v>17640</v>
      </c>
      <c r="G984" s="212" t="s">
        <v>1723</v>
      </c>
      <c r="H984" s="212" t="s">
        <v>1811</v>
      </c>
      <c r="I984" s="212" t="s">
        <v>1137</v>
      </c>
      <c r="J984" s="212" t="s">
        <v>104</v>
      </c>
      <c r="K984" s="227" t="s">
        <v>269</v>
      </c>
      <c r="L984" s="227" t="s">
        <v>1725</v>
      </c>
      <c r="M984" t="s">
        <v>1786</v>
      </c>
      <c r="N984" s="211">
        <v>-21.86</v>
      </c>
      <c r="O984" s="211">
        <v>-21.9</v>
      </c>
      <c r="P984" s="211">
        <v>9.4</v>
      </c>
      <c r="S984" s="211">
        <v>2.8</v>
      </c>
    </row>
    <row r="985" spans="1:19" ht="19">
      <c r="A985" s="212" t="s">
        <v>579</v>
      </c>
      <c r="B985" s="212" t="s">
        <v>580</v>
      </c>
      <c r="C985" s="233" t="s">
        <v>585</v>
      </c>
      <c r="D985" s="234" t="s">
        <v>151</v>
      </c>
      <c r="E985" s="212">
        <v>41229</v>
      </c>
      <c r="F985" s="212">
        <v>17642</v>
      </c>
      <c r="G985" s="212" t="s">
        <v>1723</v>
      </c>
      <c r="H985" s="212" t="s">
        <v>1811</v>
      </c>
      <c r="I985" s="212" t="s">
        <v>1137</v>
      </c>
      <c r="J985" s="212" t="s">
        <v>1744</v>
      </c>
      <c r="K985" s="227" t="s">
        <v>269</v>
      </c>
      <c r="L985" s="227" t="s">
        <v>1725</v>
      </c>
      <c r="M985" t="s">
        <v>1869</v>
      </c>
      <c r="N985" s="211">
        <v>-18.22</v>
      </c>
      <c r="O985" s="211">
        <v>-18.2</v>
      </c>
      <c r="P985" s="211">
        <v>4.3</v>
      </c>
      <c r="S985" s="211">
        <v>2.8</v>
      </c>
    </row>
    <row r="986" spans="1:19" ht="19">
      <c r="A986" s="212" t="s">
        <v>579</v>
      </c>
      <c r="B986" s="212" t="s">
        <v>580</v>
      </c>
      <c r="C986" s="233" t="s">
        <v>585</v>
      </c>
      <c r="D986" s="234" t="s">
        <v>151</v>
      </c>
      <c r="E986" s="212">
        <v>41229</v>
      </c>
      <c r="F986" s="212">
        <v>17646</v>
      </c>
      <c r="G986" s="212" t="s">
        <v>1723</v>
      </c>
      <c r="H986" s="212" t="s">
        <v>1811</v>
      </c>
      <c r="I986" s="212" t="s">
        <v>1137</v>
      </c>
      <c r="J986" s="212" t="s">
        <v>1744</v>
      </c>
      <c r="K986" s="227" t="s">
        <v>269</v>
      </c>
      <c r="L986" s="227" t="s">
        <v>1725</v>
      </c>
      <c r="M986" t="s">
        <v>1784</v>
      </c>
      <c r="N986" s="211">
        <v>-20.67</v>
      </c>
      <c r="O986" s="211">
        <v>-20.7</v>
      </c>
      <c r="P986" s="211">
        <v>3.9</v>
      </c>
      <c r="S986" s="211">
        <v>2.8</v>
      </c>
    </row>
    <row r="987" spans="1:19" ht="19">
      <c r="A987" s="212" t="s">
        <v>579</v>
      </c>
      <c r="B987" s="212" t="s">
        <v>580</v>
      </c>
      <c r="C987" s="233" t="s">
        <v>585</v>
      </c>
      <c r="D987" s="234" t="s">
        <v>151</v>
      </c>
      <c r="E987" s="212">
        <v>41229</v>
      </c>
      <c r="F987" s="212">
        <v>17651</v>
      </c>
      <c r="G987" s="212" t="s">
        <v>1723</v>
      </c>
      <c r="H987" s="212" t="s">
        <v>1811</v>
      </c>
      <c r="I987" s="212" t="s">
        <v>1137</v>
      </c>
      <c r="J987" s="212" t="s">
        <v>1744</v>
      </c>
      <c r="K987" s="227" t="s">
        <v>269</v>
      </c>
      <c r="L987" s="227" t="s">
        <v>1725</v>
      </c>
      <c r="M987" t="s">
        <v>1757</v>
      </c>
      <c r="N987" s="211">
        <v>-21.04</v>
      </c>
      <c r="O987" s="211">
        <v>-21</v>
      </c>
      <c r="P987" s="211">
        <v>4.7</v>
      </c>
      <c r="S987" s="211">
        <v>2.8</v>
      </c>
    </row>
    <row r="988" spans="1:19" ht="19">
      <c r="A988" s="212" t="s">
        <v>579</v>
      </c>
      <c r="B988" s="212" t="s">
        <v>580</v>
      </c>
      <c r="C988" s="233" t="s">
        <v>585</v>
      </c>
      <c r="D988" s="234" t="s">
        <v>151</v>
      </c>
      <c r="E988" s="212">
        <v>41229</v>
      </c>
      <c r="F988" s="212">
        <v>17655</v>
      </c>
      <c r="G988" s="212" t="s">
        <v>1723</v>
      </c>
      <c r="H988" s="212" t="s">
        <v>1811</v>
      </c>
      <c r="I988" s="212" t="s">
        <v>1137</v>
      </c>
      <c r="J988" s="212" t="s">
        <v>104</v>
      </c>
      <c r="K988" s="227" t="s">
        <v>269</v>
      </c>
      <c r="L988" s="227" t="s">
        <v>1725</v>
      </c>
      <c r="M988" t="s">
        <v>1726</v>
      </c>
      <c r="N988" s="211">
        <v>-21.49</v>
      </c>
      <c r="O988" s="211">
        <v>-21.5</v>
      </c>
      <c r="P988" s="211">
        <v>4.0999999999999996</v>
      </c>
      <c r="S988" s="211">
        <v>2.9</v>
      </c>
    </row>
    <row r="989" spans="1:19" ht="19">
      <c r="A989" s="212" t="s">
        <v>579</v>
      </c>
      <c r="B989" s="212" t="s">
        <v>580</v>
      </c>
      <c r="C989" s="233" t="s">
        <v>585</v>
      </c>
      <c r="D989" s="234" t="s">
        <v>151</v>
      </c>
      <c r="E989" s="212">
        <v>41229</v>
      </c>
      <c r="F989" s="212">
        <v>17655</v>
      </c>
      <c r="G989" s="212" t="s">
        <v>1723</v>
      </c>
      <c r="H989" s="212" t="s">
        <v>1811</v>
      </c>
      <c r="I989" s="212" t="s">
        <v>1137</v>
      </c>
      <c r="J989" s="212" t="s">
        <v>1744</v>
      </c>
      <c r="K989" s="227" t="s">
        <v>269</v>
      </c>
      <c r="L989" s="227" t="s">
        <v>1725</v>
      </c>
      <c r="M989" t="s">
        <v>1726</v>
      </c>
      <c r="N989" s="211">
        <v>-19.89</v>
      </c>
      <c r="O989" s="211">
        <v>-19.899999999999999</v>
      </c>
      <c r="P989" s="211">
        <v>4.8</v>
      </c>
      <c r="S989" s="211">
        <v>2.8</v>
      </c>
    </row>
    <row r="990" spans="1:19" ht="19">
      <c r="A990" s="212" t="s">
        <v>579</v>
      </c>
      <c r="B990" s="212" t="s">
        <v>580</v>
      </c>
      <c r="C990" s="233" t="s">
        <v>585</v>
      </c>
      <c r="D990" s="234" t="s">
        <v>151</v>
      </c>
      <c r="E990" s="212">
        <v>41229</v>
      </c>
      <c r="F990" s="212">
        <v>17656</v>
      </c>
      <c r="G990" s="212" t="s">
        <v>1723</v>
      </c>
      <c r="H990" s="212" t="s">
        <v>1811</v>
      </c>
      <c r="I990" s="212" t="s">
        <v>1137</v>
      </c>
      <c r="J990" s="212" t="s">
        <v>104</v>
      </c>
      <c r="K990" s="227" t="s">
        <v>269</v>
      </c>
      <c r="L990" s="227" t="s">
        <v>1725</v>
      </c>
      <c r="M990" t="s">
        <v>1761</v>
      </c>
      <c r="N990" s="211">
        <v>-16.46</v>
      </c>
      <c r="O990" s="211">
        <v>-16.5</v>
      </c>
      <c r="P990" s="211">
        <v>5.8</v>
      </c>
      <c r="S990" s="211">
        <v>2.8</v>
      </c>
    </row>
    <row r="991" spans="1:19" ht="19">
      <c r="A991" s="212" t="s">
        <v>579</v>
      </c>
      <c r="B991" s="212" t="s">
        <v>580</v>
      </c>
      <c r="C991" s="233" t="s">
        <v>585</v>
      </c>
      <c r="D991" s="234" t="s">
        <v>151</v>
      </c>
      <c r="E991" s="212">
        <v>41229</v>
      </c>
      <c r="F991" s="212">
        <v>17657</v>
      </c>
      <c r="G991" s="212" t="s">
        <v>1723</v>
      </c>
      <c r="H991" s="212" t="s">
        <v>1811</v>
      </c>
      <c r="I991" s="212" t="s">
        <v>1137</v>
      </c>
      <c r="J991" s="212" t="s">
        <v>1744</v>
      </c>
      <c r="K991" s="227" t="s">
        <v>269</v>
      </c>
      <c r="L991" s="227" t="s">
        <v>1725</v>
      </c>
      <c r="M991" t="s">
        <v>1332</v>
      </c>
      <c r="N991" s="211">
        <v>-18.22</v>
      </c>
      <c r="O991" s="211">
        <v>-18.2</v>
      </c>
      <c r="P991" s="211">
        <v>3.2</v>
      </c>
      <c r="S991" s="211">
        <v>2.9</v>
      </c>
    </row>
    <row r="992" spans="1:19" ht="19">
      <c r="A992" s="212" t="s">
        <v>579</v>
      </c>
      <c r="B992" s="212" t="s">
        <v>580</v>
      </c>
      <c r="C992" s="233" t="s">
        <v>585</v>
      </c>
      <c r="D992" s="234" t="s">
        <v>151</v>
      </c>
      <c r="E992" s="212">
        <v>41229</v>
      </c>
      <c r="F992" s="212">
        <v>17658</v>
      </c>
      <c r="G992" s="212" t="s">
        <v>1723</v>
      </c>
      <c r="H992" s="212" t="s">
        <v>1811</v>
      </c>
      <c r="I992" s="212" t="s">
        <v>1137</v>
      </c>
      <c r="J992" s="212" t="s">
        <v>1744</v>
      </c>
      <c r="K992" s="227" t="s">
        <v>269</v>
      </c>
      <c r="L992" s="227" t="s">
        <v>1725</v>
      </c>
      <c r="M992" t="s">
        <v>1332</v>
      </c>
      <c r="N992" s="211">
        <v>-18.54</v>
      </c>
      <c r="O992" s="211">
        <v>-18.5</v>
      </c>
      <c r="P992" s="211">
        <v>4.3</v>
      </c>
      <c r="S992" s="211">
        <v>2.8</v>
      </c>
    </row>
    <row r="993" spans="1:19" ht="19">
      <c r="A993" s="212" t="s">
        <v>579</v>
      </c>
      <c r="B993" s="212" t="s">
        <v>580</v>
      </c>
      <c r="C993" s="233" t="s">
        <v>585</v>
      </c>
      <c r="D993" s="234" t="s">
        <v>151</v>
      </c>
      <c r="E993" s="212">
        <v>41229</v>
      </c>
      <c r="F993" s="212">
        <v>17660</v>
      </c>
      <c r="G993" s="212" t="s">
        <v>1723</v>
      </c>
      <c r="H993" s="212" t="s">
        <v>1811</v>
      </c>
      <c r="I993" s="212" t="s">
        <v>1137</v>
      </c>
      <c r="J993" s="212" t="s">
        <v>104</v>
      </c>
      <c r="K993" s="227" t="s">
        <v>269</v>
      </c>
      <c r="L993" s="227" t="s">
        <v>1725</v>
      </c>
      <c r="M993" t="s">
        <v>1869</v>
      </c>
      <c r="N993" s="211">
        <v>-18.37</v>
      </c>
      <c r="O993" s="211">
        <v>-18.399999999999999</v>
      </c>
      <c r="P993" s="211">
        <v>5.2</v>
      </c>
      <c r="S993" s="211">
        <v>2.8</v>
      </c>
    </row>
    <row r="994" spans="1:19" ht="19">
      <c r="A994" s="212" t="s">
        <v>579</v>
      </c>
      <c r="B994" s="212" t="s">
        <v>580</v>
      </c>
      <c r="C994" s="233" t="s">
        <v>585</v>
      </c>
      <c r="D994" s="234" t="s">
        <v>151</v>
      </c>
      <c r="E994" s="212">
        <v>41229</v>
      </c>
      <c r="F994" s="212">
        <v>17661</v>
      </c>
      <c r="G994" s="212" t="s">
        <v>1723</v>
      </c>
      <c r="H994" s="212" t="s">
        <v>1811</v>
      </c>
      <c r="I994" s="212" t="s">
        <v>1137</v>
      </c>
      <c r="J994" s="212" t="s">
        <v>1744</v>
      </c>
      <c r="K994" s="227" t="s">
        <v>269</v>
      </c>
      <c r="L994" s="227" t="s">
        <v>1725</v>
      </c>
      <c r="M994" t="s">
        <v>1869</v>
      </c>
      <c r="N994" s="211">
        <v>-19.7</v>
      </c>
      <c r="O994" s="211">
        <v>-19.7</v>
      </c>
      <c r="P994" s="211">
        <v>4.7</v>
      </c>
      <c r="S994" s="211">
        <v>2.8</v>
      </c>
    </row>
    <row r="995" spans="1:19" ht="19">
      <c r="A995" s="212" t="s">
        <v>579</v>
      </c>
      <c r="B995" s="212" t="s">
        <v>580</v>
      </c>
      <c r="C995" s="233" t="s">
        <v>585</v>
      </c>
      <c r="D995" s="234" t="s">
        <v>151</v>
      </c>
      <c r="E995" s="212">
        <v>41229</v>
      </c>
      <c r="F995" s="212">
        <v>17662</v>
      </c>
      <c r="G995" s="212" t="s">
        <v>1723</v>
      </c>
      <c r="H995" s="212" t="s">
        <v>1811</v>
      </c>
      <c r="I995" s="212" t="s">
        <v>1137</v>
      </c>
      <c r="J995" s="212" t="s">
        <v>1744</v>
      </c>
      <c r="K995" s="227" t="s">
        <v>269</v>
      </c>
      <c r="L995" s="227" t="s">
        <v>1725</v>
      </c>
      <c r="M995" t="s">
        <v>1869</v>
      </c>
      <c r="N995" s="211">
        <v>-20.16</v>
      </c>
      <c r="O995" s="211">
        <v>-20.2</v>
      </c>
      <c r="P995" s="211">
        <v>2.5</v>
      </c>
      <c r="S995" s="211">
        <v>2.8</v>
      </c>
    </row>
    <row r="996" spans="1:19" ht="19">
      <c r="A996" s="212" t="s">
        <v>579</v>
      </c>
      <c r="B996" s="212" t="s">
        <v>580</v>
      </c>
      <c r="C996" s="233" t="s">
        <v>585</v>
      </c>
      <c r="D996" s="234" t="s">
        <v>151</v>
      </c>
      <c r="E996" s="212">
        <v>41229</v>
      </c>
      <c r="F996" s="212">
        <v>17663</v>
      </c>
      <c r="G996" s="212" t="s">
        <v>1723</v>
      </c>
      <c r="H996" s="212" t="s">
        <v>1811</v>
      </c>
      <c r="I996" s="212" t="s">
        <v>1137</v>
      </c>
      <c r="J996" s="212" t="s">
        <v>1744</v>
      </c>
      <c r="K996" s="227" t="s">
        <v>269</v>
      </c>
      <c r="L996" s="227" t="s">
        <v>1725</v>
      </c>
      <c r="M996" t="s">
        <v>1869</v>
      </c>
      <c r="N996" s="211">
        <v>-19.03</v>
      </c>
      <c r="O996" s="211">
        <v>-19</v>
      </c>
      <c r="P996" s="211">
        <v>8.3000000000000007</v>
      </c>
      <c r="S996" s="211">
        <v>2.8</v>
      </c>
    </row>
    <row r="997" spans="1:19" ht="19">
      <c r="A997" s="212" t="s">
        <v>579</v>
      </c>
      <c r="B997" s="212" t="s">
        <v>580</v>
      </c>
      <c r="C997" s="233" t="s">
        <v>585</v>
      </c>
      <c r="D997" s="234" t="s">
        <v>151</v>
      </c>
      <c r="E997" s="212">
        <v>41229</v>
      </c>
      <c r="F997" s="212">
        <v>17666</v>
      </c>
      <c r="G997" s="212" t="s">
        <v>1723</v>
      </c>
      <c r="H997" s="212" t="s">
        <v>1811</v>
      </c>
      <c r="I997" s="212" t="s">
        <v>1137</v>
      </c>
      <c r="J997" s="212" t="s">
        <v>1744</v>
      </c>
      <c r="K997" s="227" t="s">
        <v>269</v>
      </c>
      <c r="L997" s="227" t="s">
        <v>1725</v>
      </c>
      <c r="M997" t="s">
        <v>1738</v>
      </c>
      <c r="N997" s="211">
        <v>-19.239999999999998</v>
      </c>
      <c r="O997" s="211">
        <v>-19.2</v>
      </c>
      <c r="P997" s="211">
        <v>4.4000000000000004</v>
      </c>
      <c r="S997" s="211">
        <v>2.9</v>
      </c>
    </row>
    <row r="998" spans="1:19" ht="19">
      <c r="A998" s="212" t="s">
        <v>579</v>
      </c>
      <c r="B998" s="212" t="s">
        <v>580</v>
      </c>
      <c r="C998" s="233" t="s">
        <v>585</v>
      </c>
      <c r="D998" s="234" t="s">
        <v>151</v>
      </c>
      <c r="E998" s="212">
        <v>41229</v>
      </c>
      <c r="F998" s="212">
        <v>17669</v>
      </c>
      <c r="G998" s="212" t="s">
        <v>1723</v>
      </c>
      <c r="H998" s="212" t="s">
        <v>1811</v>
      </c>
      <c r="I998" s="212" t="s">
        <v>1137</v>
      </c>
      <c r="J998" s="212" t="s">
        <v>1744</v>
      </c>
      <c r="K998" s="227" t="s">
        <v>269</v>
      </c>
      <c r="L998" s="227" t="s">
        <v>1725</v>
      </c>
      <c r="M998" t="s">
        <v>1869</v>
      </c>
      <c r="N998" s="211">
        <v>-18.5</v>
      </c>
      <c r="O998" s="211">
        <v>-18.5</v>
      </c>
      <c r="P998" s="211">
        <v>3.8</v>
      </c>
      <c r="S998" s="211">
        <v>2.8</v>
      </c>
    </row>
    <row r="999" spans="1:19" ht="19">
      <c r="A999" s="212" t="s">
        <v>579</v>
      </c>
      <c r="B999" s="212" t="s">
        <v>580</v>
      </c>
      <c r="C999" s="233" t="s">
        <v>585</v>
      </c>
      <c r="D999" s="234" t="s">
        <v>151</v>
      </c>
      <c r="E999" s="212">
        <v>41229</v>
      </c>
      <c r="F999" s="212">
        <v>17670</v>
      </c>
      <c r="G999" s="212" t="s">
        <v>1723</v>
      </c>
      <c r="H999" s="212" t="s">
        <v>1811</v>
      </c>
      <c r="I999" s="212" t="s">
        <v>1137</v>
      </c>
      <c r="J999" s="212" t="s">
        <v>1744</v>
      </c>
      <c r="K999" s="227" t="s">
        <v>269</v>
      </c>
      <c r="L999" s="227" t="s">
        <v>1725</v>
      </c>
      <c r="M999" t="s">
        <v>1869</v>
      </c>
      <c r="N999" s="211">
        <v>-20.28</v>
      </c>
      <c r="O999" s="211">
        <v>-20.3</v>
      </c>
      <c r="P999" s="211">
        <v>5.7</v>
      </c>
      <c r="S999" s="211">
        <v>2.8</v>
      </c>
    </row>
    <row r="1000" spans="1:19" ht="19">
      <c r="A1000" s="212" t="s">
        <v>579</v>
      </c>
      <c r="B1000" s="212" t="s">
        <v>580</v>
      </c>
      <c r="C1000" s="233" t="s">
        <v>585</v>
      </c>
      <c r="D1000" s="234" t="s">
        <v>151</v>
      </c>
      <c r="E1000" s="212">
        <v>41229</v>
      </c>
      <c r="F1000" s="212">
        <v>17676</v>
      </c>
      <c r="G1000" s="212" t="s">
        <v>1723</v>
      </c>
      <c r="H1000" s="212" t="s">
        <v>1811</v>
      </c>
      <c r="I1000" s="212" t="s">
        <v>1137</v>
      </c>
      <c r="J1000" s="212" t="s">
        <v>1744</v>
      </c>
      <c r="K1000" s="227" t="s">
        <v>269</v>
      </c>
      <c r="L1000" s="227" t="s">
        <v>1725</v>
      </c>
      <c r="M1000" t="s">
        <v>1332</v>
      </c>
      <c r="N1000" s="211">
        <v>-20.02</v>
      </c>
      <c r="O1000" s="211">
        <v>-20</v>
      </c>
      <c r="P1000" s="211">
        <v>2.1</v>
      </c>
      <c r="S1000" s="211">
        <v>2.8</v>
      </c>
    </row>
    <row r="1001" spans="1:19" ht="19">
      <c r="A1001" s="212" t="s">
        <v>579</v>
      </c>
      <c r="B1001" s="212" t="s">
        <v>580</v>
      </c>
      <c r="C1001" s="233" t="s">
        <v>585</v>
      </c>
      <c r="D1001" s="234" t="s">
        <v>151</v>
      </c>
      <c r="E1001" s="212">
        <v>41229</v>
      </c>
      <c r="F1001" s="212">
        <v>17677</v>
      </c>
      <c r="G1001" s="212" t="s">
        <v>1723</v>
      </c>
      <c r="H1001" s="212" t="s">
        <v>1811</v>
      </c>
      <c r="I1001" s="212" t="s">
        <v>1137</v>
      </c>
      <c r="J1001" s="212" t="s">
        <v>104</v>
      </c>
      <c r="K1001" s="227" t="s">
        <v>269</v>
      </c>
      <c r="L1001" s="227" t="s">
        <v>1725</v>
      </c>
      <c r="M1001" t="s">
        <v>1332</v>
      </c>
      <c r="N1001" s="211">
        <v>-14.87</v>
      </c>
      <c r="O1001" s="211">
        <v>-14.9</v>
      </c>
      <c r="P1001" s="211">
        <v>5</v>
      </c>
      <c r="S1001" s="211">
        <v>2.7</v>
      </c>
    </row>
    <row r="1002" spans="1:19" ht="19">
      <c r="A1002" s="212" t="s">
        <v>579</v>
      </c>
      <c r="B1002" s="212" t="s">
        <v>580</v>
      </c>
      <c r="C1002" s="233" t="s">
        <v>585</v>
      </c>
      <c r="D1002" s="234" t="s">
        <v>151</v>
      </c>
      <c r="E1002" s="212">
        <v>41229</v>
      </c>
      <c r="F1002" s="212">
        <v>17678</v>
      </c>
      <c r="G1002" s="212" t="s">
        <v>1723</v>
      </c>
      <c r="H1002" s="212" t="s">
        <v>1811</v>
      </c>
      <c r="I1002" s="212" t="s">
        <v>1137</v>
      </c>
      <c r="J1002" s="212" t="s">
        <v>104</v>
      </c>
      <c r="K1002" s="227" t="s">
        <v>269</v>
      </c>
      <c r="L1002" s="227" t="s">
        <v>1725</v>
      </c>
      <c r="M1002" t="s">
        <v>1761</v>
      </c>
      <c r="N1002" s="211">
        <v>-20.079999999999998</v>
      </c>
      <c r="O1002" s="211">
        <v>-20.100000000000001</v>
      </c>
      <c r="P1002" s="211">
        <v>5.4</v>
      </c>
      <c r="S1002" s="211">
        <v>2.7</v>
      </c>
    </row>
    <row r="1003" spans="1:19" ht="19">
      <c r="A1003" s="212" t="s">
        <v>579</v>
      </c>
      <c r="B1003" s="212" t="s">
        <v>580</v>
      </c>
      <c r="C1003" s="233" t="s">
        <v>585</v>
      </c>
      <c r="D1003" s="234" t="s">
        <v>151</v>
      </c>
      <c r="E1003" s="212">
        <v>41229</v>
      </c>
      <c r="F1003" s="212">
        <v>17679</v>
      </c>
      <c r="G1003" s="212" t="s">
        <v>1723</v>
      </c>
      <c r="H1003" s="212" t="s">
        <v>1811</v>
      </c>
      <c r="I1003" s="212" t="s">
        <v>1137</v>
      </c>
      <c r="J1003" s="212" t="s">
        <v>1744</v>
      </c>
      <c r="K1003" s="227" t="s">
        <v>269</v>
      </c>
      <c r="L1003" s="227" t="s">
        <v>1725</v>
      </c>
      <c r="M1003" t="s">
        <v>1332</v>
      </c>
      <c r="N1003" s="211">
        <v>-19.79</v>
      </c>
      <c r="O1003" s="211">
        <v>-19.8</v>
      </c>
      <c r="P1003" s="211">
        <v>3.6</v>
      </c>
      <c r="S1003" s="211">
        <v>2.8</v>
      </c>
    </row>
    <row r="1004" spans="1:19" ht="19">
      <c r="A1004" s="212" t="s">
        <v>579</v>
      </c>
      <c r="B1004" s="212" t="s">
        <v>580</v>
      </c>
      <c r="C1004" s="233" t="s">
        <v>585</v>
      </c>
      <c r="D1004" s="234" t="s">
        <v>151</v>
      </c>
      <c r="E1004" s="212">
        <v>41229</v>
      </c>
      <c r="F1004" s="212">
        <v>17682</v>
      </c>
      <c r="G1004" s="212" t="s">
        <v>1723</v>
      </c>
      <c r="H1004" s="212" t="s">
        <v>1811</v>
      </c>
      <c r="I1004" s="212" t="s">
        <v>1137</v>
      </c>
      <c r="J1004" s="212" t="s">
        <v>1744</v>
      </c>
      <c r="K1004" s="227" t="s">
        <v>269</v>
      </c>
      <c r="L1004" s="227" t="s">
        <v>1725</v>
      </c>
      <c r="M1004" t="s">
        <v>1726</v>
      </c>
      <c r="N1004" s="211">
        <v>-15.46</v>
      </c>
      <c r="O1004" s="211">
        <v>-15.5</v>
      </c>
      <c r="P1004" s="211">
        <v>4</v>
      </c>
      <c r="S1004" s="211">
        <v>2.8</v>
      </c>
    </row>
    <row r="1005" spans="1:19" ht="19">
      <c r="A1005" s="212" t="s">
        <v>579</v>
      </c>
      <c r="B1005" s="212" t="s">
        <v>580</v>
      </c>
      <c r="C1005" s="233" t="s">
        <v>585</v>
      </c>
      <c r="D1005" s="234" t="s">
        <v>151</v>
      </c>
      <c r="E1005" s="212">
        <v>41229</v>
      </c>
      <c r="F1005" s="212">
        <v>17685</v>
      </c>
      <c r="G1005" s="212" t="s">
        <v>1723</v>
      </c>
      <c r="H1005" s="212" t="s">
        <v>1811</v>
      </c>
      <c r="I1005" s="212" t="s">
        <v>1137</v>
      </c>
      <c r="J1005" s="212" t="s">
        <v>104</v>
      </c>
      <c r="K1005" s="227" t="s">
        <v>269</v>
      </c>
      <c r="L1005" s="227" t="s">
        <v>1725</v>
      </c>
      <c r="M1005" t="s">
        <v>205</v>
      </c>
      <c r="N1005" s="211">
        <v>-20.99</v>
      </c>
      <c r="O1005" s="211">
        <v>-21</v>
      </c>
      <c r="P1005" s="211">
        <v>4.3</v>
      </c>
      <c r="S1005" s="211">
        <v>2.8</v>
      </c>
    </row>
    <row r="1006" spans="1:19" ht="19">
      <c r="A1006" s="212" t="s">
        <v>579</v>
      </c>
      <c r="B1006" s="212" t="s">
        <v>580</v>
      </c>
      <c r="C1006" s="233" t="s">
        <v>585</v>
      </c>
      <c r="D1006" s="234" t="s">
        <v>151</v>
      </c>
      <c r="E1006" s="212">
        <v>41229</v>
      </c>
      <c r="F1006" s="212">
        <v>17687</v>
      </c>
      <c r="G1006" s="212" t="s">
        <v>1723</v>
      </c>
      <c r="H1006" s="212" t="s">
        <v>1811</v>
      </c>
      <c r="I1006" s="212" t="s">
        <v>1137</v>
      </c>
      <c r="J1006" s="212" t="s">
        <v>1744</v>
      </c>
      <c r="K1006" s="227" t="s">
        <v>269</v>
      </c>
      <c r="L1006" s="227" t="s">
        <v>1725</v>
      </c>
      <c r="M1006" t="s">
        <v>1869</v>
      </c>
      <c r="N1006" s="211">
        <v>-17.88</v>
      </c>
      <c r="O1006" s="211">
        <v>-17.899999999999999</v>
      </c>
      <c r="P1006" s="211">
        <v>3</v>
      </c>
      <c r="S1006" s="211">
        <v>2.8</v>
      </c>
    </row>
    <row r="1007" spans="1:19" ht="19">
      <c r="A1007" s="212" t="s">
        <v>579</v>
      </c>
      <c r="B1007" s="212" t="s">
        <v>580</v>
      </c>
      <c r="C1007" s="233" t="s">
        <v>585</v>
      </c>
      <c r="D1007" s="234" t="s">
        <v>151</v>
      </c>
      <c r="E1007" s="212">
        <v>41229</v>
      </c>
      <c r="F1007" s="212">
        <v>17691</v>
      </c>
      <c r="G1007" s="212" t="s">
        <v>1723</v>
      </c>
      <c r="H1007" s="212" t="s">
        <v>1811</v>
      </c>
      <c r="I1007" s="212" t="s">
        <v>1137</v>
      </c>
      <c r="J1007" s="212" t="s">
        <v>1744</v>
      </c>
      <c r="K1007" s="227" t="s">
        <v>269</v>
      </c>
      <c r="L1007" s="227" t="s">
        <v>1725</v>
      </c>
      <c r="M1007" t="s">
        <v>1737</v>
      </c>
      <c r="N1007" s="211">
        <v>-18.52</v>
      </c>
      <c r="O1007" s="211">
        <v>-18.5</v>
      </c>
      <c r="P1007" s="211">
        <v>4.3</v>
      </c>
      <c r="S1007" s="211">
        <v>3</v>
      </c>
    </row>
    <row r="1008" spans="1:19" ht="19">
      <c r="A1008" s="212" t="s">
        <v>579</v>
      </c>
      <c r="B1008" s="212" t="s">
        <v>580</v>
      </c>
      <c r="C1008" s="233" t="s">
        <v>585</v>
      </c>
      <c r="D1008" s="234" t="s">
        <v>151</v>
      </c>
      <c r="E1008" s="212">
        <v>41229</v>
      </c>
      <c r="F1008" s="212">
        <v>17692</v>
      </c>
      <c r="G1008" s="212" t="s">
        <v>1723</v>
      </c>
      <c r="H1008" s="212" t="s">
        <v>1811</v>
      </c>
      <c r="I1008" s="212" t="s">
        <v>1137</v>
      </c>
      <c r="J1008" s="212" t="s">
        <v>1744</v>
      </c>
      <c r="K1008" s="227" t="s">
        <v>269</v>
      </c>
      <c r="L1008" s="227" t="s">
        <v>1725</v>
      </c>
      <c r="M1008" t="s">
        <v>1786</v>
      </c>
      <c r="N1008" s="211">
        <v>-19.170000000000002</v>
      </c>
      <c r="O1008" s="211">
        <v>-19.2</v>
      </c>
      <c r="P1008" s="211">
        <v>4.4000000000000004</v>
      </c>
      <c r="S1008" s="211">
        <v>2.8</v>
      </c>
    </row>
    <row r="1009" spans="1:20" ht="19">
      <c r="A1009" s="212" t="s">
        <v>579</v>
      </c>
      <c r="B1009" s="212" t="s">
        <v>580</v>
      </c>
      <c r="C1009" s="233" t="s">
        <v>585</v>
      </c>
      <c r="D1009" s="234" t="s">
        <v>151</v>
      </c>
      <c r="E1009" s="212">
        <v>41229</v>
      </c>
      <c r="F1009" s="212">
        <v>17694</v>
      </c>
      <c r="G1009" s="212" t="s">
        <v>1723</v>
      </c>
      <c r="H1009" s="212" t="s">
        <v>1811</v>
      </c>
      <c r="I1009" s="212" t="s">
        <v>1137</v>
      </c>
      <c r="J1009" s="212" t="s">
        <v>1744</v>
      </c>
      <c r="K1009" s="227" t="s">
        <v>269</v>
      </c>
      <c r="L1009" s="227" t="s">
        <v>1725</v>
      </c>
      <c r="M1009" t="s">
        <v>1757</v>
      </c>
      <c r="N1009" s="211">
        <v>-20.73</v>
      </c>
      <c r="O1009" s="211">
        <v>-20.7</v>
      </c>
      <c r="P1009" s="211">
        <v>5.0999999999999996</v>
      </c>
      <c r="S1009" s="211">
        <v>2.9</v>
      </c>
    </row>
    <row r="1010" spans="1:20" ht="19">
      <c r="A1010" s="212" t="s">
        <v>579</v>
      </c>
      <c r="B1010" s="212" t="s">
        <v>580</v>
      </c>
      <c r="C1010" s="233" t="s">
        <v>585</v>
      </c>
      <c r="D1010" s="234" t="s">
        <v>151</v>
      </c>
      <c r="E1010" s="212">
        <v>41229</v>
      </c>
      <c r="F1010" s="212">
        <v>17698</v>
      </c>
      <c r="G1010" s="212" t="s">
        <v>1723</v>
      </c>
      <c r="H1010" s="212" t="s">
        <v>1811</v>
      </c>
      <c r="I1010" s="212" t="s">
        <v>1137</v>
      </c>
      <c r="J1010" s="212" t="s">
        <v>1744</v>
      </c>
      <c r="K1010" s="227" t="s">
        <v>269</v>
      </c>
      <c r="L1010" s="227" t="s">
        <v>1725</v>
      </c>
      <c r="M1010" t="s">
        <v>1873</v>
      </c>
      <c r="N1010" s="211">
        <v>-17.440000000000001</v>
      </c>
      <c r="O1010" s="211">
        <v>-17.399999999999999</v>
      </c>
      <c r="P1010" s="211">
        <v>5</v>
      </c>
      <c r="S1010" s="211">
        <v>2.7</v>
      </c>
    </row>
    <row r="1011" spans="1:20" ht="19">
      <c r="A1011" s="212" t="s">
        <v>579</v>
      </c>
      <c r="B1011" s="212" t="s">
        <v>580</v>
      </c>
      <c r="C1011" s="233" t="s">
        <v>585</v>
      </c>
      <c r="D1011" s="234" t="s">
        <v>151</v>
      </c>
      <c r="E1011" s="212">
        <v>41229</v>
      </c>
      <c r="F1011" s="212">
        <v>17700</v>
      </c>
      <c r="G1011" s="212" t="s">
        <v>1723</v>
      </c>
      <c r="H1011" s="212" t="s">
        <v>1811</v>
      </c>
      <c r="I1011" s="212" t="s">
        <v>1137</v>
      </c>
      <c r="J1011" s="212" t="s">
        <v>1744</v>
      </c>
      <c r="K1011" s="227" t="s">
        <v>269</v>
      </c>
      <c r="L1011" s="227" t="s">
        <v>1725</v>
      </c>
      <c r="M1011" t="s">
        <v>1738</v>
      </c>
      <c r="N1011" s="211">
        <v>-15.61</v>
      </c>
      <c r="O1011" s="211">
        <v>-15.6</v>
      </c>
      <c r="P1011" s="211">
        <v>3.6</v>
      </c>
      <c r="S1011" s="211">
        <v>2.9</v>
      </c>
    </row>
    <row r="1012" spans="1:20" ht="19">
      <c r="A1012" s="212" t="s">
        <v>579</v>
      </c>
      <c r="B1012" s="212" t="s">
        <v>580</v>
      </c>
      <c r="C1012" s="233" t="s">
        <v>585</v>
      </c>
      <c r="D1012" s="234" t="s">
        <v>151</v>
      </c>
      <c r="E1012" s="212">
        <v>41229</v>
      </c>
      <c r="F1012" s="212">
        <v>17703</v>
      </c>
      <c r="G1012" s="212" t="s">
        <v>1723</v>
      </c>
      <c r="H1012" s="212" t="s">
        <v>1811</v>
      </c>
      <c r="I1012" s="212" t="s">
        <v>1137</v>
      </c>
      <c r="J1012" s="212" t="s">
        <v>1744</v>
      </c>
      <c r="K1012" s="227" t="s">
        <v>269</v>
      </c>
      <c r="L1012" s="227" t="s">
        <v>1725</v>
      </c>
      <c r="M1012" t="s">
        <v>1869</v>
      </c>
      <c r="N1012" s="211">
        <v>-17.559999999999999</v>
      </c>
      <c r="O1012" s="211">
        <v>-17.600000000000001</v>
      </c>
      <c r="P1012" s="211">
        <v>3.5</v>
      </c>
      <c r="S1012" s="211">
        <v>2.9</v>
      </c>
    </row>
    <row r="1013" spans="1:20" ht="19">
      <c r="A1013" s="212" t="s">
        <v>579</v>
      </c>
      <c r="B1013" s="212" t="s">
        <v>580</v>
      </c>
      <c r="C1013" s="233" t="s">
        <v>585</v>
      </c>
      <c r="D1013" s="234" t="s">
        <v>151</v>
      </c>
      <c r="E1013" s="212">
        <v>41229</v>
      </c>
      <c r="F1013" s="212">
        <v>17704</v>
      </c>
      <c r="G1013" s="212" t="s">
        <v>1723</v>
      </c>
      <c r="H1013" s="212" t="s">
        <v>1811</v>
      </c>
      <c r="I1013" s="212" t="s">
        <v>1137</v>
      </c>
      <c r="J1013" s="212" t="s">
        <v>1744</v>
      </c>
      <c r="K1013" s="227" t="s">
        <v>269</v>
      </c>
      <c r="L1013" s="227" t="s">
        <v>1725</v>
      </c>
      <c r="M1013" t="s">
        <v>1738</v>
      </c>
      <c r="N1013" s="211">
        <v>-18.809999999999999</v>
      </c>
      <c r="O1013" s="211">
        <v>-18.8</v>
      </c>
      <c r="P1013" s="211">
        <v>3.5</v>
      </c>
      <c r="S1013" s="211">
        <v>2.8</v>
      </c>
    </row>
    <row r="1014" spans="1:20" ht="19">
      <c r="A1014" s="212" t="s">
        <v>579</v>
      </c>
      <c r="B1014" s="212" t="s">
        <v>580</v>
      </c>
      <c r="C1014" s="233" t="s">
        <v>585</v>
      </c>
      <c r="D1014" s="234" t="s">
        <v>151</v>
      </c>
      <c r="E1014" s="212">
        <v>41229</v>
      </c>
      <c r="F1014" s="212">
        <v>17806</v>
      </c>
      <c r="G1014" s="212" t="s">
        <v>1723</v>
      </c>
      <c r="H1014" s="212" t="s">
        <v>1811</v>
      </c>
      <c r="I1014" s="212" t="s">
        <v>1137</v>
      </c>
      <c r="J1014" s="212" t="s">
        <v>1744</v>
      </c>
      <c r="K1014" s="227" t="s">
        <v>269</v>
      </c>
      <c r="L1014" s="227" t="s">
        <v>1725</v>
      </c>
      <c r="M1014" t="s">
        <v>1757</v>
      </c>
      <c r="N1014" s="211">
        <v>-18.690000000000001</v>
      </c>
      <c r="O1014" s="211">
        <v>-18.7</v>
      </c>
      <c r="P1014" s="211">
        <v>4.4000000000000004</v>
      </c>
      <c r="S1014" s="211">
        <v>2.8</v>
      </c>
    </row>
    <row r="1015" spans="1:20" ht="19">
      <c r="A1015" s="212" t="s">
        <v>579</v>
      </c>
      <c r="B1015" s="212" t="s">
        <v>580</v>
      </c>
      <c r="C1015" s="233" t="s">
        <v>585</v>
      </c>
      <c r="D1015" s="234" t="s">
        <v>151</v>
      </c>
      <c r="E1015" s="212">
        <v>41229</v>
      </c>
      <c r="F1015" s="212">
        <v>17807</v>
      </c>
      <c r="G1015" s="212" t="s">
        <v>1723</v>
      </c>
      <c r="H1015" s="212" t="s">
        <v>1811</v>
      </c>
      <c r="I1015" s="212" t="s">
        <v>1137</v>
      </c>
      <c r="J1015" s="212" t="s">
        <v>1744</v>
      </c>
      <c r="K1015" s="227" t="s">
        <v>269</v>
      </c>
      <c r="L1015" s="227" t="s">
        <v>1725</v>
      </c>
      <c r="M1015" t="s">
        <v>1869</v>
      </c>
      <c r="N1015" s="211">
        <v>-17.670000000000002</v>
      </c>
      <c r="O1015" s="211">
        <v>-17.7</v>
      </c>
      <c r="P1015" s="211">
        <v>4.7</v>
      </c>
      <c r="S1015" s="211">
        <v>2.8</v>
      </c>
    </row>
    <row r="1016" spans="1:20" ht="19">
      <c r="A1016" s="212" t="s">
        <v>579</v>
      </c>
      <c r="B1016" s="212" t="s">
        <v>580</v>
      </c>
      <c r="C1016" s="233" t="s">
        <v>585</v>
      </c>
      <c r="D1016" s="234" t="s">
        <v>151</v>
      </c>
      <c r="E1016" s="212">
        <v>41229</v>
      </c>
      <c r="F1016" s="212">
        <v>17848</v>
      </c>
      <c r="G1016" s="212" t="s">
        <v>1723</v>
      </c>
      <c r="H1016" s="212" t="s">
        <v>1811</v>
      </c>
      <c r="I1016" s="212" t="s">
        <v>1137</v>
      </c>
      <c r="J1016" s="212" t="s">
        <v>104</v>
      </c>
      <c r="K1016" s="227" t="s">
        <v>269</v>
      </c>
      <c r="L1016" s="227" t="s">
        <v>1725</v>
      </c>
      <c r="M1016" t="s">
        <v>1758</v>
      </c>
      <c r="N1016" s="211">
        <v>-18.47</v>
      </c>
      <c r="O1016" s="211">
        <v>-18.5</v>
      </c>
      <c r="P1016" s="211">
        <v>3.3</v>
      </c>
      <c r="S1016" s="211">
        <v>2.8</v>
      </c>
    </row>
    <row r="1017" spans="1:20" ht="19">
      <c r="A1017" s="212" t="s">
        <v>579</v>
      </c>
      <c r="B1017" s="212" t="s">
        <v>580</v>
      </c>
      <c r="C1017" s="233" t="s">
        <v>585</v>
      </c>
      <c r="D1017" s="234" t="s">
        <v>151</v>
      </c>
      <c r="E1017" s="212">
        <v>43133</v>
      </c>
      <c r="F1017" s="212">
        <v>828</v>
      </c>
      <c r="G1017" s="212" t="s">
        <v>1723</v>
      </c>
      <c r="H1017" s="212" t="s">
        <v>1811</v>
      </c>
      <c r="I1017" s="212" t="s">
        <v>1821</v>
      </c>
      <c r="J1017" s="212" t="s">
        <v>1728</v>
      </c>
      <c r="K1017" s="227" t="s">
        <v>269</v>
      </c>
      <c r="L1017" s="227" t="s">
        <v>1725</v>
      </c>
      <c r="M1017" t="s">
        <v>1738</v>
      </c>
      <c r="N1017" s="211">
        <v>-16.79</v>
      </c>
      <c r="O1017" s="211">
        <v>-16.8</v>
      </c>
      <c r="P1017" s="211">
        <v>3.9</v>
      </c>
      <c r="S1017" s="211">
        <v>2.8</v>
      </c>
    </row>
    <row r="1018" spans="1:20" ht="19">
      <c r="A1018" s="212" t="s">
        <v>579</v>
      </c>
      <c r="B1018" s="212" t="s">
        <v>580</v>
      </c>
      <c r="C1018" s="233" t="s">
        <v>585</v>
      </c>
      <c r="D1018" s="234" t="s">
        <v>151</v>
      </c>
      <c r="E1018" s="212">
        <v>43133</v>
      </c>
      <c r="F1018" s="212">
        <v>829</v>
      </c>
      <c r="G1018" s="212" t="s">
        <v>1723</v>
      </c>
      <c r="H1018" s="212" t="s">
        <v>1811</v>
      </c>
      <c r="I1018" s="212" t="s">
        <v>1821</v>
      </c>
      <c r="J1018" s="212" t="s">
        <v>1728</v>
      </c>
      <c r="K1018" s="227" t="s">
        <v>269</v>
      </c>
      <c r="L1018" s="227" t="s">
        <v>1725</v>
      </c>
      <c r="M1018" t="s">
        <v>1738</v>
      </c>
      <c r="N1018" s="211">
        <v>-16.98</v>
      </c>
      <c r="O1018" s="211">
        <v>-17</v>
      </c>
      <c r="P1018" s="211">
        <v>3.9</v>
      </c>
      <c r="S1018" s="211">
        <v>2.9</v>
      </c>
    </row>
    <row r="1019" spans="1:20" ht="19">
      <c r="A1019" s="212" t="s">
        <v>579</v>
      </c>
      <c r="B1019" s="212" t="s">
        <v>580</v>
      </c>
      <c r="C1019" s="233" t="s">
        <v>585</v>
      </c>
      <c r="D1019" s="234" t="s">
        <v>151</v>
      </c>
      <c r="E1019" s="212">
        <v>43133</v>
      </c>
      <c r="F1019" s="212">
        <v>830</v>
      </c>
      <c r="G1019" s="212" t="s">
        <v>1723</v>
      </c>
      <c r="H1019" s="212" t="s">
        <v>1811</v>
      </c>
      <c r="I1019" s="212" t="s">
        <v>1821</v>
      </c>
      <c r="J1019" s="212" t="s">
        <v>1728</v>
      </c>
      <c r="K1019" s="227" t="s">
        <v>269</v>
      </c>
      <c r="L1019" s="227" t="s">
        <v>1725</v>
      </c>
      <c r="M1019" t="s">
        <v>1738</v>
      </c>
      <c r="N1019" s="211">
        <v>-18.53</v>
      </c>
      <c r="O1019" s="211">
        <v>-18.5</v>
      </c>
      <c r="P1019" s="211">
        <v>3.5</v>
      </c>
      <c r="S1019" s="211">
        <v>2.9</v>
      </c>
    </row>
    <row r="1020" spans="1:20" ht="19">
      <c r="A1020" s="212" t="s">
        <v>579</v>
      </c>
      <c r="B1020" s="212" t="s">
        <v>580</v>
      </c>
      <c r="C1020" s="233" t="s">
        <v>585</v>
      </c>
      <c r="D1020" s="234" t="s">
        <v>151</v>
      </c>
      <c r="E1020" s="212">
        <v>41229</v>
      </c>
      <c r="F1020" s="212">
        <v>10285</v>
      </c>
      <c r="G1020" s="212" t="s">
        <v>1723</v>
      </c>
      <c r="H1020" s="212" t="s">
        <v>1811</v>
      </c>
      <c r="I1020" s="212" t="s">
        <v>1137</v>
      </c>
      <c r="J1020" s="212" t="s">
        <v>104</v>
      </c>
      <c r="K1020" s="227" t="s">
        <v>269</v>
      </c>
      <c r="L1020" s="227" t="s">
        <v>1725</v>
      </c>
      <c r="M1020" t="s">
        <v>1784</v>
      </c>
      <c r="N1020" s="211">
        <v>-21.12</v>
      </c>
      <c r="O1020" s="211">
        <v>-21.12</v>
      </c>
      <c r="P1020" s="211" t="s">
        <v>463</v>
      </c>
      <c r="S1020" s="211">
        <v>3.06</v>
      </c>
      <c r="T1020" s="212" t="s">
        <v>1877</v>
      </c>
    </row>
    <row r="1021" spans="1:20" ht="19">
      <c r="A1021" s="212" t="s">
        <v>579</v>
      </c>
      <c r="B1021" s="212" t="s">
        <v>580</v>
      </c>
      <c r="C1021" s="233" t="s">
        <v>585</v>
      </c>
      <c r="D1021" s="234" t="s">
        <v>151</v>
      </c>
      <c r="E1021" s="212">
        <v>41229</v>
      </c>
      <c r="F1021" s="212">
        <v>7646</v>
      </c>
      <c r="G1021" s="212" t="s">
        <v>1723</v>
      </c>
      <c r="H1021" s="212" t="s">
        <v>1811</v>
      </c>
      <c r="I1021" s="212" t="s">
        <v>1137</v>
      </c>
      <c r="J1021" s="212" t="s">
        <v>225</v>
      </c>
      <c r="K1021" s="227" t="s">
        <v>269</v>
      </c>
      <c r="L1021" s="227" t="s">
        <v>1725</v>
      </c>
      <c r="M1021" t="s">
        <v>1738</v>
      </c>
      <c r="N1021" s="211">
        <v>-17.3</v>
      </c>
      <c r="O1021" s="211" t="s">
        <v>1731</v>
      </c>
      <c r="P1021" s="211">
        <v>5.0999999999999996</v>
      </c>
      <c r="S1021" s="211">
        <v>4.0999999999999996</v>
      </c>
    </row>
    <row r="1022" spans="1:20" ht="19">
      <c r="A1022" s="212" t="s">
        <v>579</v>
      </c>
      <c r="B1022" s="212" t="s">
        <v>580</v>
      </c>
      <c r="C1022" s="233" t="s">
        <v>585</v>
      </c>
      <c r="D1022" s="234" t="s">
        <v>151</v>
      </c>
      <c r="E1022" s="212">
        <v>41229</v>
      </c>
      <c r="F1022" s="212">
        <v>984</v>
      </c>
      <c r="G1022" s="212" t="s">
        <v>1723</v>
      </c>
      <c r="H1022" s="212" t="s">
        <v>1811</v>
      </c>
      <c r="I1022" s="212" t="s">
        <v>1137</v>
      </c>
      <c r="J1022" s="212" t="s">
        <v>104</v>
      </c>
      <c r="K1022" s="227" t="s">
        <v>269</v>
      </c>
      <c r="L1022" s="227" t="s">
        <v>1729</v>
      </c>
      <c r="M1022" t="s">
        <v>1730</v>
      </c>
      <c r="N1022" s="211" t="s">
        <v>463</v>
      </c>
      <c r="O1022" s="211" t="s">
        <v>1731</v>
      </c>
      <c r="P1022" s="211" t="s">
        <v>287</v>
      </c>
      <c r="S1022" s="211" t="s">
        <v>1731</v>
      </c>
      <c r="T1022" s="212" t="s">
        <v>1834</v>
      </c>
    </row>
    <row r="1023" spans="1:20" ht="19">
      <c r="A1023" s="212" t="s">
        <v>169</v>
      </c>
      <c r="B1023" s="212" t="s">
        <v>588</v>
      </c>
      <c r="C1023" s="233" t="s">
        <v>150</v>
      </c>
      <c r="D1023" s="234" t="s">
        <v>151</v>
      </c>
      <c r="E1023" s="212">
        <v>908</v>
      </c>
      <c r="F1023" s="212">
        <v>2295</v>
      </c>
      <c r="G1023" s="212" t="s">
        <v>1723</v>
      </c>
      <c r="H1023" s="212" t="s">
        <v>1878</v>
      </c>
      <c r="I1023" s="212" t="s">
        <v>250</v>
      </c>
      <c r="J1023" s="212" t="s">
        <v>104</v>
      </c>
      <c r="K1023" s="227" t="s">
        <v>269</v>
      </c>
      <c r="L1023" s="227" t="s">
        <v>1729</v>
      </c>
      <c r="M1023" t="s">
        <v>1810</v>
      </c>
      <c r="N1023" s="211">
        <v>-3.97</v>
      </c>
      <c r="O1023" s="211">
        <v>-12.769</v>
      </c>
      <c r="P1023" s="211" t="s">
        <v>487</v>
      </c>
      <c r="Q1023" s="211">
        <v>26.2</v>
      </c>
      <c r="R1023" s="211">
        <v>-4.5</v>
      </c>
      <c r="S1023" s="211" t="s">
        <v>1731</v>
      </c>
    </row>
    <row r="1024" spans="1:20" ht="19">
      <c r="A1024" s="212" t="s">
        <v>169</v>
      </c>
      <c r="B1024" s="212" t="s">
        <v>588</v>
      </c>
      <c r="C1024" s="233" t="s">
        <v>150</v>
      </c>
      <c r="D1024" s="234" t="s">
        <v>151</v>
      </c>
      <c r="E1024" s="212">
        <v>908</v>
      </c>
      <c r="F1024" s="212">
        <v>2310</v>
      </c>
      <c r="G1024" s="212" t="s">
        <v>1723</v>
      </c>
      <c r="H1024" s="212" t="s">
        <v>1878</v>
      </c>
      <c r="I1024" s="212" t="s">
        <v>250</v>
      </c>
      <c r="J1024" s="212" t="s">
        <v>104</v>
      </c>
      <c r="K1024" s="227" t="s">
        <v>269</v>
      </c>
      <c r="L1024" s="227" t="s">
        <v>1725</v>
      </c>
      <c r="M1024" t="s">
        <v>1805</v>
      </c>
      <c r="N1024" s="211">
        <v>-20.2</v>
      </c>
      <c r="O1024" s="211">
        <v>-20.2</v>
      </c>
      <c r="P1024" s="211">
        <v>8.1</v>
      </c>
      <c r="S1024" s="211">
        <v>2.9</v>
      </c>
    </row>
    <row r="1025" spans="1:21" ht="19">
      <c r="A1025" s="212" t="s">
        <v>169</v>
      </c>
      <c r="B1025" s="212" t="s">
        <v>588</v>
      </c>
      <c r="C1025" s="233" t="s">
        <v>150</v>
      </c>
      <c r="D1025" s="234" t="s">
        <v>151</v>
      </c>
      <c r="E1025" s="212">
        <v>908</v>
      </c>
      <c r="F1025" s="212">
        <v>2331</v>
      </c>
      <c r="G1025" s="212" t="s">
        <v>1723</v>
      </c>
      <c r="H1025" s="212" t="s">
        <v>1878</v>
      </c>
      <c r="I1025" s="212" t="s">
        <v>250</v>
      </c>
      <c r="J1025" s="212" t="s">
        <v>104</v>
      </c>
      <c r="K1025" s="227" t="s">
        <v>269</v>
      </c>
      <c r="L1025" s="227" t="s">
        <v>1729</v>
      </c>
      <c r="M1025" t="s">
        <v>1879</v>
      </c>
      <c r="N1025" s="211">
        <v>-4.7</v>
      </c>
      <c r="O1025" s="211">
        <v>-13.499000000000001</v>
      </c>
      <c r="P1025" s="211" t="s">
        <v>487</v>
      </c>
      <c r="R1025" s="211">
        <v>-0.6</v>
      </c>
      <c r="S1025" s="211" t="s">
        <v>1731</v>
      </c>
    </row>
    <row r="1026" spans="1:21" ht="19">
      <c r="A1026" s="212" t="s">
        <v>169</v>
      </c>
      <c r="B1026" s="212" t="s">
        <v>588</v>
      </c>
      <c r="C1026" s="233" t="s">
        <v>150</v>
      </c>
      <c r="D1026" s="234" t="s">
        <v>151</v>
      </c>
      <c r="E1026" s="212">
        <v>908</v>
      </c>
      <c r="F1026" s="212">
        <v>2358</v>
      </c>
      <c r="G1026" s="212" t="s">
        <v>1723</v>
      </c>
      <c r="H1026" s="212" t="s">
        <v>1878</v>
      </c>
      <c r="I1026" s="212" t="s">
        <v>250</v>
      </c>
      <c r="J1026" s="212" t="s">
        <v>104</v>
      </c>
      <c r="K1026" s="227" t="s">
        <v>269</v>
      </c>
      <c r="L1026" s="227" t="s">
        <v>1729</v>
      </c>
      <c r="M1026" t="s">
        <v>1730</v>
      </c>
      <c r="N1026" s="211">
        <v>-3.72</v>
      </c>
      <c r="O1026" s="211">
        <v>-12.519</v>
      </c>
      <c r="P1026" s="211" t="s">
        <v>487</v>
      </c>
      <c r="R1026" s="211">
        <v>-4.7</v>
      </c>
      <c r="S1026" s="211" t="s">
        <v>1731</v>
      </c>
    </row>
    <row r="1027" spans="1:21" ht="19">
      <c r="A1027" s="212" t="s">
        <v>169</v>
      </c>
      <c r="B1027" s="212" t="s">
        <v>588</v>
      </c>
      <c r="C1027" s="233" t="s">
        <v>150</v>
      </c>
      <c r="D1027" s="234" t="s">
        <v>151</v>
      </c>
      <c r="E1027" s="212">
        <v>908</v>
      </c>
      <c r="F1027" s="212">
        <v>2380</v>
      </c>
      <c r="G1027" s="212" t="s">
        <v>1723</v>
      </c>
      <c r="H1027" s="212" t="s">
        <v>1878</v>
      </c>
      <c r="I1027" s="212" t="s">
        <v>250</v>
      </c>
      <c r="J1027" s="212" t="s">
        <v>104</v>
      </c>
      <c r="K1027" s="227" t="s">
        <v>269</v>
      </c>
      <c r="L1027" s="227" t="s">
        <v>1729</v>
      </c>
      <c r="M1027" t="s">
        <v>1730</v>
      </c>
      <c r="N1027" s="211">
        <v>-6.83</v>
      </c>
      <c r="O1027" s="211">
        <v>-15.629</v>
      </c>
      <c r="P1027" s="211" t="s">
        <v>487</v>
      </c>
      <c r="Q1027" s="211">
        <v>28</v>
      </c>
      <c r="R1027" s="211">
        <v>-2.8</v>
      </c>
      <c r="S1027" s="211" t="s">
        <v>1731</v>
      </c>
    </row>
    <row r="1028" spans="1:21">
      <c r="A1028" s="212" t="s">
        <v>169</v>
      </c>
      <c r="B1028" s="212" t="s">
        <v>588</v>
      </c>
      <c r="C1028" s="233" t="s">
        <v>150</v>
      </c>
      <c r="D1028" s="233" t="s">
        <v>151</v>
      </c>
      <c r="E1028" s="212">
        <v>908</v>
      </c>
      <c r="F1028" s="212">
        <v>2422</v>
      </c>
      <c r="G1028" s="212" t="s">
        <v>1723</v>
      </c>
      <c r="H1028" s="212" t="s">
        <v>1878</v>
      </c>
      <c r="I1028" s="212" t="s">
        <v>250</v>
      </c>
      <c r="J1028" s="212" t="s">
        <v>104</v>
      </c>
      <c r="K1028" s="227" t="s">
        <v>1768</v>
      </c>
      <c r="L1028" s="227" t="s">
        <v>1729</v>
      </c>
      <c r="M1028" s="206" t="s">
        <v>1734</v>
      </c>
      <c r="N1028" s="211">
        <v>-5.44</v>
      </c>
      <c r="O1028" s="211">
        <v>-14.239000000000001</v>
      </c>
      <c r="P1028" s="211" t="s">
        <v>487</v>
      </c>
      <c r="Q1028" s="211">
        <v>25</v>
      </c>
      <c r="R1028" s="211">
        <v>-5.7</v>
      </c>
      <c r="S1028" s="211" t="s">
        <v>1731</v>
      </c>
    </row>
    <row r="1029" spans="1:21">
      <c r="A1029" s="212" t="s">
        <v>169</v>
      </c>
      <c r="B1029" s="212" t="s">
        <v>588</v>
      </c>
      <c r="C1029" s="233" t="s">
        <v>150</v>
      </c>
      <c r="D1029" s="233" t="s">
        <v>151</v>
      </c>
      <c r="E1029" s="212">
        <v>908</v>
      </c>
      <c r="F1029" s="212">
        <v>2422</v>
      </c>
      <c r="G1029" s="212" t="s">
        <v>1723</v>
      </c>
      <c r="H1029" s="212" t="s">
        <v>1878</v>
      </c>
      <c r="I1029" s="212" t="s">
        <v>250</v>
      </c>
      <c r="J1029" s="212" t="s">
        <v>104</v>
      </c>
      <c r="K1029" s="227" t="s">
        <v>269</v>
      </c>
      <c r="L1029" s="227" t="s">
        <v>1729</v>
      </c>
      <c r="M1029" s="206" t="s">
        <v>1734</v>
      </c>
      <c r="N1029" s="211">
        <v>-5.44</v>
      </c>
      <c r="O1029" s="211">
        <v>-14.239000000000001</v>
      </c>
      <c r="P1029" s="211" t="s">
        <v>487</v>
      </c>
      <c r="Q1029" s="211">
        <v>25</v>
      </c>
      <c r="R1029" s="211">
        <v>-5.7</v>
      </c>
      <c r="S1029" s="211" t="s">
        <v>1731</v>
      </c>
      <c r="T1029" s="213"/>
    </row>
    <row r="1030" spans="1:21">
      <c r="A1030" s="212" t="s">
        <v>169</v>
      </c>
      <c r="B1030" s="212" t="s">
        <v>588</v>
      </c>
      <c r="C1030" s="233" t="s">
        <v>150</v>
      </c>
      <c r="D1030" s="233" t="s">
        <v>151</v>
      </c>
      <c r="E1030" s="212">
        <v>908</v>
      </c>
      <c r="F1030" s="212">
        <v>2436</v>
      </c>
      <c r="G1030" s="212" t="s">
        <v>1723</v>
      </c>
      <c r="H1030" s="212" t="s">
        <v>1878</v>
      </c>
      <c r="I1030" s="212" t="s">
        <v>250</v>
      </c>
      <c r="J1030" s="212" t="s">
        <v>104</v>
      </c>
      <c r="K1030" s="227" t="s">
        <v>1768</v>
      </c>
      <c r="L1030" s="227" t="s">
        <v>1729</v>
      </c>
      <c r="M1030" s="206" t="s">
        <v>1734</v>
      </c>
      <c r="N1030" s="211">
        <v>-2.31</v>
      </c>
      <c r="O1030" s="211">
        <v>-11.109</v>
      </c>
      <c r="P1030" s="211" t="s">
        <v>487</v>
      </c>
      <c r="Q1030" s="211">
        <v>31</v>
      </c>
      <c r="R1030" s="211">
        <v>0.2</v>
      </c>
      <c r="S1030" s="211" t="s">
        <v>1731</v>
      </c>
    </row>
    <row r="1031" spans="1:21">
      <c r="A1031" s="212" t="s">
        <v>169</v>
      </c>
      <c r="B1031" s="212" t="s">
        <v>588</v>
      </c>
      <c r="C1031" s="233" t="s">
        <v>150</v>
      </c>
      <c r="D1031" s="233" t="s">
        <v>151</v>
      </c>
      <c r="E1031" s="212">
        <v>908</v>
      </c>
      <c r="F1031" s="212">
        <v>2462</v>
      </c>
      <c r="G1031" s="212" t="s">
        <v>1723</v>
      </c>
      <c r="H1031" s="212" t="s">
        <v>1878</v>
      </c>
      <c r="I1031" s="212" t="s">
        <v>250</v>
      </c>
      <c r="J1031" s="212" t="s">
        <v>104</v>
      </c>
      <c r="K1031" s="227" t="s">
        <v>269</v>
      </c>
      <c r="L1031" s="227" t="s">
        <v>1729</v>
      </c>
      <c r="M1031" s="206" t="s">
        <v>1762</v>
      </c>
      <c r="N1031" s="211">
        <v>-0.49</v>
      </c>
      <c r="O1031" s="211">
        <v>-9.2889999999999997</v>
      </c>
      <c r="P1031" s="211" t="s">
        <v>487</v>
      </c>
      <c r="R1031" s="211">
        <v>-0.8</v>
      </c>
      <c r="S1031" s="211" t="s">
        <v>1731</v>
      </c>
    </row>
    <row r="1032" spans="1:21">
      <c r="A1032" s="212" t="s">
        <v>169</v>
      </c>
      <c r="B1032" s="212" t="s">
        <v>588</v>
      </c>
      <c r="C1032" s="233" t="s">
        <v>150</v>
      </c>
      <c r="D1032" s="233" t="s">
        <v>151</v>
      </c>
      <c r="E1032" s="212">
        <v>908</v>
      </c>
      <c r="F1032" s="212">
        <v>2466</v>
      </c>
      <c r="G1032" s="212" t="s">
        <v>1723</v>
      </c>
      <c r="H1032" s="212" t="s">
        <v>1878</v>
      </c>
      <c r="I1032" s="212" t="s">
        <v>250</v>
      </c>
      <c r="J1032" s="212" t="s">
        <v>104</v>
      </c>
      <c r="K1032" s="212" t="s">
        <v>269</v>
      </c>
      <c r="L1032" s="227" t="s">
        <v>1729</v>
      </c>
      <c r="M1032" t="s">
        <v>1730</v>
      </c>
      <c r="N1032" s="211">
        <v>-1.28</v>
      </c>
      <c r="O1032" s="211">
        <v>-10.079000000000001</v>
      </c>
      <c r="P1032" s="211" t="s">
        <v>487</v>
      </c>
      <c r="R1032" s="211">
        <v>-1.9</v>
      </c>
      <c r="S1032" s="211" t="s">
        <v>1731</v>
      </c>
      <c r="U1032" s="211"/>
    </row>
    <row r="1033" spans="1:21">
      <c r="A1033" s="212" t="s">
        <v>169</v>
      </c>
      <c r="B1033" s="212" t="s">
        <v>588</v>
      </c>
      <c r="C1033" s="233" t="s">
        <v>150</v>
      </c>
      <c r="D1033" s="233" t="s">
        <v>151</v>
      </c>
      <c r="E1033" s="212">
        <v>908</v>
      </c>
      <c r="F1033" s="212">
        <v>2471</v>
      </c>
      <c r="G1033" s="212" t="s">
        <v>1723</v>
      </c>
      <c r="H1033" s="212" t="s">
        <v>1878</v>
      </c>
      <c r="I1033" s="212" t="s">
        <v>250</v>
      </c>
      <c r="J1033" s="212" t="s">
        <v>104</v>
      </c>
      <c r="K1033" s="212" t="s">
        <v>269</v>
      </c>
      <c r="L1033" s="212" t="s">
        <v>1729</v>
      </c>
      <c r="M1033" t="s">
        <v>1730</v>
      </c>
      <c r="N1033" s="211">
        <v>-2.02</v>
      </c>
      <c r="O1033" s="211">
        <v>-10.819000000000001</v>
      </c>
      <c r="P1033" s="211" t="s">
        <v>487</v>
      </c>
      <c r="R1033" s="211">
        <v>-0.1</v>
      </c>
      <c r="S1033" s="211" t="s">
        <v>1731</v>
      </c>
    </row>
    <row r="1034" spans="1:21">
      <c r="A1034" s="212" t="s">
        <v>169</v>
      </c>
      <c r="B1034" s="212" t="s">
        <v>588</v>
      </c>
      <c r="C1034" s="233" t="s">
        <v>150</v>
      </c>
      <c r="D1034" s="233" t="s">
        <v>151</v>
      </c>
      <c r="E1034" s="212">
        <v>933</v>
      </c>
      <c r="F1034" s="212">
        <v>1284</v>
      </c>
      <c r="G1034" s="212" t="s">
        <v>1723</v>
      </c>
      <c r="H1034" s="212" t="s">
        <v>1878</v>
      </c>
      <c r="I1034" s="212" t="s">
        <v>249</v>
      </c>
      <c r="J1034" s="212" t="s">
        <v>104</v>
      </c>
      <c r="K1034" s="212" t="s">
        <v>1768</v>
      </c>
      <c r="L1034" s="212" t="s">
        <v>1729</v>
      </c>
      <c r="M1034" t="s">
        <v>1775</v>
      </c>
      <c r="N1034" s="211">
        <v>-3.88</v>
      </c>
      <c r="O1034" s="211">
        <v>-12.679</v>
      </c>
      <c r="P1034" s="211" t="s">
        <v>487</v>
      </c>
      <c r="Q1034" s="211">
        <v>28.5</v>
      </c>
      <c r="R1034" s="211">
        <v>-2.2999999999999998</v>
      </c>
      <c r="S1034" s="211" t="s">
        <v>1731</v>
      </c>
    </row>
    <row r="1035" spans="1:21">
      <c r="A1035" s="212" t="s">
        <v>169</v>
      </c>
      <c r="B1035" s="212" t="s">
        <v>588</v>
      </c>
      <c r="C1035" s="233" t="s">
        <v>150</v>
      </c>
      <c r="D1035" s="233" t="s">
        <v>151</v>
      </c>
      <c r="E1035" s="212">
        <v>933</v>
      </c>
      <c r="F1035" s="212">
        <v>1284</v>
      </c>
      <c r="G1035" s="212" t="s">
        <v>1723</v>
      </c>
      <c r="H1035" s="212" t="s">
        <v>1878</v>
      </c>
      <c r="I1035" s="212" t="s">
        <v>249</v>
      </c>
      <c r="J1035" s="212" t="s">
        <v>104</v>
      </c>
      <c r="K1035" s="212" t="s">
        <v>269</v>
      </c>
      <c r="L1035" s="212" t="s">
        <v>1729</v>
      </c>
      <c r="M1035" t="s">
        <v>1746</v>
      </c>
      <c r="N1035" s="211">
        <v>-3.88</v>
      </c>
      <c r="O1035" s="211">
        <v>-12.679</v>
      </c>
      <c r="P1035" s="211" t="s">
        <v>487</v>
      </c>
      <c r="Q1035" s="211">
        <v>28.5</v>
      </c>
      <c r="R1035" s="211">
        <v>-2.2999999999999998</v>
      </c>
      <c r="S1035" s="211" t="s">
        <v>1731</v>
      </c>
    </row>
    <row r="1036" spans="1:21">
      <c r="A1036" s="212" t="s">
        <v>169</v>
      </c>
      <c r="B1036" s="212" t="s">
        <v>588</v>
      </c>
      <c r="C1036" s="233" t="s">
        <v>150</v>
      </c>
      <c r="D1036" s="233" t="s">
        <v>151</v>
      </c>
      <c r="E1036" s="212">
        <v>933</v>
      </c>
      <c r="F1036" s="212" t="s">
        <v>1880</v>
      </c>
      <c r="G1036" s="212" t="s">
        <v>1723</v>
      </c>
      <c r="H1036" s="212" t="s">
        <v>1878</v>
      </c>
      <c r="I1036" s="212" t="s">
        <v>249</v>
      </c>
      <c r="J1036" s="212" t="s">
        <v>104</v>
      </c>
      <c r="K1036" s="212" t="s">
        <v>1768</v>
      </c>
      <c r="L1036" s="212" t="s">
        <v>1729</v>
      </c>
      <c r="M1036" t="s">
        <v>186</v>
      </c>
      <c r="N1036" s="211">
        <v>-3.89</v>
      </c>
      <c r="O1036" s="211">
        <v>-12.689</v>
      </c>
      <c r="P1036" s="211" t="s">
        <v>487</v>
      </c>
      <c r="Q1036" s="211">
        <v>28.4</v>
      </c>
      <c r="R1036" s="211">
        <v>-2.4</v>
      </c>
      <c r="S1036" s="211" t="s">
        <v>1731</v>
      </c>
    </row>
    <row r="1037" spans="1:21">
      <c r="A1037" s="212" t="s">
        <v>169</v>
      </c>
      <c r="B1037" s="212" t="s">
        <v>588</v>
      </c>
      <c r="C1037" s="233" t="s">
        <v>150</v>
      </c>
      <c r="D1037" s="233" t="s">
        <v>151</v>
      </c>
      <c r="E1037" s="212">
        <v>933</v>
      </c>
      <c r="F1037" s="212" t="s">
        <v>1881</v>
      </c>
      <c r="G1037" s="212" t="s">
        <v>1723</v>
      </c>
      <c r="H1037" s="212" t="s">
        <v>1878</v>
      </c>
      <c r="I1037" s="212" t="s">
        <v>249</v>
      </c>
      <c r="J1037" s="212" t="s">
        <v>104</v>
      </c>
      <c r="K1037" s="212" t="s">
        <v>1768</v>
      </c>
      <c r="L1037" s="212" t="s">
        <v>1729</v>
      </c>
      <c r="M1037" t="s">
        <v>186</v>
      </c>
      <c r="N1037" s="211">
        <v>-4.09</v>
      </c>
      <c r="O1037" s="211">
        <v>-12.888999999999999</v>
      </c>
      <c r="P1037" s="211" t="s">
        <v>487</v>
      </c>
      <c r="Q1037" s="211">
        <v>28.3</v>
      </c>
      <c r="R1037" s="211">
        <v>-2.5</v>
      </c>
      <c r="S1037" s="211" t="s">
        <v>1731</v>
      </c>
    </row>
    <row r="1038" spans="1:21">
      <c r="A1038" s="212" t="s">
        <v>169</v>
      </c>
      <c r="B1038" s="212" t="s">
        <v>588</v>
      </c>
      <c r="C1038" s="233" t="s">
        <v>150</v>
      </c>
      <c r="D1038" s="233" t="s">
        <v>151</v>
      </c>
      <c r="E1038" s="212">
        <v>937</v>
      </c>
      <c r="F1038" s="212">
        <v>254</v>
      </c>
      <c r="G1038" s="212" t="s">
        <v>1723</v>
      </c>
      <c r="H1038" s="212" t="s">
        <v>1878</v>
      </c>
      <c r="I1038" s="212" t="s">
        <v>706</v>
      </c>
      <c r="J1038" s="212" t="s">
        <v>104</v>
      </c>
      <c r="K1038" s="212" t="s">
        <v>1768</v>
      </c>
      <c r="L1038" s="212" t="s">
        <v>1729</v>
      </c>
      <c r="M1038" t="s">
        <v>186</v>
      </c>
      <c r="N1038" s="211">
        <v>-5.14</v>
      </c>
      <c r="O1038" s="211">
        <v>-13.939</v>
      </c>
      <c r="P1038" s="211" t="s">
        <v>487</v>
      </c>
      <c r="Q1038" s="211">
        <v>27.9</v>
      </c>
      <c r="R1038" s="211">
        <v>-2.9</v>
      </c>
      <c r="S1038" s="211" t="s">
        <v>1731</v>
      </c>
    </row>
    <row r="1039" spans="1:21">
      <c r="A1039" s="212" t="s">
        <v>169</v>
      </c>
      <c r="B1039" s="212" t="s">
        <v>588</v>
      </c>
      <c r="C1039" s="233" t="s">
        <v>150</v>
      </c>
      <c r="D1039" s="233" t="s">
        <v>151</v>
      </c>
      <c r="E1039" s="212">
        <v>937</v>
      </c>
      <c r="F1039" s="212">
        <v>738</v>
      </c>
      <c r="G1039" s="212" t="s">
        <v>1723</v>
      </c>
      <c r="H1039" s="212" t="s">
        <v>1878</v>
      </c>
      <c r="I1039" s="212" t="s">
        <v>706</v>
      </c>
      <c r="J1039" s="212" t="s">
        <v>104</v>
      </c>
      <c r="K1039" s="212" t="s">
        <v>1768</v>
      </c>
      <c r="L1039" s="212" t="s">
        <v>1729</v>
      </c>
      <c r="M1039" t="s">
        <v>1789</v>
      </c>
      <c r="N1039" s="211">
        <v>-6.32</v>
      </c>
      <c r="O1039" s="211">
        <v>-15.119</v>
      </c>
      <c r="P1039" s="211" t="s">
        <v>487</v>
      </c>
      <c r="Q1039" s="211">
        <v>26.2</v>
      </c>
      <c r="R1039" s="211">
        <v>-4.5</v>
      </c>
      <c r="S1039" s="211" t="s">
        <v>1731</v>
      </c>
    </row>
    <row r="1040" spans="1:21">
      <c r="A1040" s="212" t="s">
        <v>169</v>
      </c>
      <c r="B1040" s="212" t="s">
        <v>588</v>
      </c>
      <c r="C1040" s="233" t="s">
        <v>150</v>
      </c>
      <c r="D1040" s="233" t="s">
        <v>151</v>
      </c>
      <c r="E1040" s="212">
        <v>1295</v>
      </c>
      <c r="F1040" s="212">
        <v>33</v>
      </c>
      <c r="G1040" s="212" t="s">
        <v>1723</v>
      </c>
      <c r="H1040" s="212" t="s">
        <v>1878</v>
      </c>
      <c r="I1040" s="212" t="s">
        <v>1171</v>
      </c>
      <c r="J1040" s="212" t="s">
        <v>104</v>
      </c>
      <c r="K1040" s="212" t="s">
        <v>269</v>
      </c>
      <c r="L1040" s="212" t="s">
        <v>1729</v>
      </c>
      <c r="M1040" t="s">
        <v>1545</v>
      </c>
      <c r="N1040" s="211">
        <v>-5.55</v>
      </c>
      <c r="O1040" s="211">
        <v>-14.349</v>
      </c>
      <c r="P1040" s="211" t="s">
        <v>487</v>
      </c>
      <c r="R1040" s="211">
        <v>-3.8</v>
      </c>
      <c r="S1040" s="211" t="s">
        <v>1731</v>
      </c>
    </row>
    <row r="1041" spans="1:20">
      <c r="A1041" s="212" t="s">
        <v>169</v>
      </c>
      <c r="B1041" s="212" t="s">
        <v>588</v>
      </c>
      <c r="C1041" s="233" t="s">
        <v>150</v>
      </c>
      <c r="D1041" s="233" t="s">
        <v>151</v>
      </c>
      <c r="E1041" s="212">
        <v>1295</v>
      </c>
      <c r="F1041" s="212">
        <v>36</v>
      </c>
      <c r="G1041" s="212" t="s">
        <v>1723</v>
      </c>
      <c r="H1041" s="212" t="s">
        <v>1878</v>
      </c>
      <c r="I1041" s="212" t="s">
        <v>1171</v>
      </c>
      <c r="J1041" s="212" t="s">
        <v>104</v>
      </c>
      <c r="K1041" s="212" t="s">
        <v>269</v>
      </c>
      <c r="L1041" s="212" t="s">
        <v>1729</v>
      </c>
      <c r="M1041" t="s">
        <v>186</v>
      </c>
      <c r="N1041" s="211">
        <v>-3.66</v>
      </c>
      <c r="O1041" s="211">
        <v>-12.459</v>
      </c>
      <c r="P1041" s="211" t="s">
        <v>487</v>
      </c>
      <c r="Q1041" s="211">
        <v>25.5</v>
      </c>
      <c r="R1041" s="211">
        <v>-5.2</v>
      </c>
      <c r="S1041" s="211" t="s">
        <v>1731</v>
      </c>
    </row>
    <row r="1042" spans="1:20">
      <c r="A1042" s="212" t="s">
        <v>169</v>
      </c>
      <c r="B1042" s="212" t="s">
        <v>588</v>
      </c>
      <c r="C1042" s="233" t="s">
        <v>150</v>
      </c>
      <c r="D1042" s="233" t="s">
        <v>151</v>
      </c>
      <c r="E1042" s="212">
        <v>30967</v>
      </c>
      <c r="F1042" s="212">
        <v>36</v>
      </c>
      <c r="G1042" s="212" t="s">
        <v>1723</v>
      </c>
      <c r="H1042" s="212" t="s">
        <v>1878</v>
      </c>
      <c r="I1042" s="212" t="s">
        <v>110</v>
      </c>
      <c r="J1042" s="212" t="s">
        <v>104</v>
      </c>
      <c r="K1042" s="212" t="s">
        <v>1768</v>
      </c>
      <c r="L1042" s="212" t="s">
        <v>1729</v>
      </c>
      <c r="M1042" t="s">
        <v>1730</v>
      </c>
      <c r="N1042" s="211">
        <v>-0.98</v>
      </c>
      <c r="O1042" s="211">
        <v>-9.7789999999999999</v>
      </c>
      <c r="P1042" s="211" t="s">
        <v>487</v>
      </c>
      <c r="Q1042" s="211">
        <v>29</v>
      </c>
      <c r="R1042" s="211">
        <v>-1.8</v>
      </c>
      <c r="S1042" s="211" t="s">
        <v>1731</v>
      </c>
    </row>
    <row r="1043" spans="1:20">
      <c r="A1043" s="212" t="s">
        <v>169</v>
      </c>
      <c r="B1043" s="212" t="s">
        <v>588</v>
      </c>
      <c r="C1043" s="233" t="s">
        <v>150</v>
      </c>
      <c r="D1043" s="233" t="s">
        <v>151</v>
      </c>
      <c r="E1043" s="212">
        <v>30967</v>
      </c>
      <c r="F1043" s="212">
        <v>51</v>
      </c>
      <c r="G1043" s="212" t="s">
        <v>1723</v>
      </c>
      <c r="H1043" s="212" t="s">
        <v>1811</v>
      </c>
      <c r="I1043" s="212" t="s">
        <v>110</v>
      </c>
      <c r="J1043" s="212" t="s">
        <v>1744</v>
      </c>
      <c r="K1043" s="212" t="s">
        <v>1745</v>
      </c>
      <c r="L1043" s="212" t="s">
        <v>1729</v>
      </c>
      <c r="M1043" t="s">
        <v>1730</v>
      </c>
      <c r="N1043" s="211">
        <v>-3.1</v>
      </c>
      <c r="O1043" s="211">
        <v>-11.898999999999999</v>
      </c>
      <c r="P1043" s="211" t="s">
        <v>487</v>
      </c>
      <c r="Q1043" s="211">
        <v>26.9</v>
      </c>
      <c r="R1043" s="211">
        <v>-3.8</v>
      </c>
      <c r="S1043" s="211" t="s">
        <v>1731</v>
      </c>
    </row>
    <row r="1044" spans="1:20">
      <c r="A1044" s="212" t="s">
        <v>169</v>
      </c>
      <c r="B1044" s="212" t="s">
        <v>588</v>
      </c>
      <c r="C1044" s="233" t="s">
        <v>150</v>
      </c>
      <c r="D1044" s="233" t="s">
        <v>151</v>
      </c>
      <c r="E1044" s="212">
        <v>30967</v>
      </c>
      <c r="F1044" s="212">
        <v>76</v>
      </c>
      <c r="G1044" s="212" t="s">
        <v>1723</v>
      </c>
      <c r="H1044" s="212" t="s">
        <v>1811</v>
      </c>
      <c r="I1044" s="212" t="s">
        <v>110</v>
      </c>
      <c r="J1044" s="212" t="s">
        <v>1744</v>
      </c>
      <c r="K1044" s="212" t="s">
        <v>1745</v>
      </c>
      <c r="L1044" s="212" t="s">
        <v>1729</v>
      </c>
      <c r="M1044" t="s">
        <v>1730</v>
      </c>
      <c r="N1044" s="211">
        <v>-1</v>
      </c>
      <c r="O1044" s="211">
        <v>-9.7989999999999995</v>
      </c>
      <c r="P1044" s="211" t="s">
        <v>487</v>
      </c>
      <c r="Q1044" s="211">
        <v>29</v>
      </c>
      <c r="R1044" s="211">
        <v>-1.8</v>
      </c>
      <c r="S1044" s="211" t="s">
        <v>1731</v>
      </c>
    </row>
    <row r="1045" spans="1:20">
      <c r="A1045" s="212" t="s">
        <v>169</v>
      </c>
      <c r="B1045" s="212" t="s">
        <v>588</v>
      </c>
      <c r="C1045" s="233" t="s">
        <v>150</v>
      </c>
      <c r="D1045" s="233" t="s">
        <v>151</v>
      </c>
      <c r="E1045" s="212">
        <v>30967</v>
      </c>
      <c r="F1045" s="212">
        <v>223</v>
      </c>
      <c r="G1045" s="212" t="s">
        <v>1723</v>
      </c>
      <c r="H1045" s="212" t="s">
        <v>1811</v>
      </c>
      <c r="I1045" s="212" t="s">
        <v>110</v>
      </c>
      <c r="J1045" s="212" t="s">
        <v>1744</v>
      </c>
      <c r="K1045" s="212" t="s">
        <v>1745</v>
      </c>
      <c r="L1045" s="212" t="s">
        <v>1729</v>
      </c>
      <c r="M1045" t="s">
        <v>1775</v>
      </c>
      <c r="N1045" s="211">
        <v>-0.6</v>
      </c>
      <c r="O1045" s="211">
        <v>-9.3989999999999991</v>
      </c>
      <c r="P1045" s="211" t="s">
        <v>487</v>
      </c>
      <c r="Q1045" s="211">
        <v>26.9</v>
      </c>
      <c r="R1045" s="211">
        <v>-3.8</v>
      </c>
      <c r="S1045" s="211" t="s">
        <v>1731</v>
      </c>
    </row>
    <row r="1046" spans="1:20">
      <c r="A1046" s="212" t="s">
        <v>169</v>
      </c>
      <c r="B1046" s="212" t="s">
        <v>588</v>
      </c>
      <c r="C1046" s="233" t="s">
        <v>150</v>
      </c>
      <c r="D1046" s="233" t="s">
        <v>151</v>
      </c>
      <c r="E1046" s="212">
        <v>30967</v>
      </c>
      <c r="F1046" s="212">
        <v>224</v>
      </c>
      <c r="G1046" s="212" t="s">
        <v>1723</v>
      </c>
      <c r="H1046" s="212" t="s">
        <v>1878</v>
      </c>
      <c r="I1046" s="212" t="s">
        <v>110</v>
      </c>
      <c r="J1046" s="212" t="s">
        <v>104</v>
      </c>
      <c r="K1046" s="212" t="s">
        <v>269</v>
      </c>
      <c r="L1046" s="212" t="s">
        <v>1729</v>
      </c>
      <c r="M1046" t="s">
        <v>1730</v>
      </c>
      <c r="N1046" s="211">
        <v>-0.8</v>
      </c>
      <c r="O1046" s="211">
        <v>-9.5990000000000002</v>
      </c>
      <c r="P1046" s="211" t="s">
        <v>487</v>
      </c>
      <c r="S1046" s="211" t="s">
        <v>1731</v>
      </c>
      <c r="T1046" s="212" t="s">
        <v>1882</v>
      </c>
    </row>
    <row r="1047" spans="1:20">
      <c r="A1047" s="212" t="s">
        <v>169</v>
      </c>
      <c r="B1047" s="212" t="s">
        <v>588</v>
      </c>
      <c r="C1047" s="233" t="s">
        <v>150</v>
      </c>
      <c r="D1047" s="233" t="s">
        <v>151</v>
      </c>
      <c r="E1047" s="212">
        <v>30967</v>
      </c>
      <c r="F1047" s="212">
        <v>225</v>
      </c>
      <c r="G1047" s="212" t="s">
        <v>1723</v>
      </c>
      <c r="H1047" s="212" t="s">
        <v>1811</v>
      </c>
      <c r="I1047" s="212" t="s">
        <v>110</v>
      </c>
      <c r="J1047" s="212" t="s">
        <v>1744</v>
      </c>
      <c r="K1047" s="212" t="s">
        <v>1745</v>
      </c>
      <c r="L1047" s="212" t="s">
        <v>1729</v>
      </c>
      <c r="M1047" t="s">
        <v>1730</v>
      </c>
      <c r="N1047" s="211">
        <v>-1.4</v>
      </c>
      <c r="O1047" s="211">
        <v>-10.199</v>
      </c>
      <c r="P1047" s="211" t="s">
        <v>487</v>
      </c>
      <c r="Q1047" s="211">
        <v>30.4</v>
      </c>
      <c r="R1047" s="211">
        <v>-0.4</v>
      </c>
      <c r="S1047" s="211" t="s">
        <v>1731</v>
      </c>
    </row>
    <row r="1048" spans="1:20">
      <c r="A1048" s="212" t="s">
        <v>169</v>
      </c>
      <c r="B1048" s="212" t="s">
        <v>588</v>
      </c>
      <c r="C1048" s="233" t="s">
        <v>150</v>
      </c>
      <c r="D1048" s="233" t="s">
        <v>151</v>
      </c>
      <c r="E1048" s="212">
        <v>30967</v>
      </c>
      <c r="F1048" s="212">
        <v>226</v>
      </c>
      <c r="G1048" s="212" t="s">
        <v>1723</v>
      </c>
      <c r="H1048" s="212" t="s">
        <v>1811</v>
      </c>
      <c r="I1048" s="212" t="s">
        <v>110</v>
      </c>
      <c r="J1048" s="212" t="s">
        <v>1744</v>
      </c>
      <c r="K1048" s="212" t="s">
        <v>1745</v>
      </c>
      <c r="L1048" s="212" t="s">
        <v>1729</v>
      </c>
      <c r="M1048" t="s">
        <v>1730</v>
      </c>
      <c r="N1048" s="211">
        <v>-0.8</v>
      </c>
      <c r="O1048" s="211">
        <v>-9.5990000000000002</v>
      </c>
      <c r="P1048" s="211" t="s">
        <v>487</v>
      </c>
      <c r="Q1048" s="211">
        <v>27.6</v>
      </c>
      <c r="R1048" s="211">
        <v>-3.2</v>
      </c>
      <c r="S1048" s="211" t="s">
        <v>1731</v>
      </c>
    </row>
    <row r="1049" spans="1:20">
      <c r="A1049" s="212" t="s">
        <v>169</v>
      </c>
      <c r="B1049" s="212" t="s">
        <v>588</v>
      </c>
      <c r="C1049" s="233" t="s">
        <v>150</v>
      </c>
      <c r="D1049" s="233" t="s">
        <v>151</v>
      </c>
      <c r="E1049" s="212">
        <v>30967</v>
      </c>
      <c r="F1049" s="212">
        <v>229</v>
      </c>
      <c r="G1049" s="212" t="s">
        <v>1723</v>
      </c>
      <c r="H1049" s="212" t="s">
        <v>1811</v>
      </c>
      <c r="I1049" s="212" t="s">
        <v>110</v>
      </c>
      <c r="J1049" s="212" t="s">
        <v>1744</v>
      </c>
      <c r="K1049" s="212" t="s">
        <v>1745</v>
      </c>
      <c r="L1049" s="212" t="s">
        <v>1729</v>
      </c>
      <c r="M1049" t="s">
        <v>1730</v>
      </c>
      <c r="N1049" s="211">
        <v>-1.3</v>
      </c>
      <c r="O1049" s="211">
        <v>-10.099</v>
      </c>
      <c r="P1049" s="211" t="s">
        <v>487</v>
      </c>
      <c r="Q1049" s="211">
        <v>30.4</v>
      </c>
      <c r="R1049" s="211">
        <v>-0.4</v>
      </c>
      <c r="S1049" s="211" t="s">
        <v>1731</v>
      </c>
    </row>
    <row r="1050" spans="1:20">
      <c r="A1050" s="212" t="s">
        <v>169</v>
      </c>
      <c r="B1050" s="212" t="s">
        <v>588</v>
      </c>
      <c r="C1050" s="233" t="s">
        <v>150</v>
      </c>
      <c r="D1050" s="233" t="s">
        <v>151</v>
      </c>
      <c r="E1050" s="212">
        <v>30967</v>
      </c>
      <c r="F1050" s="212">
        <v>230</v>
      </c>
      <c r="G1050" s="212" t="s">
        <v>1723</v>
      </c>
      <c r="H1050" s="212" t="s">
        <v>1811</v>
      </c>
      <c r="I1050" s="212" t="s">
        <v>110</v>
      </c>
      <c r="J1050" s="212" t="s">
        <v>1744</v>
      </c>
      <c r="K1050" s="212" t="s">
        <v>1745</v>
      </c>
      <c r="L1050" s="212" t="s">
        <v>1729</v>
      </c>
      <c r="M1050" t="s">
        <v>1883</v>
      </c>
      <c r="N1050" s="211">
        <v>-1.2</v>
      </c>
      <c r="O1050" s="211">
        <v>-9.9990000000000006</v>
      </c>
      <c r="P1050" s="211" t="s">
        <v>487</v>
      </c>
      <c r="Q1050" s="211">
        <v>31.3</v>
      </c>
      <c r="R1050" s="211">
        <v>0.4</v>
      </c>
      <c r="S1050" s="211" t="s">
        <v>1731</v>
      </c>
    </row>
    <row r="1051" spans="1:20">
      <c r="A1051" s="212" t="s">
        <v>169</v>
      </c>
      <c r="B1051" s="212" t="s">
        <v>588</v>
      </c>
      <c r="C1051" s="233" t="s">
        <v>150</v>
      </c>
      <c r="D1051" s="233" t="s">
        <v>151</v>
      </c>
      <c r="E1051" s="212">
        <v>30967</v>
      </c>
      <c r="F1051" s="212">
        <v>241</v>
      </c>
      <c r="G1051" s="212" t="s">
        <v>1723</v>
      </c>
      <c r="H1051" s="212" t="s">
        <v>1878</v>
      </c>
      <c r="I1051" s="212" t="s">
        <v>110</v>
      </c>
      <c r="J1051" s="212" t="s">
        <v>104</v>
      </c>
      <c r="K1051" s="212" t="s">
        <v>1768</v>
      </c>
      <c r="L1051" s="212" t="s">
        <v>1729</v>
      </c>
      <c r="M1051" t="s">
        <v>1779</v>
      </c>
      <c r="N1051" s="211">
        <v>-3.69</v>
      </c>
      <c r="O1051" s="211">
        <v>-12.489000000000001</v>
      </c>
      <c r="P1051" s="211" t="s">
        <v>487</v>
      </c>
      <c r="Q1051" s="211">
        <v>34.299999999999997</v>
      </c>
      <c r="R1051" s="211">
        <v>3.3</v>
      </c>
      <c r="S1051" s="211" t="s">
        <v>1731</v>
      </c>
    </row>
    <row r="1052" spans="1:20">
      <c r="A1052" s="212" t="s">
        <v>169</v>
      </c>
      <c r="B1052" s="212" t="s">
        <v>588</v>
      </c>
      <c r="C1052" s="233" t="s">
        <v>150</v>
      </c>
      <c r="D1052" s="233" t="s">
        <v>151</v>
      </c>
      <c r="E1052" s="212">
        <v>30967</v>
      </c>
      <c r="F1052" s="212">
        <v>242</v>
      </c>
      <c r="G1052" s="212" t="s">
        <v>1723</v>
      </c>
      <c r="H1052" s="212" t="s">
        <v>1878</v>
      </c>
      <c r="I1052" s="212" t="s">
        <v>110</v>
      </c>
      <c r="J1052" s="212" t="s">
        <v>104</v>
      </c>
      <c r="K1052" s="212" t="s">
        <v>1768</v>
      </c>
      <c r="L1052" s="212" t="s">
        <v>1729</v>
      </c>
      <c r="M1052" t="s">
        <v>1730</v>
      </c>
      <c r="N1052" s="211">
        <v>-1.29</v>
      </c>
      <c r="O1052" s="211">
        <v>-10.089</v>
      </c>
      <c r="P1052" s="211" t="s">
        <v>487</v>
      </c>
      <c r="Q1052" s="211">
        <v>30.8</v>
      </c>
      <c r="R1052" s="211">
        <v>0</v>
      </c>
      <c r="S1052" s="211" t="s">
        <v>1731</v>
      </c>
    </row>
    <row r="1053" spans="1:20">
      <c r="A1053" s="212" t="s">
        <v>169</v>
      </c>
      <c r="B1053" s="212" t="s">
        <v>588</v>
      </c>
      <c r="C1053" s="233" t="s">
        <v>150</v>
      </c>
      <c r="D1053" s="233" t="s">
        <v>151</v>
      </c>
      <c r="E1053" s="212">
        <v>30967</v>
      </c>
      <c r="F1053" s="212">
        <v>312</v>
      </c>
      <c r="G1053" s="212" t="s">
        <v>1723</v>
      </c>
      <c r="H1053" s="212" t="s">
        <v>1878</v>
      </c>
      <c r="I1053" s="212" t="s">
        <v>110</v>
      </c>
      <c r="J1053" s="212" t="s">
        <v>104</v>
      </c>
      <c r="K1053" s="212" t="s">
        <v>1768</v>
      </c>
      <c r="L1053" s="212" t="s">
        <v>1729</v>
      </c>
      <c r="M1053" t="s">
        <v>1775</v>
      </c>
      <c r="N1053" s="211">
        <v>-2.15</v>
      </c>
      <c r="O1053" s="211">
        <v>-10.949</v>
      </c>
      <c r="P1053" s="211" t="s">
        <v>487</v>
      </c>
      <c r="Q1053" s="211">
        <v>29</v>
      </c>
      <c r="R1053" s="211">
        <v>-1.8</v>
      </c>
      <c r="S1053" s="211" t="s">
        <v>1731</v>
      </c>
    </row>
    <row r="1054" spans="1:20">
      <c r="A1054" s="212" t="s">
        <v>169</v>
      </c>
      <c r="B1054" s="212" t="s">
        <v>588</v>
      </c>
      <c r="C1054" s="233" t="s">
        <v>150</v>
      </c>
      <c r="D1054" s="233" t="s">
        <v>151</v>
      </c>
      <c r="E1054" s="212">
        <v>30967</v>
      </c>
      <c r="F1054" s="212">
        <v>379</v>
      </c>
      <c r="G1054" s="212" t="s">
        <v>1723</v>
      </c>
      <c r="H1054" s="212" t="s">
        <v>1878</v>
      </c>
      <c r="I1054" s="212" t="s">
        <v>110</v>
      </c>
      <c r="J1054" s="212" t="s">
        <v>104</v>
      </c>
      <c r="K1054" s="212" t="s">
        <v>1768</v>
      </c>
      <c r="L1054" s="212" t="s">
        <v>1729</v>
      </c>
      <c r="M1054" t="s">
        <v>1789</v>
      </c>
      <c r="N1054" s="211">
        <v>-1</v>
      </c>
      <c r="O1054" s="211">
        <v>-9.7989999999999995</v>
      </c>
      <c r="P1054" s="211" t="s">
        <v>487</v>
      </c>
      <c r="Q1054" s="211">
        <v>28.4</v>
      </c>
      <c r="R1054" s="211">
        <v>-2.4</v>
      </c>
      <c r="S1054" s="211" t="s">
        <v>1731</v>
      </c>
    </row>
    <row r="1055" spans="1:20">
      <c r="A1055" s="212" t="s">
        <v>169</v>
      </c>
      <c r="B1055" s="212" t="s">
        <v>588</v>
      </c>
      <c r="C1055" s="233" t="s">
        <v>150</v>
      </c>
      <c r="D1055" s="233" t="s">
        <v>151</v>
      </c>
      <c r="E1055" s="212">
        <v>30967</v>
      </c>
      <c r="F1055" s="212">
        <v>454</v>
      </c>
      <c r="G1055" s="212" t="s">
        <v>1723</v>
      </c>
      <c r="H1055" s="212" t="s">
        <v>1811</v>
      </c>
      <c r="I1055" s="212" t="s">
        <v>110</v>
      </c>
      <c r="J1055" s="212" t="s">
        <v>1744</v>
      </c>
      <c r="K1055" s="212" t="s">
        <v>1745</v>
      </c>
      <c r="L1055" s="212" t="s">
        <v>1729</v>
      </c>
      <c r="M1055" t="s">
        <v>1734</v>
      </c>
      <c r="N1055" s="211">
        <v>-3.5</v>
      </c>
      <c r="O1055" s="211">
        <v>-12.298999999999999</v>
      </c>
      <c r="P1055" s="211" t="s">
        <v>487</v>
      </c>
      <c r="Q1055" s="211">
        <v>31.6</v>
      </c>
      <c r="R1055" s="211">
        <v>0.7</v>
      </c>
      <c r="S1055" s="211" t="s">
        <v>1731</v>
      </c>
    </row>
    <row r="1056" spans="1:20">
      <c r="A1056" s="212" t="s">
        <v>169</v>
      </c>
      <c r="B1056" s="212" t="s">
        <v>588</v>
      </c>
      <c r="C1056" s="233" t="s">
        <v>150</v>
      </c>
      <c r="D1056" s="233" t="s">
        <v>151</v>
      </c>
      <c r="E1056" s="212">
        <v>30967</v>
      </c>
      <c r="F1056" s="212">
        <v>455</v>
      </c>
      <c r="G1056" s="212" t="s">
        <v>1723</v>
      </c>
      <c r="H1056" s="212" t="s">
        <v>1811</v>
      </c>
      <c r="I1056" s="212" t="s">
        <v>110</v>
      </c>
      <c r="J1056" s="212" t="s">
        <v>1744</v>
      </c>
      <c r="K1056" s="212" t="s">
        <v>1745</v>
      </c>
      <c r="L1056" s="212" t="s">
        <v>1729</v>
      </c>
      <c r="M1056" t="s">
        <v>1734</v>
      </c>
      <c r="N1056" s="211">
        <v>-0.7</v>
      </c>
      <c r="O1056" s="211">
        <v>-9.4990000000000006</v>
      </c>
      <c r="P1056" s="211" t="s">
        <v>487</v>
      </c>
      <c r="Q1056" s="211">
        <v>29.7</v>
      </c>
      <c r="R1056" s="211">
        <v>-1.1000000000000001</v>
      </c>
      <c r="S1056" s="211" t="s">
        <v>1731</v>
      </c>
    </row>
    <row r="1057" spans="1:19">
      <c r="A1057" s="212" t="s">
        <v>169</v>
      </c>
      <c r="B1057" s="212" t="s">
        <v>588</v>
      </c>
      <c r="C1057" s="233" t="s">
        <v>150</v>
      </c>
      <c r="D1057" s="233" t="s">
        <v>151</v>
      </c>
      <c r="E1057" s="212">
        <v>30967</v>
      </c>
      <c r="F1057" s="212">
        <v>457</v>
      </c>
      <c r="G1057" s="212" t="s">
        <v>1723</v>
      </c>
      <c r="H1057" s="212" t="s">
        <v>1811</v>
      </c>
      <c r="I1057" s="212" t="s">
        <v>110</v>
      </c>
      <c r="J1057" s="212" t="s">
        <v>1744</v>
      </c>
      <c r="K1057" s="212" t="s">
        <v>1745</v>
      </c>
      <c r="L1057" s="212" t="s">
        <v>1729</v>
      </c>
      <c r="M1057" t="s">
        <v>1734</v>
      </c>
      <c r="N1057" s="211">
        <v>-4</v>
      </c>
      <c r="O1057" s="211">
        <v>-12.798999999999999</v>
      </c>
      <c r="P1057" s="211" t="s">
        <v>487</v>
      </c>
      <c r="Q1057" s="211">
        <v>31.7</v>
      </c>
      <c r="R1057" s="211">
        <v>0.8</v>
      </c>
      <c r="S1057" s="211" t="s">
        <v>1731</v>
      </c>
    </row>
    <row r="1058" spans="1:19">
      <c r="A1058" s="212" t="s">
        <v>169</v>
      </c>
      <c r="B1058" s="212" t="s">
        <v>588</v>
      </c>
      <c r="C1058" s="233" t="s">
        <v>150</v>
      </c>
      <c r="D1058" s="233" t="s">
        <v>151</v>
      </c>
      <c r="E1058" s="212">
        <v>30967</v>
      </c>
      <c r="F1058" s="212">
        <v>487</v>
      </c>
      <c r="G1058" s="212" t="s">
        <v>1723</v>
      </c>
      <c r="H1058" s="212" t="s">
        <v>1811</v>
      </c>
      <c r="I1058" s="212" t="s">
        <v>110</v>
      </c>
      <c r="J1058" s="212" t="s">
        <v>1744</v>
      </c>
      <c r="K1058" s="212" t="s">
        <v>1745</v>
      </c>
      <c r="L1058" s="212" t="s">
        <v>1729</v>
      </c>
      <c r="M1058" t="s">
        <v>1746</v>
      </c>
      <c r="N1058" s="211">
        <v>-0.7</v>
      </c>
      <c r="O1058" s="211">
        <v>-9.4990000000000006</v>
      </c>
      <c r="P1058" s="211" t="s">
        <v>487</v>
      </c>
      <c r="Q1058" s="211">
        <v>29</v>
      </c>
      <c r="R1058" s="211">
        <v>-1.8</v>
      </c>
      <c r="S1058" s="211" t="s">
        <v>1731</v>
      </c>
    </row>
    <row r="1059" spans="1:19">
      <c r="A1059" s="212" t="s">
        <v>169</v>
      </c>
      <c r="B1059" s="212" t="s">
        <v>588</v>
      </c>
      <c r="C1059" s="233" t="s">
        <v>150</v>
      </c>
      <c r="D1059" s="233" t="s">
        <v>151</v>
      </c>
      <c r="E1059" s="212">
        <v>30967</v>
      </c>
      <c r="F1059" s="212">
        <v>518</v>
      </c>
      <c r="G1059" s="212" t="s">
        <v>1723</v>
      </c>
      <c r="H1059" s="212" t="s">
        <v>1811</v>
      </c>
      <c r="I1059" s="212" t="s">
        <v>110</v>
      </c>
      <c r="J1059" s="212" t="s">
        <v>1744</v>
      </c>
      <c r="K1059" s="212" t="s">
        <v>1745</v>
      </c>
      <c r="L1059" s="212" t="s">
        <v>1729</v>
      </c>
      <c r="M1059" t="s">
        <v>1730</v>
      </c>
      <c r="N1059" s="211">
        <v>-0.9</v>
      </c>
      <c r="O1059" s="211">
        <v>-9.6989999999999998</v>
      </c>
      <c r="P1059" s="211" t="s">
        <v>487</v>
      </c>
      <c r="Q1059" s="211">
        <v>30.3</v>
      </c>
      <c r="R1059" s="211">
        <v>-0.5</v>
      </c>
      <c r="S1059" s="211" t="s">
        <v>1731</v>
      </c>
    </row>
    <row r="1060" spans="1:19">
      <c r="A1060" s="212" t="s">
        <v>169</v>
      </c>
      <c r="B1060" s="212" t="s">
        <v>588</v>
      </c>
      <c r="C1060" s="233" t="s">
        <v>150</v>
      </c>
      <c r="D1060" s="233" t="s">
        <v>151</v>
      </c>
      <c r="E1060" s="212">
        <v>30967</v>
      </c>
      <c r="F1060" s="212">
        <v>540</v>
      </c>
      <c r="G1060" s="212" t="s">
        <v>1723</v>
      </c>
      <c r="H1060" s="212" t="s">
        <v>1811</v>
      </c>
      <c r="I1060" s="212" t="s">
        <v>110</v>
      </c>
      <c r="J1060" s="212" t="s">
        <v>1744</v>
      </c>
      <c r="K1060" s="212" t="s">
        <v>1745</v>
      </c>
      <c r="L1060" s="212" t="s">
        <v>1729</v>
      </c>
      <c r="M1060" t="s">
        <v>1746</v>
      </c>
      <c r="N1060" s="211">
        <v>-3.4</v>
      </c>
      <c r="O1060" s="211">
        <v>-12.199</v>
      </c>
      <c r="P1060" s="211" t="s">
        <v>487</v>
      </c>
      <c r="Q1060" s="211">
        <v>31.9</v>
      </c>
      <c r="R1060" s="211">
        <v>1</v>
      </c>
      <c r="S1060" s="211" t="s">
        <v>1731</v>
      </c>
    </row>
    <row r="1061" spans="1:19">
      <c r="A1061" s="212" t="s">
        <v>169</v>
      </c>
      <c r="B1061" s="212" t="s">
        <v>588</v>
      </c>
      <c r="C1061" s="233" t="s">
        <v>150</v>
      </c>
      <c r="D1061" s="233" t="s">
        <v>151</v>
      </c>
      <c r="E1061" s="212">
        <v>30967</v>
      </c>
      <c r="F1061" s="212">
        <v>642</v>
      </c>
      <c r="G1061" s="212" t="s">
        <v>1723</v>
      </c>
      <c r="H1061" s="212" t="s">
        <v>1811</v>
      </c>
      <c r="I1061" s="212" t="s">
        <v>110</v>
      </c>
      <c r="J1061" s="212" t="s">
        <v>1744</v>
      </c>
      <c r="K1061" s="212" t="s">
        <v>1745</v>
      </c>
      <c r="L1061" s="212" t="s">
        <v>1729</v>
      </c>
      <c r="M1061" t="s">
        <v>1734</v>
      </c>
      <c r="N1061" s="211">
        <v>-2.8</v>
      </c>
      <c r="O1061" s="211">
        <v>-11.599</v>
      </c>
      <c r="P1061" s="211" t="s">
        <v>487</v>
      </c>
      <c r="Q1061" s="211">
        <v>28.7</v>
      </c>
      <c r="R1061" s="211">
        <v>-2.1</v>
      </c>
      <c r="S1061" s="211" t="s">
        <v>1731</v>
      </c>
    </row>
    <row r="1062" spans="1:19">
      <c r="A1062" s="212" t="s">
        <v>169</v>
      </c>
      <c r="B1062" s="212" t="s">
        <v>588</v>
      </c>
      <c r="C1062" s="233" t="s">
        <v>150</v>
      </c>
      <c r="D1062" s="233" t="s">
        <v>151</v>
      </c>
      <c r="E1062" s="212">
        <v>30967</v>
      </c>
      <c r="F1062" s="212">
        <v>708</v>
      </c>
      <c r="G1062" s="212" t="s">
        <v>1723</v>
      </c>
      <c r="H1062" s="212" t="s">
        <v>1878</v>
      </c>
      <c r="I1062" s="212" t="s">
        <v>110</v>
      </c>
      <c r="J1062" s="212" t="s">
        <v>104</v>
      </c>
      <c r="K1062" s="212" t="s">
        <v>1768</v>
      </c>
      <c r="L1062" s="212" t="s">
        <v>1729</v>
      </c>
      <c r="M1062" t="s">
        <v>1730</v>
      </c>
      <c r="N1062" s="211">
        <v>-1.79</v>
      </c>
      <c r="O1062" s="211">
        <v>-10.589</v>
      </c>
      <c r="P1062" s="211" t="s">
        <v>487</v>
      </c>
      <c r="Q1062" s="211">
        <v>28.4</v>
      </c>
      <c r="R1062" s="211">
        <v>-2.4</v>
      </c>
      <c r="S1062" s="211" t="s">
        <v>1731</v>
      </c>
    </row>
    <row r="1063" spans="1:19">
      <c r="A1063" s="212" t="s">
        <v>169</v>
      </c>
      <c r="B1063" s="212" t="s">
        <v>588</v>
      </c>
      <c r="C1063" s="233" t="s">
        <v>150</v>
      </c>
      <c r="D1063" s="233" t="s">
        <v>151</v>
      </c>
      <c r="E1063" s="212">
        <v>30967</v>
      </c>
      <c r="F1063" s="212">
        <v>870</v>
      </c>
      <c r="G1063" s="212" t="s">
        <v>1723</v>
      </c>
      <c r="H1063" s="212" t="s">
        <v>1811</v>
      </c>
      <c r="I1063" s="212" t="s">
        <v>110</v>
      </c>
      <c r="J1063" s="212" t="s">
        <v>1744</v>
      </c>
      <c r="K1063" s="212" t="s">
        <v>1745</v>
      </c>
      <c r="L1063" s="212" t="s">
        <v>1729</v>
      </c>
      <c r="M1063" t="s">
        <v>186</v>
      </c>
      <c r="N1063" s="211">
        <v>-3.4</v>
      </c>
      <c r="O1063" s="211">
        <v>-12.199</v>
      </c>
      <c r="P1063" s="211" t="s">
        <v>487</v>
      </c>
      <c r="Q1063" s="211">
        <v>30.9</v>
      </c>
      <c r="R1063" s="211">
        <v>0</v>
      </c>
      <c r="S1063" s="211" t="s">
        <v>1731</v>
      </c>
    </row>
    <row r="1064" spans="1:19">
      <c r="A1064" s="212" t="s">
        <v>169</v>
      </c>
      <c r="B1064" s="212" t="s">
        <v>588</v>
      </c>
      <c r="C1064" s="233" t="s">
        <v>150</v>
      </c>
      <c r="D1064" s="233" t="s">
        <v>151</v>
      </c>
      <c r="E1064" s="212">
        <v>30967</v>
      </c>
      <c r="F1064" s="212">
        <v>937</v>
      </c>
      <c r="G1064" s="212" t="s">
        <v>1723</v>
      </c>
      <c r="H1064" s="212" t="s">
        <v>1811</v>
      </c>
      <c r="I1064" s="212" t="s">
        <v>110</v>
      </c>
      <c r="J1064" s="212" t="s">
        <v>1744</v>
      </c>
      <c r="K1064" s="212" t="s">
        <v>1745</v>
      </c>
      <c r="L1064" s="212" t="s">
        <v>1729</v>
      </c>
      <c r="M1064" t="s">
        <v>1734</v>
      </c>
      <c r="N1064" s="211">
        <v>-2.9</v>
      </c>
      <c r="O1064" s="211">
        <v>-11.699</v>
      </c>
      <c r="P1064" s="211" t="s">
        <v>487</v>
      </c>
      <c r="Q1064" s="211">
        <v>30.4</v>
      </c>
      <c r="R1064" s="211">
        <v>-0.4</v>
      </c>
      <c r="S1064" s="211" t="s">
        <v>1731</v>
      </c>
    </row>
    <row r="1065" spans="1:19">
      <c r="A1065" s="212" t="s">
        <v>169</v>
      </c>
      <c r="B1065" s="212" t="s">
        <v>588</v>
      </c>
      <c r="C1065" s="233" t="s">
        <v>150</v>
      </c>
      <c r="D1065" s="233" t="s">
        <v>151</v>
      </c>
      <c r="E1065" s="212">
        <v>30967</v>
      </c>
      <c r="F1065" s="212">
        <v>948</v>
      </c>
      <c r="G1065" s="212" t="s">
        <v>1723</v>
      </c>
      <c r="H1065" s="212" t="s">
        <v>1878</v>
      </c>
      <c r="I1065" s="212" t="s">
        <v>110</v>
      </c>
      <c r="J1065" s="212" t="s">
        <v>104</v>
      </c>
      <c r="K1065" s="212" t="s">
        <v>1768</v>
      </c>
      <c r="L1065" s="212" t="s">
        <v>1729</v>
      </c>
      <c r="M1065" t="s">
        <v>1789</v>
      </c>
      <c r="N1065" s="211">
        <v>-2.72</v>
      </c>
      <c r="O1065" s="211">
        <v>-11.519</v>
      </c>
      <c r="P1065" s="211" t="s">
        <v>487</v>
      </c>
      <c r="Q1065" s="211">
        <v>28.3</v>
      </c>
      <c r="R1065" s="211">
        <v>-2.5</v>
      </c>
      <c r="S1065" s="211" t="s">
        <v>1731</v>
      </c>
    </row>
    <row r="1066" spans="1:19">
      <c r="A1066" s="212" t="s">
        <v>169</v>
      </c>
      <c r="B1066" s="212" t="s">
        <v>588</v>
      </c>
      <c r="C1066" s="233" t="s">
        <v>150</v>
      </c>
      <c r="D1066" s="233" t="s">
        <v>151</v>
      </c>
      <c r="E1066" s="212">
        <v>30967</v>
      </c>
      <c r="F1066" s="212">
        <v>974</v>
      </c>
      <c r="G1066" s="212" t="s">
        <v>1723</v>
      </c>
      <c r="H1066" s="212" t="s">
        <v>1878</v>
      </c>
      <c r="I1066" s="212" t="s">
        <v>110</v>
      </c>
      <c r="J1066" s="212" t="s">
        <v>104</v>
      </c>
      <c r="K1066" s="212" t="s">
        <v>1768</v>
      </c>
      <c r="L1066" s="212" t="s">
        <v>1729</v>
      </c>
      <c r="M1066" t="s">
        <v>186</v>
      </c>
      <c r="N1066" s="211">
        <v>-3.98</v>
      </c>
      <c r="O1066" s="211">
        <v>-12.779</v>
      </c>
      <c r="P1066" s="211" t="s">
        <v>487</v>
      </c>
      <c r="Q1066" s="211">
        <v>28.3</v>
      </c>
      <c r="R1066" s="211">
        <v>-2.5</v>
      </c>
      <c r="S1066" s="211" t="s">
        <v>1731</v>
      </c>
    </row>
    <row r="1067" spans="1:19">
      <c r="A1067" s="212" t="s">
        <v>169</v>
      </c>
      <c r="B1067" s="212" t="s">
        <v>588</v>
      </c>
      <c r="C1067" s="233" t="s">
        <v>150</v>
      </c>
      <c r="D1067" s="233" t="s">
        <v>151</v>
      </c>
      <c r="E1067" s="212">
        <v>30967</v>
      </c>
      <c r="F1067" s="212">
        <v>1487</v>
      </c>
      <c r="G1067" s="212" t="s">
        <v>1723</v>
      </c>
      <c r="H1067" s="212" t="s">
        <v>1878</v>
      </c>
      <c r="I1067" s="212" t="s">
        <v>110</v>
      </c>
      <c r="J1067" s="212" t="s">
        <v>104</v>
      </c>
      <c r="K1067" s="212" t="s">
        <v>1768</v>
      </c>
      <c r="L1067" s="212" t="s">
        <v>1729</v>
      </c>
      <c r="M1067" t="s">
        <v>1746</v>
      </c>
      <c r="N1067" s="211">
        <v>-0.72</v>
      </c>
      <c r="O1067" s="211">
        <v>-9.5190000000000001</v>
      </c>
      <c r="P1067" s="211" t="s">
        <v>487</v>
      </c>
      <c r="Q1067" s="211">
        <v>29</v>
      </c>
      <c r="R1067" s="211">
        <v>-1.8</v>
      </c>
      <c r="S1067" s="211" t="s">
        <v>1731</v>
      </c>
    </row>
    <row r="1068" spans="1:19">
      <c r="A1068" s="212" t="s">
        <v>169</v>
      </c>
      <c r="B1068" s="212" t="s">
        <v>588</v>
      </c>
      <c r="C1068" s="233" t="s">
        <v>150</v>
      </c>
      <c r="D1068" s="233" t="s">
        <v>151</v>
      </c>
      <c r="E1068" s="212">
        <v>30967</v>
      </c>
      <c r="F1068" s="212">
        <v>1518</v>
      </c>
      <c r="G1068" s="212" t="s">
        <v>1723</v>
      </c>
      <c r="H1068" s="212" t="s">
        <v>1878</v>
      </c>
      <c r="I1068" s="212" t="s">
        <v>110</v>
      </c>
      <c r="J1068" s="212" t="s">
        <v>104</v>
      </c>
      <c r="K1068" s="212" t="s">
        <v>1768</v>
      </c>
      <c r="L1068" s="212" t="s">
        <v>1729</v>
      </c>
      <c r="M1068" t="s">
        <v>1730</v>
      </c>
      <c r="N1068" s="211">
        <v>-0.89</v>
      </c>
      <c r="O1068" s="211">
        <v>-9.6890000000000001</v>
      </c>
      <c r="P1068" s="211" t="s">
        <v>487</v>
      </c>
      <c r="Q1068" s="211">
        <v>30.3</v>
      </c>
      <c r="R1068" s="211">
        <v>-0.6</v>
      </c>
      <c r="S1068" s="211" t="s">
        <v>1731</v>
      </c>
    </row>
    <row r="1069" spans="1:19">
      <c r="A1069" s="212" t="s">
        <v>169</v>
      </c>
      <c r="B1069" s="212" t="s">
        <v>588</v>
      </c>
      <c r="C1069" s="233" t="s">
        <v>150</v>
      </c>
      <c r="D1069" s="233" t="s">
        <v>151</v>
      </c>
      <c r="E1069" s="212">
        <v>30967</v>
      </c>
      <c r="F1069" s="212">
        <v>1540</v>
      </c>
      <c r="G1069" s="212" t="s">
        <v>1723</v>
      </c>
      <c r="H1069" s="212" t="s">
        <v>1878</v>
      </c>
      <c r="I1069" s="212" t="s">
        <v>110</v>
      </c>
      <c r="J1069" s="212" t="s">
        <v>104</v>
      </c>
      <c r="K1069" s="212" t="s">
        <v>1768</v>
      </c>
      <c r="L1069" s="212" t="s">
        <v>1729</v>
      </c>
      <c r="M1069" t="s">
        <v>1746</v>
      </c>
      <c r="N1069" s="211">
        <v>-3.36</v>
      </c>
      <c r="O1069" s="211">
        <v>-12.159000000000001</v>
      </c>
      <c r="P1069" s="211" t="s">
        <v>487</v>
      </c>
      <c r="Q1069" s="211">
        <v>31.9</v>
      </c>
      <c r="R1069" s="211">
        <v>1</v>
      </c>
      <c r="S1069" s="211" t="s">
        <v>1731</v>
      </c>
    </row>
    <row r="1070" spans="1:19">
      <c r="A1070" s="212" t="s">
        <v>169</v>
      </c>
      <c r="B1070" s="212" t="s">
        <v>588</v>
      </c>
      <c r="C1070" s="233" t="s">
        <v>150</v>
      </c>
      <c r="D1070" s="233" t="s">
        <v>151</v>
      </c>
      <c r="E1070" s="212">
        <v>30967</v>
      </c>
      <c r="F1070" s="212">
        <v>1642</v>
      </c>
      <c r="G1070" s="212" t="s">
        <v>1723</v>
      </c>
      <c r="H1070" s="212" t="s">
        <v>1878</v>
      </c>
      <c r="I1070" s="212" t="s">
        <v>110</v>
      </c>
      <c r="J1070" s="212" t="s">
        <v>104</v>
      </c>
      <c r="K1070" s="212" t="s">
        <v>1768</v>
      </c>
      <c r="L1070" s="212" t="s">
        <v>1729</v>
      </c>
      <c r="M1070" t="s">
        <v>1747</v>
      </c>
      <c r="N1070" s="211">
        <v>-2.78</v>
      </c>
      <c r="O1070" s="211">
        <v>-11.579000000000001</v>
      </c>
      <c r="P1070" s="211" t="s">
        <v>487</v>
      </c>
      <c r="Q1070" s="211">
        <v>28.7</v>
      </c>
      <c r="R1070" s="211">
        <v>-2.1</v>
      </c>
      <c r="S1070" s="211" t="s">
        <v>1731</v>
      </c>
    </row>
    <row r="1071" spans="1:19">
      <c r="A1071" s="212" t="s">
        <v>169</v>
      </c>
      <c r="B1071" s="212" t="s">
        <v>588</v>
      </c>
      <c r="C1071" s="233" t="s">
        <v>150</v>
      </c>
      <c r="D1071" s="233" t="s">
        <v>151</v>
      </c>
      <c r="E1071" s="212">
        <v>30967</v>
      </c>
      <c r="F1071" s="212">
        <v>1870</v>
      </c>
      <c r="G1071" s="212" t="s">
        <v>1723</v>
      </c>
      <c r="H1071" s="212" t="s">
        <v>1878</v>
      </c>
      <c r="I1071" s="212" t="s">
        <v>110</v>
      </c>
      <c r="J1071" s="212" t="s">
        <v>104</v>
      </c>
      <c r="K1071" s="212" t="s">
        <v>1768</v>
      </c>
      <c r="L1071" s="212" t="s">
        <v>1729</v>
      </c>
      <c r="M1071" t="s">
        <v>186</v>
      </c>
      <c r="N1071" s="211">
        <v>-3.45</v>
      </c>
      <c r="O1071" s="211">
        <v>-12.249000000000001</v>
      </c>
      <c r="P1071" s="211" t="s">
        <v>487</v>
      </c>
      <c r="Q1071" s="211">
        <v>30.9</v>
      </c>
      <c r="R1071" s="211">
        <v>0</v>
      </c>
      <c r="S1071" s="211" t="s">
        <v>1731</v>
      </c>
    </row>
    <row r="1072" spans="1:19">
      <c r="A1072" s="212" t="s">
        <v>169</v>
      </c>
      <c r="B1072" s="212" t="s">
        <v>588</v>
      </c>
      <c r="C1072" s="233" t="s">
        <v>150</v>
      </c>
      <c r="D1072" s="233" t="s">
        <v>151</v>
      </c>
      <c r="E1072" s="212">
        <v>30967</v>
      </c>
      <c r="F1072" s="212">
        <v>2140</v>
      </c>
      <c r="G1072" s="212" t="s">
        <v>1723</v>
      </c>
      <c r="H1072" s="212" t="s">
        <v>1878</v>
      </c>
      <c r="I1072" s="212" t="s">
        <v>110</v>
      </c>
      <c r="J1072" s="212" t="s">
        <v>104</v>
      </c>
      <c r="K1072" s="212" t="s">
        <v>269</v>
      </c>
      <c r="L1072" s="212" t="s">
        <v>1729</v>
      </c>
      <c r="M1072" t="s">
        <v>1730</v>
      </c>
      <c r="N1072" s="211">
        <v>-1.92</v>
      </c>
      <c r="O1072" s="211">
        <v>-10.718999999999999</v>
      </c>
      <c r="P1072" s="211" t="s">
        <v>487</v>
      </c>
      <c r="R1072" s="211">
        <v>-3.2</v>
      </c>
      <c r="S1072" s="211" t="s">
        <v>1731</v>
      </c>
    </row>
    <row r="1073" spans="1:21">
      <c r="A1073" s="212" t="s">
        <v>169</v>
      </c>
      <c r="B1073" s="212" t="s">
        <v>588</v>
      </c>
      <c r="C1073" s="233" t="s">
        <v>150</v>
      </c>
      <c r="D1073" s="233" t="s">
        <v>151</v>
      </c>
      <c r="E1073" s="212">
        <v>30967</v>
      </c>
      <c r="F1073" s="212">
        <v>2223</v>
      </c>
      <c r="G1073" s="212" t="s">
        <v>1723</v>
      </c>
      <c r="H1073" s="212" t="s">
        <v>1878</v>
      </c>
      <c r="I1073" s="212" t="s">
        <v>110</v>
      </c>
      <c r="J1073" s="212" t="s">
        <v>104</v>
      </c>
      <c r="K1073" s="212" t="s">
        <v>1768</v>
      </c>
      <c r="L1073" s="212" t="s">
        <v>1729</v>
      </c>
      <c r="M1073" t="s">
        <v>1775</v>
      </c>
      <c r="N1073" s="211">
        <v>-0.61</v>
      </c>
      <c r="O1073" s="211">
        <v>-9.4090000000000007</v>
      </c>
      <c r="P1073" s="211" t="s">
        <v>487</v>
      </c>
      <c r="Q1073" s="211">
        <v>26.9</v>
      </c>
      <c r="R1073" s="211">
        <v>-3.8</v>
      </c>
      <c r="S1073" s="211" t="s">
        <v>1731</v>
      </c>
    </row>
    <row r="1074" spans="1:21">
      <c r="A1074" s="212" t="s">
        <v>169</v>
      </c>
      <c r="B1074" s="212" t="s">
        <v>588</v>
      </c>
      <c r="C1074" s="233" t="s">
        <v>150</v>
      </c>
      <c r="D1074" s="233" t="s">
        <v>151</v>
      </c>
      <c r="E1074" s="212">
        <v>30967</v>
      </c>
      <c r="F1074" s="212">
        <v>2224</v>
      </c>
      <c r="G1074" s="212" t="s">
        <v>1723</v>
      </c>
      <c r="H1074" s="212" t="s">
        <v>1878</v>
      </c>
      <c r="I1074" s="212" t="s">
        <v>110</v>
      </c>
      <c r="J1074" s="212" t="s">
        <v>104</v>
      </c>
      <c r="K1074" s="212" t="s">
        <v>1884</v>
      </c>
      <c r="L1074" s="212" t="s">
        <v>1729</v>
      </c>
      <c r="M1074" t="s">
        <v>1730</v>
      </c>
      <c r="N1074" s="211">
        <v>-0.8</v>
      </c>
      <c r="O1074" s="211">
        <v>-9.5990000000000002</v>
      </c>
      <c r="P1074" s="211" t="s">
        <v>487</v>
      </c>
      <c r="Q1074" s="211" t="s">
        <v>1731</v>
      </c>
      <c r="R1074" s="211" t="s">
        <v>1731</v>
      </c>
      <c r="S1074" s="211" t="s">
        <v>1731</v>
      </c>
      <c r="U1074" s="212" t="s">
        <v>1885</v>
      </c>
    </row>
    <row r="1075" spans="1:21">
      <c r="A1075" s="212" t="s">
        <v>169</v>
      </c>
      <c r="B1075" s="212" t="s">
        <v>588</v>
      </c>
      <c r="C1075" s="233" t="s">
        <v>150</v>
      </c>
      <c r="D1075" s="233" t="s">
        <v>151</v>
      </c>
      <c r="E1075" s="212">
        <v>30967</v>
      </c>
      <c r="F1075" s="212">
        <v>2225</v>
      </c>
      <c r="G1075" s="212" t="s">
        <v>1723</v>
      </c>
      <c r="H1075" s="212" t="s">
        <v>1878</v>
      </c>
      <c r="I1075" s="212" t="s">
        <v>110</v>
      </c>
      <c r="J1075" s="212" t="s">
        <v>104</v>
      </c>
      <c r="K1075" s="212" t="s">
        <v>1768</v>
      </c>
      <c r="L1075" s="212" t="s">
        <v>1729</v>
      </c>
      <c r="M1075" t="s">
        <v>1730</v>
      </c>
      <c r="N1075" s="211">
        <v>-1.44</v>
      </c>
      <c r="O1075" s="211">
        <v>-10.239000000000001</v>
      </c>
      <c r="P1075" s="211" t="s">
        <v>487</v>
      </c>
      <c r="Q1075" s="211">
        <v>30.4</v>
      </c>
      <c r="R1075" s="211">
        <v>-0.5</v>
      </c>
      <c r="S1075" s="211" t="s">
        <v>1731</v>
      </c>
    </row>
    <row r="1076" spans="1:21">
      <c r="A1076" s="212" t="s">
        <v>169</v>
      </c>
      <c r="B1076" s="212" t="s">
        <v>588</v>
      </c>
      <c r="C1076" s="233" t="s">
        <v>150</v>
      </c>
      <c r="D1076" s="233" t="s">
        <v>151</v>
      </c>
      <c r="E1076" s="212">
        <v>30967</v>
      </c>
      <c r="F1076" s="212">
        <v>2226</v>
      </c>
      <c r="G1076" s="212" t="s">
        <v>1723</v>
      </c>
      <c r="H1076" s="212" t="s">
        <v>1878</v>
      </c>
      <c r="I1076" s="212" t="s">
        <v>110</v>
      </c>
      <c r="J1076" s="212" t="s">
        <v>104</v>
      </c>
      <c r="K1076" s="212" t="s">
        <v>1768</v>
      </c>
      <c r="L1076" s="212" t="s">
        <v>1729</v>
      </c>
      <c r="M1076" t="s">
        <v>1730</v>
      </c>
      <c r="N1076" s="211">
        <v>-0.84</v>
      </c>
      <c r="O1076" s="211">
        <v>-9.6389999999999993</v>
      </c>
      <c r="P1076" s="211" t="s">
        <v>487</v>
      </c>
      <c r="Q1076" s="211">
        <v>27.6</v>
      </c>
      <c r="R1076" s="211">
        <v>-3.1</v>
      </c>
      <c r="S1076" s="211" t="s">
        <v>1731</v>
      </c>
    </row>
    <row r="1077" spans="1:21">
      <c r="A1077" s="212" t="s">
        <v>169</v>
      </c>
      <c r="B1077" s="212" t="s">
        <v>588</v>
      </c>
      <c r="C1077" s="233" t="s">
        <v>150</v>
      </c>
      <c r="D1077" s="233" t="s">
        <v>151</v>
      </c>
      <c r="E1077" s="212">
        <v>30967</v>
      </c>
      <c r="F1077" s="212">
        <v>2229</v>
      </c>
      <c r="G1077" s="212" t="s">
        <v>1723</v>
      </c>
      <c r="H1077" s="212" t="s">
        <v>1878</v>
      </c>
      <c r="I1077" s="212" t="s">
        <v>110</v>
      </c>
      <c r="J1077" s="212" t="s">
        <v>104</v>
      </c>
      <c r="K1077" s="212" t="s">
        <v>1768</v>
      </c>
      <c r="L1077" s="212" t="s">
        <v>1729</v>
      </c>
      <c r="M1077" t="s">
        <v>1730</v>
      </c>
      <c r="N1077" s="211">
        <v>-1.25</v>
      </c>
      <c r="O1077" s="211">
        <v>-10.048999999999999</v>
      </c>
      <c r="P1077" s="211" t="s">
        <v>487</v>
      </c>
      <c r="Q1077" s="211">
        <v>30.4</v>
      </c>
      <c r="R1077" s="211">
        <v>-0.5</v>
      </c>
      <c r="S1077" s="211" t="s">
        <v>1731</v>
      </c>
    </row>
    <row r="1078" spans="1:21">
      <c r="A1078" s="212" t="s">
        <v>169</v>
      </c>
      <c r="B1078" s="212" t="s">
        <v>588</v>
      </c>
      <c r="C1078" s="233" t="s">
        <v>150</v>
      </c>
      <c r="D1078" s="233" t="s">
        <v>151</v>
      </c>
      <c r="E1078" s="212">
        <v>30967</v>
      </c>
      <c r="F1078" s="212">
        <v>2230</v>
      </c>
      <c r="G1078" s="212" t="s">
        <v>1723</v>
      </c>
      <c r="H1078" s="212" t="s">
        <v>1878</v>
      </c>
      <c r="I1078" s="212" t="s">
        <v>110</v>
      </c>
      <c r="J1078" s="212" t="s">
        <v>104</v>
      </c>
      <c r="K1078" s="212" t="s">
        <v>1768</v>
      </c>
      <c r="L1078" s="212" t="s">
        <v>1729</v>
      </c>
      <c r="M1078" t="s">
        <v>1789</v>
      </c>
      <c r="N1078" s="211">
        <v>-1.23</v>
      </c>
      <c r="O1078" s="211">
        <v>-10.029</v>
      </c>
      <c r="P1078" s="211" t="s">
        <v>487</v>
      </c>
      <c r="Q1078" s="211">
        <v>31.3</v>
      </c>
      <c r="R1078" s="211">
        <v>0.4</v>
      </c>
      <c r="S1078" s="211" t="s">
        <v>1731</v>
      </c>
    </row>
    <row r="1079" spans="1:21">
      <c r="A1079" s="212" t="s">
        <v>169</v>
      </c>
      <c r="B1079" s="212" t="s">
        <v>588</v>
      </c>
      <c r="C1079" s="233" t="s">
        <v>150</v>
      </c>
      <c r="D1079" s="233" t="s">
        <v>151</v>
      </c>
      <c r="E1079" s="212">
        <v>30967</v>
      </c>
      <c r="F1079" s="212">
        <v>2232</v>
      </c>
      <c r="G1079" s="212" t="s">
        <v>1723</v>
      </c>
      <c r="H1079" s="212" t="s">
        <v>1878</v>
      </c>
      <c r="I1079" s="212" t="s">
        <v>110</v>
      </c>
      <c r="J1079" s="212" t="s">
        <v>104</v>
      </c>
      <c r="K1079" s="212" t="s">
        <v>269</v>
      </c>
      <c r="L1079" s="212" t="s">
        <v>1729</v>
      </c>
      <c r="M1079" t="s">
        <v>1730</v>
      </c>
      <c r="N1079" s="211">
        <v>-1.36</v>
      </c>
      <c r="O1079" s="211">
        <v>-10.159000000000001</v>
      </c>
      <c r="P1079" s="211" t="s">
        <v>487</v>
      </c>
      <c r="Q1079" s="211">
        <v>30.3</v>
      </c>
      <c r="R1079" s="211">
        <v>-0.5</v>
      </c>
      <c r="S1079" s="211" t="s">
        <v>1731</v>
      </c>
    </row>
    <row r="1080" spans="1:21">
      <c r="A1080" s="212" t="s">
        <v>169</v>
      </c>
      <c r="B1080" s="212" t="s">
        <v>588</v>
      </c>
      <c r="C1080" s="233" t="s">
        <v>150</v>
      </c>
      <c r="D1080" s="233" t="s">
        <v>151</v>
      </c>
      <c r="E1080" s="212">
        <v>30967</v>
      </c>
      <c r="F1080" s="212">
        <v>2235</v>
      </c>
      <c r="G1080" s="212" t="s">
        <v>1723</v>
      </c>
      <c r="H1080" s="212" t="s">
        <v>1878</v>
      </c>
      <c r="I1080" s="212" t="s">
        <v>110</v>
      </c>
      <c r="J1080" s="212" t="s">
        <v>104</v>
      </c>
      <c r="K1080" s="212" t="s">
        <v>269</v>
      </c>
      <c r="L1080" s="212" t="s">
        <v>1729</v>
      </c>
      <c r="M1080" t="s">
        <v>1730</v>
      </c>
      <c r="N1080" s="211">
        <v>-3.27</v>
      </c>
      <c r="O1080" s="211">
        <v>-12.069000000000001</v>
      </c>
      <c r="P1080" s="211" t="s">
        <v>487</v>
      </c>
      <c r="R1080" s="211">
        <v>0.2</v>
      </c>
      <c r="S1080" s="211" t="s">
        <v>1731</v>
      </c>
    </row>
    <row r="1081" spans="1:21">
      <c r="A1081" s="212" t="s">
        <v>169</v>
      </c>
      <c r="B1081" s="212" t="s">
        <v>588</v>
      </c>
      <c r="C1081" s="233" t="s">
        <v>150</v>
      </c>
      <c r="D1081" s="233" t="s">
        <v>151</v>
      </c>
      <c r="E1081" s="212">
        <v>30967</v>
      </c>
      <c r="F1081" s="212">
        <v>2239</v>
      </c>
      <c r="G1081" s="212" t="s">
        <v>1723</v>
      </c>
      <c r="H1081" s="212" t="s">
        <v>1878</v>
      </c>
      <c r="I1081" s="212" t="s">
        <v>110</v>
      </c>
      <c r="J1081" s="212" t="s">
        <v>104</v>
      </c>
      <c r="K1081" s="212" t="s">
        <v>269</v>
      </c>
      <c r="L1081" s="212" t="s">
        <v>1729</v>
      </c>
      <c r="M1081" t="s">
        <v>1730</v>
      </c>
      <c r="N1081" s="211">
        <v>-10.11</v>
      </c>
      <c r="O1081" s="211">
        <v>-18.908999999999999</v>
      </c>
      <c r="P1081" s="211" t="s">
        <v>487</v>
      </c>
      <c r="Q1081" s="211">
        <v>27.2</v>
      </c>
      <c r="R1081" s="211">
        <v>-3.6</v>
      </c>
      <c r="S1081" s="211" t="s">
        <v>1731</v>
      </c>
    </row>
    <row r="1082" spans="1:21">
      <c r="A1082" s="212" t="s">
        <v>169</v>
      </c>
      <c r="B1082" s="212" t="s">
        <v>588</v>
      </c>
      <c r="C1082" s="233" t="s">
        <v>150</v>
      </c>
      <c r="D1082" s="233" t="s">
        <v>151</v>
      </c>
      <c r="E1082" s="212">
        <v>30967</v>
      </c>
      <c r="F1082" s="212">
        <v>2455</v>
      </c>
      <c r="G1082" s="212" t="s">
        <v>1723</v>
      </c>
      <c r="H1082" s="212" t="s">
        <v>1878</v>
      </c>
      <c r="I1082" s="212" t="s">
        <v>110</v>
      </c>
      <c r="J1082" s="212" t="s">
        <v>104</v>
      </c>
      <c r="K1082" s="212" t="s">
        <v>1768</v>
      </c>
      <c r="L1082" s="212" t="s">
        <v>1729</v>
      </c>
      <c r="M1082" t="s">
        <v>1734</v>
      </c>
      <c r="N1082" s="211">
        <v>-0.74</v>
      </c>
      <c r="O1082" s="211">
        <v>-9.5389999999999997</v>
      </c>
      <c r="P1082" s="211" t="s">
        <v>487</v>
      </c>
      <c r="Q1082" s="211">
        <v>29.7</v>
      </c>
      <c r="R1082" s="211">
        <v>-1.2</v>
      </c>
      <c r="S1082" s="211" t="s">
        <v>1731</v>
      </c>
    </row>
    <row r="1083" spans="1:21">
      <c r="A1083" s="212" t="s">
        <v>169</v>
      </c>
      <c r="B1083" s="212" t="s">
        <v>588</v>
      </c>
      <c r="C1083" s="233" t="s">
        <v>150</v>
      </c>
      <c r="D1083" s="233" t="s">
        <v>151</v>
      </c>
      <c r="E1083" s="212">
        <v>30967</v>
      </c>
      <c r="F1083" s="212" t="s">
        <v>1886</v>
      </c>
      <c r="G1083" s="212" t="s">
        <v>1723</v>
      </c>
      <c r="H1083" s="212" t="s">
        <v>1878</v>
      </c>
      <c r="I1083" s="212" t="s">
        <v>110</v>
      </c>
      <c r="J1083" s="212" t="s">
        <v>104</v>
      </c>
      <c r="K1083" s="212" t="s">
        <v>1768</v>
      </c>
      <c r="L1083" s="212" t="s">
        <v>1729</v>
      </c>
      <c r="M1083" t="s">
        <v>1730</v>
      </c>
      <c r="N1083" s="211">
        <v>-3.34</v>
      </c>
      <c r="O1083" s="211">
        <v>-12.138999999999999</v>
      </c>
      <c r="P1083" s="211" t="s">
        <v>487</v>
      </c>
      <c r="Q1083" s="211">
        <v>26.8</v>
      </c>
      <c r="R1083" s="211">
        <v>-4</v>
      </c>
      <c r="S1083" s="211" t="s">
        <v>1731</v>
      </c>
    </row>
    <row r="1084" spans="1:21" ht="17.25" customHeight="1">
      <c r="A1084" s="212" t="s">
        <v>169</v>
      </c>
      <c r="B1084" s="212" t="s">
        <v>588</v>
      </c>
      <c r="C1084" s="233" t="s">
        <v>150</v>
      </c>
      <c r="D1084" s="233" t="s">
        <v>151</v>
      </c>
      <c r="E1084" s="212">
        <v>30967</v>
      </c>
      <c r="F1084" s="212" t="s">
        <v>1887</v>
      </c>
      <c r="G1084" s="212" t="s">
        <v>1723</v>
      </c>
      <c r="H1084" s="212" t="s">
        <v>1878</v>
      </c>
      <c r="I1084" s="212" t="s">
        <v>110</v>
      </c>
      <c r="J1084" s="212" t="s">
        <v>104</v>
      </c>
      <c r="K1084" s="212" t="s">
        <v>1768</v>
      </c>
      <c r="L1084" s="212" t="s">
        <v>1729</v>
      </c>
      <c r="M1084" t="s">
        <v>1730</v>
      </c>
      <c r="N1084" s="211">
        <v>-2.76</v>
      </c>
      <c r="O1084" s="211">
        <v>-11.558999999999999</v>
      </c>
      <c r="P1084" s="211" t="s">
        <v>487</v>
      </c>
      <c r="Q1084" s="211">
        <v>27</v>
      </c>
      <c r="R1084" s="211">
        <v>-3.8</v>
      </c>
      <c r="S1084" s="211" t="s">
        <v>1731</v>
      </c>
    </row>
    <row r="1085" spans="1:21">
      <c r="A1085" s="212" t="s">
        <v>169</v>
      </c>
      <c r="B1085" s="212" t="s">
        <v>588</v>
      </c>
      <c r="C1085" s="233" t="s">
        <v>150</v>
      </c>
      <c r="D1085" s="233" t="s">
        <v>151</v>
      </c>
      <c r="E1085" s="212">
        <v>30967</v>
      </c>
      <c r="F1085" s="212" t="s">
        <v>1888</v>
      </c>
      <c r="G1085" s="212" t="s">
        <v>1723</v>
      </c>
      <c r="H1085" s="212" t="s">
        <v>1878</v>
      </c>
      <c r="I1085" s="212" t="s">
        <v>110</v>
      </c>
      <c r="J1085" s="212" t="s">
        <v>104</v>
      </c>
      <c r="K1085" s="212" t="s">
        <v>269</v>
      </c>
      <c r="L1085" s="212" t="s">
        <v>1729</v>
      </c>
      <c r="M1085" t="s">
        <v>1730</v>
      </c>
      <c r="N1085" s="211">
        <v>-3.38</v>
      </c>
      <c r="O1085" s="211">
        <v>-12.179</v>
      </c>
      <c r="P1085" s="211" t="s">
        <v>487</v>
      </c>
      <c r="Q1085" s="211">
        <v>27.5</v>
      </c>
      <c r="R1085" s="211">
        <v>-3.2</v>
      </c>
      <c r="S1085" s="211" t="s">
        <v>1731</v>
      </c>
    </row>
    <row r="1086" spans="1:21">
      <c r="A1086" s="212" t="s">
        <v>169</v>
      </c>
      <c r="B1086" s="212" t="s">
        <v>588</v>
      </c>
      <c r="C1086" s="233" t="s">
        <v>150</v>
      </c>
      <c r="D1086" s="233" t="s">
        <v>151</v>
      </c>
      <c r="E1086" s="212">
        <v>30967</v>
      </c>
      <c r="F1086" s="212" t="s">
        <v>1889</v>
      </c>
      <c r="G1086" s="212" t="s">
        <v>1723</v>
      </c>
      <c r="H1086" s="212" t="s">
        <v>1878</v>
      </c>
      <c r="I1086" s="212" t="s">
        <v>110</v>
      </c>
      <c r="J1086" s="212" t="s">
        <v>104</v>
      </c>
      <c r="K1086" s="212" t="s">
        <v>1768</v>
      </c>
      <c r="L1086" s="212" t="s">
        <v>1729</v>
      </c>
      <c r="M1086" t="s">
        <v>1730</v>
      </c>
      <c r="N1086" s="211">
        <v>-1.37</v>
      </c>
      <c r="O1086" s="211">
        <v>-10.169</v>
      </c>
      <c r="P1086" s="211" t="s">
        <v>487</v>
      </c>
      <c r="Q1086" s="211">
        <v>29.1</v>
      </c>
      <c r="R1086" s="211">
        <v>-1.7</v>
      </c>
      <c r="S1086" s="211" t="s">
        <v>1731</v>
      </c>
    </row>
    <row r="1087" spans="1:21">
      <c r="A1087" s="212" t="s">
        <v>169</v>
      </c>
      <c r="B1087" s="212" t="s">
        <v>588</v>
      </c>
      <c r="C1087" s="233" t="s">
        <v>150</v>
      </c>
      <c r="D1087" s="233" t="s">
        <v>151</v>
      </c>
      <c r="E1087" s="212">
        <v>30967</v>
      </c>
      <c r="F1087" s="212" t="s">
        <v>1890</v>
      </c>
      <c r="G1087" s="212" t="s">
        <v>1723</v>
      </c>
      <c r="H1087" s="212" t="s">
        <v>1878</v>
      </c>
      <c r="I1087" s="212" t="s">
        <v>110</v>
      </c>
      <c r="J1087" s="212" t="s">
        <v>104</v>
      </c>
      <c r="K1087" s="212" t="s">
        <v>1768</v>
      </c>
      <c r="L1087" s="212" t="s">
        <v>1729</v>
      </c>
      <c r="M1087" t="s">
        <v>1730</v>
      </c>
      <c r="N1087" s="211">
        <v>-0.69</v>
      </c>
      <c r="O1087" s="211">
        <v>-9.4890000000000008</v>
      </c>
      <c r="P1087" s="211" t="s">
        <v>487</v>
      </c>
      <c r="Q1087" s="211">
        <v>28</v>
      </c>
      <c r="R1087" s="211">
        <v>-2.8</v>
      </c>
      <c r="S1087" s="211" t="s">
        <v>1731</v>
      </c>
    </row>
    <row r="1088" spans="1:21">
      <c r="A1088" s="212" t="s">
        <v>169</v>
      </c>
      <c r="B1088" s="212" t="s">
        <v>588</v>
      </c>
      <c r="C1088" s="233" t="s">
        <v>150</v>
      </c>
      <c r="D1088" s="233" t="s">
        <v>151</v>
      </c>
      <c r="E1088" s="212">
        <v>30967</v>
      </c>
      <c r="F1088" s="212" t="s">
        <v>1891</v>
      </c>
      <c r="G1088" s="212" t="s">
        <v>1723</v>
      </c>
      <c r="H1088" s="212" t="s">
        <v>1878</v>
      </c>
      <c r="I1088" s="212" t="s">
        <v>110</v>
      </c>
      <c r="J1088" s="212" t="s">
        <v>104</v>
      </c>
      <c r="K1088" s="212" t="s">
        <v>1768</v>
      </c>
      <c r="L1088" s="212" t="s">
        <v>1729</v>
      </c>
      <c r="M1088" t="s">
        <v>1730</v>
      </c>
      <c r="N1088" s="211">
        <v>-0.84</v>
      </c>
      <c r="O1088" s="211">
        <v>-9.6389999999999993</v>
      </c>
      <c r="P1088" s="211" t="s">
        <v>487</v>
      </c>
      <c r="Q1088" s="211">
        <v>29.8</v>
      </c>
      <c r="R1088" s="211">
        <v>-1</v>
      </c>
      <c r="S1088" s="211" t="s">
        <v>1731</v>
      </c>
    </row>
    <row r="1089" spans="1:19">
      <c r="A1089" s="212" t="s">
        <v>169</v>
      </c>
      <c r="B1089" s="212" t="s">
        <v>588</v>
      </c>
      <c r="C1089" s="233" t="s">
        <v>150</v>
      </c>
      <c r="D1089" s="233" t="s">
        <v>151</v>
      </c>
      <c r="E1089" s="212">
        <v>31030</v>
      </c>
      <c r="F1089" s="212">
        <v>27</v>
      </c>
      <c r="G1089" s="212" t="s">
        <v>1723</v>
      </c>
      <c r="H1089" s="212" t="s">
        <v>1878</v>
      </c>
      <c r="I1089" s="212" t="s">
        <v>1782</v>
      </c>
      <c r="J1089" s="212" t="s">
        <v>104</v>
      </c>
      <c r="K1089" s="212" t="s">
        <v>1768</v>
      </c>
      <c r="L1089" s="212" t="s">
        <v>1729</v>
      </c>
      <c r="M1089" t="s">
        <v>1892</v>
      </c>
      <c r="N1089" s="211">
        <v>-5.86</v>
      </c>
      <c r="O1089" s="211">
        <v>-14.659000000000001</v>
      </c>
      <c r="P1089" s="211" t="s">
        <v>487</v>
      </c>
      <c r="Q1089" s="211">
        <v>28.3</v>
      </c>
      <c r="R1089" s="211">
        <v>-2.5</v>
      </c>
      <c r="S1089" s="211" t="s">
        <v>1731</v>
      </c>
    </row>
    <row r="1090" spans="1:19">
      <c r="A1090" s="212" t="s">
        <v>169</v>
      </c>
      <c r="B1090" s="212" t="s">
        <v>588</v>
      </c>
      <c r="C1090" s="233" t="s">
        <v>150</v>
      </c>
      <c r="D1090" s="233" t="s">
        <v>151</v>
      </c>
      <c r="E1090" s="212">
        <v>31030</v>
      </c>
      <c r="F1090" s="212">
        <v>28</v>
      </c>
      <c r="G1090" s="212" t="s">
        <v>1723</v>
      </c>
      <c r="H1090" s="212" t="s">
        <v>1878</v>
      </c>
      <c r="I1090" s="212" t="s">
        <v>1782</v>
      </c>
      <c r="J1090" s="212" t="s">
        <v>104</v>
      </c>
      <c r="K1090" s="212" t="s">
        <v>1768</v>
      </c>
      <c r="L1090" s="212" t="s">
        <v>1729</v>
      </c>
      <c r="M1090" t="s">
        <v>1892</v>
      </c>
      <c r="N1090" s="211">
        <v>-6.89</v>
      </c>
      <c r="O1090" s="211">
        <v>-15.689</v>
      </c>
      <c r="P1090" s="211" t="s">
        <v>487</v>
      </c>
      <c r="Q1090" s="211">
        <v>31.1</v>
      </c>
      <c r="R1090" s="211">
        <v>0.2</v>
      </c>
      <c r="S1090" s="211" t="s">
        <v>1731</v>
      </c>
    </row>
    <row r="1091" spans="1:19">
      <c r="A1091" s="212" t="s">
        <v>169</v>
      </c>
      <c r="B1091" s="212" t="s">
        <v>588</v>
      </c>
      <c r="C1091" s="233" t="s">
        <v>150</v>
      </c>
      <c r="D1091" s="233" t="s">
        <v>151</v>
      </c>
      <c r="E1091" s="212">
        <v>40685</v>
      </c>
      <c r="F1091" s="212">
        <v>2260</v>
      </c>
      <c r="G1091" s="212" t="s">
        <v>1723</v>
      </c>
      <c r="H1091" s="212" t="s">
        <v>1878</v>
      </c>
      <c r="I1091" s="212" t="s">
        <v>134</v>
      </c>
      <c r="J1091" s="212" t="s">
        <v>104</v>
      </c>
      <c r="K1091" s="212" t="s">
        <v>269</v>
      </c>
      <c r="L1091" s="212" t="s">
        <v>1729</v>
      </c>
      <c r="M1091" t="s">
        <v>1730</v>
      </c>
      <c r="N1091" s="211">
        <v>-5.85</v>
      </c>
      <c r="O1091" s="211">
        <v>-14.648999999999999</v>
      </c>
      <c r="P1091" s="211" t="s">
        <v>487</v>
      </c>
      <c r="R1091" s="211">
        <v>-2.8</v>
      </c>
      <c r="S1091" s="211" t="s">
        <v>1731</v>
      </c>
    </row>
    <row r="1092" spans="1:19">
      <c r="A1092" s="212" t="s">
        <v>169</v>
      </c>
      <c r="B1092" s="212" t="s">
        <v>588</v>
      </c>
      <c r="C1092" s="233" t="s">
        <v>150</v>
      </c>
      <c r="D1092" s="233" t="s">
        <v>151</v>
      </c>
      <c r="E1092" s="212">
        <v>41229</v>
      </c>
      <c r="F1092" s="212">
        <v>520</v>
      </c>
      <c r="G1092" s="212" t="s">
        <v>1723</v>
      </c>
      <c r="H1092" s="212" t="s">
        <v>1878</v>
      </c>
      <c r="I1092" s="212" t="s">
        <v>1137</v>
      </c>
      <c r="J1092" s="212" t="s">
        <v>104</v>
      </c>
      <c r="K1092" s="212" t="s">
        <v>269</v>
      </c>
      <c r="L1092" s="212" t="s">
        <v>1725</v>
      </c>
      <c r="M1092" t="s">
        <v>1870</v>
      </c>
      <c r="N1092" s="211">
        <v>-13.8</v>
      </c>
      <c r="O1092" s="211">
        <v>-13.8</v>
      </c>
      <c r="P1092" s="211">
        <v>5.7</v>
      </c>
      <c r="S1092" s="211">
        <v>2.8</v>
      </c>
    </row>
    <row r="1093" spans="1:19" ht="19">
      <c r="A1093" s="212" t="s">
        <v>169</v>
      </c>
      <c r="B1093" s="212" t="s">
        <v>588</v>
      </c>
      <c r="C1093" s="233" t="s">
        <v>150</v>
      </c>
      <c r="D1093" s="234" t="s">
        <v>151</v>
      </c>
      <c r="E1093" s="212">
        <v>41229</v>
      </c>
      <c r="F1093" s="212">
        <v>10795</v>
      </c>
      <c r="G1093" s="212" t="s">
        <v>1723</v>
      </c>
      <c r="H1093" s="212" t="s">
        <v>1878</v>
      </c>
      <c r="I1093" s="212" t="s">
        <v>1137</v>
      </c>
      <c r="J1093" s="212" t="s">
        <v>104</v>
      </c>
      <c r="K1093" s="227" t="s">
        <v>269</v>
      </c>
      <c r="L1093" s="227" t="s">
        <v>1725</v>
      </c>
      <c r="M1093" s="203" t="s">
        <v>1738</v>
      </c>
      <c r="N1093" s="211">
        <v>-15.1</v>
      </c>
      <c r="O1093" s="211">
        <v>-15.1</v>
      </c>
      <c r="P1093" s="211">
        <v>5.9</v>
      </c>
      <c r="S1093" s="211">
        <v>2.8</v>
      </c>
    </row>
    <row r="1094" spans="1:19" ht="19">
      <c r="A1094" s="212" t="s">
        <v>169</v>
      </c>
      <c r="B1094" s="212" t="s">
        <v>588</v>
      </c>
      <c r="C1094" s="233" t="s">
        <v>150</v>
      </c>
      <c r="D1094" s="234" t="s">
        <v>151</v>
      </c>
      <c r="E1094" s="212">
        <v>41229</v>
      </c>
      <c r="F1094" s="212">
        <v>10796</v>
      </c>
      <c r="G1094" s="212" t="s">
        <v>1723</v>
      </c>
      <c r="H1094" s="212" t="s">
        <v>1878</v>
      </c>
      <c r="I1094" s="212" t="s">
        <v>1137</v>
      </c>
      <c r="J1094" s="212" t="s">
        <v>104</v>
      </c>
      <c r="K1094" s="227" t="s">
        <v>269</v>
      </c>
      <c r="L1094" s="227" t="s">
        <v>1725</v>
      </c>
      <c r="M1094" t="s">
        <v>1754</v>
      </c>
      <c r="N1094" s="211">
        <v>-9.9</v>
      </c>
      <c r="O1094" s="211">
        <v>-9.9</v>
      </c>
      <c r="P1094" s="211">
        <v>7.9</v>
      </c>
      <c r="S1094" s="211">
        <v>2.7</v>
      </c>
    </row>
    <row r="1095" spans="1:19" ht="19">
      <c r="A1095" s="212" t="s">
        <v>169</v>
      </c>
      <c r="B1095" s="212" t="s">
        <v>588</v>
      </c>
      <c r="C1095" s="233" t="s">
        <v>150</v>
      </c>
      <c r="D1095" s="234" t="s">
        <v>151</v>
      </c>
      <c r="E1095" s="212">
        <v>41229</v>
      </c>
      <c r="F1095" s="212">
        <v>10798</v>
      </c>
      <c r="G1095" s="212" t="s">
        <v>1723</v>
      </c>
      <c r="H1095" s="212" t="s">
        <v>1878</v>
      </c>
      <c r="I1095" s="212" t="s">
        <v>1137</v>
      </c>
      <c r="J1095" s="212" t="s">
        <v>104</v>
      </c>
      <c r="K1095" s="227" t="s">
        <v>269</v>
      </c>
      <c r="L1095" s="227" t="s">
        <v>1725</v>
      </c>
      <c r="M1095" t="s">
        <v>1118</v>
      </c>
      <c r="N1095" s="211">
        <v>-10.5</v>
      </c>
      <c r="O1095" s="211">
        <v>-10.5</v>
      </c>
      <c r="P1095" s="211">
        <v>8.5</v>
      </c>
      <c r="S1095" s="211">
        <v>2.8</v>
      </c>
    </row>
    <row r="1096" spans="1:19" ht="19">
      <c r="A1096" s="212" t="s">
        <v>169</v>
      </c>
      <c r="B1096" s="212" t="s">
        <v>588</v>
      </c>
      <c r="C1096" s="233" t="s">
        <v>150</v>
      </c>
      <c r="D1096" s="234" t="s">
        <v>151</v>
      </c>
      <c r="E1096" s="212">
        <v>43067</v>
      </c>
      <c r="F1096" s="212">
        <v>29</v>
      </c>
      <c r="G1096" s="212" t="s">
        <v>1723</v>
      </c>
      <c r="H1096" s="212" t="s">
        <v>1878</v>
      </c>
      <c r="I1096" s="212" t="s">
        <v>1893</v>
      </c>
      <c r="J1096" s="212" t="s">
        <v>104</v>
      </c>
      <c r="K1096" s="227" t="s">
        <v>1768</v>
      </c>
      <c r="L1096" s="227" t="s">
        <v>1729</v>
      </c>
      <c r="M1096" t="s">
        <v>1789</v>
      </c>
      <c r="N1096" s="211">
        <v>-4.7</v>
      </c>
      <c r="O1096" s="211">
        <v>-13.499000000000001</v>
      </c>
      <c r="P1096" s="211" t="s">
        <v>487</v>
      </c>
      <c r="Q1096" s="211">
        <v>29.6</v>
      </c>
      <c r="R1096" s="211">
        <v>-1.2</v>
      </c>
      <c r="S1096" s="211" t="s">
        <v>1731</v>
      </c>
    </row>
    <row r="1097" spans="1:19" ht="37" customHeight="1">
      <c r="A1097" s="212" t="s">
        <v>169</v>
      </c>
      <c r="B1097" s="212" t="s">
        <v>588</v>
      </c>
      <c r="C1097" s="233" t="s">
        <v>150</v>
      </c>
      <c r="D1097" s="234" t="s">
        <v>151</v>
      </c>
      <c r="E1097" s="212">
        <v>43067</v>
      </c>
      <c r="F1097" s="212">
        <v>30</v>
      </c>
      <c r="G1097" s="212" t="s">
        <v>1723</v>
      </c>
      <c r="H1097" s="212" t="s">
        <v>1878</v>
      </c>
      <c r="I1097" s="212" t="s">
        <v>1893</v>
      </c>
      <c r="J1097" s="212" t="s">
        <v>104</v>
      </c>
      <c r="K1097" s="227" t="s">
        <v>269</v>
      </c>
      <c r="L1097" s="227" t="s">
        <v>1729</v>
      </c>
      <c r="M1097" t="s">
        <v>1734</v>
      </c>
      <c r="N1097" s="211">
        <v>-4</v>
      </c>
      <c r="O1097" s="211">
        <v>-12.798999999999999</v>
      </c>
      <c r="P1097" s="211" t="s">
        <v>487</v>
      </c>
      <c r="R1097" s="211">
        <v>-2.6</v>
      </c>
      <c r="S1097" s="211" t="s">
        <v>1731</v>
      </c>
    </row>
    <row r="1098" spans="1:19" ht="19">
      <c r="A1098" s="212" t="s">
        <v>169</v>
      </c>
      <c r="B1098" s="212" t="s">
        <v>588</v>
      </c>
      <c r="C1098" s="233" t="s">
        <v>150</v>
      </c>
      <c r="D1098" s="234" t="s">
        <v>151</v>
      </c>
      <c r="E1098" s="212">
        <v>43067</v>
      </c>
      <c r="F1098" s="212">
        <v>62</v>
      </c>
      <c r="G1098" s="212" t="s">
        <v>1723</v>
      </c>
      <c r="H1098" s="212" t="s">
        <v>1878</v>
      </c>
      <c r="I1098" s="212" t="s">
        <v>1893</v>
      </c>
      <c r="J1098" s="212" t="s">
        <v>104</v>
      </c>
      <c r="K1098" s="227" t="s">
        <v>1768</v>
      </c>
      <c r="L1098" s="227" t="s">
        <v>1729</v>
      </c>
      <c r="M1098" t="s">
        <v>1789</v>
      </c>
      <c r="N1098" s="211">
        <v>-3.88</v>
      </c>
      <c r="O1098" s="211">
        <v>-12.679</v>
      </c>
      <c r="P1098" s="211" t="s">
        <v>487</v>
      </c>
      <c r="Q1098" s="211">
        <v>27.8</v>
      </c>
      <c r="R1098" s="211">
        <v>-2.9</v>
      </c>
      <c r="S1098" s="211" t="s">
        <v>1731</v>
      </c>
    </row>
    <row r="1099" spans="1:19" ht="19">
      <c r="A1099" s="212" t="s">
        <v>169</v>
      </c>
      <c r="B1099" s="212" t="s">
        <v>588</v>
      </c>
      <c r="C1099" s="233" t="s">
        <v>150</v>
      </c>
      <c r="D1099" s="234" t="s">
        <v>151</v>
      </c>
      <c r="E1099" s="212">
        <v>43067</v>
      </c>
      <c r="F1099" s="212" t="s">
        <v>1894</v>
      </c>
      <c r="G1099" s="212" t="s">
        <v>1723</v>
      </c>
      <c r="H1099" s="212" t="s">
        <v>1878</v>
      </c>
      <c r="I1099" s="212" t="s">
        <v>1893</v>
      </c>
      <c r="J1099" s="212" t="s">
        <v>104</v>
      </c>
      <c r="K1099" s="227" t="s">
        <v>269</v>
      </c>
      <c r="L1099" s="227" t="s">
        <v>1729</v>
      </c>
      <c r="M1099" t="s">
        <v>1545</v>
      </c>
      <c r="N1099" s="211">
        <v>-4.7</v>
      </c>
      <c r="O1099" s="211">
        <v>-13.499000000000001</v>
      </c>
      <c r="P1099" s="211" t="s">
        <v>487</v>
      </c>
      <c r="Q1099" s="211">
        <v>29.6</v>
      </c>
      <c r="R1099" s="211">
        <v>-1.2</v>
      </c>
      <c r="S1099" s="211" t="s">
        <v>1731</v>
      </c>
    </row>
    <row r="1100" spans="1:19" ht="19">
      <c r="A1100" s="212" t="s">
        <v>169</v>
      </c>
      <c r="B1100" s="212" t="s">
        <v>588</v>
      </c>
      <c r="C1100" s="233" t="s">
        <v>150</v>
      </c>
      <c r="D1100" s="234" t="s">
        <v>151</v>
      </c>
      <c r="E1100" s="212">
        <v>43067</v>
      </c>
      <c r="F1100" s="212" t="s">
        <v>1895</v>
      </c>
      <c r="G1100" s="212" t="s">
        <v>1723</v>
      </c>
      <c r="H1100" s="212" t="s">
        <v>1878</v>
      </c>
      <c r="I1100" s="212" t="s">
        <v>1893</v>
      </c>
      <c r="J1100" s="212" t="s">
        <v>104</v>
      </c>
      <c r="K1100" s="227" t="s">
        <v>269</v>
      </c>
      <c r="L1100" s="227" t="s">
        <v>1729</v>
      </c>
      <c r="M1100" t="s">
        <v>1545</v>
      </c>
      <c r="N1100" s="211">
        <v>-3.88</v>
      </c>
      <c r="O1100" s="211">
        <v>-12.679</v>
      </c>
      <c r="P1100" s="211" t="s">
        <v>487</v>
      </c>
      <c r="R1100" s="211">
        <v>-3.6</v>
      </c>
      <c r="S1100" s="211" t="s">
        <v>1731</v>
      </c>
    </row>
    <row r="1101" spans="1:19" ht="19">
      <c r="A1101" s="212" t="s">
        <v>169</v>
      </c>
      <c r="B1101" s="212" t="s">
        <v>588</v>
      </c>
      <c r="C1101" s="233" t="s">
        <v>150</v>
      </c>
      <c r="D1101" s="234" t="s">
        <v>151</v>
      </c>
      <c r="E1101" s="212" t="s">
        <v>1773</v>
      </c>
      <c r="F1101" s="212">
        <v>1671</v>
      </c>
      <c r="G1101" s="212" t="s">
        <v>1723</v>
      </c>
      <c r="H1101" s="212" t="s">
        <v>1878</v>
      </c>
      <c r="I1101" s="212" t="s">
        <v>1787</v>
      </c>
      <c r="J1101" s="212" t="s">
        <v>104</v>
      </c>
      <c r="K1101" s="227" t="s">
        <v>1768</v>
      </c>
      <c r="L1101" s="227" t="s">
        <v>1729</v>
      </c>
      <c r="M1101" t="s">
        <v>1789</v>
      </c>
      <c r="N1101" s="211">
        <v>-7.51</v>
      </c>
      <c r="O1101" s="211">
        <v>-16.309000000000001</v>
      </c>
      <c r="P1101" s="211" t="s">
        <v>487</v>
      </c>
      <c r="Q1101" s="211">
        <v>25.5</v>
      </c>
      <c r="R1101" s="211">
        <v>-5.2</v>
      </c>
      <c r="S1101" s="211" t="s">
        <v>1731</v>
      </c>
    </row>
    <row r="1102" spans="1:19" ht="16" customHeight="1">
      <c r="A1102" s="212" t="s">
        <v>169</v>
      </c>
      <c r="B1102" s="212" t="s">
        <v>588</v>
      </c>
      <c r="C1102" s="233" t="s">
        <v>150</v>
      </c>
      <c r="D1102" s="234" t="s">
        <v>151</v>
      </c>
      <c r="E1102" s="212" t="s">
        <v>1773</v>
      </c>
      <c r="F1102" s="212">
        <v>1672</v>
      </c>
      <c r="G1102" s="212" t="s">
        <v>1723</v>
      </c>
      <c r="H1102" s="212" t="s">
        <v>1878</v>
      </c>
      <c r="I1102" s="212" t="s">
        <v>1787</v>
      </c>
      <c r="J1102" s="212" t="s">
        <v>104</v>
      </c>
      <c r="K1102" s="227" t="s">
        <v>1768</v>
      </c>
      <c r="L1102" s="227" t="s">
        <v>1729</v>
      </c>
      <c r="M1102" t="s">
        <v>1789</v>
      </c>
      <c r="N1102" s="211">
        <v>0.22</v>
      </c>
      <c r="O1102" s="211">
        <v>-8.5790000000000006</v>
      </c>
      <c r="P1102" s="211" t="s">
        <v>487</v>
      </c>
      <c r="Q1102" s="211">
        <v>30.3</v>
      </c>
      <c r="R1102" s="211">
        <v>-0.5</v>
      </c>
      <c r="S1102" s="211" t="s">
        <v>1731</v>
      </c>
    </row>
    <row r="1103" spans="1:19" ht="16" customHeight="1">
      <c r="A1103" s="212" t="s">
        <v>169</v>
      </c>
      <c r="B1103" s="212" t="s">
        <v>588</v>
      </c>
      <c r="C1103" s="233" t="s">
        <v>150</v>
      </c>
      <c r="D1103" s="234" t="s">
        <v>151</v>
      </c>
      <c r="E1103" s="212" t="s">
        <v>1773</v>
      </c>
      <c r="F1103" s="212">
        <v>1984</v>
      </c>
      <c r="G1103" s="212" t="s">
        <v>1723</v>
      </c>
      <c r="H1103" s="212" t="s">
        <v>1878</v>
      </c>
      <c r="I1103" s="212" t="s">
        <v>1896</v>
      </c>
      <c r="J1103" s="212" t="s">
        <v>104</v>
      </c>
      <c r="K1103" s="227" t="s">
        <v>1768</v>
      </c>
      <c r="L1103" s="227" t="s">
        <v>1729</v>
      </c>
      <c r="M1103" t="s">
        <v>1789</v>
      </c>
      <c r="N1103" s="211">
        <v>-4.0599999999999996</v>
      </c>
      <c r="O1103" s="211">
        <v>-12.859</v>
      </c>
      <c r="P1103" s="211" t="s">
        <v>487</v>
      </c>
      <c r="Q1103" s="211">
        <v>28.3</v>
      </c>
      <c r="R1103" s="211">
        <v>-2.5</v>
      </c>
      <c r="S1103" s="211" t="s">
        <v>1731</v>
      </c>
    </row>
    <row r="1104" spans="1:19" ht="16" customHeight="1">
      <c r="A1104" s="212" t="s">
        <v>169</v>
      </c>
      <c r="B1104" s="212" t="s">
        <v>588</v>
      </c>
      <c r="C1104" s="233" t="s">
        <v>150</v>
      </c>
      <c r="D1104" s="234" t="s">
        <v>151</v>
      </c>
      <c r="E1104" s="212" t="s">
        <v>1773</v>
      </c>
      <c r="F1104" s="212">
        <v>1995</v>
      </c>
      <c r="G1104" s="212" t="s">
        <v>1723</v>
      </c>
      <c r="H1104" s="212" t="s">
        <v>1878</v>
      </c>
      <c r="I1104" s="212" t="s">
        <v>1896</v>
      </c>
      <c r="J1104" s="212" t="s">
        <v>104</v>
      </c>
      <c r="K1104" s="227" t="s">
        <v>1768</v>
      </c>
      <c r="L1104" s="227" t="s">
        <v>1729</v>
      </c>
      <c r="M1104" t="s">
        <v>1789</v>
      </c>
      <c r="N1104" s="211">
        <v>-1.26</v>
      </c>
      <c r="O1104" s="211">
        <v>-10.058999999999999</v>
      </c>
      <c r="P1104" s="211" t="s">
        <v>487</v>
      </c>
      <c r="Q1104" s="211">
        <v>28.7</v>
      </c>
      <c r="R1104" s="211">
        <v>-2.1</v>
      </c>
      <c r="S1104" s="211" t="s">
        <v>1731</v>
      </c>
    </row>
    <row r="1105" spans="1:21" ht="16" customHeight="1">
      <c r="A1105" s="212" t="s">
        <v>169</v>
      </c>
      <c r="B1105" s="212" t="s">
        <v>588</v>
      </c>
      <c r="C1105" s="233" t="s">
        <v>150</v>
      </c>
      <c r="D1105" s="234" t="s">
        <v>151</v>
      </c>
      <c r="E1105" s="212" t="s">
        <v>1773</v>
      </c>
      <c r="F1105" s="212">
        <v>2000</v>
      </c>
      <c r="G1105" s="212" t="s">
        <v>1723</v>
      </c>
      <c r="H1105" s="212" t="s">
        <v>1878</v>
      </c>
      <c r="I1105" s="212" t="s">
        <v>1896</v>
      </c>
      <c r="J1105" s="212" t="s">
        <v>104</v>
      </c>
      <c r="K1105" s="227" t="s">
        <v>1768</v>
      </c>
      <c r="L1105" s="227" t="s">
        <v>1729</v>
      </c>
      <c r="M1105" t="s">
        <v>1789</v>
      </c>
      <c r="N1105" s="211">
        <v>-3.13</v>
      </c>
      <c r="O1105" s="211">
        <v>-11.929</v>
      </c>
      <c r="P1105" s="211" t="s">
        <v>487</v>
      </c>
      <c r="Q1105" s="211">
        <v>29.2</v>
      </c>
      <c r="R1105" s="211">
        <v>-1.6</v>
      </c>
      <c r="S1105" s="211" t="s">
        <v>1731</v>
      </c>
    </row>
    <row r="1106" spans="1:21" ht="16" customHeight="1">
      <c r="A1106" s="212" t="s">
        <v>169</v>
      </c>
      <c r="B1106" s="212" t="s">
        <v>588</v>
      </c>
      <c r="C1106" s="233" t="s">
        <v>150</v>
      </c>
      <c r="D1106" s="234" t="s">
        <v>151</v>
      </c>
      <c r="E1106" s="212" t="s">
        <v>1773</v>
      </c>
      <c r="F1106" s="212">
        <v>2036</v>
      </c>
      <c r="G1106" s="212" t="s">
        <v>1723</v>
      </c>
      <c r="H1106" s="212" t="s">
        <v>1878</v>
      </c>
      <c r="I1106" s="212" t="s">
        <v>968</v>
      </c>
      <c r="J1106" s="212" t="s">
        <v>104</v>
      </c>
      <c r="K1106" s="227" t="s">
        <v>1768</v>
      </c>
      <c r="L1106" s="227" t="s">
        <v>1729</v>
      </c>
      <c r="M1106" t="s">
        <v>1789</v>
      </c>
      <c r="N1106" s="211">
        <v>-1.37</v>
      </c>
      <c r="O1106" s="211">
        <v>-10.169</v>
      </c>
      <c r="P1106" s="211" t="s">
        <v>487</v>
      </c>
      <c r="Q1106" s="211">
        <v>27.1</v>
      </c>
      <c r="R1106" s="211">
        <v>-3.7</v>
      </c>
      <c r="S1106" s="211" t="s">
        <v>1731</v>
      </c>
    </row>
    <row r="1107" spans="1:21" ht="16" customHeight="1">
      <c r="A1107" s="212" t="s">
        <v>169</v>
      </c>
      <c r="B1107" s="212" t="s">
        <v>588</v>
      </c>
      <c r="C1107" s="233" t="s">
        <v>150</v>
      </c>
      <c r="D1107" s="234" t="s">
        <v>151</v>
      </c>
      <c r="E1107" s="212" t="s">
        <v>1773</v>
      </c>
      <c r="F1107" s="212">
        <v>2720</v>
      </c>
      <c r="G1107" s="212" t="s">
        <v>1723</v>
      </c>
      <c r="H1107" s="212" t="s">
        <v>1878</v>
      </c>
      <c r="I1107" s="212" t="s">
        <v>1787</v>
      </c>
      <c r="J1107" s="212" t="s">
        <v>104</v>
      </c>
      <c r="K1107" s="227" t="s">
        <v>1768</v>
      </c>
      <c r="L1107" s="227" t="s">
        <v>1729</v>
      </c>
      <c r="M1107" t="s">
        <v>1789</v>
      </c>
      <c r="N1107" s="211">
        <v>-2.59</v>
      </c>
      <c r="O1107" s="211">
        <v>-11.388999999999999</v>
      </c>
      <c r="P1107" s="211" t="s">
        <v>487</v>
      </c>
      <c r="Q1107" s="211">
        <v>29.9</v>
      </c>
      <c r="R1107" s="211">
        <v>-0.9</v>
      </c>
      <c r="S1107" s="211" t="s">
        <v>1731</v>
      </c>
    </row>
    <row r="1108" spans="1:21" ht="16" customHeight="1">
      <c r="A1108" s="212" t="s">
        <v>169</v>
      </c>
      <c r="B1108" s="212" t="s">
        <v>588</v>
      </c>
      <c r="C1108" s="233" t="s">
        <v>150</v>
      </c>
      <c r="D1108" s="234" t="s">
        <v>151</v>
      </c>
      <c r="E1108" s="212" t="s">
        <v>1773</v>
      </c>
      <c r="F1108" s="212">
        <v>2819</v>
      </c>
      <c r="G1108" s="212" t="s">
        <v>1723</v>
      </c>
      <c r="H1108" s="212" t="s">
        <v>1878</v>
      </c>
      <c r="I1108" s="212" t="s">
        <v>968</v>
      </c>
      <c r="J1108" s="212" t="s">
        <v>104</v>
      </c>
      <c r="K1108" s="227" t="s">
        <v>1768</v>
      </c>
      <c r="L1108" s="227" t="s">
        <v>1729</v>
      </c>
      <c r="M1108" t="s">
        <v>1734</v>
      </c>
      <c r="N1108" s="211">
        <v>-2.52</v>
      </c>
      <c r="O1108" s="211">
        <v>-11.319000000000001</v>
      </c>
      <c r="P1108" s="211" t="s">
        <v>487</v>
      </c>
      <c r="Q1108" s="211">
        <v>27.7</v>
      </c>
      <c r="R1108" s="211">
        <v>-3.1</v>
      </c>
      <c r="S1108" s="211" t="s">
        <v>1731</v>
      </c>
    </row>
    <row r="1109" spans="1:21" ht="16" customHeight="1">
      <c r="A1109" s="212" t="s">
        <v>169</v>
      </c>
      <c r="B1109" s="212" t="s">
        <v>588</v>
      </c>
      <c r="C1109" s="233" t="s">
        <v>150</v>
      </c>
      <c r="D1109" s="234" t="s">
        <v>151</v>
      </c>
      <c r="E1109" s="212" t="s">
        <v>1773</v>
      </c>
      <c r="F1109" s="212">
        <v>3016</v>
      </c>
      <c r="G1109" s="212" t="s">
        <v>1723</v>
      </c>
      <c r="H1109" s="212" t="s">
        <v>1878</v>
      </c>
      <c r="I1109" s="212" t="s">
        <v>1787</v>
      </c>
      <c r="J1109" s="212" t="s">
        <v>104</v>
      </c>
      <c r="K1109" s="227" t="s">
        <v>1768</v>
      </c>
      <c r="L1109" s="227" t="s">
        <v>1729</v>
      </c>
      <c r="M1109" t="s">
        <v>1789</v>
      </c>
      <c r="N1109" s="211">
        <v>-3.11</v>
      </c>
      <c r="O1109" s="211">
        <v>-11.909000000000001</v>
      </c>
      <c r="P1109" s="211" t="s">
        <v>487</v>
      </c>
      <c r="Q1109" s="211">
        <v>28</v>
      </c>
      <c r="R1109" s="211">
        <v>-2.8</v>
      </c>
      <c r="S1109" s="211" t="s">
        <v>1731</v>
      </c>
    </row>
    <row r="1110" spans="1:21" s="209" customFormat="1" ht="19">
      <c r="A1110" s="212" t="s">
        <v>169</v>
      </c>
      <c r="B1110" s="212" t="s">
        <v>588</v>
      </c>
      <c r="C1110" s="233" t="s">
        <v>150</v>
      </c>
      <c r="D1110" s="234" t="s">
        <v>151</v>
      </c>
      <c r="E1110" s="212" t="s">
        <v>1897</v>
      </c>
      <c r="F1110" s="212" t="s">
        <v>1898</v>
      </c>
      <c r="G1110" s="212" t="s">
        <v>1723</v>
      </c>
      <c r="H1110" s="212" t="s">
        <v>1878</v>
      </c>
      <c r="I1110" s="212" t="s">
        <v>1899</v>
      </c>
      <c r="J1110" s="212" t="s">
        <v>104</v>
      </c>
      <c r="K1110" s="227" t="s">
        <v>1768</v>
      </c>
      <c r="L1110" s="227" t="s">
        <v>1729</v>
      </c>
      <c r="M1110" t="s">
        <v>1789</v>
      </c>
      <c r="N1110" s="211">
        <v>-4.72</v>
      </c>
      <c r="O1110" s="211">
        <v>-13.519</v>
      </c>
      <c r="P1110" s="211" t="s">
        <v>487</v>
      </c>
      <c r="Q1110" s="211">
        <v>30.3</v>
      </c>
      <c r="R1110" s="211">
        <v>-0.5</v>
      </c>
      <c r="S1110" s="211" t="s">
        <v>1731</v>
      </c>
      <c r="T1110" s="212"/>
      <c r="U1110" s="212"/>
    </row>
    <row r="1111" spans="1:21" s="209" customFormat="1" ht="19">
      <c r="A1111" s="212" t="s">
        <v>169</v>
      </c>
      <c r="B1111" s="212" t="s">
        <v>588</v>
      </c>
      <c r="C1111" s="233" t="s">
        <v>150</v>
      </c>
      <c r="D1111" s="234" t="s">
        <v>151</v>
      </c>
      <c r="E1111" s="212" t="s">
        <v>1776</v>
      </c>
      <c r="F1111" s="212">
        <v>60124</v>
      </c>
      <c r="G1111" s="212" t="s">
        <v>1723</v>
      </c>
      <c r="H1111" s="212" t="s">
        <v>1878</v>
      </c>
      <c r="I1111" s="212" t="s">
        <v>1788</v>
      </c>
      <c r="J1111" s="212" t="s">
        <v>104</v>
      </c>
      <c r="K1111" s="227" t="s">
        <v>1768</v>
      </c>
      <c r="L1111" s="227" t="s">
        <v>1729</v>
      </c>
      <c r="M1111" t="s">
        <v>1747</v>
      </c>
      <c r="N1111" s="211">
        <v>-6.46</v>
      </c>
      <c r="O1111" s="211">
        <v>-15.259</v>
      </c>
      <c r="P1111" s="211" t="s">
        <v>487</v>
      </c>
      <c r="Q1111" s="211">
        <v>28.7</v>
      </c>
      <c r="R1111" s="211">
        <v>-2.1</v>
      </c>
      <c r="S1111" s="211" t="s">
        <v>1731</v>
      </c>
      <c r="T1111" s="212"/>
      <c r="U1111" s="212"/>
    </row>
    <row r="1112" spans="1:21" s="209" customFormat="1">
      <c r="A1112" s="212" t="s">
        <v>169</v>
      </c>
      <c r="B1112" s="212" t="s">
        <v>588</v>
      </c>
      <c r="C1112" s="233" t="s">
        <v>150</v>
      </c>
      <c r="D1112" s="233" t="s">
        <v>151</v>
      </c>
      <c r="E1112" s="212" t="s">
        <v>1776</v>
      </c>
      <c r="F1112" s="212">
        <v>60130</v>
      </c>
      <c r="G1112" s="212" t="s">
        <v>1723</v>
      </c>
      <c r="H1112" s="212" t="s">
        <v>1878</v>
      </c>
      <c r="I1112" s="212" t="s">
        <v>1788</v>
      </c>
      <c r="J1112" s="212" t="s">
        <v>104</v>
      </c>
      <c r="K1112" s="227" t="s">
        <v>1768</v>
      </c>
      <c r="L1112" s="227" t="s">
        <v>1729</v>
      </c>
      <c r="M1112" t="s">
        <v>1739</v>
      </c>
      <c r="N1112" s="211">
        <v>-3.93</v>
      </c>
      <c r="O1112" s="211">
        <v>-12.728999999999999</v>
      </c>
      <c r="P1112" s="211" t="s">
        <v>487</v>
      </c>
      <c r="Q1112" s="211">
        <v>32</v>
      </c>
      <c r="R1112" s="211">
        <v>1.1000000000000001</v>
      </c>
      <c r="S1112" s="211" t="s">
        <v>1731</v>
      </c>
      <c r="T1112" s="212"/>
      <c r="U1112" s="212"/>
    </row>
    <row r="1113" spans="1:21" s="209" customFormat="1" ht="19">
      <c r="A1113" s="212" t="s">
        <v>169</v>
      </c>
      <c r="B1113" s="212" t="s">
        <v>588</v>
      </c>
      <c r="C1113" s="233" t="s">
        <v>150</v>
      </c>
      <c r="D1113" s="234" t="s">
        <v>151</v>
      </c>
      <c r="E1113" s="212" t="s">
        <v>1776</v>
      </c>
      <c r="F1113" s="212">
        <v>60188</v>
      </c>
      <c r="G1113" s="212" t="s">
        <v>1723</v>
      </c>
      <c r="H1113" s="212" t="s">
        <v>1878</v>
      </c>
      <c r="I1113" s="212" t="s">
        <v>1788</v>
      </c>
      <c r="J1113" s="212" t="s">
        <v>104</v>
      </c>
      <c r="K1113" s="227" t="s">
        <v>1768</v>
      </c>
      <c r="L1113" s="227" t="s">
        <v>1729</v>
      </c>
      <c r="M1113" t="s">
        <v>1789</v>
      </c>
      <c r="N1113" s="211">
        <v>-7.44</v>
      </c>
      <c r="O1113" s="211">
        <v>-16.239000000000001</v>
      </c>
      <c r="P1113" s="211" t="s">
        <v>487</v>
      </c>
      <c r="Q1113" s="211">
        <v>30.8</v>
      </c>
      <c r="R1113" s="211">
        <v>0</v>
      </c>
      <c r="S1113" s="211" t="s">
        <v>1731</v>
      </c>
      <c r="T1113" s="212"/>
      <c r="U1113" s="212"/>
    </row>
    <row r="1114" spans="1:21" s="209" customFormat="1">
      <c r="A1114" s="212" t="s">
        <v>169</v>
      </c>
      <c r="B1114" s="212" t="s">
        <v>588</v>
      </c>
      <c r="C1114" s="233" t="s">
        <v>150</v>
      </c>
      <c r="D1114" s="233" t="s">
        <v>151</v>
      </c>
      <c r="E1114" s="212" t="s">
        <v>1776</v>
      </c>
      <c r="F1114" s="212">
        <v>60240</v>
      </c>
      <c r="G1114" s="212" t="s">
        <v>1723</v>
      </c>
      <c r="H1114" s="212" t="s">
        <v>1878</v>
      </c>
      <c r="I1114" s="212" t="s">
        <v>1788</v>
      </c>
      <c r="J1114" s="212" t="s">
        <v>104</v>
      </c>
      <c r="K1114" s="212" t="s">
        <v>1768</v>
      </c>
      <c r="L1114" s="227" t="s">
        <v>1729</v>
      </c>
      <c r="M1114" s="206" t="s">
        <v>1747</v>
      </c>
      <c r="N1114" s="211">
        <v>-4.96</v>
      </c>
      <c r="O1114" s="211">
        <v>-13.759</v>
      </c>
      <c r="P1114" s="211" t="s">
        <v>487</v>
      </c>
      <c r="Q1114" s="211">
        <v>30.2</v>
      </c>
      <c r="R1114" s="211">
        <v>-0.7</v>
      </c>
      <c r="S1114" s="211" t="s">
        <v>1731</v>
      </c>
      <c r="T1114" s="212"/>
      <c r="U1114" s="212"/>
    </row>
    <row r="1115" spans="1:21" s="209" customFormat="1">
      <c r="A1115" s="212" t="s">
        <v>169</v>
      </c>
      <c r="B1115" s="212" t="s">
        <v>588</v>
      </c>
      <c r="C1115" s="233" t="s">
        <v>150</v>
      </c>
      <c r="D1115" s="233" t="s">
        <v>151</v>
      </c>
      <c r="E1115" s="212" t="s">
        <v>1776</v>
      </c>
      <c r="F1115" s="212">
        <v>60292</v>
      </c>
      <c r="G1115" s="212" t="s">
        <v>1723</v>
      </c>
      <c r="H1115" s="212" t="s">
        <v>1878</v>
      </c>
      <c r="I1115" s="212" t="s">
        <v>1900</v>
      </c>
      <c r="J1115" s="212" t="s">
        <v>104</v>
      </c>
      <c r="K1115" s="212" t="s">
        <v>1768</v>
      </c>
      <c r="L1115" s="227" t="s">
        <v>1729</v>
      </c>
      <c r="M1115" s="206" t="s">
        <v>1892</v>
      </c>
      <c r="N1115" s="211">
        <v>-4.32</v>
      </c>
      <c r="O1115" s="211">
        <v>-13.119</v>
      </c>
      <c r="P1115" s="211" t="s">
        <v>487</v>
      </c>
      <c r="Q1115" s="211">
        <v>29.9</v>
      </c>
      <c r="R1115" s="211">
        <v>-0.9</v>
      </c>
      <c r="S1115" s="211" t="s">
        <v>1731</v>
      </c>
      <c r="T1115" s="212"/>
      <c r="U1115" s="212"/>
    </row>
    <row r="1116" spans="1:21" s="209" customFormat="1">
      <c r="A1116" s="212" t="s">
        <v>169</v>
      </c>
      <c r="B1116" s="212" t="s">
        <v>588</v>
      </c>
      <c r="C1116" s="233" t="s">
        <v>150</v>
      </c>
      <c r="D1116" s="233" t="s">
        <v>151</v>
      </c>
      <c r="E1116" s="212" t="s">
        <v>1776</v>
      </c>
      <c r="F1116" s="212">
        <v>60442</v>
      </c>
      <c r="G1116" s="212" t="s">
        <v>1723</v>
      </c>
      <c r="H1116" s="212" t="s">
        <v>1878</v>
      </c>
      <c r="I1116" s="212" t="s">
        <v>1900</v>
      </c>
      <c r="J1116" s="212" t="s">
        <v>104</v>
      </c>
      <c r="K1116" s="212" t="s">
        <v>1768</v>
      </c>
      <c r="L1116" s="227" t="s">
        <v>1729</v>
      </c>
      <c r="M1116" s="206" t="s">
        <v>1892</v>
      </c>
      <c r="N1116" s="211">
        <v>-4.58</v>
      </c>
      <c r="O1116" s="211">
        <v>-13.379</v>
      </c>
      <c r="P1116" s="211" t="s">
        <v>487</v>
      </c>
      <c r="Q1116" s="211">
        <v>30.6</v>
      </c>
      <c r="R1116" s="211">
        <v>-0.3</v>
      </c>
      <c r="S1116" s="211" t="s">
        <v>1731</v>
      </c>
      <c r="T1116" s="212"/>
      <c r="U1116" s="212"/>
    </row>
    <row r="1117" spans="1:21" s="209" customFormat="1">
      <c r="A1117" s="212" t="s">
        <v>169</v>
      </c>
      <c r="B1117" s="212" t="s">
        <v>588</v>
      </c>
      <c r="C1117" s="233" t="s">
        <v>150</v>
      </c>
      <c r="D1117" s="233" t="s">
        <v>151</v>
      </c>
      <c r="E1117" s="212" t="s">
        <v>1776</v>
      </c>
      <c r="F1117" s="212">
        <v>60531</v>
      </c>
      <c r="G1117" s="212" t="s">
        <v>1723</v>
      </c>
      <c r="H1117" s="212" t="s">
        <v>1878</v>
      </c>
      <c r="I1117" s="212" t="s">
        <v>1901</v>
      </c>
      <c r="J1117" s="212" t="s">
        <v>104</v>
      </c>
      <c r="K1117" s="212" t="s">
        <v>1768</v>
      </c>
      <c r="L1117" s="227" t="s">
        <v>1729</v>
      </c>
      <c r="M1117" s="206" t="s">
        <v>1775</v>
      </c>
      <c r="N1117" s="211">
        <v>-5.31</v>
      </c>
      <c r="O1117" s="211">
        <v>-14.109</v>
      </c>
      <c r="P1117" s="211" t="s">
        <v>487</v>
      </c>
      <c r="Q1117" s="211">
        <v>30.4</v>
      </c>
      <c r="R1117" s="211">
        <v>-0.5</v>
      </c>
      <c r="S1117" s="211" t="s">
        <v>1731</v>
      </c>
      <c r="T1117" s="212"/>
      <c r="U1117" s="212"/>
    </row>
    <row r="1118" spans="1:21" s="209" customFormat="1">
      <c r="A1118" s="212" t="s">
        <v>169</v>
      </c>
      <c r="B1118" s="212" t="s">
        <v>588</v>
      </c>
      <c r="C1118" s="233" t="s">
        <v>150</v>
      </c>
      <c r="D1118" s="233" t="s">
        <v>151</v>
      </c>
      <c r="E1118" s="212" t="s">
        <v>1776</v>
      </c>
      <c r="F1118" s="212">
        <v>60731</v>
      </c>
      <c r="G1118" s="212" t="s">
        <v>1723</v>
      </c>
      <c r="H1118" s="212" t="s">
        <v>1878</v>
      </c>
      <c r="I1118" s="212" t="s">
        <v>1902</v>
      </c>
      <c r="J1118" s="212" t="s">
        <v>104</v>
      </c>
      <c r="K1118" s="212" t="s">
        <v>1768</v>
      </c>
      <c r="L1118" s="227" t="s">
        <v>1729</v>
      </c>
      <c r="M1118" s="206" t="s">
        <v>186</v>
      </c>
      <c r="N1118" s="211">
        <v>-6.31</v>
      </c>
      <c r="O1118" s="211">
        <v>-15.109</v>
      </c>
      <c r="P1118" s="211" t="s">
        <v>487</v>
      </c>
      <c r="Q1118" s="211">
        <v>28.8</v>
      </c>
      <c r="R1118" s="211">
        <v>-2</v>
      </c>
      <c r="S1118" s="211" t="s">
        <v>1731</v>
      </c>
      <c r="T1118" s="212"/>
      <c r="U1118" s="212"/>
    </row>
    <row r="1119" spans="1:21" s="209" customFormat="1">
      <c r="A1119" s="212" t="s">
        <v>169</v>
      </c>
      <c r="B1119" s="212" t="s">
        <v>588</v>
      </c>
      <c r="C1119" s="233" t="s">
        <v>150</v>
      </c>
      <c r="D1119" s="233" t="s">
        <v>151</v>
      </c>
      <c r="E1119" s="212" t="s">
        <v>1776</v>
      </c>
      <c r="F1119" s="212">
        <v>60827</v>
      </c>
      <c r="G1119" s="212" t="s">
        <v>1723</v>
      </c>
      <c r="H1119" s="212" t="s">
        <v>1878</v>
      </c>
      <c r="I1119" s="212" t="s">
        <v>1901</v>
      </c>
      <c r="J1119" s="212" t="s">
        <v>104</v>
      </c>
      <c r="K1119" s="212" t="s">
        <v>1768</v>
      </c>
      <c r="L1119" s="227" t="s">
        <v>1729</v>
      </c>
      <c r="M1119" s="206" t="s">
        <v>186</v>
      </c>
      <c r="N1119" s="211">
        <v>-7.09</v>
      </c>
      <c r="O1119" s="211">
        <v>-15.888999999999999</v>
      </c>
      <c r="P1119" s="211" t="s">
        <v>487</v>
      </c>
      <c r="Q1119" s="211">
        <v>27.8</v>
      </c>
      <c r="R1119" s="211">
        <v>-3</v>
      </c>
      <c r="S1119" s="211" t="s">
        <v>1731</v>
      </c>
      <c r="T1119" s="212"/>
      <c r="U1119" s="212"/>
    </row>
    <row r="1120" spans="1:21" s="209" customFormat="1">
      <c r="A1120" s="212" t="s">
        <v>169</v>
      </c>
      <c r="B1120" s="212" t="s">
        <v>588</v>
      </c>
      <c r="C1120" s="233" t="s">
        <v>150</v>
      </c>
      <c r="D1120" s="233" t="s">
        <v>151</v>
      </c>
      <c r="E1120" s="212" t="s">
        <v>1776</v>
      </c>
      <c r="F1120" s="212">
        <v>60840</v>
      </c>
      <c r="G1120" s="212" t="s">
        <v>1723</v>
      </c>
      <c r="H1120" s="212" t="s">
        <v>1878</v>
      </c>
      <c r="I1120" s="212" t="s">
        <v>1901</v>
      </c>
      <c r="J1120" s="212" t="s">
        <v>104</v>
      </c>
      <c r="K1120" s="212" t="s">
        <v>1768</v>
      </c>
      <c r="L1120" s="227" t="s">
        <v>1729</v>
      </c>
      <c r="M1120" s="206" t="s">
        <v>1734</v>
      </c>
      <c r="N1120" s="211">
        <v>-4.74</v>
      </c>
      <c r="O1120" s="211">
        <v>-13.539</v>
      </c>
      <c r="P1120" s="211" t="s">
        <v>487</v>
      </c>
      <c r="Q1120" s="211">
        <v>32.299999999999997</v>
      </c>
      <c r="R1120" s="211">
        <v>1.4</v>
      </c>
      <c r="S1120" s="211" t="s">
        <v>1731</v>
      </c>
      <c r="T1120" s="212"/>
      <c r="U1120" s="212"/>
    </row>
    <row r="1121" spans="1:21" s="209" customFormat="1">
      <c r="A1121" s="212" t="s">
        <v>169</v>
      </c>
      <c r="B1121" s="212" t="s">
        <v>588</v>
      </c>
      <c r="C1121" s="233" t="s">
        <v>150</v>
      </c>
      <c r="D1121" s="233" t="s">
        <v>151</v>
      </c>
      <c r="E1121" s="212" t="s">
        <v>1776</v>
      </c>
      <c r="F1121" s="212">
        <v>60855</v>
      </c>
      <c r="G1121" s="212" t="s">
        <v>1723</v>
      </c>
      <c r="H1121" s="212" t="s">
        <v>1878</v>
      </c>
      <c r="I1121" s="212" t="s">
        <v>1788</v>
      </c>
      <c r="J1121" s="212" t="s">
        <v>104</v>
      </c>
      <c r="K1121" s="212" t="s">
        <v>1768</v>
      </c>
      <c r="L1121" s="227" t="s">
        <v>1729</v>
      </c>
      <c r="M1121" s="206" t="s">
        <v>1747</v>
      </c>
      <c r="N1121" s="211">
        <v>-4.93</v>
      </c>
      <c r="O1121" s="211">
        <v>-13.728999999999999</v>
      </c>
      <c r="P1121" s="211" t="s">
        <v>487</v>
      </c>
      <c r="Q1121" s="211">
        <v>30.2</v>
      </c>
      <c r="R1121" s="211">
        <v>-0.7</v>
      </c>
      <c r="S1121" s="211" t="s">
        <v>1731</v>
      </c>
      <c r="T1121" s="212"/>
      <c r="U1121" s="212"/>
    </row>
    <row r="1122" spans="1:21" s="209" customFormat="1">
      <c r="A1122" s="212" t="s">
        <v>169</v>
      </c>
      <c r="B1122" s="212" t="s">
        <v>588</v>
      </c>
      <c r="C1122" s="233" t="s">
        <v>150</v>
      </c>
      <c r="D1122" s="233" t="s">
        <v>151</v>
      </c>
      <c r="E1122" s="212" t="s">
        <v>1776</v>
      </c>
      <c r="F1122" s="212">
        <v>61236</v>
      </c>
      <c r="G1122" s="212" t="s">
        <v>1723</v>
      </c>
      <c r="H1122" s="212" t="s">
        <v>1878</v>
      </c>
      <c r="I1122" s="212" t="s">
        <v>1902</v>
      </c>
      <c r="J1122" s="212" t="s">
        <v>104</v>
      </c>
      <c r="K1122" s="212" t="s">
        <v>1768</v>
      </c>
      <c r="L1122" s="227" t="s">
        <v>1729</v>
      </c>
      <c r="M1122" s="206" t="s">
        <v>186</v>
      </c>
      <c r="N1122" s="211">
        <v>-3.51</v>
      </c>
      <c r="O1122" s="211">
        <v>-12.308999999999999</v>
      </c>
      <c r="P1122" s="211" t="s">
        <v>487</v>
      </c>
      <c r="Q1122" s="211">
        <v>27.1</v>
      </c>
      <c r="R1122" s="211">
        <v>-3.6</v>
      </c>
      <c r="S1122" s="211" t="s">
        <v>1731</v>
      </c>
      <c r="T1122" s="212"/>
      <c r="U1122" s="212"/>
    </row>
    <row r="1123" spans="1:21" s="209" customFormat="1">
      <c r="A1123" s="212" t="s">
        <v>169</v>
      </c>
      <c r="B1123" s="212" t="s">
        <v>588</v>
      </c>
      <c r="C1123" s="233" t="s">
        <v>150</v>
      </c>
      <c r="D1123" s="233" t="s">
        <v>151</v>
      </c>
      <c r="E1123" s="212" t="s">
        <v>1776</v>
      </c>
      <c r="F1123" s="212">
        <v>61245</v>
      </c>
      <c r="G1123" s="212" t="s">
        <v>1723</v>
      </c>
      <c r="H1123" s="212" t="s">
        <v>1878</v>
      </c>
      <c r="I1123" s="212" t="s">
        <v>1902</v>
      </c>
      <c r="J1123" s="212" t="s">
        <v>104</v>
      </c>
      <c r="K1123" s="212" t="s">
        <v>1768</v>
      </c>
      <c r="L1123" s="227" t="s">
        <v>1729</v>
      </c>
      <c r="M1123" s="206" t="s">
        <v>1789</v>
      </c>
      <c r="N1123" s="211">
        <v>-6.05</v>
      </c>
      <c r="O1123" s="211">
        <v>-14.849</v>
      </c>
      <c r="P1123" s="211" t="s">
        <v>487</v>
      </c>
      <c r="Q1123" s="211">
        <v>28.6</v>
      </c>
      <c r="R1123" s="211">
        <v>-2.2000000000000002</v>
      </c>
      <c r="S1123" s="211" t="s">
        <v>1731</v>
      </c>
      <c r="T1123" s="212"/>
      <c r="U1123" s="212"/>
    </row>
    <row r="1124" spans="1:21" s="209" customFormat="1">
      <c r="A1124" s="212" t="s">
        <v>169</v>
      </c>
      <c r="B1124" s="212" t="s">
        <v>588</v>
      </c>
      <c r="C1124" s="233" t="s">
        <v>150</v>
      </c>
      <c r="D1124" s="233" t="s">
        <v>151</v>
      </c>
      <c r="E1124" s="212" t="s">
        <v>1776</v>
      </c>
      <c r="F1124" s="212">
        <v>61246</v>
      </c>
      <c r="G1124" s="212" t="s">
        <v>1723</v>
      </c>
      <c r="H1124" s="212" t="s">
        <v>1878</v>
      </c>
      <c r="I1124" s="212" t="s">
        <v>1902</v>
      </c>
      <c r="J1124" s="212" t="s">
        <v>104</v>
      </c>
      <c r="K1124" s="212" t="s">
        <v>1768</v>
      </c>
      <c r="L1124" s="227" t="s">
        <v>1729</v>
      </c>
      <c r="M1124" s="206" t="s">
        <v>1789</v>
      </c>
      <c r="N1124" s="211">
        <v>-2.89</v>
      </c>
      <c r="O1124" s="211">
        <v>-11.689</v>
      </c>
      <c r="P1124" s="211" t="s">
        <v>487</v>
      </c>
      <c r="Q1124" s="211">
        <v>31.6</v>
      </c>
      <c r="R1124" s="211">
        <v>0.7</v>
      </c>
      <c r="S1124" s="211" t="s">
        <v>1731</v>
      </c>
      <c r="T1124" s="212"/>
      <c r="U1124" s="212"/>
    </row>
    <row r="1125" spans="1:21" s="209" customFormat="1">
      <c r="A1125" s="212" t="s">
        <v>169</v>
      </c>
      <c r="B1125" s="212" t="s">
        <v>588</v>
      </c>
      <c r="C1125" s="233" t="s">
        <v>150</v>
      </c>
      <c r="D1125" s="233" t="s">
        <v>151</v>
      </c>
      <c r="E1125" s="212" t="s">
        <v>1776</v>
      </c>
      <c r="F1125" s="212" t="s">
        <v>1903</v>
      </c>
      <c r="G1125" s="212" t="s">
        <v>1723</v>
      </c>
      <c r="H1125" s="212" t="s">
        <v>1878</v>
      </c>
      <c r="I1125" s="212" t="s">
        <v>1901</v>
      </c>
      <c r="J1125" s="212" t="s">
        <v>104</v>
      </c>
      <c r="K1125" s="212" t="s">
        <v>1768</v>
      </c>
      <c r="L1125" s="227" t="s">
        <v>1729</v>
      </c>
      <c r="M1125" s="206" t="s">
        <v>186</v>
      </c>
      <c r="N1125" s="211">
        <v>-5.88</v>
      </c>
      <c r="O1125" s="211">
        <v>-14.679</v>
      </c>
      <c r="P1125" s="211" t="s">
        <v>487</v>
      </c>
      <c r="Q1125" s="211">
        <v>29.6</v>
      </c>
      <c r="R1125" s="211">
        <v>-1.3</v>
      </c>
      <c r="S1125" s="211" t="s">
        <v>1731</v>
      </c>
      <c r="T1125" s="212"/>
      <c r="U1125" s="212"/>
    </row>
    <row r="1126" spans="1:21" s="209" customFormat="1">
      <c r="A1126" s="212" t="s">
        <v>169</v>
      </c>
      <c r="B1126" s="212" t="s">
        <v>588</v>
      </c>
      <c r="C1126" s="233" t="s">
        <v>150</v>
      </c>
      <c r="D1126" s="233" t="s">
        <v>151</v>
      </c>
      <c r="E1126" s="212">
        <v>908</v>
      </c>
      <c r="F1126" s="212">
        <v>2362</v>
      </c>
      <c r="G1126" s="212" t="s">
        <v>1723</v>
      </c>
      <c r="H1126" s="212" t="s">
        <v>1811</v>
      </c>
      <c r="I1126" s="212" t="s">
        <v>250</v>
      </c>
      <c r="J1126" s="212" t="s">
        <v>104</v>
      </c>
      <c r="K1126" s="212" t="s">
        <v>269</v>
      </c>
      <c r="L1126" s="227" t="s">
        <v>1725</v>
      </c>
      <c r="M1126" s="206" t="s">
        <v>1738</v>
      </c>
      <c r="N1126" s="211">
        <v>-27.7</v>
      </c>
      <c r="O1126" s="211" t="s">
        <v>1731</v>
      </c>
      <c r="P1126" s="211" t="s">
        <v>463</v>
      </c>
      <c r="Q1126" s="211"/>
      <c r="R1126" s="211"/>
      <c r="S1126" s="211" t="s">
        <v>1731</v>
      </c>
      <c r="T1126" s="212"/>
      <c r="U1126" s="212"/>
    </row>
    <row r="1127" spans="1:21" s="209" customFormat="1">
      <c r="A1127" s="212" t="s">
        <v>169</v>
      </c>
      <c r="B1127" s="212" t="s">
        <v>588</v>
      </c>
      <c r="C1127" s="233" t="s">
        <v>150</v>
      </c>
      <c r="D1127" s="233" t="s">
        <v>151</v>
      </c>
      <c r="E1127" s="212">
        <v>908</v>
      </c>
      <c r="F1127" s="212">
        <v>2364</v>
      </c>
      <c r="G1127" s="212" t="s">
        <v>1723</v>
      </c>
      <c r="H1127" s="212" t="s">
        <v>1878</v>
      </c>
      <c r="I1127" s="212" t="s">
        <v>250</v>
      </c>
      <c r="J1127" s="212" t="s">
        <v>104</v>
      </c>
      <c r="K1127" s="212" t="s">
        <v>269</v>
      </c>
      <c r="L1127" s="227" t="s">
        <v>1725</v>
      </c>
      <c r="M1127" s="206" t="s">
        <v>1738</v>
      </c>
      <c r="N1127" s="211" t="s">
        <v>463</v>
      </c>
      <c r="O1127" s="211" t="s">
        <v>1731</v>
      </c>
      <c r="P1127" s="211" t="s">
        <v>463</v>
      </c>
      <c r="Q1127" s="211"/>
      <c r="R1127" s="211"/>
      <c r="S1127" s="211" t="s">
        <v>1731</v>
      </c>
      <c r="T1127" s="212"/>
      <c r="U1127" s="212"/>
    </row>
    <row r="1128" spans="1:21" s="209" customFormat="1">
      <c r="A1128" s="212" t="s">
        <v>169</v>
      </c>
      <c r="B1128" s="212" t="s">
        <v>588</v>
      </c>
      <c r="C1128" s="233" t="s">
        <v>150</v>
      </c>
      <c r="D1128" s="233" t="s">
        <v>151</v>
      </c>
      <c r="E1128" s="212">
        <v>908</v>
      </c>
      <c r="F1128" s="212">
        <v>2398</v>
      </c>
      <c r="G1128" s="212" t="s">
        <v>1723</v>
      </c>
      <c r="H1128" s="212" t="s">
        <v>1878</v>
      </c>
      <c r="I1128" s="212" t="s">
        <v>250</v>
      </c>
      <c r="J1128" s="212" t="s">
        <v>104</v>
      </c>
      <c r="K1128" s="212" t="s">
        <v>269</v>
      </c>
      <c r="L1128" s="227" t="s">
        <v>1725</v>
      </c>
      <c r="M1128" s="206" t="s">
        <v>308</v>
      </c>
      <c r="N1128" s="211" t="s">
        <v>463</v>
      </c>
      <c r="O1128" s="211" t="s">
        <v>1731</v>
      </c>
      <c r="P1128" s="211" t="s">
        <v>463</v>
      </c>
      <c r="Q1128" s="211"/>
      <c r="R1128" s="211"/>
      <c r="S1128" s="211" t="s">
        <v>1731</v>
      </c>
      <c r="T1128" s="212"/>
      <c r="U1128" s="212"/>
    </row>
    <row r="1129" spans="1:21" s="209" customFormat="1">
      <c r="A1129" s="212" t="s">
        <v>169</v>
      </c>
      <c r="B1129" s="212" t="s">
        <v>588</v>
      </c>
      <c r="C1129" s="233" t="s">
        <v>150</v>
      </c>
      <c r="D1129" s="233" t="s">
        <v>151</v>
      </c>
      <c r="E1129" s="212">
        <v>908</v>
      </c>
      <c r="F1129" s="212">
        <v>2334</v>
      </c>
      <c r="G1129" s="212" t="s">
        <v>1723</v>
      </c>
      <c r="H1129" s="212" t="s">
        <v>1811</v>
      </c>
      <c r="I1129" s="212" t="s">
        <v>250</v>
      </c>
      <c r="J1129" s="212" t="s">
        <v>104</v>
      </c>
      <c r="K1129" s="212" t="s">
        <v>269</v>
      </c>
      <c r="L1129" s="227" t="s">
        <v>1725</v>
      </c>
      <c r="M1129" s="206" t="s">
        <v>1750</v>
      </c>
      <c r="N1129" s="211" t="s">
        <v>463</v>
      </c>
      <c r="O1129" s="211" t="s">
        <v>1731</v>
      </c>
      <c r="P1129" s="211" t="s">
        <v>463</v>
      </c>
      <c r="Q1129" s="211"/>
      <c r="R1129" s="211"/>
      <c r="S1129" s="211" t="s">
        <v>1731</v>
      </c>
      <c r="T1129" s="212"/>
      <c r="U1129" s="212"/>
    </row>
    <row r="1130" spans="1:21" s="209" customFormat="1" ht="19">
      <c r="A1130" s="212" t="s">
        <v>169</v>
      </c>
      <c r="B1130" s="212" t="s">
        <v>588</v>
      </c>
      <c r="C1130" s="233" t="s">
        <v>1904</v>
      </c>
      <c r="D1130" s="234" t="s">
        <v>151</v>
      </c>
      <c r="E1130" s="212">
        <v>30967</v>
      </c>
      <c r="F1130" s="212" t="s">
        <v>1905</v>
      </c>
      <c r="G1130" s="212" t="s">
        <v>1723</v>
      </c>
      <c r="H1130" s="212" t="s">
        <v>1878</v>
      </c>
      <c r="I1130" s="212" t="s">
        <v>110</v>
      </c>
      <c r="J1130" s="212" t="s">
        <v>104</v>
      </c>
      <c r="K1130" s="227" t="s">
        <v>269</v>
      </c>
      <c r="L1130" s="227" t="s">
        <v>1729</v>
      </c>
      <c r="M1130" s="206" t="s">
        <v>1730</v>
      </c>
      <c r="N1130" s="211">
        <v>-1.66</v>
      </c>
      <c r="O1130" s="211">
        <v>-10.459</v>
      </c>
      <c r="P1130" s="211" t="s">
        <v>487</v>
      </c>
      <c r="Q1130" s="211">
        <v>28.3</v>
      </c>
      <c r="R1130" s="211">
        <v>-2.5</v>
      </c>
      <c r="S1130" s="211" t="s">
        <v>1731</v>
      </c>
      <c r="T1130" s="212"/>
      <c r="U1130" s="212"/>
    </row>
    <row r="1131" spans="1:21" s="209" customFormat="1" ht="19">
      <c r="A1131" s="212" t="s">
        <v>169</v>
      </c>
      <c r="B1131" s="212" t="s">
        <v>246</v>
      </c>
      <c r="C1131" s="233" t="s">
        <v>247</v>
      </c>
      <c r="D1131" s="234" t="s">
        <v>248</v>
      </c>
      <c r="E1131" s="212">
        <v>804</v>
      </c>
      <c r="F1131" s="212">
        <v>84</v>
      </c>
      <c r="G1131" s="212" t="s">
        <v>1723</v>
      </c>
      <c r="H1131" s="212" t="s">
        <v>1878</v>
      </c>
      <c r="I1131" s="212" t="s">
        <v>1209</v>
      </c>
      <c r="J1131" s="212" t="s">
        <v>104</v>
      </c>
      <c r="K1131" s="212" t="s">
        <v>269</v>
      </c>
      <c r="L1131" s="227" t="s">
        <v>1729</v>
      </c>
      <c r="M1131" s="206" t="s">
        <v>1730</v>
      </c>
      <c r="N1131" s="211">
        <v>-11.38</v>
      </c>
      <c r="O1131" s="211">
        <v>-20.178999999999998</v>
      </c>
      <c r="P1131" s="211" t="s">
        <v>487</v>
      </c>
      <c r="Q1131" s="211"/>
      <c r="R1131" s="211">
        <v>-6.8</v>
      </c>
      <c r="S1131" s="211" t="s">
        <v>1731</v>
      </c>
      <c r="T1131" s="212"/>
      <c r="U1131" s="212"/>
    </row>
    <row r="1132" spans="1:21" s="209" customFormat="1" ht="19">
      <c r="A1132" s="212" t="s">
        <v>169</v>
      </c>
      <c r="B1132" s="212" t="s">
        <v>246</v>
      </c>
      <c r="C1132" s="233" t="s">
        <v>247</v>
      </c>
      <c r="D1132" s="234" t="s">
        <v>248</v>
      </c>
      <c r="E1132" s="212">
        <v>933</v>
      </c>
      <c r="F1132" s="212">
        <v>973</v>
      </c>
      <c r="G1132" s="212" t="s">
        <v>1723</v>
      </c>
      <c r="H1132" s="212" t="s">
        <v>1878</v>
      </c>
      <c r="I1132" s="212" t="s">
        <v>249</v>
      </c>
      <c r="J1132" s="212" t="s">
        <v>104</v>
      </c>
      <c r="K1132" s="227" t="s">
        <v>269</v>
      </c>
      <c r="L1132" s="227" t="s">
        <v>1729</v>
      </c>
      <c r="M1132" s="206" t="s">
        <v>1810</v>
      </c>
      <c r="N1132" s="211">
        <v>-10.48</v>
      </c>
      <c r="O1132" s="211">
        <v>-19.279</v>
      </c>
      <c r="P1132" s="211" t="s">
        <v>487</v>
      </c>
      <c r="Q1132" s="211"/>
      <c r="R1132" s="211">
        <v>-6</v>
      </c>
      <c r="S1132" s="211" t="s">
        <v>1731</v>
      </c>
      <c r="T1132" s="212"/>
      <c r="U1132" s="212"/>
    </row>
    <row r="1133" spans="1:21" s="209" customFormat="1" ht="19">
      <c r="A1133" s="212" t="s">
        <v>169</v>
      </c>
      <c r="B1133" s="212" t="s">
        <v>246</v>
      </c>
      <c r="C1133" s="233" t="s">
        <v>247</v>
      </c>
      <c r="D1133" s="234" t="s">
        <v>248</v>
      </c>
      <c r="E1133" s="212">
        <v>30967</v>
      </c>
      <c r="F1133" s="212">
        <v>74</v>
      </c>
      <c r="G1133" s="212" t="s">
        <v>1723</v>
      </c>
      <c r="H1133" s="212" t="s">
        <v>1811</v>
      </c>
      <c r="I1133" s="212" t="s">
        <v>110</v>
      </c>
      <c r="J1133" s="212" t="s">
        <v>1744</v>
      </c>
      <c r="K1133" s="212" t="s">
        <v>1745</v>
      </c>
      <c r="L1133" s="227" t="s">
        <v>1729</v>
      </c>
      <c r="M1133" s="206" t="s">
        <v>1747</v>
      </c>
      <c r="N1133" s="211">
        <v>-12.3</v>
      </c>
      <c r="O1133" s="211">
        <v>-21.099</v>
      </c>
      <c r="P1133" s="211" t="s">
        <v>487</v>
      </c>
      <c r="Q1133" s="211">
        <v>31.3</v>
      </c>
      <c r="R1133" s="211">
        <v>0.4</v>
      </c>
      <c r="S1133" s="211" t="s">
        <v>1731</v>
      </c>
      <c r="T1133" s="212"/>
      <c r="U1133" s="212"/>
    </row>
    <row r="1134" spans="1:21" s="209" customFormat="1" ht="19">
      <c r="A1134" s="212" t="s">
        <v>169</v>
      </c>
      <c r="B1134" s="212" t="s">
        <v>246</v>
      </c>
      <c r="C1134" s="233" t="s">
        <v>247</v>
      </c>
      <c r="D1134" s="234" t="s">
        <v>248</v>
      </c>
      <c r="E1134" s="212">
        <v>30967</v>
      </c>
      <c r="F1134" s="212">
        <v>89</v>
      </c>
      <c r="G1134" s="212" t="s">
        <v>1723</v>
      </c>
      <c r="H1134" s="212" t="s">
        <v>1811</v>
      </c>
      <c r="I1134" s="212" t="s">
        <v>110</v>
      </c>
      <c r="J1134" s="212" t="s">
        <v>1744</v>
      </c>
      <c r="K1134" s="212" t="s">
        <v>1745</v>
      </c>
      <c r="L1134" s="227" t="s">
        <v>1729</v>
      </c>
      <c r="M1134" s="206" t="s">
        <v>1730</v>
      </c>
      <c r="N1134" s="211">
        <v>-11.7</v>
      </c>
      <c r="O1134" s="211">
        <v>-20.498999999999999</v>
      </c>
      <c r="P1134" s="211" t="s">
        <v>487</v>
      </c>
      <c r="Q1134" s="211">
        <v>30</v>
      </c>
      <c r="R1134" s="211">
        <v>-0.8</v>
      </c>
      <c r="S1134" s="211" t="s">
        <v>1731</v>
      </c>
      <c r="T1134" s="212"/>
      <c r="U1134" s="212"/>
    </row>
    <row r="1135" spans="1:21" s="209" customFormat="1" ht="19">
      <c r="A1135" s="212" t="s">
        <v>169</v>
      </c>
      <c r="B1135" s="212" t="s">
        <v>246</v>
      </c>
      <c r="C1135" s="233" t="s">
        <v>247</v>
      </c>
      <c r="D1135" s="234" t="s">
        <v>248</v>
      </c>
      <c r="E1135" s="212">
        <v>30967</v>
      </c>
      <c r="F1135" s="212">
        <v>176</v>
      </c>
      <c r="G1135" s="212" t="s">
        <v>1723</v>
      </c>
      <c r="H1135" s="212" t="s">
        <v>1811</v>
      </c>
      <c r="I1135" s="212" t="s">
        <v>110</v>
      </c>
      <c r="J1135" s="212" t="s">
        <v>1744</v>
      </c>
      <c r="K1135" s="212" t="s">
        <v>1745</v>
      </c>
      <c r="L1135" s="227" t="s">
        <v>1729</v>
      </c>
      <c r="M1135" s="206" t="s">
        <v>1730</v>
      </c>
      <c r="N1135" s="211">
        <v>-11.6</v>
      </c>
      <c r="O1135" s="211">
        <v>-20.399000000000001</v>
      </c>
      <c r="P1135" s="211" t="s">
        <v>487</v>
      </c>
      <c r="Q1135" s="211">
        <v>29.4</v>
      </c>
      <c r="R1135" s="211">
        <v>-1.4</v>
      </c>
      <c r="S1135" s="211" t="s">
        <v>1731</v>
      </c>
      <c r="T1135" s="212"/>
      <c r="U1135" s="212"/>
    </row>
    <row r="1136" spans="1:21" s="209" customFormat="1" ht="19">
      <c r="A1136" s="212" t="s">
        <v>169</v>
      </c>
      <c r="B1136" s="212" t="s">
        <v>246</v>
      </c>
      <c r="C1136" s="233" t="s">
        <v>247</v>
      </c>
      <c r="D1136" s="234" t="s">
        <v>248</v>
      </c>
      <c r="E1136" s="212">
        <v>30967</v>
      </c>
      <c r="F1136" s="212">
        <v>222</v>
      </c>
      <c r="G1136" s="212" t="s">
        <v>1723</v>
      </c>
      <c r="H1136" s="212" t="s">
        <v>1811</v>
      </c>
      <c r="I1136" s="212" t="s">
        <v>110</v>
      </c>
      <c r="J1136" s="212" t="s">
        <v>1744</v>
      </c>
      <c r="K1136" s="212" t="s">
        <v>1745</v>
      </c>
      <c r="L1136" s="227" t="s">
        <v>1729</v>
      </c>
      <c r="M1136" s="206" t="s">
        <v>186</v>
      </c>
      <c r="N1136" s="211">
        <v>-11.3</v>
      </c>
      <c r="O1136" s="211">
        <v>-20.099</v>
      </c>
      <c r="P1136" s="211" t="s">
        <v>487</v>
      </c>
      <c r="Q1136" s="211">
        <v>30.6</v>
      </c>
      <c r="R1136" s="211">
        <v>-0.3</v>
      </c>
      <c r="S1136" s="211" t="s">
        <v>1731</v>
      </c>
      <c r="T1136" s="212"/>
      <c r="U1136" s="212"/>
    </row>
    <row r="1137" spans="1:21" s="209" customFormat="1" ht="19">
      <c r="A1137" s="212" t="s">
        <v>169</v>
      </c>
      <c r="B1137" s="212" t="s">
        <v>246</v>
      </c>
      <c r="C1137" s="233" t="s">
        <v>247</v>
      </c>
      <c r="D1137" s="234" t="s">
        <v>248</v>
      </c>
      <c r="E1137" s="212">
        <v>30967</v>
      </c>
      <c r="F1137" s="212">
        <v>281</v>
      </c>
      <c r="G1137" s="212" t="s">
        <v>1723</v>
      </c>
      <c r="H1137" s="212" t="s">
        <v>1811</v>
      </c>
      <c r="I1137" s="212" t="s">
        <v>110</v>
      </c>
      <c r="J1137" s="212" t="s">
        <v>1744</v>
      </c>
      <c r="K1137" s="212" t="s">
        <v>1745</v>
      </c>
      <c r="L1137" s="227" t="s">
        <v>1729</v>
      </c>
      <c r="M1137" s="206" t="s">
        <v>1747</v>
      </c>
      <c r="N1137" s="211">
        <v>-10.6</v>
      </c>
      <c r="O1137" s="211">
        <v>-19.399000000000001</v>
      </c>
      <c r="P1137" s="211" t="s">
        <v>487</v>
      </c>
      <c r="Q1137" s="211">
        <v>30.1</v>
      </c>
      <c r="R1137" s="211">
        <v>-0.7</v>
      </c>
      <c r="S1137" s="211" t="s">
        <v>1731</v>
      </c>
      <c r="T1137" s="212"/>
      <c r="U1137" s="212"/>
    </row>
    <row r="1138" spans="1:21" s="209" customFormat="1">
      <c r="A1138" s="212" t="s">
        <v>592</v>
      </c>
      <c r="B1138" s="212" t="s">
        <v>597</v>
      </c>
      <c r="C1138" s="233" t="s">
        <v>598</v>
      </c>
      <c r="D1138" s="233" t="s">
        <v>599</v>
      </c>
      <c r="E1138" s="212">
        <v>908</v>
      </c>
      <c r="F1138" s="212">
        <v>2304</v>
      </c>
      <c r="G1138" s="212" t="s">
        <v>1723</v>
      </c>
      <c r="H1138" s="212" t="s">
        <v>1878</v>
      </c>
      <c r="I1138" s="212" t="s">
        <v>250</v>
      </c>
      <c r="J1138" s="212" t="s">
        <v>104</v>
      </c>
      <c r="K1138" s="212" t="s">
        <v>269</v>
      </c>
      <c r="L1138" s="227" t="s">
        <v>1725</v>
      </c>
      <c r="M1138" s="206" t="s">
        <v>308</v>
      </c>
      <c r="N1138" s="211" t="s">
        <v>463</v>
      </c>
      <c r="O1138" s="211" t="s">
        <v>1731</v>
      </c>
      <c r="P1138" s="211" t="s">
        <v>463</v>
      </c>
      <c r="Q1138" s="211"/>
      <c r="R1138" s="211"/>
      <c r="S1138" s="211" t="s">
        <v>1731</v>
      </c>
      <c r="T1138" s="212"/>
      <c r="U1138" s="212"/>
    </row>
    <row r="1139" spans="1:21" s="209" customFormat="1" ht="19">
      <c r="A1139" s="212" t="s">
        <v>601</v>
      </c>
      <c r="B1139" s="212" t="s">
        <v>602</v>
      </c>
      <c r="C1139" s="233" t="s">
        <v>609</v>
      </c>
      <c r="D1139" s="234" t="s">
        <v>610</v>
      </c>
      <c r="E1139" s="212">
        <v>933</v>
      </c>
      <c r="F1139" s="212">
        <v>674</v>
      </c>
      <c r="G1139" s="212" t="s">
        <v>1723</v>
      </c>
      <c r="H1139" s="212" t="s">
        <v>1878</v>
      </c>
      <c r="I1139" s="212" t="s">
        <v>249</v>
      </c>
      <c r="J1139" s="212" t="s">
        <v>1744</v>
      </c>
      <c r="K1139" s="227" t="s">
        <v>269</v>
      </c>
      <c r="L1139" s="227" t="s">
        <v>1725</v>
      </c>
      <c r="M1139" s="206" t="s">
        <v>1786</v>
      </c>
      <c r="N1139" s="211">
        <v>-24.74</v>
      </c>
      <c r="O1139" s="211">
        <v>-24.7</v>
      </c>
      <c r="P1139" s="211">
        <v>2.7</v>
      </c>
      <c r="Q1139" s="211"/>
      <c r="R1139" s="211"/>
      <c r="S1139" s="211">
        <v>2.7</v>
      </c>
      <c r="T1139" s="212"/>
      <c r="U1139" s="212"/>
    </row>
    <row r="1140" spans="1:21" s="673" customFormat="1" ht="19">
      <c r="A1140" s="554" t="s">
        <v>601</v>
      </c>
      <c r="B1140" s="554" t="s">
        <v>602</v>
      </c>
      <c r="C1140" s="555" t="s">
        <v>609</v>
      </c>
      <c r="D1140" s="556" t="s">
        <v>610</v>
      </c>
      <c r="E1140" s="554">
        <v>933</v>
      </c>
      <c r="F1140" s="554">
        <v>3532</v>
      </c>
      <c r="G1140" s="554" t="s">
        <v>1723</v>
      </c>
      <c r="H1140" s="554" t="s">
        <v>1878</v>
      </c>
      <c r="I1140" s="554" t="s">
        <v>250</v>
      </c>
      <c r="J1140" s="554" t="s">
        <v>1744</v>
      </c>
      <c r="K1140" s="554" t="s">
        <v>269</v>
      </c>
      <c r="L1140" s="554" t="s">
        <v>1725</v>
      </c>
      <c r="M1140" s="672" t="s">
        <v>205</v>
      </c>
      <c r="N1140" s="558">
        <v>-17</v>
      </c>
      <c r="O1140" s="558">
        <v>-17</v>
      </c>
      <c r="P1140" s="558">
        <v>6.9</v>
      </c>
      <c r="Q1140" s="558"/>
      <c r="R1140" s="558"/>
      <c r="S1140" s="558">
        <v>3</v>
      </c>
      <c r="T1140" s="554"/>
      <c r="U1140" s="554" t="s">
        <v>3690</v>
      </c>
    </row>
    <row r="1141" spans="1:21" s="209" customFormat="1">
      <c r="A1141" s="212" t="s">
        <v>601</v>
      </c>
      <c r="B1141" s="212" t="s">
        <v>602</v>
      </c>
      <c r="C1141" s="233" t="s">
        <v>609</v>
      </c>
      <c r="D1141" s="233" t="s">
        <v>610</v>
      </c>
      <c r="E1141" s="212">
        <v>30967</v>
      </c>
      <c r="F1141" s="212">
        <v>50</v>
      </c>
      <c r="G1141" s="212" t="s">
        <v>1723</v>
      </c>
      <c r="H1141" s="212" t="s">
        <v>1811</v>
      </c>
      <c r="I1141" s="212" t="s">
        <v>110</v>
      </c>
      <c r="J1141" s="212" t="s">
        <v>1744</v>
      </c>
      <c r="K1141" s="212" t="s">
        <v>1745</v>
      </c>
      <c r="L1141" s="227" t="s">
        <v>1729</v>
      </c>
      <c r="M1141" s="206" t="s">
        <v>1734</v>
      </c>
      <c r="N1141" s="211">
        <v>-10.4</v>
      </c>
      <c r="O1141" s="211">
        <v>-19.199000000000002</v>
      </c>
      <c r="P1141" s="211" t="s">
        <v>487</v>
      </c>
      <c r="Q1141" s="211">
        <v>30.1</v>
      </c>
      <c r="R1141" s="211">
        <v>-0.7</v>
      </c>
      <c r="S1141" s="211" t="s">
        <v>1731</v>
      </c>
      <c r="T1141" s="212"/>
      <c r="U1141" s="212"/>
    </row>
    <row r="1142" spans="1:21" s="209" customFormat="1" ht="19">
      <c r="A1142" s="212" t="s">
        <v>601</v>
      </c>
      <c r="B1142" s="212" t="s">
        <v>602</v>
      </c>
      <c r="C1142" s="233" t="s">
        <v>609</v>
      </c>
      <c r="D1142" s="234" t="s">
        <v>610</v>
      </c>
      <c r="E1142" s="212">
        <v>30967</v>
      </c>
      <c r="F1142" s="212">
        <v>156</v>
      </c>
      <c r="G1142" s="212" t="s">
        <v>1723</v>
      </c>
      <c r="H1142" s="212" t="s">
        <v>1878</v>
      </c>
      <c r="I1142" s="212" t="s">
        <v>110</v>
      </c>
      <c r="J1142" s="212" t="s">
        <v>1744</v>
      </c>
      <c r="K1142" s="227" t="s">
        <v>269</v>
      </c>
      <c r="L1142" s="227" t="s">
        <v>1729</v>
      </c>
      <c r="M1142" s="206" t="s">
        <v>1730</v>
      </c>
      <c r="N1142" s="211">
        <v>-10.27</v>
      </c>
      <c r="O1142" s="211">
        <v>-19.068999999999999</v>
      </c>
      <c r="P1142" s="211" t="s">
        <v>487</v>
      </c>
      <c r="Q1142" s="211"/>
      <c r="R1142" s="211">
        <v>-1.9</v>
      </c>
      <c r="S1142" s="211" t="s">
        <v>1731</v>
      </c>
      <c r="T1142" s="212"/>
      <c r="U1142" s="212"/>
    </row>
    <row r="1143" spans="1:21" s="209" customFormat="1" ht="19">
      <c r="A1143" s="212" t="s">
        <v>601</v>
      </c>
      <c r="B1143" s="212" t="s">
        <v>602</v>
      </c>
      <c r="C1143" s="233" t="s">
        <v>609</v>
      </c>
      <c r="D1143" s="234" t="s">
        <v>610</v>
      </c>
      <c r="E1143" s="212">
        <v>30967</v>
      </c>
      <c r="F1143" s="212">
        <v>205</v>
      </c>
      <c r="G1143" s="212" t="s">
        <v>1723</v>
      </c>
      <c r="H1143" s="212" t="s">
        <v>1878</v>
      </c>
      <c r="I1143" s="212" t="s">
        <v>110</v>
      </c>
      <c r="J1143" s="212" t="s">
        <v>1744</v>
      </c>
      <c r="K1143" s="212" t="s">
        <v>269</v>
      </c>
      <c r="L1143" s="212" t="s">
        <v>1729</v>
      </c>
      <c r="M1143" s="206" t="s">
        <v>1730</v>
      </c>
      <c r="N1143" s="211">
        <v>-9.42</v>
      </c>
      <c r="O1143" s="211">
        <v>-18.219000000000001</v>
      </c>
      <c r="P1143" s="211" t="s">
        <v>487</v>
      </c>
      <c r="Q1143" s="211"/>
      <c r="R1143" s="211">
        <v>-3.8</v>
      </c>
      <c r="S1143" s="211" t="s">
        <v>1731</v>
      </c>
      <c r="T1143" s="212"/>
      <c r="U1143" s="216"/>
    </row>
    <row r="1144" spans="1:21" s="209" customFormat="1" ht="19">
      <c r="A1144" s="212" t="s">
        <v>601</v>
      </c>
      <c r="B1144" s="212" t="s">
        <v>602</v>
      </c>
      <c r="C1144" s="233" t="s">
        <v>609</v>
      </c>
      <c r="D1144" s="234" t="s">
        <v>610</v>
      </c>
      <c r="E1144" s="212">
        <v>30967</v>
      </c>
      <c r="F1144" s="212">
        <v>247</v>
      </c>
      <c r="G1144" s="212" t="s">
        <v>1723</v>
      </c>
      <c r="H1144" s="212" t="s">
        <v>1811</v>
      </c>
      <c r="I1144" s="212" t="s">
        <v>110</v>
      </c>
      <c r="J1144" s="212" t="s">
        <v>1744</v>
      </c>
      <c r="K1144" s="227" t="s">
        <v>1745</v>
      </c>
      <c r="L1144" s="227" t="s">
        <v>1729</v>
      </c>
      <c r="M1144" s="206" t="s">
        <v>186</v>
      </c>
      <c r="N1144" s="211">
        <v>-11.2</v>
      </c>
      <c r="O1144" s="211">
        <v>-19.998999999999999</v>
      </c>
      <c r="P1144" s="211" t="s">
        <v>487</v>
      </c>
      <c r="Q1144" s="211">
        <v>31.7</v>
      </c>
      <c r="R1144" s="211">
        <v>0.8</v>
      </c>
      <c r="S1144" s="211" t="s">
        <v>1731</v>
      </c>
      <c r="T1144" s="212"/>
      <c r="U1144" s="212"/>
    </row>
    <row r="1145" spans="1:21" s="209" customFormat="1" ht="19">
      <c r="A1145" s="212" t="s">
        <v>601</v>
      </c>
      <c r="B1145" s="212" t="s">
        <v>602</v>
      </c>
      <c r="C1145" s="233" t="s">
        <v>609</v>
      </c>
      <c r="D1145" s="234" t="s">
        <v>610</v>
      </c>
      <c r="E1145" s="212">
        <v>30967</v>
      </c>
      <c r="F1145" s="212">
        <v>257</v>
      </c>
      <c r="G1145" s="212" t="s">
        <v>1723</v>
      </c>
      <c r="H1145" s="212" t="s">
        <v>1811</v>
      </c>
      <c r="I1145" s="212" t="s">
        <v>110</v>
      </c>
      <c r="J1145" s="212" t="s">
        <v>1744</v>
      </c>
      <c r="K1145" s="227" t="s">
        <v>1745</v>
      </c>
      <c r="L1145" s="227" t="s">
        <v>1729</v>
      </c>
      <c r="M1145" s="206" t="s">
        <v>1734</v>
      </c>
      <c r="N1145" s="211">
        <v>-11</v>
      </c>
      <c r="O1145" s="211">
        <v>-19.798999999999999</v>
      </c>
      <c r="P1145" s="211" t="s">
        <v>487</v>
      </c>
      <c r="Q1145" s="211">
        <v>30.2</v>
      </c>
      <c r="R1145" s="211">
        <v>-0.6</v>
      </c>
      <c r="S1145" s="211" t="s">
        <v>1731</v>
      </c>
      <c r="T1145" s="212"/>
      <c r="U1145" s="212"/>
    </row>
    <row r="1146" spans="1:21" s="209" customFormat="1" ht="19">
      <c r="A1146" s="212" t="s">
        <v>601</v>
      </c>
      <c r="B1146" s="212" t="s">
        <v>602</v>
      </c>
      <c r="C1146" s="233" t="s">
        <v>609</v>
      </c>
      <c r="D1146" s="234" t="s">
        <v>610</v>
      </c>
      <c r="E1146" s="212">
        <v>30967</v>
      </c>
      <c r="F1146" s="212">
        <v>321</v>
      </c>
      <c r="G1146" s="212" t="s">
        <v>1723</v>
      </c>
      <c r="H1146" s="212" t="s">
        <v>1878</v>
      </c>
      <c r="I1146" s="212" t="s">
        <v>110</v>
      </c>
      <c r="J1146" s="212" t="s">
        <v>1744</v>
      </c>
      <c r="K1146" s="227" t="s">
        <v>269</v>
      </c>
      <c r="L1146" s="227" t="s">
        <v>1729</v>
      </c>
      <c r="M1146" s="206" t="s">
        <v>1730</v>
      </c>
      <c r="N1146" s="211">
        <v>-10.18</v>
      </c>
      <c r="O1146" s="211">
        <v>-18.978999999999999</v>
      </c>
      <c r="P1146" s="211" t="s">
        <v>487</v>
      </c>
      <c r="Q1146" s="211">
        <v>28.4</v>
      </c>
      <c r="R1146" s="211">
        <v>-2.4</v>
      </c>
      <c r="S1146" s="211" t="s">
        <v>1731</v>
      </c>
      <c r="T1146" s="212"/>
      <c r="U1146" s="212"/>
    </row>
    <row r="1147" spans="1:21" s="209" customFormat="1" ht="19">
      <c r="A1147" s="212" t="s">
        <v>601</v>
      </c>
      <c r="B1147" s="212" t="s">
        <v>602</v>
      </c>
      <c r="C1147" s="233" t="s">
        <v>609</v>
      </c>
      <c r="D1147" s="234" t="s">
        <v>610</v>
      </c>
      <c r="E1147" s="212">
        <v>30967</v>
      </c>
      <c r="F1147" s="212">
        <v>321</v>
      </c>
      <c r="G1147" s="212" t="s">
        <v>1723</v>
      </c>
      <c r="H1147" s="212" t="s">
        <v>1878</v>
      </c>
      <c r="I1147" s="212" t="s">
        <v>110</v>
      </c>
      <c r="J1147" s="212" t="s">
        <v>1744</v>
      </c>
      <c r="K1147" s="227" t="s">
        <v>269</v>
      </c>
      <c r="L1147" s="227" t="s">
        <v>1729</v>
      </c>
      <c r="M1147" s="206" t="s">
        <v>1730</v>
      </c>
      <c r="N1147" s="211">
        <v>-9.9700000000000006</v>
      </c>
      <c r="O1147" s="211">
        <v>-18.768999999999998</v>
      </c>
      <c r="P1147" s="211" t="s">
        <v>487</v>
      </c>
      <c r="Q1147" s="211"/>
      <c r="R1147" s="211">
        <v>-1.6</v>
      </c>
      <c r="S1147" s="211" t="s">
        <v>1731</v>
      </c>
      <c r="T1147" s="212"/>
      <c r="U1147" s="212"/>
    </row>
    <row r="1148" spans="1:21" s="209" customFormat="1" ht="19">
      <c r="A1148" s="212" t="s">
        <v>601</v>
      </c>
      <c r="B1148" s="212" t="s">
        <v>602</v>
      </c>
      <c r="C1148" s="233" t="s">
        <v>609</v>
      </c>
      <c r="D1148" s="234" t="s">
        <v>610</v>
      </c>
      <c r="E1148" s="212">
        <v>30967</v>
      </c>
      <c r="F1148" s="212">
        <v>339</v>
      </c>
      <c r="G1148" s="212" t="s">
        <v>1723</v>
      </c>
      <c r="H1148" s="212" t="s">
        <v>1811</v>
      </c>
      <c r="I1148" s="212" t="s">
        <v>110</v>
      </c>
      <c r="J1148" s="212" t="s">
        <v>1744</v>
      </c>
      <c r="K1148" s="227" t="s">
        <v>1745</v>
      </c>
      <c r="L1148" s="227" t="s">
        <v>1729</v>
      </c>
      <c r="M1148" s="206" t="s">
        <v>1734</v>
      </c>
      <c r="N1148" s="211">
        <v>-10.7</v>
      </c>
      <c r="O1148" s="211">
        <v>-19.498999999999999</v>
      </c>
      <c r="P1148" s="211" t="s">
        <v>487</v>
      </c>
      <c r="Q1148" s="211">
        <v>29.8</v>
      </c>
      <c r="R1148" s="211">
        <v>-1</v>
      </c>
      <c r="S1148" s="211" t="s">
        <v>1731</v>
      </c>
      <c r="T1148" s="212"/>
      <c r="U1148" s="212"/>
    </row>
    <row r="1149" spans="1:21" s="209" customFormat="1" ht="19">
      <c r="A1149" s="212" t="s">
        <v>601</v>
      </c>
      <c r="B1149" s="212" t="s">
        <v>602</v>
      </c>
      <c r="C1149" s="233" t="s">
        <v>609</v>
      </c>
      <c r="D1149" s="234" t="s">
        <v>610</v>
      </c>
      <c r="E1149" s="212">
        <v>30967</v>
      </c>
      <c r="F1149" s="212">
        <v>341</v>
      </c>
      <c r="G1149" s="212" t="s">
        <v>1723</v>
      </c>
      <c r="H1149" s="212" t="s">
        <v>1878</v>
      </c>
      <c r="I1149" s="212" t="s">
        <v>110</v>
      </c>
      <c r="J1149" s="212" t="s">
        <v>1744</v>
      </c>
      <c r="K1149" s="227" t="s">
        <v>269</v>
      </c>
      <c r="L1149" s="227" t="s">
        <v>1729</v>
      </c>
      <c r="M1149" s="206" t="s">
        <v>1730</v>
      </c>
      <c r="N1149" s="211">
        <v>-9.4600000000000009</v>
      </c>
      <c r="O1149" s="211">
        <v>-18.259</v>
      </c>
      <c r="P1149" s="211" t="s">
        <v>487</v>
      </c>
      <c r="Q1149" s="211"/>
      <c r="R1149" s="211">
        <v>-1.7</v>
      </c>
      <c r="S1149" s="211" t="s">
        <v>1731</v>
      </c>
      <c r="T1149" s="212"/>
      <c r="U1149" s="212"/>
    </row>
    <row r="1150" spans="1:21" s="209" customFormat="1" ht="19">
      <c r="A1150" s="212" t="s">
        <v>601</v>
      </c>
      <c r="B1150" s="212" t="s">
        <v>602</v>
      </c>
      <c r="C1150" s="233" t="s">
        <v>609</v>
      </c>
      <c r="D1150" s="234" t="s">
        <v>610</v>
      </c>
      <c r="E1150" s="212">
        <v>30967</v>
      </c>
      <c r="F1150" s="212">
        <v>351</v>
      </c>
      <c r="G1150" s="212" t="s">
        <v>1723</v>
      </c>
      <c r="H1150" s="212" t="s">
        <v>1811</v>
      </c>
      <c r="I1150" s="212" t="s">
        <v>110</v>
      </c>
      <c r="J1150" s="212" t="s">
        <v>1744</v>
      </c>
      <c r="K1150" s="227" t="s">
        <v>1745</v>
      </c>
      <c r="L1150" s="227" t="s">
        <v>1729</v>
      </c>
      <c r="M1150" s="206" t="s">
        <v>1730</v>
      </c>
      <c r="N1150" s="211">
        <v>-9.5</v>
      </c>
      <c r="O1150" s="211">
        <v>-18.298999999999999</v>
      </c>
      <c r="P1150" s="211" t="s">
        <v>487</v>
      </c>
      <c r="Q1150" s="211">
        <v>29.6</v>
      </c>
      <c r="R1150" s="211">
        <v>-1.2</v>
      </c>
      <c r="S1150" s="211" t="s">
        <v>1731</v>
      </c>
      <c r="T1150" s="212"/>
      <c r="U1150" s="212"/>
    </row>
    <row r="1151" spans="1:21" s="209" customFormat="1" ht="19">
      <c r="A1151" s="212" t="s">
        <v>601</v>
      </c>
      <c r="B1151" s="212" t="s">
        <v>602</v>
      </c>
      <c r="C1151" s="233" t="s">
        <v>609</v>
      </c>
      <c r="D1151" s="234" t="s">
        <v>610</v>
      </c>
      <c r="E1151" s="212">
        <v>30967</v>
      </c>
      <c r="F1151" s="212">
        <v>352</v>
      </c>
      <c r="G1151" s="212" t="s">
        <v>1723</v>
      </c>
      <c r="H1151" s="212" t="s">
        <v>1811</v>
      </c>
      <c r="I1151" s="212" t="s">
        <v>110</v>
      </c>
      <c r="J1151" s="212" t="s">
        <v>1744</v>
      </c>
      <c r="K1151" s="227" t="s">
        <v>1745</v>
      </c>
      <c r="L1151" s="227" t="s">
        <v>1729</v>
      </c>
      <c r="M1151" s="206" t="s">
        <v>1734</v>
      </c>
      <c r="N1151" s="211">
        <v>-10.1</v>
      </c>
      <c r="O1151" s="211">
        <v>-18.899000000000001</v>
      </c>
      <c r="P1151" s="211" t="s">
        <v>487</v>
      </c>
      <c r="Q1151" s="211">
        <v>30.7</v>
      </c>
      <c r="R1151" s="211">
        <v>-0.2</v>
      </c>
      <c r="S1151" s="211" t="s">
        <v>1731</v>
      </c>
      <c r="T1151" s="212"/>
      <c r="U1151" s="212"/>
    </row>
    <row r="1152" spans="1:21" s="209" customFormat="1" ht="19">
      <c r="A1152" s="212" t="s">
        <v>601</v>
      </c>
      <c r="B1152" s="212" t="s">
        <v>602</v>
      </c>
      <c r="C1152" s="233" t="s">
        <v>609</v>
      </c>
      <c r="D1152" s="234" t="s">
        <v>610</v>
      </c>
      <c r="E1152" s="212">
        <v>30967</v>
      </c>
      <c r="F1152" s="212">
        <v>395</v>
      </c>
      <c r="G1152" s="212" t="s">
        <v>1723</v>
      </c>
      <c r="H1152" s="212" t="s">
        <v>1878</v>
      </c>
      <c r="I1152" s="212" t="s">
        <v>110</v>
      </c>
      <c r="J1152" s="212" t="s">
        <v>104</v>
      </c>
      <c r="K1152" s="227" t="s">
        <v>1884</v>
      </c>
      <c r="L1152" s="227" t="s">
        <v>1729</v>
      </c>
      <c r="M1152" s="206" t="s">
        <v>1730</v>
      </c>
      <c r="N1152" s="211">
        <v>-10.6</v>
      </c>
      <c r="O1152" s="211">
        <v>-19.399000000000001</v>
      </c>
      <c r="P1152" s="211" t="s">
        <v>487</v>
      </c>
      <c r="Q1152" s="211" t="s">
        <v>1731</v>
      </c>
      <c r="R1152" s="211" t="s">
        <v>1731</v>
      </c>
      <c r="S1152" s="211" t="s">
        <v>1731</v>
      </c>
      <c r="T1152" s="212"/>
      <c r="U1152" s="212"/>
    </row>
    <row r="1153" spans="1:21" s="209" customFormat="1" ht="19">
      <c r="A1153" s="212" t="s">
        <v>601</v>
      </c>
      <c r="B1153" s="212" t="s">
        <v>602</v>
      </c>
      <c r="C1153" s="233" t="s">
        <v>609</v>
      </c>
      <c r="D1153" s="234" t="s">
        <v>610</v>
      </c>
      <c r="E1153" s="212">
        <v>30967</v>
      </c>
      <c r="F1153" s="212">
        <v>470</v>
      </c>
      <c r="G1153" s="212" t="s">
        <v>1723</v>
      </c>
      <c r="H1153" s="212" t="s">
        <v>1811</v>
      </c>
      <c r="I1153" s="212" t="s">
        <v>110</v>
      </c>
      <c r="J1153" s="212" t="s">
        <v>1744</v>
      </c>
      <c r="K1153" s="227" t="s">
        <v>1745</v>
      </c>
      <c r="L1153" s="227" t="s">
        <v>1729</v>
      </c>
      <c r="M1153" s="206" t="s">
        <v>186</v>
      </c>
      <c r="N1153" s="211">
        <v>-12</v>
      </c>
      <c r="O1153" s="211">
        <v>-20.798999999999999</v>
      </c>
      <c r="P1153" s="211" t="s">
        <v>487</v>
      </c>
      <c r="Q1153" s="211">
        <v>31.2</v>
      </c>
      <c r="R1153" s="211">
        <v>0.3</v>
      </c>
      <c r="S1153" s="211" t="s">
        <v>1731</v>
      </c>
      <c r="T1153" s="212"/>
      <c r="U1153" s="212"/>
    </row>
    <row r="1154" spans="1:21" s="209" customFormat="1" ht="19">
      <c r="A1154" s="212" t="s">
        <v>601</v>
      </c>
      <c r="B1154" s="212" t="s">
        <v>602</v>
      </c>
      <c r="C1154" s="233" t="s">
        <v>609</v>
      </c>
      <c r="D1154" s="234" t="s">
        <v>610</v>
      </c>
      <c r="E1154" s="212">
        <v>30967</v>
      </c>
      <c r="F1154" s="212">
        <v>525</v>
      </c>
      <c r="G1154" s="212" t="s">
        <v>1723</v>
      </c>
      <c r="H1154" s="212" t="s">
        <v>1811</v>
      </c>
      <c r="I1154" s="212" t="s">
        <v>110</v>
      </c>
      <c r="J1154" s="212" t="s">
        <v>1744</v>
      </c>
      <c r="K1154" s="227" t="s">
        <v>1745</v>
      </c>
      <c r="L1154" s="227" t="s">
        <v>1729</v>
      </c>
      <c r="M1154" s="206" t="s">
        <v>186</v>
      </c>
      <c r="N1154" s="211">
        <v>-11.9</v>
      </c>
      <c r="O1154" s="211">
        <v>-20.699000000000002</v>
      </c>
      <c r="P1154" s="211" t="s">
        <v>487</v>
      </c>
      <c r="Q1154" s="211">
        <v>30.8</v>
      </c>
      <c r="R1154" s="211">
        <v>-0.1</v>
      </c>
      <c r="S1154" s="211" t="s">
        <v>1731</v>
      </c>
      <c r="T1154" s="212"/>
      <c r="U1154" s="212"/>
    </row>
    <row r="1155" spans="1:21" s="209" customFormat="1" ht="19">
      <c r="A1155" s="212" t="s">
        <v>601</v>
      </c>
      <c r="B1155" s="212" t="s">
        <v>602</v>
      </c>
      <c r="C1155" s="233" t="s">
        <v>609</v>
      </c>
      <c r="D1155" s="234" t="s">
        <v>610</v>
      </c>
      <c r="E1155" s="212">
        <v>30967</v>
      </c>
      <c r="F1155" s="212">
        <v>591</v>
      </c>
      <c r="G1155" s="212" t="s">
        <v>1723</v>
      </c>
      <c r="H1155" s="212" t="s">
        <v>1878</v>
      </c>
      <c r="I1155" s="212" t="s">
        <v>110</v>
      </c>
      <c r="J1155" s="212" t="s">
        <v>104</v>
      </c>
      <c r="K1155" s="227" t="s">
        <v>269</v>
      </c>
      <c r="L1155" s="227" t="s">
        <v>1729</v>
      </c>
      <c r="M1155" s="206" t="s">
        <v>1734</v>
      </c>
      <c r="N1155" s="211">
        <v>-9.9</v>
      </c>
      <c r="O1155" s="211">
        <v>-18.699000000000002</v>
      </c>
      <c r="P1155" s="211" t="s">
        <v>487</v>
      </c>
      <c r="Q1155" s="211">
        <v>30.3</v>
      </c>
      <c r="R1155" s="211">
        <v>-0.5</v>
      </c>
      <c r="S1155" s="211" t="s">
        <v>1731</v>
      </c>
      <c r="T1155" s="212"/>
      <c r="U1155" s="212"/>
    </row>
    <row r="1156" spans="1:21" s="209" customFormat="1">
      <c r="A1156" s="212" t="s">
        <v>601</v>
      </c>
      <c r="B1156" s="212" t="s">
        <v>602</v>
      </c>
      <c r="C1156" s="233" t="s">
        <v>609</v>
      </c>
      <c r="D1156" s="233" t="s">
        <v>610</v>
      </c>
      <c r="E1156" s="212">
        <v>30967</v>
      </c>
      <c r="F1156" s="212">
        <v>591</v>
      </c>
      <c r="G1156" s="212" t="s">
        <v>1723</v>
      </c>
      <c r="H1156" s="212" t="s">
        <v>1811</v>
      </c>
      <c r="I1156" s="212" t="s">
        <v>110</v>
      </c>
      <c r="J1156" s="212" t="s">
        <v>1744</v>
      </c>
      <c r="K1156" s="212" t="s">
        <v>1745</v>
      </c>
      <c r="L1156" s="227" t="s">
        <v>1729</v>
      </c>
      <c r="M1156" s="206" t="s">
        <v>1734</v>
      </c>
      <c r="N1156" s="211">
        <v>-9.9</v>
      </c>
      <c r="O1156" s="211">
        <v>-18.699000000000002</v>
      </c>
      <c r="P1156" s="211" t="s">
        <v>487</v>
      </c>
      <c r="Q1156" s="211">
        <v>30.3</v>
      </c>
      <c r="R1156" s="211">
        <v>-0.5</v>
      </c>
      <c r="S1156" s="211" t="s">
        <v>1731</v>
      </c>
      <c r="T1156" s="212"/>
      <c r="U1156" s="212"/>
    </row>
    <row r="1157" spans="1:21" s="209" customFormat="1">
      <c r="A1157" s="212" t="s">
        <v>601</v>
      </c>
      <c r="B1157" s="212" t="s">
        <v>602</v>
      </c>
      <c r="C1157" s="233" t="s">
        <v>609</v>
      </c>
      <c r="D1157" s="233" t="s">
        <v>610</v>
      </c>
      <c r="E1157" s="212">
        <v>30967</v>
      </c>
      <c r="F1157" s="212">
        <v>593</v>
      </c>
      <c r="G1157" s="212" t="s">
        <v>1723</v>
      </c>
      <c r="H1157" s="212" t="s">
        <v>1811</v>
      </c>
      <c r="I1157" s="212" t="s">
        <v>110</v>
      </c>
      <c r="J1157" s="212" t="s">
        <v>1744</v>
      </c>
      <c r="K1157" s="212" t="s">
        <v>1745</v>
      </c>
      <c r="L1157" s="227" t="s">
        <v>1729</v>
      </c>
      <c r="M1157" s="206" t="s">
        <v>186</v>
      </c>
      <c r="N1157" s="211">
        <v>-11.1</v>
      </c>
      <c r="O1157" s="211">
        <v>-19.899000000000001</v>
      </c>
      <c r="P1157" s="211" t="s">
        <v>487</v>
      </c>
      <c r="Q1157" s="211">
        <v>31.7</v>
      </c>
      <c r="R1157" s="211">
        <v>0.8</v>
      </c>
      <c r="S1157" s="211" t="s">
        <v>1731</v>
      </c>
      <c r="T1157" s="212"/>
      <c r="U1157" s="212"/>
    </row>
    <row r="1158" spans="1:21" s="209" customFormat="1">
      <c r="A1158" s="212" t="s">
        <v>601</v>
      </c>
      <c r="B1158" s="212" t="s">
        <v>602</v>
      </c>
      <c r="C1158" s="233" t="s">
        <v>609</v>
      </c>
      <c r="D1158" s="233" t="s">
        <v>610</v>
      </c>
      <c r="E1158" s="212">
        <v>30967</v>
      </c>
      <c r="F1158" s="212">
        <v>606</v>
      </c>
      <c r="G1158" s="212" t="s">
        <v>1723</v>
      </c>
      <c r="H1158" s="212" t="s">
        <v>1811</v>
      </c>
      <c r="I1158" s="212" t="s">
        <v>110</v>
      </c>
      <c r="J1158" s="212" t="s">
        <v>1744</v>
      </c>
      <c r="K1158" s="212" t="s">
        <v>1745</v>
      </c>
      <c r="L1158" s="227" t="s">
        <v>1729</v>
      </c>
      <c r="M1158" s="206" t="s">
        <v>186</v>
      </c>
      <c r="N1158" s="211">
        <v>-12.5</v>
      </c>
      <c r="O1158" s="211">
        <v>-21.298999999999999</v>
      </c>
      <c r="P1158" s="211" t="s">
        <v>487</v>
      </c>
      <c r="Q1158" s="211">
        <v>30.6</v>
      </c>
      <c r="R1158" s="211">
        <v>-0.3</v>
      </c>
      <c r="S1158" s="211" t="s">
        <v>1731</v>
      </c>
      <c r="T1158" s="212"/>
      <c r="U1158" s="212"/>
    </row>
    <row r="1159" spans="1:21" s="209" customFormat="1">
      <c r="A1159" s="212" t="s">
        <v>601</v>
      </c>
      <c r="B1159" s="212" t="s">
        <v>602</v>
      </c>
      <c r="C1159" s="233" t="s">
        <v>609</v>
      </c>
      <c r="D1159" s="233" t="s">
        <v>610</v>
      </c>
      <c r="E1159" s="212">
        <v>30967</v>
      </c>
      <c r="F1159" s="212">
        <v>650</v>
      </c>
      <c r="G1159" s="212" t="s">
        <v>1723</v>
      </c>
      <c r="H1159" s="212" t="s">
        <v>1811</v>
      </c>
      <c r="I1159" s="212" t="s">
        <v>110</v>
      </c>
      <c r="J1159" s="212" t="s">
        <v>1744</v>
      </c>
      <c r="K1159" s="212" t="s">
        <v>1745</v>
      </c>
      <c r="L1159" s="227" t="s">
        <v>1729</v>
      </c>
      <c r="M1159" s="206" t="s">
        <v>1739</v>
      </c>
      <c r="N1159" s="211">
        <v>-10.7</v>
      </c>
      <c r="O1159" s="211">
        <v>-19.498999999999999</v>
      </c>
      <c r="P1159" s="211" t="s">
        <v>487</v>
      </c>
      <c r="Q1159" s="211">
        <v>29.6</v>
      </c>
      <c r="R1159" s="211">
        <v>-1.2</v>
      </c>
      <c r="S1159" s="211" t="s">
        <v>1731</v>
      </c>
      <c r="T1159" s="212"/>
      <c r="U1159" s="212"/>
    </row>
    <row r="1160" spans="1:21" s="209" customFormat="1">
      <c r="A1160" s="212" t="s">
        <v>601</v>
      </c>
      <c r="B1160" s="212" t="s">
        <v>602</v>
      </c>
      <c r="C1160" s="233" t="s">
        <v>609</v>
      </c>
      <c r="D1160" s="233" t="s">
        <v>610</v>
      </c>
      <c r="E1160" s="212">
        <v>30967</v>
      </c>
      <c r="F1160" s="212">
        <v>672</v>
      </c>
      <c r="G1160" s="212" t="s">
        <v>1723</v>
      </c>
      <c r="H1160" s="212" t="s">
        <v>1811</v>
      </c>
      <c r="I1160" s="212" t="s">
        <v>110</v>
      </c>
      <c r="J1160" s="212" t="s">
        <v>1744</v>
      </c>
      <c r="K1160" s="212" t="s">
        <v>1745</v>
      </c>
      <c r="L1160" s="227" t="s">
        <v>1729</v>
      </c>
      <c r="M1160" s="206" t="s">
        <v>186</v>
      </c>
      <c r="N1160" s="211">
        <v>-12.6</v>
      </c>
      <c r="O1160" s="211">
        <v>-21.399000000000001</v>
      </c>
      <c r="P1160" s="211" t="s">
        <v>487</v>
      </c>
      <c r="Q1160" s="211">
        <v>30.6</v>
      </c>
      <c r="R1160" s="211">
        <v>-0.3</v>
      </c>
      <c r="S1160" s="211" t="s">
        <v>1731</v>
      </c>
      <c r="T1160" s="212"/>
      <c r="U1160" s="212"/>
    </row>
    <row r="1161" spans="1:21" s="209" customFormat="1">
      <c r="A1161" s="212" t="s">
        <v>601</v>
      </c>
      <c r="B1161" s="212" t="s">
        <v>602</v>
      </c>
      <c r="C1161" s="233" t="s">
        <v>609</v>
      </c>
      <c r="D1161" s="233" t="s">
        <v>610</v>
      </c>
      <c r="E1161" s="212">
        <v>30967</v>
      </c>
      <c r="F1161" s="212">
        <v>727</v>
      </c>
      <c r="G1161" s="212" t="s">
        <v>1723</v>
      </c>
      <c r="H1161" s="212" t="s">
        <v>1811</v>
      </c>
      <c r="I1161" s="212" t="s">
        <v>110</v>
      </c>
      <c r="J1161" s="212" t="s">
        <v>1744</v>
      </c>
      <c r="K1161" s="212" t="s">
        <v>1745</v>
      </c>
      <c r="L1161" s="227" t="s">
        <v>1729</v>
      </c>
      <c r="M1161" s="206" t="s">
        <v>186</v>
      </c>
      <c r="N1161" s="211">
        <v>-11.7</v>
      </c>
      <c r="O1161" s="211">
        <v>-20.498999999999999</v>
      </c>
      <c r="P1161" s="211" t="s">
        <v>487</v>
      </c>
      <c r="Q1161" s="211">
        <v>30.4</v>
      </c>
      <c r="R1161" s="211">
        <v>-0.4</v>
      </c>
      <c r="S1161" s="211" t="s">
        <v>1731</v>
      </c>
      <c r="T1161" s="212"/>
      <c r="U1161" s="212"/>
    </row>
    <row r="1162" spans="1:21" s="209" customFormat="1">
      <c r="A1162" s="212" t="s">
        <v>601</v>
      </c>
      <c r="B1162" s="212" t="s">
        <v>602</v>
      </c>
      <c r="C1162" s="233" t="s">
        <v>609</v>
      </c>
      <c r="D1162" s="233" t="s">
        <v>610</v>
      </c>
      <c r="E1162" s="212">
        <v>30967</v>
      </c>
      <c r="F1162" s="212">
        <v>728</v>
      </c>
      <c r="G1162" s="212" t="s">
        <v>1723</v>
      </c>
      <c r="H1162" s="212" t="s">
        <v>1811</v>
      </c>
      <c r="I1162" s="212" t="s">
        <v>110</v>
      </c>
      <c r="J1162" s="212" t="s">
        <v>1744</v>
      </c>
      <c r="K1162" s="212" t="s">
        <v>1745</v>
      </c>
      <c r="L1162" s="227" t="s">
        <v>1729</v>
      </c>
      <c r="M1162" s="206" t="s">
        <v>1734</v>
      </c>
      <c r="N1162" s="211">
        <v>-10.5</v>
      </c>
      <c r="O1162" s="211">
        <v>-19.298999999999999</v>
      </c>
      <c r="P1162" s="211" t="s">
        <v>487</v>
      </c>
      <c r="Q1162" s="211">
        <v>30.9</v>
      </c>
      <c r="R1162" s="211">
        <v>0</v>
      </c>
      <c r="S1162" s="211" t="s">
        <v>1731</v>
      </c>
      <c r="T1162" s="212"/>
      <c r="U1162" s="212"/>
    </row>
    <row r="1163" spans="1:21" s="209" customFormat="1">
      <c r="A1163" s="212" t="s">
        <v>601</v>
      </c>
      <c r="B1163" s="212" t="s">
        <v>602</v>
      </c>
      <c r="C1163" s="233" t="s">
        <v>609</v>
      </c>
      <c r="D1163" s="233" t="s">
        <v>610</v>
      </c>
      <c r="E1163" s="212">
        <v>30967</v>
      </c>
      <c r="F1163" s="212">
        <v>766</v>
      </c>
      <c r="G1163" s="212" t="s">
        <v>1723</v>
      </c>
      <c r="H1163" s="212" t="s">
        <v>1811</v>
      </c>
      <c r="I1163" s="212" t="s">
        <v>110</v>
      </c>
      <c r="J1163" s="212" t="s">
        <v>1744</v>
      </c>
      <c r="K1163" s="212" t="s">
        <v>1745</v>
      </c>
      <c r="L1163" s="227" t="s">
        <v>1729</v>
      </c>
      <c r="M1163" s="206" t="s">
        <v>1747</v>
      </c>
      <c r="N1163" s="211">
        <v>-10.8</v>
      </c>
      <c r="O1163" s="211">
        <v>-19.599</v>
      </c>
      <c r="P1163" s="211" t="s">
        <v>487</v>
      </c>
      <c r="Q1163" s="211">
        <v>29.2</v>
      </c>
      <c r="R1163" s="211">
        <v>-1.6</v>
      </c>
      <c r="S1163" s="211" t="s">
        <v>1731</v>
      </c>
      <c r="T1163" s="212"/>
      <c r="U1163" s="212"/>
    </row>
    <row r="1164" spans="1:21" s="209" customFormat="1">
      <c r="A1164" s="212" t="s">
        <v>601</v>
      </c>
      <c r="B1164" s="212" t="s">
        <v>602</v>
      </c>
      <c r="C1164" s="233" t="s">
        <v>609</v>
      </c>
      <c r="D1164" s="233" t="s">
        <v>610</v>
      </c>
      <c r="E1164" s="212">
        <v>30967</v>
      </c>
      <c r="F1164" s="212">
        <v>773</v>
      </c>
      <c r="G1164" s="212" t="s">
        <v>1723</v>
      </c>
      <c r="H1164" s="212" t="s">
        <v>1878</v>
      </c>
      <c r="I1164" s="212" t="s">
        <v>110</v>
      </c>
      <c r="J1164" s="212" t="s">
        <v>1744</v>
      </c>
      <c r="K1164" s="212" t="s">
        <v>269</v>
      </c>
      <c r="L1164" s="227" t="s">
        <v>1729</v>
      </c>
      <c r="M1164" s="206" t="s">
        <v>1730</v>
      </c>
      <c r="N1164" s="211">
        <v>-10.09</v>
      </c>
      <c r="O1164" s="211">
        <v>-18.888999999999999</v>
      </c>
      <c r="P1164" s="211" t="s">
        <v>487</v>
      </c>
      <c r="Q1164" s="211"/>
      <c r="R1164" s="211">
        <v>-2.6</v>
      </c>
      <c r="S1164" s="211" t="s">
        <v>1731</v>
      </c>
      <c r="T1164" s="212"/>
      <c r="U1164" s="212"/>
    </row>
    <row r="1165" spans="1:21" s="209" customFormat="1">
      <c r="A1165" s="212" t="s">
        <v>601</v>
      </c>
      <c r="B1165" s="212" t="s">
        <v>602</v>
      </c>
      <c r="C1165" s="233" t="s">
        <v>609</v>
      </c>
      <c r="D1165" s="233" t="s">
        <v>610</v>
      </c>
      <c r="E1165" s="212">
        <v>30967</v>
      </c>
      <c r="F1165" s="212">
        <v>899</v>
      </c>
      <c r="G1165" s="212" t="s">
        <v>1723</v>
      </c>
      <c r="H1165" s="212" t="s">
        <v>1811</v>
      </c>
      <c r="I1165" s="212" t="s">
        <v>110</v>
      </c>
      <c r="J1165" s="212" t="s">
        <v>1744</v>
      </c>
      <c r="K1165" s="212" t="s">
        <v>1745</v>
      </c>
      <c r="L1165" s="227" t="s">
        <v>1729</v>
      </c>
      <c r="M1165" s="206" t="s">
        <v>186</v>
      </c>
      <c r="N1165" s="211">
        <v>-12.4</v>
      </c>
      <c r="O1165" s="211">
        <v>-21.199000000000002</v>
      </c>
      <c r="P1165" s="211" t="s">
        <v>487</v>
      </c>
      <c r="Q1165" s="211">
        <v>28.6</v>
      </c>
      <c r="R1165" s="211">
        <v>-2.2000000000000002</v>
      </c>
      <c r="S1165" s="211" t="s">
        <v>1731</v>
      </c>
      <c r="T1165" s="212"/>
      <c r="U1165" s="212"/>
    </row>
    <row r="1166" spans="1:21" s="209" customFormat="1">
      <c r="A1166" s="212" t="s">
        <v>601</v>
      </c>
      <c r="B1166" s="212" t="s">
        <v>602</v>
      </c>
      <c r="C1166" s="233" t="s">
        <v>609</v>
      </c>
      <c r="D1166" s="233" t="s">
        <v>610</v>
      </c>
      <c r="E1166" s="212">
        <v>30967</v>
      </c>
      <c r="F1166" s="216">
        <v>906</v>
      </c>
      <c r="G1166" s="212" t="s">
        <v>1723</v>
      </c>
      <c r="H1166" s="212" t="s">
        <v>1811</v>
      </c>
      <c r="I1166" s="212" t="s">
        <v>110</v>
      </c>
      <c r="J1166" s="212" t="s">
        <v>1744</v>
      </c>
      <c r="K1166" s="212" t="s">
        <v>1745</v>
      </c>
      <c r="L1166" s="227" t="s">
        <v>1729</v>
      </c>
      <c r="M1166" s="206" t="s">
        <v>1734</v>
      </c>
      <c r="N1166" s="211">
        <v>-10.6</v>
      </c>
      <c r="O1166" s="211">
        <v>-19.399000000000001</v>
      </c>
      <c r="P1166" s="211" t="s">
        <v>487</v>
      </c>
      <c r="Q1166" s="211">
        <v>28.5</v>
      </c>
      <c r="R1166" s="211">
        <v>-2.2999999999999998</v>
      </c>
      <c r="S1166" s="211" t="s">
        <v>1731</v>
      </c>
      <c r="T1166" s="212"/>
      <c r="U1166" s="212"/>
    </row>
    <row r="1167" spans="1:21" s="209" customFormat="1">
      <c r="A1167" s="212" t="s">
        <v>601</v>
      </c>
      <c r="B1167" s="212" t="s">
        <v>602</v>
      </c>
      <c r="C1167" s="233" t="s">
        <v>609</v>
      </c>
      <c r="D1167" s="233" t="s">
        <v>610</v>
      </c>
      <c r="E1167" s="212">
        <v>30967</v>
      </c>
      <c r="F1167" s="212">
        <v>980</v>
      </c>
      <c r="G1167" s="212" t="s">
        <v>1723</v>
      </c>
      <c r="H1167" s="212" t="s">
        <v>1811</v>
      </c>
      <c r="I1167" s="212" t="s">
        <v>110</v>
      </c>
      <c r="J1167" s="212" t="s">
        <v>1744</v>
      </c>
      <c r="K1167" s="212" t="s">
        <v>1745</v>
      </c>
      <c r="L1167" s="227" t="s">
        <v>1729</v>
      </c>
      <c r="M1167" s="206" t="s">
        <v>1747</v>
      </c>
      <c r="N1167" s="211">
        <v>-11.4</v>
      </c>
      <c r="O1167" s="211">
        <v>-20.199000000000002</v>
      </c>
      <c r="P1167" s="211" t="s">
        <v>487</v>
      </c>
      <c r="Q1167" s="211">
        <v>29</v>
      </c>
      <c r="R1167" s="211">
        <v>-1.8</v>
      </c>
      <c r="S1167" s="211" t="s">
        <v>1731</v>
      </c>
      <c r="T1167" s="212"/>
      <c r="U1167" s="212"/>
    </row>
    <row r="1168" spans="1:21" s="209" customFormat="1">
      <c r="A1168" s="212" t="s">
        <v>601</v>
      </c>
      <c r="B1168" s="212" t="s">
        <v>602</v>
      </c>
      <c r="C1168" s="233" t="s">
        <v>609</v>
      </c>
      <c r="D1168" s="233" t="s">
        <v>610</v>
      </c>
      <c r="E1168" s="212">
        <v>30967</v>
      </c>
      <c r="F1168" s="212">
        <v>1922</v>
      </c>
      <c r="G1168" s="212" t="s">
        <v>1723</v>
      </c>
      <c r="H1168" s="212" t="s">
        <v>1878</v>
      </c>
      <c r="I1168" s="212" t="s">
        <v>110</v>
      </c>
      <c r="J1168" s="212" t="s">
        <v>1744</v>
      </c>
      <c r="K1168" s="212" t="s">
        <v>269</v>
      </c>
      <c r="L1168" s="227" t="s">
        <v>1729</v>
      </c>
      <c r="M1168" s="206" t="s">
        <v>1730</v>
      </c>
      <c r="N1168" s="211">
        <v>-7.2</v>
      </c>
      <c r="O1168" s="211">
        <v>-15.999000000000001</v>
      </c>
      <c r="P1168" s="211" t="s">
        <v>487</v>
      </c>
      <c r="Q1168" s="211"/>
      <c r="R1168" s="211">
        <v>0</v>
      </c>
      <c r="S1168" s="211" t="s">
        <v>1731</v>
      </c>
      <c r="T1168" s="212"/>
      <c r="U1168" s="212"/>
    </row>
    <row r="1169" spans="1:21" s="209" customFormat="1">
      <c r="A1169" s="212" t="s">
        <v>601</v>
      </c>
      <c r="B1169" s="212" t="s">
        <v>602</v>
      </c>
      <c r="C1169" s="233" t="s">
        <v>609</v>
      </c>
      <c r="D1169" s="233" t="s">
        <v>610</v>
      </c>
      <c r="E1169" s="212">
        <v>40450</v>
      </c>
      <c r="F1169" s="212">
        <v>1</v>
      </c>
      <c r="G1169" s="212" t="s">
        <v>1723</v>
      </c>
      <c r="H1169" s="212" t="s">
        <v>1878</v>
      </c>
      <c r="I1169" s="212" t="s">
        <v>1783</v>
      </c>
      <c r="J1169" s="212" t="s">
        <v>1744</v>
      </c>
      <c r="K1169" s="212" t="s">
        <v>269</v>
      </c>
      <c r="L1169" s="227" t="s">
        <v>1725</v>
      </c>
      <c r="M1169" s="206" t="s">
        <v>1805</v>
      </c>
      <c r="N1169" s="211">
        <v>-20.04</v>
      </c>
      <c r="O1169" s="211">
        <v>-20</v>
      </c>
      <c r="P1169" s="211">
        <v>4.5</v>
      </c>
      <c r="Q1169" s="211"/>
      <c r="R1169" s="211"/>
      <c r="S1169" s="211">
        <v>3</v>
      </c>
      <c r="T1169" s="212"/>
      <c r="U1169" s="212"/>
    </row>
    <row r="1170" spans="1:21" s="209" customFormat="1">
      <c r="A1170" s="212" t="s">
        <v>601</v>
      </c>
      <c r="B1170" s="212" t="s">
        <v>602</v>
      </c>
      <c r="C1170" s="233" t="s">
        <v>609</v>
      </c>
      <c r="D1170" s="233" t="s">
        <v>610</v>
      </c>
      <c r="E1170" s="212">
        <v>43067</v>
      </c>
      <c r="F1170" s="212">
        <v>39</v>
      </c>
      <c r="G1170" s="212" t="s">
        <v>1723</v>
      </c>
      <c r="H1170" s="212" t="s">
        <v>1878</v>
      </c>
      <c r="I1170" s="212" t="s">
        <v>1893</v>
      </c>
      <c r="J1170" s="212" t="s">
        <v>1744</v>
      </c>
      <c r="K1170" s="212" t="s">
        <v>269</v>
      </c>
      <c r="L1170" s="227" t="s">
        <v>1729</v>
      </c>
      <c r="M1170" s="206" t="s">
        <v>1747</v>
      </c>
      <c r="N1170" s="211">
        <v>-10.58</v>
      </c>
      <c r="O1170" s="211">
        <v>-19.379000000000001</v>
      </c>
      <c r="P1170" s="211" t="s">
        <v>487</v>
      </c>
      <c r="Q1170" s="211"/>
      <c r="R1170" s="211">
        <v>-6.1</v>
      </c>
      <c r="S1170" s="211" t="s">
        <v>1731</v>
      </c>
      <c r="T1170" s="212"/>
      <c r="U1170" s="212"/>
    </row>
    <row r="1171" spans="1:21" s="209" customFormat="1">
      <c r="A1171" s="212" t="s">
        <v>601</v>
      </c>
      <c r="B1171" s="212" t="s">
        <v>602</v>
      </c>
      <c r="C1171" s="233" t="s">
        <v>609</v>
      </c>
      <c r="D1171" s="233" t="s">
        <v>610</v>
      </c>
      <c r="E1171" s="212">
        <v>43067</v>
      </c>
      <c r="F1171" s="212">
        <v>103</v>
      </c>
      <c r="G1171" s="212" t="s">
        <v>1723</v>
      </c>
      <c r="H1171" s="212" t="s">
        <v>1878</v>
      </c>
      <c r="I1171" s="212" t="s">
        <v>1893</v>
      </c>
      <c r="J1171" s="212" t="s">
        <v>1744</v>
      </c>
      <c r="K1171" s="212" t="s">
        <v>269</v>
      </c>
      <c r="L1171" s="227" t="s">
        <v>1729</v>
      </c>
      <c r="M1171" s="206" t="s">
        <v>186</v>
      </c>
      <c r="N1171" s="211">
        <v>-10.15</v>
      </c>
      <c r="O1171" s="211">
        <v>-18.949000000000002</v>
      </c>
      <c r="P1171" s="211" t="s">
        <v>487</v>
      </c>
      <c r="Q1171" s="211"/>
      <c r="R1171" s="211">
        <v>-5</v>
      </c>
      <c r="S1171" s="211" t="s">
        <v>1731</v>
      </c>
      <c r="T1171" s="212">
        <v>-18.67711035</v>
      </c>
      <c r="U1171" s="212"/>
    </row>
    <row r="1172" spans="1:21" s="209" customFormat="1">
      <c r="A1172" s="212" t="s">
        <v>601</v>
      </c>
      <c r="B1172" s="212" t="s">
        <v>602</v>
      </c>
      <c r="C1172" s="233" t="s">
        <v>609</v>
      </c>
      <c r="D1172" s="233" t="s">
        <v>610</v>
      </c>
      <c r="E1172" s="212">
        <v>43067</v>
      </c>
      <c r="F1172" s="212">
        <v>104</v>
      </c>
      <c r="G1172" s="212" t="s">
        <v>1723</v>
      </c>
      <c r="H1172" s="212" t="s">
        <v>1878</v>
      </c>
      <c r="I1172" s="212" t="s">
        <v>1893</v>
      </c>
      <c r="J1172" s="212" t="s">
        <v>1744</v>
      </c>
      <c r="K1172" s="212" t="s">
        <v>269</v>
      </c>
      <c r="L1172" s="227" t="s">
        <v>1729</v>
      </c>
      <c r="M1172" s="206" t="s">
        <v>1734</v>
      </c>
      <c r="N1172" s="211">
        <v>-9.9</v>
      </c>
      <c r="O1172" s="211">
        <v>-18.699000000000002</v>
      </c>
      <c r="P1172" s="211" t="s">
        <v>487</v>
      </c>
      <c r="Q1172" s="211"/>
      <c r="R1172" s="211">
        <v>-4.5</v>
      </c>
      <c r="S1172" s="211" t="s">
        <v>1731</v>
      </c>
      <c r="T1172" s="212"/>
      <c r="U1172" s="212"/>
    </row>
    <row r="1173" spans="1:21" s="209" customFormat="1">
      <c r="A1173" s="212" t="s">
        <v>601</v>
      </c>
      <c r="B1173" s="212" t="s">
        <v>602</v>
      </c>
      <c r="C1173" s="233" t="s">
        <v>609</v>
      </c>
      <c r="D1173" s="233" t="s">
        <v>610</v>
      </c>
      <c r="E1173" s="212">
        <v>908</v>
      </c>
      <c r="F1173" s="212">
        <v>2302</v>
      </c>
      <c r="G1173" s="212" t="s">
        <v>1723</v>
      </c>
      <c r="H1173" s="212" t="s">
        <v>1878</v>
      </c>
      <c r="I1173" s="212" t="s">
        <v>250</v>
      </c>
      <c r="J1173" s="212" t="s">
        <v>104</v>
      </c>
      <c r="K1173" s="212" t="s">
        <v>269</v>
      </c>
      <c r="L1173" s="227" t="s">
        <v>1725</v>
      </c>
      <c r="M1173" s="206" t="s">
        <v>1756</v>
      </c>
      <c r="N1173" s="211">
        <v>-25.6</v>
      </c>
      <c r="O1173" s="211" t="s">
        <v>1731</v>
      </c>
      <c r="P1173" s="211">
        <v>3.1</v>
      </c>
      <c r="Q1173" s="211"/>
      <c r="R1173" s="211"/>
      <c r="S1173" s="211">
        <v>4.7</v>
      </c>
      <c r="T1173" s="212"/>
      <c r="U1173" s="212"/>
    </row>
    <row r="1174" spans="1:21" s="209" customFormat="1">
      <c r="A1174" s="212" t="s">
        <v>601</v>
      </c>
      <c r="B1174" s="212" t="s">
        <v>602</v>
      </c>
      <c r="C1174" s="233" t="s">
        <v>609</v>
      </c>
      <c r="D1174" s="233" t="s">
        <v>610</v>
      </c>
      <c r="E1174" s="212">
        <v>908</v>
      </c>
      <c r="F1174" s="212">
        <v>2305</v>
      </c>
      <c r="G1174" s="212" t="s">
        <v>1723</v>
      </c>
      <c r="H1174" s="212" t="s">
        <v>1878</v>
      </c>
      <c r="I1174" s="212" t="s">
        <v>250</v>
      </c>
      <c r="J1174" s="212" t="s">
        <v>104</v>
      </c>
      <c r="K1174" s="212" t="s">
        <v>269</v>
      </c>
      <c r="L1174" s="227" t="s">
        <v>1725</v>
      </c>
      <c r="M1174" s="206" t="s">
        <v>1738</v>
      </c>
      <c r="N1174" s="211">
        <v>-25</v>
      </c>
      <c r="O1174" s="211" t="s">
        <v>1731</v>
      </c>
      <c r="P1174" s="211">
        <v>2.2999999999999998</v>
      </c>
      <c r="Q1174" s="211"/>
      <c r="R1174" s="211"/>
      <c r="S1174" s="211">
        <v>4.2</v>
      </c>
      <c r="T1174" s="212"/>
      <c r="U1174" s="212"/>
    </row>
    <row r="1175" spans="1:21" s="209" customFormat="1">
      <c r="A1175" s="212" t="s">
        <v>601</v>
      </c>
      <c r="B1175" s="212" t="s">
        <v>602</v>
      </c>
      <c r="C1175" s="233" t="s">
        <v>603</v>
      </c>
      <c r="D1175" s="233" t="s">
        <v>151</v>
      </c>
      <c r="E1175" s="212">
        <v>908</v>
      </c>
      <c r="F1175" s="212">
        <v>2377</v>
      </c>
      <c r="G1175" s="212" t="s">
        <v>1723</v>
      </c>
      <c r="H1175" s="212" t="s">
        <v>1878</v>
      </c>
      <c r="I1175" s="212" t="s">
        <v>250</v>
      </c>
      <c r="J1175" s="212" t="s">
        <v>1744</v>
      </c>
      <c r="K1175" s="227" t="s">
        <v>269</v>
      </c>
      <c r="L1175" s="227" t="s">
        <v>1729</v>
      </c>
      <c r="M1175" t="s">
        <v>1730</v>
      </c>
      <c r="N1175" s="211">
        <v>-1.78</v>
      </c>
      <c r="O1175" s="211">
        <v>-10.579000000000001</v>
      </c>
      <c r="P1175" s="211" t="s">
        <v>487</v>
      </c>
      <c r="Q1175" s="211">
        <v>29</v>
      </c>
      <c r="R1175" s="211">
        <v>-1.8</v>
      </c>
      <c r="S1175" s="211" t="s">
        <v>1731</v>
      </c>
      <c r="T1175" s="212"/>
      <c r="U1175" s="212"/>
    </row>
    <row r="1176" spans="1:21" s="209" customFormat="1">
      <c r="A1176" s="212" t="s">
        <v>601</v>
      </c>
      <c r="B1176" s="212" t="s">
        <v>602</v>
      </c>
      <c r="C1176" s="233" t="s">
        <v>603</v>
      </c>
      <c r="D1176" s="233" t="s">
        <v>151</v>
      </c>
      <c r="E1176" s="212">
        <v>908</v>
      </c>
      <c r="F1176" s="212">
        <v>2408</v>
      </c>
      <c r="G1176" s="212" t="s">
        <v>1723</v>
      </c>
      <c r="H1176" s="212" t="s">
        <v>1878</v>
      </c>
      <c r="I1176" s="212" t="s">
        <v>250</v>
      </c>
      <c r="J1176" s="212" t="s">
        <v>104</v>
      </c>
      <c r="K1176" s="227" t="s">
        <v>1768</v>
      </c>
      <c r="L1176" s="227" t="s">
        <v>1729</v>
      </c>
      <c r="M1176" t="s">
        <v>1789</v>
      </c>
      <c r="N1176" s="211">
        <v>-1.84</v>
      </c>
      <c r="O1176" s="211">
        <v>-10.638999999999999</v>
      </c>
      <c r="P1176" s="211" t="s">
        <v>487</v>
      </c>
      <c r="Q1176" s="211">
        <v>30.1</v>
      </c>
      <c r="R1176" s="211">
        <v>-0.8</v>
      </c>
      <c r="S1176" s="211" t="s">
        <v>1731</v>
      </c>
      <c r="T1176" s="212"/>
      <c r="U1176" s="212"/>
    </row>
    <row r="1177" spans="1:21" s="209" customFormat="1">
      <c r="A1177" s="212" t="s">
        <v>601</v>
      </c>
      <c r="B1177" s="212" t="s">
        <v>602</v>
      </c>
      <c r="C1177" s="233" t="s">
        <v>603</v>
      </c>
      <c r="D1177" s="233" t="s">
        <v>151</v>
      </c>
      <c r="E1177" s="212">
        <v>933</v>
      </c>
      <c r="F1177" s="212">
        <v>133</v>
      </c>
      <c r="G1177" s="212" t="s">
        <v>1723</v>
      </c>
      <c r="H1177" s="212" t="s">
        <v>1878</v>
      </c>
      <c r="I1177" s="212" t="s">
        <v>249</v>
      </c>
      <c r="J1177" s="212" t="s">
        <v>104</v>
      </c>
      <c r="K1177" s="212" t="s">
        <v>1768</v>
      </c>
      <c r="L1177" s="227" t="s">
        <v>1729</v>
      </c>
      <c r="M1177" s="206" t="s">
        <v>1906</v>
      </c>
      <c r="N1177" s="211">
        <v>-5.09</v>
      </c>
      <c r="O1177" s="211">
        <v>-13.888999999999999</v>
      </c>
      <c r="P1177" s="211" t="s">
        <v>487</v>
      </c>
      <c r="Q1177" s="211">
        <v>29.9</v>
      </c>
      <c r="R1177" s="211">
        <v>-0.9</v>
      </c>
      <c r="S1177" s="211" t="s">
        <v>1731</v>
      </c>
      <c r="T1177" s="212"/>
      <c r="U1177" s="212"/>
    </row>
    <row r="1178" spans="1:21" s="209" customFormat="1">
      <c r="A1178" s="212" t="s">
        <v>601</v>
      </c>
      <c r="B1178" s="212" t="s">
        <v>602</v>
      </c>
      <c r="C1178" s="233" t="s">
        <v>603</v>
      </c>
      <c r="D1178" s="233" t="s">
        <v>151</v>
      </c>
      <c r="E1178" s="212">
        <v>933</v>
      </c>
      <c r="F1178" s="212">
        <v>296</v>
      </c>
      <c r="G1178" s="212" t="s">
        <v>1723</v>
      </c>
      <c r="H1178" s="212" t="s">
        <v>1878</v>
      </c>
      <c r="I1178" s="212" t="s">
        <v>249</v>
      </c>
      <c r="J1178" s="212" t="s">
        <v>104</v>
      </c>
      <c r="K1178" s="212" t="s">
        <v>1768</v>
      </c>
      <c r="L1178" s="212" t="s">
        <v>1729</v>
      </c>
      <c r="M1178" s="206" t="s">
        <v>1906</v>
      </c>
      <c r="N1178" s="211">
        <v>-1.49</v>
      </c>
      <c r="O1178" s="211">
        <v>-10.289</v>
      </c>
      <c r="P1178" s="211" t="s">
        <v>487</v>
      </c>
      <c r="Q1178" s="211">
        <v>30</v>
      </c>
      <c r="R1178" s="211">
        <v>-0.8</v>
      </c>
      <c r="S1178" s="211" t="s">
        <v>1731</v>
      </c>
      <c r="T1178" s="212"/>
      <c r="U1178" s="212"/>
    </row>
    <row r="1179" spans="1:21" s="209" customFormat="1">
      <c r="A1179" s="212" t="s">
        <v>601</v>
      </c>
      <c r="B1179" s="212" t="s">
        <v>602</v>
      </c>
      <c r="C1179" s="233" t="s">
        <v>603</v>
      </c>
      <c r="D1179" s="233" t="s">
        <v>151</v>
      </c>
      <c r="E1179" s="212">
        <v>933</v>
      </c>
      <c r="F1179" s="212">
        <v>358</v>
      </c>
      <c r="G1179" s="212" t="s">
        <v>1723</v>
      </c>
      <c r="H1179" s="212" t="s">
        <v>1878</v>
      </c>
      <c r="I1179" s="212" t="s">
        <v>249</v>
      </c>
      <c r="J1179" s="212" t="s">
        <v>104</v>
      </c>
      <c r="K1179" s="212" t="s">
        <v>1768</v>
      </c>
      <c r="L1179" s="212" t="s">
        <v>1729</v>
      </c>
      <c r="M1179" s="206" t="s">
        <v>1906</v>
      </c>
      <c r="N1179" s="211">
        <v>-1.36</v>
      </c>
      <c r="O1179" s="211">
        <v>-10.159000000000001</v>
      </c>
      <c r="P1179" s="211" t="s">
        <v>487</v>
      </c>
      <c r="Q1179" s="211">
        <v>29.1</v>
      </c>
      <c r="R1179" s="211">
        <v>-1.8</v>
      </c>
      <c r="S1179" s="211" t="s">
        <v>1731</v>
      </c>
      <c r="T1179" s="212"/>
      <c r="U1179" s="212"/>
    </row>
    <row r="1180" spans="1:21" s="209" customFormat="1">
      <c r="A1180" s="212" t="s">
        <v>601</v>
      </c>
      <c r="B1180" s="212" t="s">
        <v>602</v>
      </c>
      <c r="C1180" s="233" t="s">
        <v>603</v>
      </c>
      <c r="D1180" s="233" t="s">
        <v>151</v>
      </c>
      <c r="E1180" s="212">
        <v>933</v>
      </c>
      <c r="F1180" s="212">
        <v>928</v>
      </c>
      <c r="G1180" s="212" t="s">
        <v>1723</v>
      </c>
      <c r="H1180" s="212" t="s">
        <v>1878</v>
      </c>
      <c r="I1180" s="212" t="s">
        <v>249</v>
      </c>
      <c r="J1180" s="212" t="s">
        <v>104</v>
      </c>
      <c r="K1180" s="212" t="s">
        <v>1768</v>
      </c>
      <c r="L1180" s="212" t="s">
        <v>1729</v>
      </c>
      <c r="M1180" s="206" t="s">
        <v>1789</v>
      </c>
      <c r="N1180" s="211">
        <v>-2.09</v>
      </c>
      <c r="O1180" s="211">
        <v>-10.888999999999999</v>
      </c>
      <c r="P1180" s="211" t="s">
        <v>487</v>
      </c>
      <c r="Q1180" s="211">
        <v>29.3</v>
      </c>
      <c r="R1180" s="211">
        <v>-1.5</v>
      </c>
      <c r="S1180" s="211" t="s">
        <v>1731</v>
      </c>
      <c r="T1180" s="212"/>
      <c r="U1180" s="212"/>
    </row>
    <row r="1181" spans="1:21" s="209" customFormat="1">
      <c r="A1181" s="212" t="s">
        <v>601</v>
      </c>
      <c r="B1181" s="212" t="s">
        <v>602</v>
      </c>
      <c r="C1181" s="233" t="s">
        <v>603</v>
      </c>
      <c r="D1181" s="233" t="s">
        <v>151</v>
      </c>
      <c r="E1181" s="212">
        <v>933</v>
      </c>
      <c r="F1181" s="212">
        <v>1006</v>
      </c>
      <c r="G1181" s="212" t="s">
        <v>1723</v>
      </c>
      <c r="H1181" s="212" t="s">
        <v>1878</v>
      </c>
      <c r="I1181" s="212" t="s">
        <v>249</v>
      </c>
      <c r="J1181" s="212" t="s">
        <v>104</v>
      </c>
      <c r="K1181" s="212" t="s">
        <v>1768</v>
      </c>
      <c r="L1181" s="212" t="s">
        <v>1729</v>
      </c>
      <c r="M1181" s="206" t="s">
        <v>1906</v>
      </c>
      <c r="N1181" s="211">
        <v>-0.06</v>
      </c>
      <c r="O1181" s="211">
        <v>-8.859</v>
      </c>
      <c r="P1181" s="211" t="s">
        <v>487</v>
      </c>
      <c r="Q1181" s="211">
        <v>29.9</v>
      </c>
      <c r="R1181" s="211">
        <v>-1</v>
      </c>
      <c r="S1181" s="211" t="s">
        <v>1731</v>
      </c>
      <c r="T1181" s="212"/>
      <c r="U1181" s="212"/>
    </row>
    <row r="1182" spans="1:21" s="209" customFormat="1">
      <c r="A1182" s="212" t="s">
        <v>601</v>
      </c>
      <c r="B1182" s="212" t="s">
        <v>602</v>
      </c>
      <c r="C1182" s="233" t="s">
        <v>603</v>
      </c>
      <c r="D1182" s="233" t="s">
        <v>151</v>
      </c>
      <c r="E1182" s="212">
        <v>933</v>
      </c>
      <c r="F1182" s="212">
        <v>1013</v>
      </c>
      <c r="G1182" s="212" t="s">
        <v>1723</v>
      </c>
      <c r="H1182" s="212" t="s">
        <v>1878</v>
      </c>
      <c r="I1182" s="212" t="s">
        <v>249</v>
      </c>
      <c r="J1182" s="212" t="s">
        <v>104</v>
      </c>
      <c r="K1182" s="212" t="s">
        <v>1768</v>
      </c>
      <c r="L1182" s="212" t="s">
        <v>1729</v>
      </c>
      <c r="M1182" s="206" t="s">
        <v>1789</v>
      </c>
      <c r="N1182" s="211">
        <v>-1.19</v>
      </c>
      <c r="O1182" s="211">
        <v>-9.9890000000000008</v>
      </c>
      <c r="P1182" s="211" t="s">
        <v>487</v>
      </c>
      <c r="Q1182" s="211">
        <v>30.4</v>
      </c>
      <c r="R1182" s="211">
        <v>-0.4</v>
      </c>
      <c r="S1182" s="211" t="s">
        <v>1731</v>
      </c>
      <c r="T1182" s="212"/>
      <c r="U1182" s="212"/>
    </row>
    <row r="1183" spans="1:21" s="209" customFormat="1">
      <c r="A1183" s="212" t="s">
        <v>601</v>
      </c>
      <c r="B1183" s="212" t="s">
        <v>602</v>
      </c>
      <c r="C1183" s="233" t="s">
        <v>603</v>
      </c>
      <c r="D1183" s="233" t="s">
        <v>151</v>
      </c>
      <c r="E1183" s="212">
        <v>933</v>
      </c>
      <c r="F1183" s="212">
        <v>1309</v>
      </c>
      <c r="G1183" s="212" t="s">
        <v>1723</v>
      </c>
      <c r="H1183" s="212" t="s">
        <v>1878</v>
      </c>
      <c r="I1183" s="212" t="s">
        <v>249</v>
      </c>
      <c r="J1183" s="212" t="s">
        <v>104</v>
      </c>
      <c r="K1183" s="212" t="s">
        <v>1768</v>
      </c>
      <c r="L1183" s="212" t="s">
        <v>1729</v>
      </c>
      <c r="M1183" s="206" t="s">
        <v>1789</v>
      </c>
      <c r="N1183" s="211">
        <v>-1.7</v>
      </c>
      <c r="O1183" s="211">
        <v>-10.499000000000001</v>
      </c>
      <c r="P1183" s="211" t="s">
        <v>487</v>
      </c>
      <c r="Q1183" s="211">
        <v>28.1</v>
      </c>
      <c r="R1183" s="211">
        <v>-2.6</v>
      </c>
      <c r="S1183" s="211" t="s">
        <v>1731</v>
      </c>
      <c r="T1183" s="212"/>
      <c r="U1183" s="212"/>
    </row>
    <row r="1184" spans="1:21" s="209" customFormat="1">
      <c r="A1184" s="212" t="s">
        <v>601</v>
      </c>
      <c r="B1184" s="212" t="s">
        <v>602</v>
      </c>
      <c r="C1184" s="233" t="s">
        <v>603</v>
      </c>
      <c r="D1184" s="233" t="s">
        <v>151</v>
      </c>
      <c r="E1184" s="212">
        <v>933</v>
      </c>
      <c r="F1184" s="212">
        <v>1505</v>
      </c>
      <c r="G1184" s="212" t="s">
        <v>1723</v>
      </c>
      <c r="H1184" s="212" t="s">
        <v>1878</v>
      </c>
      <c r="I1184" s="212" t="s">
        <v>249</v>
      </c>
      <c r="J1184" s="212" t="s">
        <v>104</v>
      </c>
      <c r="K1184" s="212" t="s">
        <v>1768</v>
      </c>
      <c r="L1184" s="212" t="s">
        <v>1729</v>
      </c>
      <c r="M1184" s="206" t="s">
        <v>1734</v>
      </c>
      <c r="N1184" s="211">
        <v>-0.14000000000000001</v>
      </c>
      <c r="O1184" s="211">
        <v>-8.9390000000000001</v>
      </c>
      <c r="P1184" s="211" t="s">
        <v>487</v>
      </c>
      <c r="Q1184" s="211">
        <v>30.1</v>
      </c>
      <c r="R1184" s="211">
        <v>-0.7</v>
      </c>
      <c r="S1184" s="211" t="s">
        <v>1731</v>
      </c>
      <c r="T1184" s="212"/>
      <c r="U1184" s="212"/>
    </row>
    <row r="1185" spans="1:21" s="209" customFormat="1">
      <c r="A1185" s="212" t="s">
        <v>601</v>
      </c>
      <c r="B1185" s="212" t="s">
        <v>602</v>
      </c>
      <c r="C1185" s="233" t="s">
        <v>603</v>
      </c>
      <c r="D1185" s="233" t="s">
        <v>151</v>
      </c>
      <c r="E1185" s="212">
        <v>933</v>
      </c>
      <c r="F1185" s="212">
        <v>1506</v>
      </c>
      <c r="G1185" s="212" t="s">
        <v>1723</v>
      </c>
      <c r="H1185" s="212" t="s">
        <v>1878</v>
      </c>
      <c r="I1185" s="212" t="s">
        <v>249</v>
      </c>
      <c r="J1185" s="212" t="s">
        <v>104</v>
      </c>
      <c r="K1185" s="212" t="s">
        <v>1768</v>
      </c>
      <c r="L1185" s="212" t="s">
        <v>1729</v>
      </c>
      <c r="M1185" s="206" t="s">
        <v>1906</v>
      </c>
      <c r="N1185" s="211">
        <v>-1.21</v>
      </c>
      <c r="O1185" s="211">
        <v>-10.009</v>
      </c>
      <c r="P1185" s="211" t="s">
        <v>487</v>
      </c>
      <c r="Q1185" s="211">
        <v>29.2</v>
      </c>
      <c r="R1185" s="211">
        <v>-1.6</v>
      </c>
      <c r="S1185" s="211" t="s">
        <v>1731</v>
      </c>
      <c r="T1185" s="212"/>
      <c r="U1185" s="212"/>
    </row>
    <row r="1186" spans="1:21" s="209" customFormat="1">
      <c r="A1186" s="212" t="s">
        <v>601</v>
      </c>
      <c r="B1186" s="212" t="s">
        <v>602</v>
      </c>
      <c r="C1186" s="233" t="s">
        <v>603</v>
      </c>
      <c r="D1186" s="233" t="s">
        <v>151</v>
      </c>
      <c r="E1186" s="212">
        <v>933</v>
      </c>
      <c r="F1186" s="212">
        <v>1507</v>
      </c>
      <c r="G1186" s="212" t="s">
        <v>1723</v>
      </c>
      <c r="H1186" s="212" t="s">
        <v>1878</v>
      </c>
      <c r="I1186" s="212" t="s">
        <v>249</v>
      </c>
      <c r="J1186" s="212" t="s">
        <v>104</v>
      </c>
      <c r="K1186" s="212" t="s">
        <v>1768</v>
      </c>
      <c r="L1186" s="212" t="s">
        <v>1729</v>
      </c>
      <c r="M1186" s="206" t="s">
        <v>1779</v>
      </c>
      <c r="N1186" s="211">
        <v>-3.35</v>
      </c>
      <c r="O1186" s="211">
        <v>-12.148999999999999</v>
      </c>
      <c r="P1186" s="211" t="s">
        <v>487</v>
      </c>
      <c r="Q1186" s="211">
        <v>29.3</v>
      </c>
      <c r="R1186" s="211">
        <v>-1.5</v>
      </c>
      <c r="S1186" s="211" t="s">
        <v>1731</v>
      </c>
      <c r="T1186" s="212"/>
      <c r="U1186" s="212"/>
    </row>
    <row r="1187" spans="1:21" s="209" customFormat="1">
      <c r="A1187" s="212" t="s">
        <v>601</v>
      </c>
      <c r="B1187" s="212" t="s">
        <v>602</v>
      </c>
      <c r="C1187" s="233" t="s">
        <v>603</v>
      </c>
      <c r="D1187" s="233" t="s">
        <v>151</v>
      </c>
      <c r="E1187" s="212">
        <v>933</v>
      </c>
      <c r="F1187" s="212">
        <v>2014</v>
      </c>
      <c r="G1187" s="212" t="s">
        <v>1723</v>
      </c>
      <c r="H1187" s="212" t="s">
        <v>1878</v>
      </c>
      <c r="I1187" s="212" t="s">
        <v>249</v>
      </c>
      <c r="J1187" s="212" t="s">
        <v>104</v>
      </c>
      <c r="K1187" s="212" t="s">
        <v>1768</v>
      </c>
      <c r="L1187" s="212" t="s">
        <v>1729</v>
      </c>
      <c r="M1187" s="206" t="s">
        <v>1734</v>
      </c>
      <c r="N1187" s="211">
        <v>-0.02</v>
      </c>
      <c r="O1187" s="211">
        <v>-8.8190000000000008</v>
      </c>
      <c r="P1187" s="211" t="s">
        <v>487</v>
      </c>
      <c r="Q1187" s="211">
        <v>30</v>
      </c>
      <c r="R1187" s="211">
        <v>-0.8</v>
      </c>
      <c r="S1187" s="211" t="s">
        <v>1731</v>
      </c>
      <c r="T1187" s="212"/>
      <c r="U1187" s="212"/>
    </row>
    <row r="1188" spans="1:21" s="209" customFormat="1">
      <c r="A1188" s="212" t="s">
        <v>601</v>
      </c>
      <c r="B1188" s="212" t="s">
        <v>602</v>
      </c>
      <c r="C1188" s="233" t="s">
        <v>603</v>
      </c>
      <c r="D1188" s="233" t="s">
        <v>151</v>
      </c>
      <c r="E1188" s="212">
        <v>933</v>
      </c>
      <c r="F1188" s="212">
        <v>2015</v>
      </c>
      <c r="G1188" s="212" t="s">
        <v>1723</v>
      </c>
      <c r="H1188" s="212" t="s">
        <v>1878</v>
      </c>
      <c r="I1188" s="212" t="s">
        <v>249</v>
      </c>
      <c r="J1188" s="212" t="s">
        <v>104</v>
      </c>
      <c r="K1188" s="212" t="s">
        <v>1768</v>
      </c>
      <c r="L1188" s="212" t="s">
        <v>1729</v>
      </c>
      <c r="M1188" s="206" t="s">
        <v>1906</v>
      </c>
      <c r="N1188" s="211">
        <v>-1.39</v>
      </c>
      <c r="O1188" s="211">
        <v>-10.189</v>
      </c>
      <c r="P1188" s="211" t="s">
        <v>487</v>
      </c>
      <c r="Q1188" s="211">
        <v>28.9</v>
      </c>
      <c r="R1188" s="211">
        <v>-1.9</v>
      </c>
      <c r="S1188" s="211" t="s">
        <v>1731</v>
      </c>
      <c r="T1188" s="212"/>
      <c r="U1188" s="212"/>
    </row>
    <row r="1189" spans="1:21" s="209" customFormat="1">
      <c r="A1189" s="212" t="s">
        <v>601</v>
      </c>
      <c r="B1189" s="212" t="s">
        <v>602</v>
      </c>
      <c r="C1189" s="233" t="s">
        <v>603</v>
      </c>
      <c r="D1189" s="233" t="s">
        <v>151</v>
      </c>
      <c r="E1189" s="212">
        <v>933</v>
      </c>
      <c r="F1189" s="212">
        <v>2022</v>
      </c>
      <c r="G1189" s="212" t="s">
        <v>1723</v>
      </c>
      <c r="H1189" s="212" t="s">
        <v>1878</v>
      </c>
      <c r="I1189" s="212" t="s">
        <v>249</v>
      </c>
      <c r="J1189" s="212" t="s">
        <v>104</v>
      </c>
      <c r="K1189" s="212" t="s">
        <v>1768</v>
      </c>
      <c r="L1189" s="212" t="s">
        <v>1729</v>
      </c>
      <c r="M1189" s="206" t="s">
        <v>1907</v>
      </c>
      <c r="N1189" s="211">
        <v>-3.87</v>
      </c>
      <c r="O1189" s="211">
        <v>-12.669</v>
      </c>
      <c r="P1189" s="211" t="s">
        <v>487</v>
      </c>
      <c r="Q1189" s="211">
        <v>30.2</v>
      </c>
      <c r="R1189" s="211">
        <v>-0.6</v>
      </c>
      <c r="S1189" s="211" t="s">
        <v>1731</v>
      </c>
      <c r="T1189" s="212"/>
      <c r="U1189" s="212"/>
    </row>
    <row r="1190" spans="1:21" s="209" customFormat="1">
      <c r="A1190" s="212" t="s">
        <v>601</v>
      </c>
      <c r="B1190" s="212" t="s">
        <v>602</v>
      </c>
      <c r="C1190" s="233" t="s">
        <v>603</v>
      </c>
      <c r="D1190" s="233" t="s">
        <v>151</v>
      </c>
      <c r="E1190" s="212">
        <v>933</v>
      </c>
      <c r="F1190" s="212">
        <v>2243</v>
      </c>
      <c r="G1190" s="212" t="s">
        <v>1723</v>
      </c>
      <c r="H1190" s="212" t="s">
        <v>1878</v>
      </c>
      <c r="I1190" s="212" t="s">
        <v>249</v>
      </c>
      <c r="J1190" s="212" t="s">
        <v>104</v>
      </c>
      <c r="K1190" s="212" t="s">
        <v>1768</v>
      </c>
      <c r="L1190" s="212" t="s">
        <v>1729</v>
      </c>
      <c r="M1190" s="206" t="s">
        <v>1906</v>
      </c>
      <c r="N1190" s="211">
        <v>-1.05</v>
      </c>
      <c r="O1190" s="211">
        <v>-9.8490000000000002</v>
      </c>
      <c r="P1190" s="211" t="s">
        <v>487</v>
      </c>
      <c r="Q1190" s="211">
        <v>29.2</v>
      </c>
      <c r="R1190" s="211">
        <v>-1.6</v>
      </c>
      <c r="S1190" s="211" t="s">
        <v>1731</v>
      </c>
      <c r="T1190" s="212"/>
      <c r="U1190" s="212"/>
    </row>
    <row r="1191" spans="1:21" s="209" customFormat="1">
      <c r="A1191" s="212" t="s">
        <v>601</v>
      </c>
      <c r="B1191" s="212" t="s">
        <v>602</v>
      </c>
      <c r="C1191" s="233" t="s">
        <v>603</v>
      </c>
      <c r="D1191" s="233" t="s">
        <v>151</v>
      </c>
      <c r="E1191" s="212">
        <v>933</v>
      </c>
      <c r="F1191" s="212">
        <v>2676</v>
      </c>
      <c r="G1191" s="212" t="s">
        <v>1723</v>
      </c>
      <c r="H1191" s="212" t="s">
        <v>1878</v>
      </c>
      <c r="I1191" s="212" t="s">
        <v>249</v>
      </c>
      <c r="J1191" s="212" t="s">
        <v>104</v>
      </c>
      <c r="K1191" s="212" t="s">
        <v>1768</v>
      </c>
      <c r="L1191" s="212" t="s">
        <v>1729</v>
      </c>
      <c r="M1191" s="206" t="s">
        <v>1789</v>
      </c>
      <c r="N1191" s="211">
        <v>-1.9</v>
      </c>
      <c r="O1191" s="211">
        <v>-10.699</v>
      </c>
      <c r="P1191" s="211" t="s">
        <v>487</v>
      </c>
      <c r="Q1191" s="211">
        <v>30.1</v>
      </c>
      <c r="R1191" s="211">
        <v>-0.7</v>
      </c>
      <c r="S1191" s="211" t="s">
        <v>1731</v>
      </c>
      <c r="T1191" s="212"/>
      <c r="U1191" s="212"/>
    </row>
    <row r="1192" spans="1:21" s="209" customFormat="1">
      <c r="A1192" s="212" t="s">
        <v>601</v>
      </c>
      <c r="B1192" s="212" t="s">
        <v>602</v>
      </c>
      <c r="C1192" s="233" t="s">
        <v>603</v>
      </c>
      <c r="D1192" s="233" t="s">
        <v>151</v>
      </c>
      <c r="E1192" s="212">
        <v>933</v>
      </c>
      <c r="F1192" s="212">
        <v>3407</v>
      </c>
      <c r="G1192" s="212" t="s">
        <v>1723</v>
      </c>
      <c r="H1192" s="212" t="s">
        <v>1878</v>
      </c>
      <c r="I1192" s="212" t="s">
        <v>249</v>
      </c>
      <c r="J1192" s="212" t="s">
        <v>104</v>
      </c>
      <c r="K1192" s="212" t="s">
        <v>1768</v>
      </c>
      <c r="L1192" s="212" t="s">
        <v>1729</v>
      </c>
      <c r="M1192" s="206" t="s">
        <v>1789</v>
      </c>
      <c r="N1192" s="211">
        <v>-3.53</v>
      </c>
      <c r="O1192" s="211">
        <v>-12.329000000000001</v>
      </c>
      <c r="P1192" s="211" t="s">
        <v>487</v>
      </c>
      <c r="Q1192" s="211">
        <v>31.1</v>
      </c>
      <c r="R1192" s="211">
        <v>0.2</v>
      </c>
      <c r="S1192" s="211" t="s">
        <v>1731</v>
      </c>
      <c r="T1192" s="212"/>
      <c r="U1192" s="212"/>
    </row>
    <row r="1193" spans="1:21" s="209" customFormat="1">
      <c r="A1193" s="212" t="s">
        <v>601</v>
      </c>
      <c r="B1193" s="212" t="s">
        <v>602</v>
      </c>
      <c r="C1193" s="233" t="s">
        <v>603</v>
      </c>
      <c r="D1193" s="233" t="s">
        <v>151</v>
      </c>
      <c r="E1193" s="212">
        <v>937</v>
      </c>
      <c r="F1193" s="212">
        <v>818</v>
      </c>
      <c r="G1193" s="212" t="s">
        <v>1723</v>
      </c>
      <c r="H1193" s="212" t="s">
        <v>1878</v>
      </c>
      <c r="I1193" s="212" t="s">
        <v>706</v>
      </c>
      <c r="J1193" s="212" t="s">
        <v>104</v>
      </c>
      <c r="K1193" s="212" t="s">
        <v>1768</v>
      </c>
      <c r="L1193" s="212" t="s">
        <v>1729</v>
      </c>
      <c r="M1193" s="206" t="s">
        <v>1734</v>
      </c>
      <c r="N1193" s="211">
        <v>-0.92</v>
      </c>
      <c r="O1193" s="211">
        <v>-9.7189999999999994</v>
      </c>
      <c r="P1193" s="211" t="s">
        <v>487</v>
      </c>
      <c r="Q1193" s="211">
        <v>27.8</v>
      </c>
      <c r="R1193" s="211">
        <v>-2.9</v>
      </c>
      <c r="S1193" s="211" t="s">
        <v>1731</v>
      </c>
      <c r="T1193" s="212"/>
      <c r="U1193" s="212"/>
    </row>
    <row r="1194" spans="1:21" s="209" customFormat="1">
      <c r="A1194" s="212" t="s">
        <v>601</v>
      </c>
      <c r="B1194" s="212" t="s">
        <v>602</v>
      </c>
      <c r="C1194" s="233" t="s">
        <v>603</v>
      </c>
      <c r="D1194" s="233" t="s">
        <v>151</v>
      </c>
      <c r="E1194" s="212">
        <v>937</v>
      </c>
      <c r="F1194" s="212" t="s">
        <v>1908</v>
      </c>
      <c r="G1194" s="212" t="s">
        <v>1723</v>
      </c>
      <c r="H1194" s="212" t="s">
        <v>1878</v>
      </c>
      <c r="I1194" s="212" t="s">
        <v>706</v>
      </c>
      <c r="J1194" s="212" t="s">
        <v>104</v>
      </c>
      <c r="K1194" s="212" t="s">
        <v>1768</v>
      </c>
      <c r="L1194" s="212" t="s">
        <v>1729</v>
      </c>
      <c r="M1194" s="206" t="s">
        <v>1734</v>
      </c>
      <c r="N1194" s="211">
        <v>-8.64</v>
      </c>
      <c r="O1194" s="211">
        <v>-17.439</v>
      </c>
      <c r="P1194" s="211" t="s">
        <v>487</v>
      </c>
      <c r="Q1194" s="211">
        <v>22.2</v>
      </c>
      <c r="R1194" s="211">
        <v>-8.4</v>
      </c>
      <c r="S1194" s="211" t="s">
        <v>1731</v>
      </c>
      <c r="T1194" s="212"/>
      <c r="U1194" s="212"/>
    </row>
    <row r="1195" spans="1:21" s="209" customFormat="1">
      <c r="A1195" s="212" t="s">
        <v>601</v>
      </c>
      <c r="B1195" s="212" t="s">
        <v>602</v>
      </c>
      <c r="C1195" s="233" t="s">
        <v>603</v>
      </c>
      <c r="D1195" s="233" t="s">
        <v>151</v>
      </c>
      <c r="E1195" s="212">
        <v>937</v>
      </c>
      <c r="F1195" s="212" t="s">
        <v>1909</v>
      </c>
      <c r="G1195" s="212" t="s">
        <v>1723</v>
      </c>
      <c r="H1195" s="212" t="s">
        <v>1878</v>
      </c>
      <c r="I1195" s="212" t="s">
        <v>706</v>
      </c>
      <c r="J1195" s="212" t="s">
        <v>104</v>
      </c>
      <c r="K1195" s="212" t="s">
        <v>1768</v>
      </c>
      <c r="L1195" s="212" t="s">
        <v>1729</v>
      </c>
      <c r="M1195" s="206" t="s">
        <v>1734</v>
      </c>
      <c r="N1195" s="211">
        <v>-8.67</v>
      </c>
      <c r="O1195" s="211">
        <v>-17.469000000000001</v>
      </c>
      <c r="P1195" s="211" t="s">
        <v>487</v>
      </c>
      <c r="Q1195" s="211">
        <v>23.8</v>
      </c>
      <c r="R1195" s="211">
        <v>-6.9</v>
      </c>
      <c r="S1195" s="211" t="s">
        <v>1731</v>
      </c>
      <c r="T1195" s="212"/>
      <c r="U1195" s="212"/>
    </row>
    <row r="1196" spans="1:21">
      <c r="A1196" s="212" t="s">
        <v>601</v>
      </c>
      <c r="B1196" s="212" t="s">
        <v>602</v>
      </c>
      <c r="C1196" s="233" t="s">
        <v>603</v>
      </c>
      <c r="D1196" s="233" t="s">
        <v>151</v>
      </c>
      <c r="E1196" s="212">
        <v>937</v>
      </c>
      <c r="F1196" s="212" t="s">
        <v>1910</v>
      </c>
      <c r="G1196" s="212" t="s">
        <v>1723</v>
      </c>
      <c r="H1196" s="212" t="s">
        <v>1878</v>
      </c>
      <c r="I1196" s="212" t="s">
        <v>706</v>
      </c>
      <c r="J1196" s="212" t="s">
        <v>104</v>
      </c>
      <c r="K1196" s="212" t="s">
        <v>1768</v>
      </c>
      <c r="L1196" s="212" t="s">
        <v>1729</v>
      </c>
      <c r="M1196" s="206" t="s">
        <v>1789</v>
      </c>
      <c r="N1196" s="211">
        <v>-0.26</v>
      </c>
      <c r="O1196" s="211">
        <v>-9.0589999999999993</v>
      </c>
      <c r="P1196" s="211" t="s">
        <v>487</v>
      </c>
      <c r="Q1196" s="211">
        <v>29.3</v>
      </c>
      <c r="R1196" s="211">
        <v>-1.5</v>
      </c>
      <c r="S1196" s="211" t="s">
        <v>1731</v>
      </c>
    </row>
    <row r="1197" spans="1:21">
      <c r="A1197" s="212" t="s">
        <v>601</v>
      </c>
      <c r="B1197" s="212" t="s">
        <v>602</v>
      </c>
      <c r="C1197" s="233" t="s">
        <v>603</v>
      </c>
      <c r="D1197" s="233" t="s">
        <v>151</v>
      </c>
      <c r="E1197" s="212">
        <v>30907</v>
      </c>
      <c r="F1197" s="212">
        <v>10</v>
      </c>
      <c r="G1197" s="212" t="s">
        <v>1723</v>
      </c>
      <c r="H1197" s="212" t="s">
        <v>1878</v>
      </c>
      <c r="I1197" s="212" t="s">
        <v>1780</v>
      </c>
      <c r="J1197" s="212" t="s">
        <v>104</v>
      </c>
      <c r="K1197" s="212" t="s">
        <v>1768</v>
      </c>
      <c r="L1197" s="212" t="s">
        <v>1729</v>
      </c>
      <c r="M1197" s="206" t="s">
        <v>1789</v>
      </c>
      <c r="N1197" s="211">
        <v>-2.77</v>
      </c>
      <c r="O1197" s="211">
        <v>-11.569000000000001</v>
      </c>
      <c r="P1197" s="211" t="s">
        <v>487</v>
      </c>
      <c r="Q1197" s="211">
        <v>28.7</v>
      </c>
      <c r="R1197" s="211">
        <v>-2.1</v>
      </c>
      <c r="S1197" s="211" t="s">
        <v>1731</v>
      </c>
    </row>
    <row r="1198" spans="1:21">
      <c r="A1198" s="212" t="s">
        <v>601</v>
      </c>
      <c r="B1198" s="212" t="s">
        <v>602</v>
      </c>
      <c r="C1198" s="233" t="s">
        <v>603</v>
      </c>
      <c r="D1198" s="233" t="s">
        <v>151</v>
      </c>
      <c r="E1198" s="212">
        <v>30907</v>
      </c>
      <c r="F1198" s="212">
        <v>29</v>
      </c>
      <c r="G1198" s="212" t="s">
        <v>1723</v>
      </c>
      <c r="H1198" s="212" t="s">
        <v>1878</v>
      </c>
      <c r="I1198" s="212" t="s">
        <v>1780</v>
      </c>
      <c r="J1198" s="212" t="s">
        <v>104</v>
      </c>
      <c r="K1198" s="212" t="s">
        <v>1768</v>
      </c>
      <c r="L1198" s="212" t="s">
        <v>1729</v>
      </c>
      <c r="M1198" t="s">
        <v>1906</v>
      </c>
      <c r="N1198" s="211">
        <v>-3.01</v>
      </c>
      <c r="O1198" s="211">
        <v>-11.808999999999999</v>
      </c>
      <c r="P1198" s="211" t="s">
        <v>487</v>
      </c>
      <c r="Q1198" s="211">
        <v>30.4</v>
      </c>
      <c r="R1198" s="211">
        <v>-0.5</v>
      </c>
      <c r="S1198" s="211" t="s">
        <v>1731</v>
      </c>
    </row>
    <row r="1199" spans="1:21">
      <c r="A1199" s="212" t="s">
        <v>601</v>
      </c>
      <c r="B1199" s="212" t="s">
        <v>602</v>
      </c>
      <c r="C1199" s="233" t="s">
        <v>603</v>
      </c>
      <c r="D1199" s="233" t="s">
        <v>151</v>
      </c>
      <c r="E1199" s="212">
        <v>30907</v>
      </c>
      <c r="F1199" s="212">
        <v>40</v>
      </c>
      <c r="G1199" s="212" t="s">
        <v>1723</v>
      </c>
      <c r="H1199" s="212" t="s">
        <v>1878</v>
      </c>
      <c r="I1199" s="212" t="s">
        <v>1780</v>
      </c>
      <c r="J1199" s="212" t="s">
        <v>104</v>
      </c>
      <c r="K1199" s="212" t="s">
        <v>1768</v>
      </c>
      <c r="L1199" s="212" t="s">
        <v>1729</v>
      </c>
      <c r="M1199" t="s">
        <v>1734</v>
      </c>
      <c r="N1199" s="211">
        <v>-2.3199999999999998</v>
      </c>
      <c r="O1199" s="211">
        <v>-11.119</v>
      </c>
      <c r="P1199" s="211" t="s">
        <v>487</v>
      </c>
      <c r="Q1199" s="211">
        <v>28.6</v>
      </c>
      <c r="R1199" s="211">
        <v>-2.2000000000000002</v>
      </c>
      <c r="S1199" s="211" t="s">
        <v>1731</v>
      </c>
    </row>
    <row r="1200" spans="1:21">
      <c r="A1200" s="212" t="s">
        <v>601</v>
      </c>
      <c r="B1200" s="212" t="s">
        <v>602</v>
      </c>
      <c r="C1200" s="233" t="s">
        <v>603</v>
      </c>
      <c r="D1200" s="233" t="s">
        <v>151</v>
      </c>
      <c r="E1200" s="212">
        <v>30907</v>
      </c>
      <c r="F1200" s="212">
        <v>79</v>
      </c>
      <c r="G1200" s="212" t="s">
        <v>1723</v>
      </c>
      <c r="H1200" s="212" t="s">
        <v>1878</v>
      </c>
      <c r="I1200" s="212" t="s">
        <v>1780</v>
      </c>
      <c r="J1200" s="212" t="s">
        <v>104</v>
      </c>
      <c r="K1200" s="212" t="s">
        <v>1768</v>
      </c>
      <c r="L1200" s="212" t="s">
        <v>1729</v>
      </c>
      <c r="M1200" t="s">
        <v>1911</v>
      </c>
      <c r="N1200" s="211">
        <v>-7.01</v>
      </c>
      <c r="O1200" s="211">
        <v>-15.808999999999999</v>
      </c>
      <c r="P1200" s="211" t="s">
        <v>487</v>
      </c>
      <c r="Q1200" s="211">
        <v>26.7</v>
      </c>
      <c r="R1200" s="211">
        <v>-4</v>
      </c>
      <c r="S1200" s="211" t="s">
        <v>1731</v>
      </c>
    </row>
    <row r="1201" spans="1:21">
      <c r="A1201" s="212" t="s">
        <v>601</v>
      </c>
      <c r="B1201" s="212" t="s">
        <v>602</v>
      </c>
      <c r="C1201" s="233" t="s">
        <v>603</v>
      </c>
      <c r="D1201" s="233" t="s">
        <v>151</v>
      </c>
      <c r="E1201" s="212">
        <v>30967</v>
      </c>
      <c r="F1201" s="212">
        <v>148</v>
      </c>
      <c r="G1201" s="212" t="s">
        <v>1723</v>
      </c>
      <c r="H1201" s="212" t="s">
        <v>1878</v>
      </c>
      <c r="I1201" s="212" t="s">
        <v>110</v>
      </c>
      <c r="J1201" s="212" t="s">
        <v>104</v>
      </c>
      <c r="K1201" s="212" t="s">
        <v>1768</v>
      </c>
      <c r="L1201" s="212" t="s">
        <v>1729</v>
      </c>
      <c r="M1201" t="s">
        <v>1734</v>
      </c>
      <c r="N1201" s="211">
        <v>-2.59</v>
      </c>
      <c r="O1201" s="211">
        <v>-11.388999999999999</v>
      </c>
      <c r="P1201" s="211" t="s">
        <v>487</v>
      </c>
      <c r="Q1201" s="211">
        <v>30</v>
      </c>
      <c r="R1201" s="211">
        <v>-0.9</v>
      </c>
      <c r="S1201" s="211" t="s">
        <v>1731</v>
      </c>
    </row>
    <row r="1202" spans="1:21">
      <c r="A1202" s="212" t="s">
        <v>601</v>
      </c>
      <c r="B1202" s="212" t="s">
        <v>602</v>
      </c>
      <c r="C1202" s="233" t="s">
        <v>603</v>
      </c>
      <c r="D1202" s="233" t="s">
        <v>151</v>
      </c>
      <c r="E1202" s="212">
        <v>30967</v>
      </c>
      <c r="F1202" s="212">
        <v>165</v>
      </c>
      <c r="G1202" s="212" t="s">
        <v>1723</v>
      </c>
      <c r="H1202" s="212" t="s">
        <v>1878</v>
      </c>
      <c r="I1202" s="212" t="s">
        <v>110</v>
      </c>
      <c r="J1202" s="212" t="s">
        <v>104</v>
      </c>
      <c r="K1202" s="212" t="s">
        <v>269</v>
      </c>
      <c r="L1202" s="212" t="s">
        <v>1729</v>
      </c>
      <c r="M1202" t="s">
        <v>1734</v>
      </c>
      <c r="N1202" s="211">
        <v>-1.94</v>
      </c>
      <c r="O1202" s="211">
        <v>-10.739000000000001</v>
      </c>
      <c r="P1202" s="211" t="s">
        <v>487</v>
      </c>
      <c r="R1202" s="211">
        <v>-1.4</v>
      </c>
      <c r="S1202" s="211" t="s">
        <v>1731</v>
      </c>
    </row>
    <row r="1203" spans="1:21">
      <c r="A1203" s="212" t="s">
        <v>601</v>
      </c>
      <c r="B1203" s="212" t="s">
        <v>602</v>
      </c>
      <c r="C1203" s="233" t="s">
        <v>603</v>
      </c>
      <c r="D1203" s="233" t="s">
        <v>151</v>
      </c>
      <c r="E1203" s="212">
        <v>30967</v>
      </c>
      <c r="F1203" s="212">
        <v>165</v>
      </c>
      <c r="G1203" s="212" t="s">
        <v>1723</v>
      </c>
      <c r="H1203" s="212" t="s">
        <v>1878</v>
      </c>
      <c r="I1203" s="212" t="s">
        <v>110</v>
      </c>
      <c r="J1203" s="212" t="s">
        <v>104</v>
      </c>
      <c r="K1203" s="212" t="s">
        <v>1768</v>
      </c>
      <c r="L1203" s="212" t="s">
        <v>1729</v>
      </c>
      <c r="M1203" t="s">
        <v>1734</v>
      </c>
      <c r="N1203" s="211">
        <v>-1.64</v>
      </c>
      <c r="O1203" s="211">
        <v>-10.439</v>
      </c>
      <c r="P1203" s="211" t="s">
        <v>487</v>
      </c>
      <c r="Q1203" s="211">
        <v>30.1</v>
      </c>
      <c r="R1203" s="211">
        <v>-0.7</v>
      </c>
      <c r="S1203" s="211" t="s">
        <v>1731</v>
      </c>
    </row>
    <row r="1204" spans="1:21">
      <c r="A1204" s="212" t="s">
        <v>601</v>
      </c>
      <c r="B1204" s="212" t="s">
        <v>602</v>
      </c>
      <c r="C1204" s="233" t="s">
        <v>603</v>
      </c>
      <c r="D1204" s="233" t="s">
        <v>151</v>
      </c>
      <c r="E1204" s="212">
        <v>30967</v>
      </c>
      <c r="F1204" s="212">
        <v>214</v>
      </c>
      <c r="G1204" s="212" t="s">
        <v>1723</v>
      </c>
      <c r="H1204" s="212" t="s">
        <v>1811</v>
      </c>
      <c r="I1204" s="212" t="s">
        <v>110</v>
      </c>
      <c r="J1204" s="212" t="s">
        <v>1744</v>
      </c>
      <c r="K1204" s="212" t="s">
        <v>1745</v>
      </c>
      <c r="L1204" s="212" t="s">
        <v>1729</v>
      </c>
      <c r="M1204" t="s">
        <v>1906</v>
      </c>
      <c r="N1204" s="211">
        <v>-1</v>
      </c>
      <c r="O1204" s="211">
        <v>-9.7989999999999995</v>
      </c>
      <c r="P1204" s="211" t="s">
        <v>487</v>
      </c>
      <c r="Q1204" s="211">
        <v>29.9</v>
      </c>
      <c r="R1204" s="211">
        <v>-0.9</v>
      </c>
      <c r="S1204" s="211" t="s">
        <v>1731</v>
      </c>
    </row>
    <row r="1205" spans="1:21">
      <c r="A1205" s="212" t="s">
        <v>601</v>
      </c>
      <c r="B1205" s="212" t="s">
        <v>602</v>
      </c>
      <c r="C1205" s="233" t="s">
        <v>603</v>
      </c>
      <c r="D1205" s="233" t="s">
        <v>151</v>
      </c>
      <c r="E1205" s="212">
        <v>30967</v>
      </c>
      <c r="F1205" s="212">
        <v>227</v>
      </c>
      <c r="G1205" s="212" t="s">
        <v>1723</v>
      </c>
      <c r="H1205" s="212" t="s">
        <v>1878</v>
      </c>
      <c r="I1205" s="212" t="s">
        <v>110</v>
      </c>
      <c r="J1205" s="212" t="s">
        <v>1744</v>
      </c>
      <c r="K1205" s="212" t="s">
        <v>269</v>
      </c>
      <c r="L1205" s="212" t="s">
        <v>1729</v>
      </c>
      <c r="M1205" t="s">
        <v>1734</v>
      </c>
      <c r="N1205" s="211">
        <v>-0.81</v>
      </c>
      <c r="O1205" s="211">
        <v>-9.609</v>
      </c>
      <c r="P1205" s="211" t="s">
        <v>487</v>
      </c>
      <c r="R1205" s="211">
        <v>0.5</v>
      </c>
      <c r="S1205" s="211" t="s">
        <v>1731</v>
      </c>
    </row>
    <row r="1206" spans="1:21">
      <c r="A1206" s="212" t="s">
        <v>601</v>
      </c>
      <c r="B1206" s="212" t="s">
        <v>602</v>
      </c>
      <c r="C1206" s="233" t="s">
        <v>603</v>
      </c>
      <c r="D1206" s="233" t="s">
        <v>151</v>
      </c>
      <c r="E1206" s="212">
        <v>30967</v>
      </c>
      <c r="F1206" s="212">
        <v>322</v>
      </c>
      <c r="G1206" s="212" t="s">
        <v>1723</v>
      </c>
      <c r="H1206" s="212" t="s">
        <v>1811</v>
      </c>
      <c r="I1206" s="212" t="s">
        <v>110</v>
      </c>
      <c r="J1206" s="212" t="s">
        <v>1744</v>
      </c>
      <c r="K1206" s="212" t="s">
        <v>1745</v>
      </c>
      <c r="L1206" s="212" t="s">
        <v>1729</v>
      </c>
      <c r="M1206" t="s">
        <v>1730</v>
      </c>
      <c r="N1206" s="211">
        <v>0.2</v>
      </c>
      <c r="O1206" s="211">
        <v>-8.5990000000000002</v>
      </c>
      <c r="P1206" s="211" t="s">
        <v>487</v>
      </c>
      <c r="Q1206" s="211">
        <v>31.4</v>
      </c>
      <c r="R1206" s="211">
        <v>0.5</v>
      </c>
      <c r="S1206" s="211" t="s">
        <v>1731</v>
      </c>
    </row>
    <row r="1207" spans="1:21">
      <c r="A1207" s="212" t="s">
        <v>601</v>
      </c>
      <c r="B1207" s="212" t="s">
        <v>602</v>
      </c>
      <c r="C1207" s="233" t="s">
        <v>603</v>
      </c>
      <c r="D1207" s="233" t="s">
        <v>151</v>
      </c>
      <c r="E1207" s="212">
        <v>30967</v>
      </c>
      <c r="F1207" s="212">
        <v>500</v>
      </c>
      <c r="G1207" s="212" t="s">
        <v>1723</v>
      </c>
      <c r="H1207" s="212" t="s">
        <v>1878</v>
      </c>
      <c r="I1207" s="212" t="s">
        <v>110</v>
      </c>
      <c r="J1207" s="212" t="s">
        <v>104</v>
      </c>
      <c r="K1207" s="212" t="s">
        <v>1768</v>
      </c>
      <c r="L1207" s="212" t="s">
        <v>1729</v>
      </c>
      <c r="M1207" t="s">
        <v>1779</v>
      </c>
      <c r="N1207" s="211">
        <v>-1.35</v>
      </c>
      <c r="O1207" s="211">
        <v>-10.148999999999999</v>
      </c>
      <c r="P1207" s="211" t="s">
        <v>487</v>
      </c>
      <c r="Q1207" s="211">
        <v>30.4</v>
      </c>
      <c r="R1207" s="211">
        <v>-0.5</v>
      </c>
      <c r="S1207" s="211" t="s">
        <v>1731</v>
      </c>
    </row>
    <row r="1208" spans="1:21">
      <c r="A1208" s="212" t="s">
        <v>601</v>
      </c>
      <c r="B1208" s="212" t="s">
        <v>602</v>
      </c>
      <c r="C1208" s="233" t="s">
        <v>603</v>
      </c>
      <c r="D1208" s="233" t="s">
        <v>151</v>
      </c>
      <c r="E1208" s="212">
        <v>30967</v>
      </c>
      <c r="F1208" s="212">
        <v>679</v>
      </c>
      <c r="G1208" s="212" t="s">
        <v>1723</v>
      </c>
      <c r="H1208" s="212" t="s">
        <v>1878</v>
      </c>
      <c r="I1208" s="212" t="s">
        <v>110</v>
      </c>
      <c r="J1208" s="212" t="s">
        <v>104</v>
      </c>
      <c r="K1208" s="212" t="s">
        <v>1768</v>
      </c>
      <c r="L1208" s="212" t="s">
        <v>1729</v>
      </c>
      <c r="M1208" t="s">
        <v>186</v>
      </c>
      <c r="N1208" s="211">
        <v>-0.83</v>
      </c>
      <c r="O1208" s="211">
        <v>-9.6289999999999996</v>
      </c>
      <c r="P1208" s="211" t="s">
        <v>487</v>
      </c>
      <c r="Q1208" s="211">
        <v>30.1</v>
      </c>
      <c r="R1208" s="211">
        <v>-0.7</v>
      </c>
      <c r="S1208" s="211" t="s">
        <v>1731</v>
      </c>
    </row>
    <row r="1209" spans="1:21">
      <c r="A1209" s="212" t="s">
        <v>601</v>
      </c>
      <c r="B1209" s="212" t="s">
        <v>602</v>
      </c>
      <c r="C1209" s="233" t="s">
        <v>603</v>
      </c>
      <c r="D1209" s="233" t="s">
        <v>151</v>
      </c>
      <c r="E1209" s="212">
        <v>30967</v>
      </c>
      <c r="F1209" s="212">
        <v>711</v>
      </c>
      <c r="G1209" s="212" t="s">
        <v>1723</v>
      </c>
      <c r="H1209" s="212" t="s">
        <v>1811</v>
      </c>
      <c r="I1209" s="212" t="s">
        <v>110</v>
      </c>
      <c r="J1209" s="212" t="s">
        <v>1744</v>
      </c>
      <c r="K1209" s="212" t="s">
        <v>1745</v>
      </c>
      <c r="L1209" s="212" t="s">
        <v>1729</v>
      </c>
      <c r="M1209" t="s">
        <v>1730</v>
      </c>
      <c r="N1209" s="211">
        <v>-1.2</v>
      </c>
      <c r="O1209" s="211">
        <v>-9.9990000000000006</v>
      </c>
      <c r="P1209" s="211" t="s">
        <v>487</v>
      </c>
      <c r="Q1209" s="211">
        <v>31.2</v>
      </c>
      <c r="R1209" s="211">
        <v>0.3</v>
      </c>
      <c r="S1209" s="211" t="s">
        <v>1731</v>
      </c>
    </row>
    <row r="1210" spans="1:21" s="208" customFormat="1">
      <c r="A1210" s="212" t="s">
        <v>601</v>
      </c>
      <c r="B1210" s="212" t="s">
        <v>602</v>
      </c>
      <c r="C1210" s="233" t="s">
        <v>603</v>
      </c>
      <c r="D1210" s="233" t="s">
        <v>151</v>
      </c>
      <c r="E1210" s="212">
        <v>30967</v>
      </c>
      <c r="F1210" s="212">
        <v>724</v>
      </c>
      <c r="G1210" s="212" t="s">
        <v>1723</v>
      </c>
      <c r="H1210" s="212" t="s">
        <v>1811</v>
      </c>
      <c r="I1210" s="212" t="s">
        <v>110</v>
      </c>
      <c r="J1210" s="212" t="s">
        <v>1744</v>
      </c>
      <c r="K1210" s="212" t="s">
        <v>1745</v>
      </c>
      <c r="L1210" s="212" t="s">
        <v>1729</v>
      </c>
      <c r="M1210" t="s">
        <v>1906</v>
      </c>
      <c r="N1210" s="211">
        <v>-1.1000000000000001</v>
      </c>
      <c r="O1210" s="211">
        <v>-9.8989999999999991</v>
      </c>
      <c r="P1210" s="211" t="s">
        <v>487</v>
      </c>
      <c r="Q1210" s="211">
        <v>29.9</v>
      </c>
      <c r="R1210" s="211">
        <v>-0.9</v>
      </c>
      <c r="S1210" s="211" t="s">
        <v>1731</v>
      </c>
      <c r="T1210" s="212"/>
      <c r="U1210" s="212"/>
    </row>
    <row r="1211" spans="1:21">
      <c r="A1211" s="212" t="s">
        <v>601</v>
      </c>
      <c r="B1211" s="212" t="s">
        <v>602</v>
      </c>
      <c r="C1211" s="233" t="s">
        <v>603</v>
      </c>
      <c r="D1211" s="233" t="s">
        <v>151</v>
      </c>
      <c r="E1211" s="212">
        <v>30967</v>
      </c>
      <c r="F1211" s="212">
        <v>787</v>
      </c>
      <c r="G1211" s="212" t="s">
        <v>1723</v>
      </c>
      <c r="H1211" s="212" t="s">
        <v>1811</v>
      </c>
      <c r="I1211" s="212" t="s">
        <v>110</v>
      </c>
      <c r="J1211" s="212" t="s">
        <v>1744</v>
      </c>
      <c r="K1211" s="212" t="s">
        <v>1745</v>
      </c>
      <c r="L1211" s="212" t="s">
        <v>1729</v>
      </c>
      <c r="M1211" t="s">
        <v>1734</v>
      </c>
      <c r="N1211" s="211">
        <v>-1.1000000000000001</v>
      </c>
      <c r="O1211" s="211">
        <v>-9.8989999999999991</v>
      </c>
      <c r="P1211" s="211" t="s">
        <v>487</v>
      </c>
      <c r="Q1211" s="211">
        <v>28</v>
      </c>
      <c r="R1211" s="211">
        <v>-2.8</v>
      </c>
      <c r="S1211" s="211" t="s">
        <v>1731</v>
      </c>
    </row>
    <row r="1212" spans="1:21">
      <c r="A1212" s="212" t="s">
        <v>601</v>
      </c>
      <c r="B1212" s="212" t="s">
        <v>602</v>
      </c>
      <c r="C1212" s="233" t="s">
        <v>603</v>
      </c>
      <c r="D1212" s="233" t="s">
        <v>151</v>
      </c>
      <c r="E1212" s="212">
        <v>30967</v>
      </c>
      <c r="F1212" s="212">
        <v>808</v>
      </c>
      <c r="G1212" s="212" t="s">
        <v>1723</v>
      </c>
      <c r="H1212" s="212" t="s">
        <v>1878</v>
      </c>
      <c r="I1212" s="212" t="s">
        <v>110</v>
      </c>
      <c r="J1212" s="212" t="s">
        <v>104</v>
      </c>
      <c r="K1212" s="212" t="s">
        <v>1884</v>
      </c>
      <c r="L1212" s="212" t="s">
        <v>1729</v>
      </c>
      <c r="M1212" s="207" t="s">
        <v>1730</v>
      </c>
      <c r="N1212" s="211">
        <v>-0.9</v>
      </c>
      <c r="O1212" s="211">
        <v>-9.6989999999999998</v>
      </c>
      <c r="P1212" s="211" t="s">
        <v>487</v>
      </c>
      <c r="Q1212" s="211" t="s">
        <v>1731</v>
      </c>
      <c r="R1212" s="211" t="s">
        <v>1731</v>
      </c>
      <c r="S1212" s="211" t="s">
        <v>1731</v>
      </c>
    </row>
    <row r="1213" spans="1:21">
      <c r="A1213" s="212" t="s">
        <v>601</v>
      </c>
      <c r="B1213" s="212" t="s">
        <v>602</v>
      </c>
      <c r="C1213" s="233" t="s">
        <v>603</v>
      </c>
      <c r="D1213" s="233" t="s">
        <v>151</v>
      </c>
      <c r="E1213" s="212">
        <v>30967</v>
      </c>
      <c r="F1213" s="212">
        <v>818</v>
      </c>
      <c r="G1213" s="212" t="s">
        <v>1723</v>
      </c>
      <c r="H1213" s="212" t="s">
        <v>1811</v>
      </c>
      <c r="I1213" s="212" t="s">
        <v>110</v>
      </c>
      <c r="J1213" s="212" t="s">
        <v>1744</v>
      </c>
      <c r="K1213" s="212" t="s">
        <v>1745</v>
      </c>
      <c r="L1213" s="212" t="s">
        <v>1729</v>
      </c>
      <c r="M1213" t="s">
        <v>1734</v>
      </c>
      <c r="N1213" s="211">
        <v>-2.2999999999999998</v>
      </c>
      <c r="O1213" s="211">
        <v>-11.099</v>
      </c>
      <c r="P1213" s="211" t="s">
        <v>487</v>
      </c>
      <c r="Q1213" s="211">
        <v>28.5</v>
      </c>
      <c r="R1213" s="211">
        <v>-2.2999999999999998</v>
      </c>
      <c r="S1213" s="211" t="s">
        <v>1731</v>
      </c>
    </row>
    <row r="1214" spans="1:21">
      <c r="A1214" s="212" t="s">
        <v>601</v>
      </c>
      <c r="B1214" s="212" t="s">
        <v>602</v>
      </c>
      <c r="C1214" s="233" t="s">
        <v>603</v>
      </c>
      <c r="D1214" s="233" t="s">
        <v>151</v>
      </c>
      <c r="E1214" s="212">
        <v>30967</v>
      </c>
      <c r="F1214" s="212">
        <v>1214</v>
      </c>
      <c r="G1214" s="212" t="s">
        <v>1723</v>
      </c>
      <c r="H1214" s="212" t="s">
        <v>1878</v>
      </c>
      <c r="I1214" s="212" t="s">
        <v>110</v>
      </c>
      <c r="J1214" s="212" t="s">
        <v>1744</v>
      </c>
      <c r="K1214" s="212" t="s">
        <v>269</v>
      </c>
      <c r="L1214" s="212" t="s">
        <v>1729</v>
      </c>
      <c r="M1214" t="s">
        <v>1906</v>
      </c>
      <c r="N1214" s="211">
        <v>-1.55</v>
      </c>
      <c r="O1214" s="211">
        <v>-10.349</v>
      </c>
      <c r="P1214" s="211" t="s">
        <v>487</v>
      </c>
      <c r="R1214" s="211">
        <v>-2.2000000000000002</v>
      </c>
      <c r="S1214" s="211" t="s">
        <v>1731</v>
      </c>
    </row>
    <row r="1215" spans="1:21">
      <c r="A1215" s="212" t="s">
        <v>601</v>
      </c>
      <c r="B1215" s="212" t="s">
        <v>602</v>
      </c>
      <c r="C1215" s="233" t="s">
        <v>603</v>
      </c>
      <c r="D1215" s="233" t="s">
        <v>151</v>
      </c>
      <c r="E1215" s="212">
        <v>30967</v>
      </c>
      <c r="F1215" s="212">
        <v>1214</v>
      </c>
      <c r="G1215" s="212" t="s">
        <v>1723</v>
      </c>
      <c r="H1215" s="212" t="s">
        <v>1878</v>
      </c>
      <c r="I1215" s="212" t="s">
        <v>110</v>
      </c>
      <c r="J1215" s="212" t="s">
        <v>104</v>
      </c>
      <c r="K1215" s="212" t="s">
        <v>1768</v>
      </c>
      <c r="L1215" s="212" t="s">
        <v>1729</v>
      </c>
      <c r="M1215" t="s">
        <v>1734</v>
      </c>
      <c r="N1215" s="211">
        <v>-0.95</v>
      </c>
      <c r="O1215" s="211">
        <v>-9.7490000000000006</v>
      </c>
      <c r="P1215" s="211" t="s">
        <v>487</v>
      </c>
      <c r="Q1215" s="211">
        <v>29.9</v>
      </c>
      <c r="R1215" s="211">
        <v>-1</v>
      </c>
      <c r="S1215" s="211" t="s">
        <v>1731</v>
      </c>
    </row>
    <row r="1216" spans="1:21">
      <c r="A1216" s="212" t="s">
        <v>601</v>
      </c>
      <c r="B1216" s="212" t="s">
        <v>602</v>
      </c>
      <c r="C1216" s="233" t="s">
        <v>603</v>
      </c>
      <c r="D1216" s="233" t="s">
        <v>151</v>
      </c>
      <c r="E1216" s="212">
        <v>30967</v>
      </c>
      <c r="F1216" s="212">
        <v>1273</v>
      </c>
      <c r="G1216" s="212" t="s">
        <v>1723</v>
      </c>
      <c r="H1216" s="212" t="s">
        <v>1878</v>
      </c>
      <c r="I1216" s="212" t="s">
        <v>110</v>
      </c>
      <c r="J1216" s="212" t="s">
        <v>1744</v>
      </c>
      <c r="K1216" s="212" t="s">
        <v>269</v>
      </c>
      <c r="L1216" s="212" t="s">
        <v>1729</v>
      </c>
      <c r="M1216" t="s">
        <v>1730</v>
      </c>
      <c r="N1216" s="211">
        <v>-1.91</v>
      </c>
      <c r="O1216" s="211">
        <v>-10.709</v>
      </c>
      <c r="P1216" s="211" t="s">
        <v>487</v>
      </c>
      <c r="R1216" s="211">
        <v>-0.7</v>
      </c>
      <c r="S1216" s="211" t="s">
        <v>1731</v>
      </c>
    </row>
    <row r="1217" spans="1:19">
      <c r="A1217" s="212" t="s">
        <v>601</v>
      </c>
      <c r="B1217" s="212" t="s">
        <v>602</v>
      </c>
      <c r="C1217" s="233" t="s">
        <v>603</v>
      </c>
      <c r="D1217" s="233" t="s">
        <v>151</v>
      </c>
      <c r="E1217" s="212">
        <v>30967</v>
      </c>
      <c r="F1217" s="212">
        <v>1273</v>
      </c>
      <c r="G1217" s="212" t="s">
        <v>1723</v>
      </c>
      <c r="H1217" s="212" t="s">
        <v>1878</v>
      </c>
      <c r="I1217" s="212" t="s">
        <v>110</v>
      </c>
      <c r="J1217" s="212" t="s">
        <v>1744</v>
      </c>
      <c r="K1217" s="212" t="s">
        <v>269</v>
      </c>
      <c r="L1217" s="212" t="s">
        <v>1729</v>
      </c>
      <c r="M1217" t="s">
        <v>1730</v>
      </c>
      <c r="N1217" s="211">
        <v>-1.73</v>
      </c>
      <c r="O1217" s="211">
        <v>-10.529</v>
      </c>
      <c r="P1217" s="211" t="s">
        <v>487</v>
      </c>
      <c r="Q1217" s="211">
        <v>29.4</v>
      </c>
      <c r="R1217" s="211">
        <v>-1.4</v>
      </c>
      <c r="S1217" s="211" t="s">
        <v>1731</v>
      </c>
    </row>
    <row r="1218" spans="1:19">
      <c r="A1218" s="212" t="s">
        <v>601</v>
      </c>
      <c r="B1218" s="212" t="s">
        <v>602</v>
      </c>
      <c r="C1218" s="233" t="s">
        <v>603</v>
      </c>
      <c r="D1218" s="233" t="s">
        <v>151</v>
      </c>
      <c r="E1218" s="212">
        <v>30967</v>
      </c>
      <c r="F1218" s="212">
        <v>1724</v>
      </c>
      <c r="G1218" s="212" t="s">
        <v>1723</v>
      </c>
      <c r="H1218" s="212" t="s">
        <v>1878</v>
      </c>
      <c r="I1218" s="212" t="s">
        <v>110</v>
      </c>
      <c r="J1218" s="212" t="s">
        <v>104</v>
      </c>
      <c r="K1218" s="212" t="s">
        <v>1768</v>
      </c>
      <c r="L1218" s="212" t="s">
        <v>1729</v>
      </c>
      <c r="M1218" t="s">
        <v>1906</v>
      </c>
      <c r="N1218" s="211">
        <v>-1.1000000000000001</v>
      </c>
      <c r="O1218" s="211">
        <v>-9.8989999999999991</v>
      </c>
      <c r="P1218" s="211" t="s">
        <v>487</v>
      </c>
      <c r="Q1218" s="211">
        <v>29.9</v>
      </c>
      <c r="R1218" s="211">
        <v>-0.9</v>
      </c>
      <c r="S1218" s="211" t="s">
        <v>1731</v>
      </c>
    </row>
    <row r="1219" spans="1:19">
      <c r="A1219" s="212" t="s">
        <v>601</v>
      </c>
      <c r="B1219" s="212" t="s">
        <v>602</v>
      </c>
      <c r="C1219" s="233" t="s">
        <v>603</v>
      </c>
      <c r="D1219" s="233" t="s">
        <v>151</v>
      </c>
      <c r="E1219" s="212">
        <v>30967</v>
      </c>
      <c r="F1219" s="212">
        <v>1787</v>
      </c>
      <c r="G1219" s="212" t="s">
        <v>1723</v>
      </c>
      <c r="H1219" s="212" t="s">
        <v>1878</v>
      </c>
      <c r="I1219" s="212" t="s">
        <v>110</v>
      </c>
      <c r="J1219" s="212" t="s">
        <v>104</v>
      </c>
      <c r="K1219" s="212" t="s">
        <v>1768</v>
      </c>
      <c r="L1219" s="212" t="s">
        <v>1729</v>
      </c>
      <c r="M1219" t="s">
        <v>1734</v>
      </c>
      <c r="N1219" s="211">
        <v>-1.1000000000000001</v>
      </c>
      <c r="O1219" s="211">
        <v>-9.8989999999999991</v>
      </c>
      <c r="P1219" s="211" t="s">
        <v>487</v>
      </c>
      <c r="Q1219" s="211">
        <v>28</v>
      </c>
      <c r="R1219" s="211">
        <v>-2.7</v>
      </c>
      <c r="S1219" s="211" t="s">
        <v>1731</v>
      </c>
    </row>
    <row r="1220" spans="1:19">
      <c r="A1220" s="212" t="s">
        <v>601</v>
      </c>
      <c r="B1220" s="212" t="s">
        <v>602</v>
      </c>
      <c r="C1220" s="233" t="s">
        <v>603</v>
      </c>
      <c r="D1220" s="233" t="s">
        <v>151</v>
      </c>
      <c r="E1220" s="212">
        <v>30967</v>
      </c>
      <c r="F1220" s="212">
        <v>1818</v>
      </c>
      <c r="G1220" s="212" t="s">
        <v>1723</v>
      </c>
      <c r="H1220" s="212" t="s">
        <v>1878</v>
      </c>
      <c r="I1220" s="212" t="s">
        <v>110</v>
      </c>
      <c r="J1220" s="212" t="s">
        <v>104</v>
      </c>
      <c r="K1220" s="212" t="s">
        <v>1768</v>
      </c>
      <c r="L1220" s="212" t="s">
        <v>1729</v>
      </c>
      <c r="M1220" t="s">
        <v>1734</v>
      </c>
      <c r="N1220" s="211">
        <v>-2.25</v>
      </c>
      <c r="O1220" s="211">
        <v>-11.048999999999999</v>
      </c>
      <c r="P1220" s="211" t="s">
        <v>487</v>
      </c>
      <c r="Q1220" s="211">
        <v>28.6</v>
      </c>
      <c r="R1220" s="211">
        <v>-2.2000000000000002</v>
      </c>
      <c r="S1220" s="211" t="s">
        <v>1731</v>
      </c>
    </row>
    <row r="1221" spans="1:19">
      <c r="A1221" s="212" t="s">
        <v>601</v>
      </c>
      <c r="B1221" s="212" t="s">
        <v>602</v>
      </c>
      <c r="C1221" s="233" t="s">
        <v>603</v>
      </c>
      <c r="D1221" s="233" t="s">
        <v>151</v>
      </c>
      <c r="E1221" s="212">
        <v>31030</v>
      </c>
      <c r="F1221" s="212">
        <v>3</v>
      </c>
      <c r="G1221" s="212" t="s">
        <v>1723</v>
      </c>
      <c r="H1221" s="212" t="s">
        <v>1878</v>
      </c>
      <c r="I1221" s="212" t="s">
        <v>1782</v>
      </c>
      <c r="J1221" s="212" t="s">
        <v>104</v>
      </c>
      <c r="K1221" s="212" t="s">
        <v>1768</v>
      </c>
      <c r="L1221" s="212" t="s">
        <v>1729</v>
      </c>
      <c r="M1221" t="s">
        <v>1911</v>
      </c>
      <c r="N1221" s="211">
        <v>-7.56</v>
      </c>
      <c r="O1221" s="211">
        <v>-16.359000000000002</v>
      </c>
      <c r="P1221" s="211" t="s">
        <v>487</v>
      </c>
      <c r="Q1221" s="211">
        <v>26.2</v>
      </c>
      <c r="R1221" s="211">
        <v>-4.5</v>
      </c>
      <c r="S1221" s="211" t="s">
        <v>1731</v>
      </c>
    </row>
    <row r="1222" spans="1:19">
      <c r="A1222" s="212" t="s">
        <v>601</v>
      </c>
      <c r="B1222" s="212" t="s">
        <v>602</v>
      </c>
      <c r="C1222" s="233" t="s">
        <v>603</v>
      </c>
      <c r="D1222" s="233" t="s">
        <v>151</v>
      </c>
      <c r="E1222" s="212">
        <v>31030</v>
      </c>
      <c r="F1222" s="212">
        <v>8</v>
      </c>
      <c r="G1222" s="212" t="s">
        <v>1723</v>
      </c>
      <c r="H1222" s="212" t="s">
        <v>1878</v>
      </c>
      <c r="I1222" s="212" t="s">
        <v>1782</v>
      </c>
      <c r="J1222" s="212" t="s">
        <v>104</v>
      </c>
      <c r="K1222" s="212" t="s">
        <v>1768</v>
      </c>
      <c r="L1222" s="212" t="s">
        <v>1729</v>
      </c>
      <c r="M1222" t="s">
        <v>1906</v>
      </c>
      <c r="N1222" s="211">
        <v>-3.1</v>
      </c>
      <c r="O1222" s="211">
        <v>-11.898999999999999</v>
      </c>
      <c r="P1222" s="211" t="s">
        <v>487</v>
      </c>
      <c r="Q1222" s="211">
        <v>28</v>
      </c>
      <c r="R1222" s="211">
        <v>-2.7</v>
      </c>
      <c r="S1222" s="211" t="s">
        <v>1731</v>
      </c>
    </row>
    <row r="1223" spans="1:19">
      <c r="A1223" s="212" t="s">
        <v>601</v>
      </c>
      <c r="B1223" s="212" t="s">
        <v>602</v>
      </c>
      <c r="C1223" s="233" t="s">
        <v>603</v>
      </c>
      <c r="D1223" s="233" t="s">
        <v>151</v>
      </c>
      <c r="E1223" s="212">
        <v>40529</v>
      </c>
      <c r="F1223" s="212">
        <v>9</v>
      </c>
      <c r="G1223" s="212" t="s">
        <v>1723</v>
      </c>
      <c r="H1223" s="212" t="s">
        <v>1878</v>
      </c>
      <c r="I1223" s="212" t="s">
        <v>1512</v>
      </c>
      <c r="J1223" s="212" t="s">
        <v>1744</v>
      </c>
      <c r="K1223" s="212" t="s">
        <v>269</v>
      </c>
      <c r="L1223" s="212" t="s">
        <v>1729</v>
      </c>
      <c r="M1223" t="s">
        <v>186</v>
      </c>
      <c r="N1223" s="211">
        <v>-1.1499999999999999</v>
      </c>
      <c r="O1223" s="211">
        <v>-9.9489999999999998</v>
      </c>
      <c r="P1223" s="211" t="s">
        <v>487</v>
      </c>
      <c r="R1223" s="211">
        <v>-3.3</v>
      </c>
      <c r="S1223" s="211" t="s">
        <v>1731</v>
      </c>
    </row>
    <row r="1224" spans="1:19">
      <c r="A1224" s="212" t="s">
        <v>601</v>
      </c>
      <c r="B1224" s="212" t="s">
        <v>602</v>
      </c>
      <c r="C1224" s="233" t="s">
        <v>603</v>
      </c>
      <c r="D1224" s="233" t="s">
        <v>151</v>
      </c>
      <c r="E1224" s="212">
        <v>40545</v>
      </c>
      <c r="F1224" s="212">
        <v>17</v>
      </c>
      <c r="G1224" s="212" t="s">
        <v>1723</v>
      </c>
      <c r="H1224" s="212" t="s">
        <v>1878</v>
      </c>
      <c r="I1224" s="212" t="s">
        <v>1912</v>
      </c>
      <c r="J1224" s="212" t="s">
        <v>1744</v>
      </c>
      <c r="K1224" s="212" t="s">
        <v>269</v>
      </c>
      <c r="L1224" s="212" t="s">
        <v>1729</v>
      </c>
      <c r="M1224" t="s">
        <v>1734</v>
      </c>
      <c r="N1224" s="211">
        <v>-1.44</v>
      </c>
      <c r="O1224" s="211">
        <v>-10.239000000000001</v>
      </c>
      <c r="P1224" s="211" t="s">
        <v>487</v>
      </c>
      <c r="R1224" s="211">
        <v>-0.1</v>
      </c>
      <c r="S1224" s="211" t="s">
        <v>1731</v>
      </c>
    </row>
    <row r="1225" spans="1:19">
      <c r="A1225" s="212" t="s">
        <v>601</v>
      </c>
      <c r="B1225" s="212" t="s">
        <v>602</v>
      </c>
      <c r="C1225" s="233" t="s">
        <v>603</v>
      </c>
      <c r="D1225" s="233" t="s">
        <v>151</v>
      </c>
      <c r="E1225" s="212">
        <v>40722</v>
      </c>
      <c r="F1225" s="212">
        <v>1</v>
      </c>
      <c r="G1225" s="212" t="s">
        <v>1723</v>
      </c>
      <c r="H1225" s="212" t="s">
        <v>1878</v>
      </c>
      <c r="I1225" s="212" t="s">
        <v>1913</v>
      </c>
      <c r="J1225" s="212" t="s">
        <v>104</v>
      </c>
      <c r="K1225" s="212" t="s">
        <v>1768</v>
      </c>
      <c r="L1225" s="212" t="s">
        <v>1729</v>
      </c>
      <c r="M1225" t="s">
        <v>1789</v>
      </c>
      <c r="N1225" s="211">
        <v>-3.04</v>
      </c>
      <c r="O1225" s="211">
        <v>-11.839</v>
      </c>
      <c r="P1225" s="211" t="s">
        <v>487</v>
      </c>
      <c r="Q1225" s="211">
        <v>30.2</v>
      </c>
      <c r="R1225" s="211">
        <v>-0.6</v>
      </c>
      <c r="S1225" s="211" t="s">
        <v>1731</v>
      </c>
    </row>
    <row r="1226" spans="1:19">
      <c r="A1226" s="212" t="s">
        <v>601</v>
      </c>
      <c r="B1226" s="212" t="s">
        <v>602</v>
      </c>
      <c r="C1226" s="233" t="s">
        <v>603</v>
      </c>
      <c r="D1226" s="233" t="s">
        <v>151</v>
      </c>
      <c r="E1226" s="212">
        <v>40806</v>
      </c>
      <c r="F1226" s="212">
        <v>433</v>
      </c>
      <c r="G1226" s="212" t="s">
        <v>1723</v>
      </c>
      <c r="H1226" s="212" t="s">
        <v>1878</v>
      </c>
      <c r="I1226" s="212" t="s">
        <v>1767</v>
      </c>
      <c r="J1226" s="212" t="s">
        <v>104</v>
      </c>
      <c r="K1226" s="212" t="s">
        <v>1768</v>
      </c>
      <c r="L1226" s="212" t="s">
        <v>1729</v>
      </c>
      <c r="M1226" t="s">
        <v>1746</v>
      </c>
      <c r="N1226" s="211">
        <v>-2.84</v>
      </c>
      <c r="O1226" s="211">
        <v>-11.638999999999999</v>
      </c>
      <c r="P1226" s="211" t="s">
        <v>487</v>
      </c>
      <c r="Q1226" s="211">
        <v>29.5</v>
      </c>
      <c r="R1226" s="211">
        <v>-1.3</v>
      </c>
      <c r="S1226" s="211" t="s">
        <v>1731</v>
      </c>
    </row>
    <row r="1227" spans="1:19">
      <c r="A1227" s="212" t="s">
        <v>601</v>
      </c>
      <c r="B1227" s="212" t="s">
        <v>602</v>
      </c>
      <c r="C1227" s="233" t="s">
        <v>603</v>
      </c>
      <c r="D1227" s="233" t="s">
        <v>151</v>
      </c>
      <c r="E1227" s="212">
        <v>43067</v>
      </c>
      <c r="F1227" s="212">
        <v>37</v>
      </c>
      <c r="G1227" s="212" t="s">
        <v>1723</v>
      </c>
      <c r="H1227" s="212" t="s">
        <v>1878</v>
      </c>
      <c r="I1227" s="212" t="s">
        <v>1893</v>
      </c>
      <c r="J1227" s="212" t="s">
        <v>104</v>
      </c>
      <c r="K1227" s="212" t="s">
        <v>1768</v>
      </c>
      <c r="L1227" s="212" t="s">
        <v>1729</v>
      </c>
      <c r="M1227" t="s">
        <v>1730</v>
      </c>
      <c r="N1227" s="211">
        <v>-0.98</v>
      </c>
      <c r="O1227" s="211">
        <v>-9.7789999999999999</v>
      </c>
      <c r="P1227" s="211" t="s">
        <v>487</v>
      </c>
      <c r="Q1227" s="211">
        <v>28.7</v>
      </c>
      <c r="R1227" s="211">
        <v>-2.1</v>
      </c>
      <c r="S1227" s="211" t="s">
        <v>1731</v>
      </c>
    </row>
    <row r="1228" spans="1:19">
      <c r="A1228" s="212" t="s">
        <v>601</v>
      </c>
      <c r="B1228" s="212" t="s">
        <v>602</v>
      </c>
      <c r="C1228" s="233" t="s">
        <v>603</v>
      </c>
      <c r="D1228" s="233" t="s">
        <v>151</v>
      </c>
      <c r="E1228" s="212">
        <v>43067</v>
      </c>
      <c r="F1228" s="212">
        <v>37</v>
      </c>
      <c r="G1228" s="212" t="s">
        <v>1723</v>
      </c>
      <c r="H1228" s="212" t="s">
        <v>1878</v>
      </c>
      <c r="I1228" s="212" t="s">
        <v>1893</v>
      </c>
      <c r="J1228" s="212" t="s">
        <v>104</v>
      </c>
      <c r="K1228" s="212" t="s">
        <v>269</v>
      </c>
      <c r="L1228" s="212" t="s">
        <v>1729</v>
      </c>
      <c r="M1228" t="s">
        <v>1906</v>
      </c>
      <c r="N1228" s="211">
        <v>-0.98</v>
      </c>
      <c r="O1228" s="211">
        <v>-9.7789999999999999</v>
      </c>
      <c r="P1228" s="211" t="s">
        <v>487</v>
      </c>
      <c r="Q1228" s="211">
        <v>28.7</v>
      </c>
      <c r="R1228" s="211">
        <v>-2.1</v>
      </c>
      <c r="S1228" s="211" t="s">
        <v>1731</v>
      </c>
    </row>
    <row r="1229" spans="1:19">
      <c r="A1229" s="212" t="s">
        <v>601</v>
      </c>
      <c r="B1229" s="212" t="s">
        <v>602</v>
      </c>
      <c r="C1229" s="233" t="s">
        <v>603</v>
      </c>
      <c r="D1229" s="233" t="s">
        <v>151</v>
      </c>
      <c r="E1229" s="212">
        <v>43442</v>
      </c>
      <c r="F1229" s="212">
        <v>1</v>
      </c>
      <c r="G1229" s="212" t="s">
        <v>1723</v>
      </c>
      <c r="H1229" s="212" t="s">
        <v>1878</v>
      </c>
      <c r="I1229" s="212" t="s">
        <v>1914</v>
      </c>
      <c r="J1229" s="212" t="s">
        <v>1744</v>
      </c>
      <c r="K1229" s="212" t="s">
        <v>269</v>
      </c>
      <c r="L1229" s="212" t="s">
        <v>1729</v>
      </c>
      <c r="M1229" t="s">
        <v>1730</v>
      </c>
      <c r="N1229" s="211">
        <v>-1.59</v>
      </c>
      <c r="O1229" s="211">
        <v>-10.388999999999999</v>
      </c>
      <c r="P1229" s="211" t="s">
        <v>487</v>
      </c>
      <c r="R1229" s="211">
        <v>-3.5</v>
      </c>
      <c r="S1229" s="211" t="s">
        <v>1731</v>
      </c>
    </row>
    <row r="1230" spans="1:19">
      <c r="A1230" s="212" t="s">
        <v>601</v>
      </c>
      <c r="B1230" s="212" t="s">
        <v>602</v>
      </c>
      <c r="C1230" s="233" t="s">
        <v>603</v>
      </c>
      <c r="D1230" s="233" t="s">
        <v>151</v>
      </c>
      <c r="E1230" s="212" t="s">
        <v>1771</v>
      </c>
      <c r="F1230" s="212" t="s">
        <v>1915</v>
      </c>
      <c r="G1230" s="212" t="s">
        <v>1723</v>
      </c>
      <c r="H1230" s="212" t="s">
        <v>1878</v>
      </c>
      <c r="I1230" s="212" t="s">
        <v>706</v>
      </c>
      <c r="J1230" s="212" t="s">
        <v>104</v>
      </c>
      <c r="K1230" s="212" t="s">
        <v>1768</v>
      </c>
      <c r="L1230" s="212" t="s">
        <v>1729</v>
      </c>
      <c r="M1230" t="s">
        <v>1730</v>
      </c>
      <c r="N1230" s="211">
        <v>0.3</v>
      </c>
      <c r="O1230" s="211">
        <v>-8.4990000000000006</v>
      </c>
      <c r="P1230" s="211" t="s">
        <v>487</v>
      </c>
      <c r="Q1230" s="211">
        <v>24.2</v>
      </c>
      <c r="R1230" s="211">
        <v>-6.5</v>
      </c>
      <c r="S1230" s="211" t="s">
        <v>1731</v>
      </c>
    </row>
    <row r="1231" spans="1:19">
      <c r="A1231" s="212" t="s">
        <v>601</v>
      </c>
      <c r="B1231" s="212" t="s">
        <v>602</v>
      </c>
      <c r="C1231" s="233" t="s">
        <v>603</v>
      </c>
      <c r="D1231" s="233" t="s">
        <v>151</v>
      </c>
      <c r="E1231" s="212" t="s">
        <v>1771</v>
      </c>
      <c r="F1231" s="212" t="s">
        <v>287</v>
      </c>
      <c r="G1231" s="212" t="s">
        <v>1723</v>
      </c>
      <c r="H1231" s="212" t="s">
        <v>1878</v>
      </c>
      <c r="I1231" s="212" t="s">
        <v>706</v>
      </c>
      <c r="J1231" s="212" t="s">
        <v>104</v>
      </c>
      <c r="K1231" s="212" t="s">
        <v>1768</v>
      </c>
      <c r="L1231" s="212" t="s">
        <v>1729</v>
      </c>
      <c r="M1231" t="s">
        <v>1730</v>
      </c>
      <c r="N1231" s="211">
        <v>-1.9</v>
      </c>
      <c r="O1231" s="211">
        <v>-10.699</v>
      </c>
      <c r="P1231" s="211" t="s">
        <v>487</v>
      </c>
      <c r="Q1231" s="211">
        <v>29.9</v>
      </c>
      <c r="R1231" s="211">
        <v>-0.9</v>
      </c>
      <c r="S1231" s="211" t="s">
        <v>1731</v>
      </c>
    </row>
    <row r="1232" spans="1:19">
      <c r="A1232" s="212" t="s">
        <v>601</v>
      </c>
      <c r="B1232" s="212" t="s">
        <v>602</v>
      </c>
      <c r="C1232" s="233" t="s">
        <v>603</v>
      </c>
      <c r="D1232" s="233" t="s">
        <v>151</v>
      </c>
      <c r="E1232" s="212" t="s">
        <v>1771</v>
      </c>
      <c r="F1232" s="212" t="s">
        <v>287</v>
      </c>
      <c r="G1232" s="212" t="s">
        <v>1723</v>
      </c>
      <c r="H1232" s="212" t="s">
        <v>1878</v>
      </c>
      <c r="I1232" s="212" t="s">
        <v>706</v>
      </c>
      <c r="J1232" s="212" t="s">
        <v>104</v>
      </c>
      <c r="K1232" s="212" t="s">
        <v>1768</v>
      </c>
      <c r="L1232" s="212" t="s">
        <v>1729</v>
      </c>
      <c r="M1232" t="s">
        <v>1730</v>
      </c>
      <c r="N1232" s="211">
        <v>-1.6</v>
      </c>
      <c r="O1232" s="211">
        <v>-10.398999999999999</v>
      </c>
      <c r="P1232" s="211" t="s">
        <v>487</v>
      </c>
      <c r="Q1232" s="211">
        <v>29.8</v>
      </c>
      <c r="R1232" s="211">
        <v>-1</v>
      </c>
      <c r="S1232" s="211" t="s">
        <v>1731</v>
      </c>
    </row>
    <row r="1233" spans="1:19">
      <c r="A1233" s="212" t="s">
        <v>601</v>
      </c>
      <c r="B1233" s="212" t="s">
        <v>602</v>
      </c>
      <c r="C1233" s="233" t="s">
        <v>603</v>
      </c>
      <c r="D1233" s="233" t="s">
        <v>151</v>
      </c>
      <c r="E1233" s="212" t="s">
        <v>1771</v>
      </c>
      <c r="F1233" s="212" t="s">
        <v>287</v>
      </c>
      <c r="G1233" s="212" t="s">
        <v>1723</v>
      </c>
      <c r="H1233" s="212" t="s">
        <v>1878</v>
      </c>
      <c r="I1233" s="212" t="s">
        <v>706</v>
      </c>
      <c r="J1233" s="212" t="s">
        <v>104</v>
      </c>
      <c r="K1233" s="212" t="s">
        <v>1768</v>
      </c>
      <c r="L1233" s="212" t="s">
        <v>1729</v>
      </c>
      <c r="M1233" t="s">
        <v>1730</v>
      </c>
      <c r="N1233" s="211">
        <v>-0.8</v>
      </c>
      <c r="O1233" s="211">
        <v>-9.5990000000000002</v>
      </c>
      <c r="P1233" s="211" t="s">
        <v>487</v>
      </c>
      <c r="Q1233" s="211">
        <v>27.6</v>
      </c>
      <c r="R1233" s="211">
        <v>-3.2</v>
      </c>
      <c r="S1233" s="211" t="s">
        <v>1731</v>
      </c>
    </row>
    <row r="1234" spans="1:19">
      <c r="A1234" s="212" t="s">
        <v>601</v>
      </c>
      <c r="B1234" s="212" t="s">
        <v>602</v>
      </c>
      <c r="C1234" s="233" t="s">
        <v>603</v>
      </c>
      <c r="D1234" s="233" t="s">
        <v>151</v>
      </c>
      <c r="E1234" s="212" t="s">
        <v>1773</v>
      </c>
      <c r="F1234" s="212">
        <v>7391</v>
      </c>
      <c r="G1234" s="212" t="s">
        <v>1723</v>
      </c>
      <c r="H1234" s="212" t="s">
        <v>1878</v>
      </c>
      <c r="I1234" s="212" t="s">
        <v>1774</v>
      </c>
      <c r="J1234" s="212" t="s">
        <v>104</v>
      </c>
      <c r="K1234" s="212" t="s">
        <v>1768</v>
      </c>
      <c r="L1234" s="212" t="s">
        <v>1729</v>
      </c>
      <c r="M1234" t="s">
        <v>1775</v>
      </c>
      <c r="N1234" s="211">
        <v>-4.1900000000000004</v>
      </c>
      <c r="O1234" s="211">
        <v>-12.989000000000001</v>
      </c>
      <c r="P1234" s="211" t="s">
        <v>487</v>
      </c>
      <c r="Q1234" s="211">
        <v>29.1</v>
      </c>
      <c r="R1234" s="211">
        <v>-1.7</v>
      </c>
      <c r="S1234" s="211" t="s">
        <v>1731</v>
      </c>
    </row>
    <row r="1235" spans="1:19">
      <c r="A1235" s="212" t="s">
        <v>601</v>
      </c>
      <c r="B1235" s="212" t="s">
        <v>602</v>
      </c>
      <c r="C1235" s="233" t="s">
        <v>603</v>
      </c>
      <c r="D1235" s="233" t="s">
        <v>151</v>
      </c>
      <c r="E1235" s="212" t="s">
        <v>1773</v>
      </c>
      <c r="F1235" s="212" t="s">
        <v>1916</v>
      </c>
      <c r="G1235" s="212" t="s">
        <v>1723</v>
      </c>
      <c r="H1235" s="212" t="s">
        <v>1878</v>
      </c>
      <c r="I1235" s="212" t="s">
        <v>1896</v>
      </c>
      <c r="J1235" s="212" t="s">
        <v>104</v>
      </c>
      <c r="K1235" s="212" t="s">
        <v>1768</v>
      </c>
      <c r="L1235" s="212" t="s">
        <v>1729</v>
      </c>
      <c r="M1235" t="s">
        <v>1789</v>
      </c>
      <c r="N1235" s="211">
        <v>-0.78</v>
      </c>
      <c r="O1235" s="211">
        <v>-9.5790000000000006</v>
      </c>
      <c r="P1235" s="211" t="s">
        <v>487</v>
      </c>
      <c r="Q1235" s="211">
        <v>30.2</v>
      </c>
      <c r="R1235" s="211">
        <v>-0.7</v>
      </c>
      <c r="S1235" s="211" t="s">
        <v>1731</v>
      </c>
    </row>
    <row r="1236" spans="1:19">
      <c r="A1236" s="212" t="s">
        <v>601</v>
      </c>
      <c r="B1236" s="212" t="s">
        <v>602</v>
      </c>
      <c r="C1236" s="233" t="s">
        <v>603</v>
      </c>
      <c r="D1236" s="233" t="s">
        <v>151</v>
      </c>
      <c r="E1236" s="212" t="s">
        <v>1917</v>
      </c>
      <c r="F1236" s="212" t="s">
        <v>1918</v>
      </c>
      <c r="G1236" s="212" t="s">
        <v>1723</v>
      </c>
      <c r="H1236" s="212" t="s">
        <v>1878</v>
      </c>
      <c r="I1236" s="212" t="s">
        <v>1899</v>
      </c>
      <c r="J1236" s="212" t="s">
        <v>104</v>
      </c>
      <c r="K1236" s="212" t="s">
        <v>1768</v>
      </c>
      <c r="L1236" s="212" t="s">
        <v>1729</v>
      </c>
      <c r="M1236" t="s">
        <v>1789</v>
      </c>
      <c r="N1236" s="211">
        <v>-2.78</v>
      </c>
      <c r="O1236" s="211">
        <v>-11.579000000000001</v>
      </c>
      <c r="P1236" s="211" t="s">
        <v>487</v>
      </c>
      <c r="Q1236" s="211">
        <v>30.6</v>
      </c>
      <c r="R1236" s="211">
        <v>-0.3</v>
      </c>
      <c r="S1236" s="211" t="s">
        <v>1731</v>
      </c>
    </row>
    <row r="1237" spans="1:19">
      <c r="A1237" s="212" t="s">
        <v>601</v>
      </c>
      <c r="B1237" s="212" t="s">
        <v>602</v>
      </c>
      <c r="C1237" s="233" t="s">
        <v>603</v>
      </c>
      <c r="D1237" s="233" t="s">
        <v>151</v>
      </c>
      <c r="E1237" s="212" t="s">
        <v>1917</v>
      </c>
      <c r="F1237" s="212" t="s">
        <v>1919</v>
      </c>
      <c r="G1237" s="212" t="s">
        <v>1723</v>
      </c>
      <c r="H1237" s="212" t="s">
        <v>1878</v>
      </c>
      <c r="I1237" s="212" t="s">
        <v>1899</v>
      </c>
      <c r="J1237" s="212" t="s">
        <v>104</v>
      </c>
      <c r="K1237" s="212" t="s">
        <v>1768</v>
      </c>
      <c r="L1237" s="212" t="s">
        <v>1729</v>
      </c>
      <c r="M1237" t="s">
        <v>1789</v>
      </c>
      <c r="N1237" s="211">
        <v>-2.33</v>
      </c>
      <c r="O1237" s="211">
        <v>-11.129</v>
      </c>
      <c r="P1237" s="211" t="s">
        <v>487</v>
      </c>
      <c r="Q1237" s="211">
        <v>30.1</v>
      </c>
      <c r="R1237" s="211">
        <v>-0.7</v>
      </c>
      <c r="S1237" s="211" t="s">
        <v>1731</v>
      </c>
    </row>
    <row r="1238" spans="1:19">
      <c r="A1238" s="212" t="s">
        <v>601</v>
      </c>
      <c r="B1238" s="212" t="s">
        <v>602</v>
      </c>
      <c r="C1238" s="233" t="s">
        <v>603</v>
      </c>
      <c r="D1238" s="233" t="s">
        <v>151</v>
      </c>
      <c r="E1238" s="212" t="s">
        <v>1917</v>
      </c>
      <c r="F1238" s="212" t="s">
        <v>1920</v>
      </c>
      <c r="G1238" s="212" t="s">
        <v>1723</v>
      </c>
      <c r="H1238" s="212" t="s">
        <v>1878</v>
      </c>
      <c r="I1238" s="212" t="s">
        <v>1899</v>
      </c>
      <c r="J1238" s="212" t="s">
        <v>104</v>
      </c>
      <c r="K1238" s="212" t="s">
        <v>1768</v>
      </c>
      <c r="L1238" s="212" t="s">
        <v>1729</v>
      </c>
      <c r="M1238" t="s">
        <v>1789</v>
      </c>
      <c r="N1238" s="211">
        <v>-2.17</v>
      </c>
      <c r="O1238" s="211">
        <v>-10.968999999999999</v>
      </c>
      <c r="P1238" s="211" t="s">
        <v>487</v>
      </c>
      <c r="Q1238" s="211">
        <v>30.7</v>
      </c>
      <c r="R1238" s="211">
        <v>-0.2</v>
      </c>
      <c r="S1238" s="211" t="s">
        <v>1731</v>
      </c>
    </row>
    <row r="1239" spans="1:19">
      <c r="A1239" s="212" t="s">
        <v>601</v>
      </c>
      <c r="B1239" s="212" t="s">
        <v>602</v>
      </c>
      <c r="C1239" s="233" t="s">
        <v>603</v>
      </c>
      <c r="D1239" s="233" t="s">
        <v>151</v>
      </c>
      <c r="E1239" s="212" t="s">
        <v>1917</v>
      </c>
      <c r="F1239" s="212" t="s">
        <v>1921</v>
      </c>
      <c r="G1239" s="212" t="s">
        <v>1723</v>
      </c>
      <c r="H1239" s="212" t="s">
        <v>1878</v>
      </c>
      <c r="I1239" s="212" t="s">
        <v>1899</v>
      </c>
      <c r="J1239" s="212" t="s">
        <v>104</v>
      </c>
      <c r="K1239" s="212" t="s">
        <v>1768</v>
      </c>
      <c r="L1239" s="212" t="s">
        <v>1729</v>
      </c>
      <c r="M1239" t="s">
        <v>1789</v>
      </c>
      <c r="N1239" s="211">
        <v>-4.58</v>
      </c>
      <c r="O1239" s="211">
        <v>-13.379</v>
      </c>
      <c r="P1239" s="211" t="s">
        <v>487</v>
      </c>
      <c r="Q1239" s="211">
        <v>29.8</v>
      </c>
      <c r="R1239" s="211">
        <v>-1</v>
      </c>
      <c r="S1239" s="211" t="s">
        <v>1731</v>
      </c>
    </row>
    <row r="1240" spans="1:19">
      <c r="A1240" s="212" t="s">
        <v>601</v>
      </c>
      <c r="B1240" s="212" t="s">
        <v>602</v>
      </c>
      <c r="C1240" s="233" t="s">
        <v>603</v>
      </c>
      <c r="D1240" s="233" t="s">
        <v>151</v>
      </c>
      <c r="E1240" s="212" t="s">
        <v>1917</v>
      </c>
      <c r="F1240" s="212" t="s">
        <v>1922</v>
      </c>
      <c r="G1240" s="212" t="s">
        <v>1723</v>
      </c>
      <c r="H1240" s="212" t="s">
        <v>1878</v>
      </c>
      <c r="I1240" s="212" t="s">
        <v>1899</v>
      </c>
      <c r="J1240" s="212" t="s">
        <v>104</v>
      </c>
      <c r="K1240" s="212" t="s">
        <v>1768</v>
      </c>
      <c r="L1240" s="212" t="s">
        <v>1729</v>
      </c>
      <c r="M1240" t="s">
        <v>1789</v>
      </c>
      <c r="N1240" s="211">
        <v>-1.75</v>
      </c>
      <c r="O1240" s="211">
        <v>-10.548999999999999</v>
      </c>
      <c r="P1240" s="211" t="s">
        <v>487</v>
      </c>
      <c r="Q1240" s="211">
        <v>30.4</v>
      </c>
      <c r="R1240" s="211">
        <v>-0.4</v>
      </c>
      <c r="S1240" s="211" t="s">
        <v>1731</v>
      </c>
    </row>
    <row r="1241" spans="1:19">
      <c r="A1241" s="212" t="s">
        <v>601</v>
      </c>
      <c r="B1241" s="212" t="s">
        <v>602</v>
      </c>
      <c r="C1241" s="233" t="s">
        <v>603</v>
      </c>
      <c r="D1241" s="233" t="s">
        <v>151</v>
      </c>
      <c r="E1241" s="212" t="s">
        <v>1917</v>
      </c>
      <c r="F1241" s="212" t="s">
        <v>1923</v>
      </c>
      <c r="G1241" s="212" t="s">
        <v>1723</v>
      </c>
      <c r="H1241" s="212" t="s">
        <v>1878</v>
      </c>
      <c r="I1241" s="212" t="s">
        <v>1899</v>
      </c>
      <c r="J1241" s="212" t="s">
        <v>104</v>
      </c>
      <c r="K1241" s="212" t="s">
        <v>1768</v>
      </c>
      <c r="L1241" s="212" t="s">
        <v>1729</v>
      </c>
      <c r="M1241" t="s">
        <v>1789</v>
      </c>
      <c r="N1241" s="211">
        <v>-2.4500000000000002</v>
      </c>
      <c r="O1241" s="211">
        <v>-11.249000000000001</v>
      </c>
      <c r="P1241" s="211" t="s">
        <v>487</v>
      </c>
      <c r="Q1241" s="211">
        <v>30</v>
      </c>
      <c r="R1241" s="211">
        <v>-0.9</v>
      </c>
      <c r="S1241" s="211" t="s">
        <v>1731</v>
      </c>
    </row>
    <row r="1242" spans="1:19">
      <c r="A1242" s="212" t="s">
        <v>601</v>
      </c>
      <c r="B1242" s="212" t="s">
        <v>602</v>
      </c>
      <c r="C1242" s="233" t="s">
        <v>603</v>
      </c>
      <c r="D1242" s="233" t="s">
        <v>151</v>
      </c>
      <c r="E1242" s="212" t="s">
        <v>1917</v>
      </c>
      <c r="F1242" s="212" t="s">
        <v>1924</v>
      </c>
      <c r="G1242" s="212" t="s">
        <v>1723</v>
      </c>
      <c r="H1242" s="212" t="s">
        <v>1878</v>
      </c>
      <c r="I1242" s="212" t="s">
        <v>1899</v>
      </c>
      <c r="J1242" s="212" t="s">
        <v>104</v>
      </c>
      <c r="K1242" s="212" t="s">
        <v>1768</v>
      </c>
      <c r="L1242" s="212" t="s">
        <v>1729</v>
      </c>
      <c r="M1242" t="s">
        <v>1789</v>
      </c>
      <c r="N1242" s="211">
        <v>-2.1</v>
      </c>
      <c r="O1242" s="211">
        <v>-10.898999999999999</v>
      </c>
      <c r="P1242" s="211" t="s">
        <v>487</v>
      </c>
      <c r="Q1242" s="211">
        <v>29.9</v>
      </c>
      <c r="R1242" s="211">
        <v>-1</v>
      </c>
      <c r="S1242" s="211" t="s">
        <v>1731</v>
      </c>
    </row>
    <row r="1243" spans="1:19">
      <c r="A1243" s="212" t="s">
        <v>601</v>
      </c>
      <c r="B1243" s="212" t="s">
        <v>602</v>
      </c>
      <c r="C1243" s="233" t="s">
        <v>603</v>
      </c>
      <c r="D1243" s="233" t="s">
        <v>151</v>
      </c>
      <c r="E1243" s="212" t="s">
        <v>1917</v>
      </c>
      <c r="F1243" s="212" t="s">
        <v>1925</v>
      </c>
      <c r="G1243" s="212" t="s">
        <v>1723</v>
      </c>
      <c r="H1243" s="212" t="s">
        <v>1878</v>
      </c>
      <c r="I1243" s="212" t="s">
        <v>1899</v>
      </c>
      <c r="J1243" s="212" t="s">
        <v>104</v>
      </c>
      <c r="K1243" s="212" t="s">
        <v>1768</v>
      </c>
      <c r="L1243" s="212" t="s">
        <v>1729</v>
      </c>
      <c r="M1243" t="s">
        <v>1789</v>
      </c>
      <c r="N1243" s="211">
        <v>-3.08</v>
      </c>
      <c r="O1243" s="211">
        <v>-11.879</v>
      </c>
      <c r="P1243" s="211" t="s">
        <v>487</v>
      </c>
      <c r="Q1243" s="211">
        <v>29.1</v>
      </c>
      <c r="R1243" s="211">
        <v>-1.7</v>
      </c>
      <c r="S1243" s="211" t="s">
        <v>1731</v>
      </c>
    </row>
    <row r="1244" spans="1:19">
      <c r="A1244" s="212" t="s">
        <v>601</v>
      </c>
      <c r="B1244" s="212" t="s">
        <v>602</v>
      </c>
      <c r="C1244" s="233" t="s">
        <v>603</v>
      </c>
      <c r="D1244" s="233" t="s">
        <v>151</v>
      </c>
      <c r="E1244" s="212" t="s">
        <v>1917</v>
      </c>
      <c r="F1244" s="212" t="s">
        <v>1926</v>
      </c>
      <c r="G1244" s="212" t="s">
        <v>1723</v>
      </c>
      <c r="H1244" s="212" t="s">
        <v>1878</v>
      </c>
      <c r="I1244" s="212" t="s">
        <v>1899</v>
      </c>
      <c r="J1244" s="212" t="s">
        <v>104</v>
      </c>
      <c r="K1244" s="212" t="s">
        <v>1768</v>
      </c>
      <c r="L1244" s="212" t="s">
        <v>1729</v>
      </c>
      <c r="M1244" t="s">
        <v>1789</v>
      </c>
      <c r="N1244" s="211">
        <v>-3.28</v>
      </c>
      <c r="O1244" s="211">
        <v>-12.079000000000001</v>
      </c>
      <c r="P1244" s="211" t="s">
        <v>487</v>
      </c>
      <c r="Q1244" s="211">
        <v>29.1</v>
      </c>
      <c r="R1244" s="211">
        <v>-1.7</v>
      </c>
      <c r="S1244" s="211" t="s">
        <v>1731</v>
      </c>
    </row>
    <row r="1245" spans="1:19">
      <c r="A1245" s="212" t="s">
        <v>601</v>
      </c>
      <c r="B1245" s="212" t="s">
        <v>602</v>
      </c>
      <c r="C1245" s="233" t="s">
        <v>603</v>
      </c>
      <c r="D1245" s="233" t="s">
        <v>151</v>
      </c>
      <c r="E1245" s="212" t="s">
        <v>1917</v>
      </c>
      <c r="F1245" s="212" t="s">
        <v>1927</v>
      </c>
      <c r="G1245" s="212" t="s">
        <v>1723</v>
      </c>
      <c r="H1245" s="212" t="s">
        <v>1878</v>
      </c>
      <c r="I1245" s="212" t="s">
        <v>1899</v>
      </c>
      <c r="J1245" s="212" t="s">
        <v>104</v>
      </c>
      <c r="K1245" s="212" t="s">
        <v>1768</v>
      </c>
      <c r="L1245" s="212" t="s">
        <v>1729</v>
      </c>
      <c r="M1245" t="s">
        <v>1789</v>
      </c>
      <c r="N1245" s="211">
        <v>-2.2599999999999998</v>
      </c>
      <c r="O1245" s="211">
        <v>-11.058999999999999</v>
      </c>
      <c r="P1245" s="211" t="s">
        <v>487</v>
      </c>
      <c r="Q1245" s="211">
        <v>30.4</v>
      </c>
      <c r="R1245" s="211">
        <v>-0.4</v>
      </c>
      <c r="S1245" s="211" t="s">
        <v>1731</v>
      </c>
    </row>
    <row r="1246" spans="1:19">
      <c r="A1246" s="212" t="s">
        <v>601</v>
      </c>
      <c r="B1246" s="212" t="s">
        <v>602</v>
      </c>
      <c r="C1246" s="233" t="s">
        <v>603</v>
      </c>
      <c r="D1246" s="233" t="s">
        <v>151</v>
      </c>
      <c r="E1246" s="212" t="s">
        <v>1917</v>
      </c>
      <c r="F1246" s="212" t="s">
        <v>1928</v>
      </c>
      <c r="G1246" s="212" t="s">
        <v>1723</v>
      </c>
      <c r="H1246" s="212" t="s">
        <v>1878</v>
      </c>
      <c r="I1246" s="212" t="s">
        <v>1899</v>
      </c>
      <c r="J1246" s="212" t="s">
        <v>104</v>
      </c>
      <c r="K1246" s="212" t="s">
        <v>1768</v>
      </c>
      <c r="L1246" s="212" t="s">
        <v>1729</v>
      </c>
      <c r="M1246" t="s">
        <v>1789</v>
      </c>
      <c r="N1246" s="211">
        <v>-2.67</v>
      </c>
      <c r="O1246" s="211">
        <v>-11.468999999999999</v>
      </c>
      <c r="P1246" s="211" t="s">
        <v>487</v>
      </c>
      <c r="Q1246" s="211">
        <v>28</v>
      </c>
      <c r="R1246" s="211">
        <v>-2.8</v>
      </c>
      <c r="S1246" s="211" t="s">
        <v>1731</v>
      </c>
    </row>
    <row r="1247" spans="1:19">
      <c r="A1247" s="212" t="s">
        <v>601</v>
      </c>
      <c r="B1247" s="212" t="s">
        <v>602</v>
      </c>
      <c r="C1247" s="233" t="s">
        <v>603</v>
      </c>
      <c r="D1247" s="233" t="s">
        <v>151</v>
      </c>
      <c r="E1247" s="212" t="s">
        <v>1917</v>
      </c>
      <c r="F1247" s="212" t="s">
        <v>1929</v>
      </c>
      <c r="G1247" s="212" t="s">
        <v>1723</v>
      </c>
      <c r="H1247" s="212" t="s">
        <v>1878</v>
      </c>
      <c r="I1247" s="212" t="s">
        <v>1899</v>
      </c>
      <c r="J1247" s="212" t="s">
        <v>104</v>
      </c>
      <c r="K1247" s="212" t="s">
        <v>1768</v>
      </c>
      <c r="L1247" s="212" t="s">
        <v>1729</v>
      </c>
      <c r="M1247" t="s">
        <v>1789</v>
      </c>
      <c r="N1247" s="211">
        <v>-3.5</v>
      </c>
      <c r="O1247" s="211">
        <v>-12.298999999999999</v>
      </c>
      <c r="P1247" s="211" t="s">
        <v>487</v>
      </c>
      <c r="Q1247" s="211">
        <v>30</v>
      </c>
      <c r="R1247" s="211">
        <v>-0.8</v>
      </c>
      <c r="S1247" s="211" t="s">
        <v>1731</v>
      </c>
    </row>
    <row r="1248" spans="1:19">
      <c r="A1248" s="212" t="s">
        <v>601</v>
      </c>
      <c r="B1248" s="212" t="s">
        <v>602</v>
      </c>
      <c r="C1248" s="233" t="s">
        <v>603</v>
      </c>
      <c r="D1248" s="233" t="s">
        <v>151</v>
      </c>
      <c r="E1248" s="212" t="s">
        <v>1917</v>
      </c>
      <c r="F1248" s="212" t="s">
        <v>1930</v>
      </c>
      <c r="G1248" s="212" t="s">
        <v>1723</v>
      </c>
      <c r="H1248" s="212" t="s">
        <v>1878</v>
      </c>
      <c r="I1248" s="212" t="s">
        <v>1899</v>
      </c>
      <c r="J1248" s="212" t="s">
        <v>104</v>
      </c>
      <c r="K1248" s="212" t="s">
        <v>1768</v>
      </c>
      <c r="L1248" s="212" t="s">
        <v>1729</v>
      </c>
      <c r="M1248" t="s">
        <v>1789</v>
      </c>
      <c r="N1248" s="211">
        <v>-2.0099999999999998</v>
      </c>
      <c r="O1248" s="211">
        <v>-10.808999999999999</v>
      </c>
      <c r="P1248" s="211" t="s">
        <v>487</v>
      </c>
      <c r="Q1248" s="211">
        <v>30.7</v>
      </c>
      <c r="R1248" s="211">
        <v>-0.2</v>
      </c>
      <c r="S1248" s="211" t="s">
        <v>1731</v>
      </c>
    </row>
    <row r="1249" spans="1:21">
      <c r="A1249" s="212" t="s">
        <v>601</v>
      </c>
      <c r="B1249" s="212" t="s">
        <v>602</v>
      </c>
      <c r="C1249" s="233" t="s">
        <v>603</v>
      </c>
      <c r="D1249" s="233" t="s">
        <v>151</v>
      </c>
      <c r="E1249" s="212" t="s">
        <v>1917</v>
      </c>
      <c r="F1249" s="212" t="s">
        <v>1931</v>
      </c>
      <c r="G1249" s="212" t="s">
        <v>1723</v>
      </c>
      <c r="H1249" s="212" t="s">
        <v>1878</v>
      </c>
      <c r="I1249" s="212" t="s">
        <v>1899</v>
      </c>
      <c r="J1249" s="212" t="s">
        <v>104</v>
      </c>
      <c r="K1249" s="212" t="s">
        <v>1768</v>
      </c>
      <c r="L1249" s="212" t="s">
        <v>1729</v>
      </c>
      <c r="M1249" t="s">
        <v>1789</v>
      </c>
      <c r="N1249" s="211">
        <v>-3.29</v>
      </c>
      <c r="O1249" s="211">
        <v>-12.089</v>
      </c>
      <c r="P1249" s="211" t="s">
        <v>487</v>
      </c>
      <c r="Q1249" s="211">
        <v>29.3</v>
      </c>
      <c r="R1249" s="211">
        <v>-1.6</v>
      </c>
      <c r="S1249" s="211" t="s">
        <v>1731</v>
      </c>
    </row>
    <row r="1250" spans="1:21">
      <c r="A1250" s="212" t="s">
        <v>601</v>
      </c>
      <c r="B1250" s="212" t="s">
        <v>602</v>
      </c>
      <c r="C1250" s="233" t="s">
        <v>603</v>
      </c>
      <c r="D1250" s="233" t="s">
        <v>151</v>
      </c>
      <c r="E1250" s="212" t="s">
        <v>1776</v>
      </c>
      <c r="F1250" s="212">
        <v>60345</v>
      </c>
      <c r="G1250" s="212" t="s">
        <v>1723</v>
      </c>
      <c r="H1250" s="212" t="s">
        <v>1878</v>
      </c>
      <c r="I1250" s="212" t="s">
        <v>1788</v>
      </c>
      <c r="J1250" s="212" t="s">
        <v>104</v>
      </c>
      <c r="K1250" s="212" t="s">
        <v>1768</v>
      </c>
      <c r="L1250" s="212" t="s">
        <v>1729</v>
      </c>
      <c r="M1250" t="s">
        <v>1789</v>
      </c>
      <c r="N1250" s="211">
        <v>-2.2000000000000002</v>
      </c>
      <c r="O1250" s="211">
        <v>-10.999000000000001</v>
      </c>
      <c r="P1250" s="211" t="s">
        <v>487</v>
      </c>
      <c r="Q1250" s="211">
        <v>29.1</v>
      </c>
      <c r="R1250" s="211">
        <v>-1.7</v>
      </c>
      <c r="S1250" s="211" t="s">
        <v>1731</v>
      </c>
    </row>
    <row r="1251" spans="1:21" ht="19">
      <c r="A1251" s="212" t="s">
        <v>601</v>
      </c>
      <c r="B1251" s="212" t="s">
        <v>602</v>
      </c>
      <c r="C1251" s="233" t="s">
        <v>603</v>
      </c>
      <c r="D1251" s="234" t="s">
        <v>151</v>
      </c>
      <c r="E1251" s="212" t="s">
        <v>1776</v>
      </c>
      <c r="F1251" s="212">
        <v>60351</v>
      </c>
      <c r="G1251" s="212" t="s">
        <v>1723</v>
      </c>
      <c r="H1251" s="212" t="s">
        <v>1878</v>
      </c>
      <c r="I1251" s="212" t="s">
        <v>1788</v>
      </c>
      <c r="J1251" s="212" t="s">
        <v>104</v>
      </c>
      <c r="K1251" s="227" t="s">
        <v>1768</v>
      </c>
      <c r="L1251" s="227" t="s">
        <v>1729</v>
      </c>
      <c r="M1251" t="s">
        <v>1789</v>
      </c>
      <c r="N1251" s="211">
        <v>-1.29</v>
      </c>
      <c r="O1251" s="211">
        <v>-10.089</v>
      </c>
      <c r="P1251" s="211" t="s">
        <v>487</v>
      </c>
      <c r="Q1251" s="211">
        <v>29.7</v>
      </c>
      <c r="R1251" s="211">
        <v>-1.2</v>
      </c>
      <c r="S1251" s="211" t="s">
        <v>1731</v>
      </c>
    </row>
    <row r="1252" spans="1:21" ht="19">
      <c r="A1252" s="212" t="s">
        <v>601</v>
      </c>
      <c r="B1252" s="212" t="s">
        <v>602</v>
      </c>
      <c r="C1252" s="233" t="s">
        <v>603</v>
      </c>
      <c r="D1252" s="234" t="s">
        <v>151</v>
      </c>
      <c r="E1252" s="212" t="s">
        <v>1776</v>
      </c>
      <c r="F1252" s="212">
        <v>60670</v>
      </c>
      <c r="G1252" s="212" t="s">
        <v>1723</v>
      </c>
      <c r="H1252" s="212" t="s">
        <v>1878</v>
      </c>
      <c r="I1252" s="212" t="s">
        <v>1901</v>
      </c>
      <c r="J1252" s="212" t="s">
        <v>104</v>
      </c>
      <c r="K1252" s="227" t="s">
        <v>1768</v>
      </c>
      <c r="L1252" s="227" t="s">
        <v>1729</v>
      </c>
      <c r="M1252" t="s">
        <v>1734</v>
      </c>
      <c r="N1252" s="211">
        <v>-2.4</v>
      </c>
      <c r="O1252" s="211">
        <v>-11.199</v>
      </c>
      <c r="P1252" s="211" t="s">
        <v>487</v>
      </c>
      <c r="Q1252" s="211">
        <v>27.2</v>
      </c>
      <c r="R1252" s="211">
        <v>-3.6</v>
      </c>
      <c r="S1252" s="211" t="s">
        <v>1731</v>
      </c>
    </row>
    <row r="1253" spans="1:21">
      <c r="A1253" s="212" t="s">
        <v>601</v>
      </c>
      <c r="B1253" s="212" t="s">
        <v>602</v>
      </c>
      <c r="C1253" s="233" t="s">
        <v>603</v>
      </c>
      <c r="D1253" s="233" t="s">
        <v>151</v>
      </c>
      <c r="E1253" s="212" t="s">
        <v>1776</v>
      </c>
      <c r="F1253" s="212">
        <v>60670</v>
      </c>
      <c r="G1253" s="212" t="s">
        <v>1723</v>
      </c>
      <c r="H1253" s="212" t="s">
        <v>1878</v>
      </c>
      <c r="I1253" s="212" t="s">
        <v>1901</v>
      </c>
      <c r="J1253" s="212" t="s">
        <v>104</v>
      </c>
      <c r="K1253" s="227" t="s">
        <v>1768</v>
      </c>
      <c r="L1253" s="227" t="s">
        <v>1729</v>
      </c>
      <c r="M1253" t="s">
        <v>1734</v>
      </c>
      <c r="N1253" s="211">
        <v>-1.1200000000000001</v>
      </c>
      <c r="O1253" s="211">
        <v>-9.9190000000000005</v>
      </c>
      <c r="P1253" s="211" t="s">
        <v>487</v>
      </c>
      <c r="Q1253" s="211">
        <v>27.8</v>
      </c>
      <c r="R1253" s="211">
        <v>-3</v>
      </c>
      <c r="S1253" s="211" t="s">
        <v>1731</v>
      </c>
    </row>
    <row r="1254" spans="1:21">
      <c r="A1254" s="212" t="s">
        <v>601</v>
      </c>
      <c r="B1254" s="212" t="s">
        <v>602</v>
      </c>
      <c r="C1254" s="233" t="s">
        <v>603</v>
      </c>
      <c r="D1254" s="233" t="s">
        <v>151</v>
      </c>
      <c r="E1254" s="212" t="s">
        <v>1776</v>
      </c>
      <c r="F1254" s="212">
        <v>60844</v>
      </c>
      <c r="G1254" s="212" t="s">
        <v>1723</v>
      </c>
      <c r="H1254" s="212" t="s">
        <v>1878</v>
      </c>
      <c r="I1254" s="212" t="s">
        <v>1788</v>
      </c>
      <c r="J1254" s="212" t="s">
        <v>104</v>
      </c>
      <c r="K1254" s="227" t="s">
        <v>1768</v>
      </c>
      <c r="L1254" s="227" t="s">
        <v>1729</v>
      </c>
      <c r="M1254" t="s">
        <v>1789</v>
      </c>
      <c r="N1254" s="211">
        <v>-3.22</v>
      </c>
      <c r="O1254" s="211">
        <v>-12.019</v>
      </c>
      <c r="P1254" s="211" t="s">
        <v>487</v>
      </c>
      <c r="Q1254" s="211">
        <v>28.3</v>
      </c>
      <c r="R1254" s="211">
        <v>-2.5</v>
      </c>
      <c r="S1254" s="211" t="s">
        <v>1731</v>
      </c>
    </row>
    <row r="1255" spans="1:21">
      <c r="A1255" s="212" t="s">
        <v>601</v>
      </c>
      <c r="B1255" s="212" t="s">
        <v>602</v>
      </c>
      <c r="C1255" s="233" t="s">
        <v>603</v>
      </c>
      <c r="D1255" s="233" t="s">
        <v>151</v>
      </c>
      <c r="E1255" s="212" t="s">
        <v>1776</v>
      </c>
      <c r="F1255" s="212">
        <v>61233</v>
      </c>
      <c r="G1255" s="212" t="s">
        <v>1723</v>
      </c>
      <c r="H1255" s="212" t="s">
        <v>1878</v>
      </c>
      <c r="I1255" s="212" t="s">
        <v>1902</v>
      </c>
      <c r="J1255" s="212" t="s">
        <v>104</v>
      </c>
      <c r="K1255" s="227" t="s">
        <v>1768</v>
      </c>
      <c r="L1255" s="227" t="s">
        <v>1729</v>
      </c>
      <c r="M1255" t="s">
        <v>1789</v>
      </c>
      <c r="N1255" s="211">
        <v>-3.54</v>
      </c>
      <c r="O1255" s="211">
        <v>-12.339</v>
      </c>
      <c r="P1255" s="211" t="s">
        <v>487</v>
      </c>
      <c r="Q1255" s="211">
        <v>30</v>
      </c>
      <c r="R1255" s="211">
        <v>-0.9</v>
      </c>
      <c r="S1255" s="211" t="s">
        <v>1731</v>
      </c>
      <c r="U1255" s="213"/>
    </row>
    <row r="1256" spans="1:21" ht="19">
      <c r="A1256" s="212" t="s">
        <v>601</v>
      </c>
      <c r="B1256" s="212" t="s">
        <v>602</v>
      </c>
      <c r="C1256" s="233" t="s">
        <v>603</v>
      </c>
      <c r="D1256" s="234" t="s">
        <v>151</v>
      </c>
      <c r="E1256" s="212" t="s">
        <v>1776</v>
      </c>
      <c r="F1256" s="212">
        <v>61244</v>
      </c>
      <c r="G1256" s="212" t="s">
        <v>1723</v>
      </c>
      <c r="H1256" s="212" t="s">
        <v>1878</v>
      </c>
      <c r="I1256" s="212" t="s">
        <v>1902</v>
      </c>
      <c r="J1256" s="212" t="s">
        <v>104</v>
      </c>
      <c r="K1256" s="227" t="s">
        <v>1768</v>
      </c>
      <c r="L1256" s="227" t="s">
        <v>1729</v>
      </c>
      <c r="M1256" t="s">
        <v>1789</v>
      </c>
      <c r="N1256" s="211">
        <v>-1.34</v>
      </c>
      <c r="O1256" s="211">
        <v>-10.138999999999999</v>
      </c>
      <c r="P1256" s="211" t="s">
        <v>487</v>
      </c>
      <c r="Q1256" s="211">
        <v>29.4</v>
      </c>
      <c r="R1256" s="211">
        <v>-1.4</v>
      </c>
      <c r="S1256" s="211" t="s">
        <v>1731</v>
      </c>
    </row>
    <row r="1257" spans="1:21" ht="19">
      <c r="A1257" s="212" t="s">
        <v>601</v>
      </c>
      <c r="B1257" s="212" t="s">
        <v>602</v>
      </c>
      <c r="C1257" s="233" t="s">
        <v>603</v>
      </c>
      <c r="D1257" s="234" t="s">
        <v>151</v>
      </c>
      <c r="E1257" s="212" t="s">
        <v>1776</v>
      </c>
      <c r="F1257" s="212">
        <v>61245</v>
      </c>
      <c r="G1257" s="212" t="s">
        <v>1723</v>
      </c>
      <c r="H1257" s="212" t="s">
        <v>1878</v>
      </c>
      <c r="I1257" s="212" t="s">
        <v>1902</v>
      </c>
      <c r="J1257" s="212" t="s">
        <v>104</v>
      </c>
      <c r="K1257" s="212" t="s">
        <v>1768</v>
      </c>
      <c r="L1257" s="227" t="s">
        <v>1729</v>
      </c>
      <c r="M1257" t="s">
        <v>1789</v>
      </c>
      <c r="N1257" s="211">
        <v>-1.27</v>
      </c>
      <c r="O1257" s="211">
        <v>-10.069000000000001</v>
      </c>
      <c r="P1257" s="211" t="s">
        <v>487</v>
      </c>
      <c r="Q1257" s="211">
        <v>29.5</v>
      </c>
      <c r="R1257" s="211">
        <v>-1.3</v>
      </c>
      <c r="S1257" s="211" t="s">
        <v>1731</v>
      </c>
    </row>
    <row r="1258" spans="1:21" ht="19">
      <c r="A1258" s="212" t="s">
        <v>601</v>
      </c>
      <c r="B1258" s="212" t="s">
        <v>602</v>
      </c>
      <c r="C1258" s="233" t="s">
        <v>603</v>
      </c>
      <c r="D1258" s="234" t="s">
        <v>151</v>
      </c>
      <c r="E1258" s="212" t="s">
        <v>1776</v>
      </c>
      <c r="F1258" s="212">
        <v>62287</v>
      </c>
      <c r="G1258" s="212" t="s">
        <v>1723</v>
      </c>
      <c r="H1258" s="212" t="s">
        <v>1878</v>
      </c>
      <c r="I1258" s="212" t="s">
        <v>1788</v>
      </c>
      <c r="J1258" s="212" t="s">
        <v>104</v>
      </c>
      <c r="K1258" s="227" t="s">
        <v>1768</v>
      </c>
      <c r="L1258" s="227" t="s">
        <v>1729</v>
      </c>
      <c r="M1258" t="s">
        <v>1789</v>
      </c>
      <c r="N1258" s="211">
        <v>-1.7</v>
      </c>
      <c r="O1258" s="211">
        <v>-10.499000000000001</v>
      </c>
      <c r="P1258" s="211" t="s">
        <v>487</v>
      </c>
      <c r="Q1258" s="211">
        <v>29.7</v>
      </c>
      <c r="R1258" s="211">
        <v>-1.1000000000000001</v>
      </c>
      <c r="S1258" s="211" t="s">
        <v>1731</v>
      </c>
    </row>
    <row r="1259" spans="1:21" ht="19">
      <c r="A1259" s="212" t="s">
        <v>601</v>
      </c>
      <c r="B1259" s="212" t="s">
        <v>602</v>
      </c>
      <c r="C1259" s="233" t="s">
        <v>603</v>
      </c>
      <c r="D1259" s="234" t="s">
        <v>151</v>
      </c>
      <c r="E1259" s="212" t="s">
        <v>1776</v>
      </c>
      <c r="F1259" s="212">
        <v>62357</v>
      </c>
      <c r="G1259" s="212" t="s">
        <v>1723</v>
      </c>
      <c r="H1259" s="212" t="s">
        <v>1878</v>
      </c>
      <c r="I1259" s="212" t="s">
        <v>1788</v>
      </c>
      <c r="J1259" s="212" t="s">
        <v>104</v>
      </c>
      <c r="K1259" s="227" t="s">
        <v>1768</v>
      </c>
      <c r="L1259" s="227" t="s">
        <v>1729</v>
      </c>
      <c r="M1259" t="s">
        <v>1789</v>
      </c>
      <c r="N1259" s="211">
        <v>-2.7</v>
      </c>
      <c r="O1259" s="211">
        <v>-11.499000000000001</v>
      </c>
      <c r="P1259" s="211" t="s">
        <v>487</v>
      </c>
      <c r="Q1259" s="211">
        <v>28.2</v>
      </c>
      <c r="R1259" s="211">
        <v>-2.6</v>
      </c>
      <c r="S1259" s="211" t="s">
        <v>1731</v>
      </c>
    </row>
    <row r="1260" spans="1:21" ht="19">
      <c r="A1260" s="212" t="s">
        <v>601</v>
      </c>
      <c r="B1260" s="212" t="s">
        <v>602</v>
      </c>
      <c r="C1260" s="233" t="s">
        <v>603</v>
      </c>
      <c r="D1260" s="234" t="s">
        <v>151</v>
      </c>
      <c r="E1260" s="212" t="s">
        <v>1776</v>
      </c>
      <c r="F1260" s="212">
        <v>62358</v>
      </c>
      <c r="G1260" s="212" t="s">
        <v>1723</v>
      </c>
      <c r="H1260" s="212" t="s">
        <v>1878</v>
      </c>
      <c r="I1260" s="212" t="s">
        <v>1788</v>
      </c>
      <c r="J1260" s="212" t="s">
        <v>104</v>
      </c>
      <c r="K1260" s="227" t="s">
        <v>1768</v>
      </c>
      <c r="L1260" s="227" t="s">
        <v>1729</v>
      </c>
      <c r="M1260" t="s">
        <v>1789</v>
      </c>
      <c r="N1260" s="211">
        <v>-3.91</v>
      </c>
      <c r="O1260" s="211">
        <v>-12.709</v>
      </c>
      <c r="P1260" s="211" t="s">
        <v>487</v>
      </c>
      <c r="Q1260" s="211">
        <v>28.5</v>
      </c>
      <c r="R1260" s="211">
        <v>-2.2999999999999998</v>
      </c>
      <c r="S1260" s="211" t="s">
        <v>1731</v>
      </c>
    </row>
    <row r="1261" spans="1:21" ht="19">
      <c r="A1261" s="212" t="s">
        <v>601</v>
      </c>
      <c r="B1261" s="212" t="s">
        <v>602</v>
      </c>
      <c r="C1261" s="233" t="s">
        <v>603</v>
      </c>
      <c r="D1261" s="234" t="s">
        <v>151</v>
      </c>
      <c r="E1261" s="212" t="s">
        <v>1776</v>
      </c>
      <c r="F1261" s="212">
        <v>62359</v>
      </c>
      <c r="G1261" s="212" t="s">
        <v>1723</v>
      </c>
      <c r="H1261" s="212" t="s">
        <v>1878</v>
      </c>
      <c r="I1261" s="212" t="s">
        <v>1788</v>
      </c>
      <c r="J1261" s="212" t="s">
        <v>104</v>
      </c>
      <c r="K1261" s="227" t="s">
        <v>1768</v>
      </c>
      <c r="L1261" s="227" t="s">
        <v>1729</v>
      </c>
      <c r="M1261" t="s">
        <v>1789</v>
      </c>
      <c r="N1261" s="211">
        <v>-3.59</v>
      </c>
      <c r="O1261" s="211">
        <v>-12.388999999999999</v>
      </c>
      <c r="P1261" s="211" t="s">
        <v>487</v>
      </c>
      <c r="Q1261" s="211">
        <v>28.5</v>
      </c>
      <c r="R1261" s="211">
        <v>-2.2999999999999998</v>
      </c>
      <c r="S1261" s="211" t="s">
        <v>1731</v>
      </c>
    </row>
    <row r="1262" spans="1:21" ht="19">
      <c r="A1262" s="212" t="s">
        <v>601</v>
      </c>
      <c r="B1262" s="212" t="s">
        <v>602</v>
      </c>
      <c r="C1262" s="233" t="s">
        <v>603</v>
      </c>
      <c r="D1262" s="234" t="s">
        <v>151</v>
      </c>
      <c r="E1262" s="212" t="s">
        <v>1776</v>
      </c>
      <c r="F1262" s="212">
        <v>70153</v>
      </c>
      <c r="G1262" s="212" t="s">
        <v>1723</v>
      </c>
      <c r="H1262" s="212" t="s">
        <v>1878</v>
      </c>
      <c r="I1262" s="212" t="s">
        <v>1788</v>
      </c>
      <c r="J1262" s="212" t="s">
        <v>104</v>
      </c>
      <c r="K1262" s="227" t="s">
        <v>1768</v>
      </c>
      <c r="L1262" s="227" t="s">
        <v>1729</v>
      </c>
      <c r="M1262" t="s">
        <v>1789</v>
      </c>
      <c r="N1262" s="211">
        <v>-2.33</v>
      </c>
      <c r="O1262" s="211">
        <v>-11.129</v>
      </c>
      <c r="P1262" s="211" t="s">
        <v>487</v>
      </c>
      <c r="Q1262" s="211">
        <v>29.1</v>
      </c>
      <c r="R1262" s="211">
        <v>-1.7</v>
      </c>
      <c r="S1262" s="211" t="s">
        <v>1731</v>
      </c>
    </row>
    <row r="1263" spans="1:21" ht="19">
      <c r="A1263" s="212" t="s">
        <v>601</v>
      </c>
      <c r="B1263" s="212" t="s">
        <v>602</v>
      </c>
      <c r="C1263" s="233" t="s">
        <v>603</v>
      </c>
      <c r="D1263" s="234" t="s">
        <v>151</v>
      </c>
      <c r="E1263" s="212" t="s">
        <v>1776</v>
      </c>
      <c r="F1263" s="212">
        <v>70161</v>
      </c>
      <c r="G1263" s="212" t="s">
        <v>1723</v>
      </c>
      <c r="H1263" s="212" t="s">
        <v>1878</v>
      </c>
      <c r="I1263" s="212" t="s">
        <v>1788</v>
      </c>
      <c r="J1263" s="212" t="s">
        <v>104</v>
      </c>
      <c r="K1263" s="227" t="s">
        <v>1768</v>
      </c>
      <c r="L1263" s="227" t="s">
        <v>1729</v>
      </c>
      <c r="M1263" t="s">
        <v>1789</v>
      </c>
      <c r="N1263" s="211">
        <v>-3.38</v>
      </c>
      <c r="O1263" s="211">
        <v>-12.179</v>
      </c>
      <c r="P1263" s="211" t="s">
        <v>487</v>
      </c>
      <c r="Q1263" s="211">
        <v>27.6</v>
      </c>
      <c r="R1263" s="211">
        <v>-3.2</v>
      </c>
      <c r="S1263" s="211" t="s">
        <v>1731</v>
      </c>
    </row>
    <row r="1264" spans="1:21" ht="19">
      <c r="A1264" s="212" t="s">
        <v>601</v>
      </c>
      <c r="B1264" s="212" t="s">
        <v>602</v>
      </c>
      <c r="C1264" s="233" t="s">
        <v>603</v>
      </c>
      <c r="D1264" s="234" t="s">
        <v>151</v>
      </c>
      <c r="E1264" s="212" t="s">
        <v>1776</v>
      </c>
      <c r="F1264" s="212" t="s">
        <v>1599</v>
      </c>
      <c r="G1264" s="212" t="s">
        <v>1723</v>
      </c>
      <c r="H1264" s="212" t="s">
        <v>1878</v>
      </c>
      <c r="I1264" s="212" t="s">
        <v>706</v>
      </c>
      <c r="J1264" s="212" t="s">
        <v>104</v>
      </c>
      <c r="K1264" s="227" t="s">
        <v>1768</v>
      </c>
      <c r="L1264" s="227" t="s">
        <v>1729</v>
      </c>
      <c r="M1264" t="s">
        <v>186</v>
      </c>
      <c r="N1264" s="211">
        <v>-7.2</v>
      </c>
      <c r="O1264" s="211">
        <v>-15.999000000000001</v>
      </c>
      <c r="P1264" s="211" t="s">
        <v>487</v>
      </c>
      <c r="Q1264" s="211">
        <v>23.9</v>
      </c>
      <c r="R1264" s="211">
        <v>-6.7</v>
      </c>
      <c r="S1264" s="211" t="s">
        <v>1731</v>
      </c>
    </row>
    <row r="1265" spans="1:21">
      <c r="A1265" s="212" t="s">
        <v>601</v>
      </c>
      <c r="B1265" s="212" t="s">
        <v>602</v>
      </c>
      <c r="C1265" s="233" t="s">
        <v>603</v>
      </c>
      <c r="D1265" s="233" t="s">
        <v>151</v>
      </c>
      <c r="E1265" s="212" t="s">
        <v>1932</v>
      </c>
      <c r="G1265" s="212" t="s">
        <v>1723</v>
      </c>
      <c r="H1265" s="212" t="s">
        <v>1878</v>
      </c>
      <c r="J1265" s="212" t="s">
        <v>1744</v>
      </c>
      <c r="K1265" s="212" t="s">
        <v>269</v>
      </c>
      <c r="L1265" s="227" t="s">
        <v>1729</v>
      </c>
      <c r="M1265" t="s">
        <v>1730</v>
      </c>
      <c r="N1265" s="211">
        <v>-0.68</v>
      </c>
      <c r="O1265" s="211">
        <v>-9.4789999999999992</v>
      </c>
      <c r="P1265" s="211" t="s">
        <v>487</v>
      </c>
      <c r="R1265" s="211">
        <v>-2.2000000000000002</v>
      </c>
      <c r="S1265" s="211" t="s">
        <v>1731</v>
      </c>
    </row>
    <row r="1266" spans="1:21">
      <c r="A1266" s="212" t="s">
        <v>601</v>
      </c>
      <c r="B1266" s="212" t="s">
        <v>602</v>
      </c>
      <c r="C1266" s="233" t="s">
        <v>603</v>
      </c>
      <c r="D1266" s="233" t="s">
        <v>151</v>
      </c>
      <c r="E1266" s="212">
        <v>41465</v>
      </c>
      <c r="F1266" s="212">
        <v>172</v>
      </c>
      <c r="G1266" s="212" t="s">
        <v>1723</v>
      </c>
      <c r="H1266" s="212" t="s">
        <v>1878</v>
      </c>
      <c r="I1266" s="212" t="s">
        <v>1933</v>
      </c>
      <c r="J1266" s="212" t="s">
        <v>1744</v>
      </c>
      <c r="K1266" s="212" t="s">
        <v>269</v>
      </c>
      <c r="L1266" s="227" t="s">
        <v>1725</v>
      </c>
      <c r="M1266" t="s">
        <v>1934</v>
      </c>
      <c r="N1266" s="211" t="s">
        <v>463</v>
      </c>
      <c r="O1266" s="211" t="s">
        <v>1731</v>
      </c>
      <c r="P1266" s="211" t="s">
        <v>463</v>
      </c>
      <c r="S1266" s="211" t="s">
        <v>1731</v>
      </c>
    </row>
    <row r="1267" spans="1:21">
      <c r="A1267" s="212" t="s">
        <v>601</v>
      </c>
      <c r="B1267" s="212" t="s">
        <v>602</v>
      </c>
      <c r="C1267" s="233" t="s">
        <v>603</v>
      </c>
      <c r="D1267" s="233" t="s">
        <v>151</v>
      </c>
      <c r="E1267" s="212">
        <v>43067</v>
      </c>
      <c r="F1267" s="212">
        <v>37</v>
      </c>
      <c r="G1267" s="212" t="s">
        <v>1723</v>
      </c>
      <c r="H1267" s="212" t="s">
        <v>1878</v>
      </c>
      <c r="I1267" s="212" t="s">
        <v>1893</v>
      </c>
      <c r="J1267" s="212" t="s">
        <v>104</v>
      </c>
      <c r="K1267" s="212" t="s">
        <v>269</v>
      </c>
      <c r="L1267" s="227" t="s">
        <v>1725</v>
      </c>
      <c r="M1267" t="s">
        <v>1758</v>
      </c>
      <c r="N1267" s="211" t="s">
        <v>463</v>
      </c>
      <c r="O1267" s="211" t="s">
        <v>1731</v>
      </c>
      <c r="P1267" s="211" t="s">
        <v>463</v>
      </c>
      <c r="S1267" s="211" t="s">
        <v>1731</v>
      </c>
    </row>
    <row r="1268" spans="1:21">
      <c r="A1268" s="212" t="s">
        <v>601</v>
      </c>
      <c r="B1268" s="212" t="s">
        <v>602</v>
      </c>
      <c r="C1268" s="233" t="s">
        <v>603</v>
      </c>
      <c r="D1268" s="233" t="s">
        <v>151</v>
      </c>
      <c r="E1268" s="212">
        <v>43067</v>
      </c>
      <c r="F1268" s="212">
        <v>101</v>
      </c>
      <c r="G1268" s="212" t="s">
        <v>1723</v>
      </c>
      <c r="H1268" s="212" t="s">
        <v>1878</v>
      </c>
      <c r="I1268" s="212" t="s">
        <v>1893</v>
      </c>
      <c r="J1268" s="212" t="s">
        <v>104</v>
      </c>
      <c r="K1268" s="212" t="s">
        <v>269</v>
      </c>
      <c r="L1268" s="227" t="s">
        <v>1725</v>
      </c>
      <c r="M1268" t="s">
        <v>205</v>
      </c>
      <c r="N1268" s="211" t="s">
        <v>463</v>
      </c>
      <c r="O1268" s="211" t="s">
        <v>1731</v>
      </c>
      <c r="P1268" s="211" t="s">
        <v>463</v>
      </c>
      <c r="S1268" s="211" t="s">
        <v>1731</v>
      </c>
    </row>
    <row r="1269" spans="1:21">
      <c r="A1269" s="212" t="s">
        <v>601</v>
      </c>
      <c r="B1269" s="212" t="s">
        <v>602</v>
      </c>
      <c r="C1269" s="233" t="s">
        <v>603</v>
      </c>
      <c r="D1269" s="233" t="s">
        <v>151</v>
      </c>
      <c r="E1269" s="212">
        <v>40613</v>
      </c>
      <c r="F1269" s="212">
        <v>1.1100000000000001</v>
      </c>
      <c r="G1269" s="212" t="s">
        <v>1723</v>
      </c>
      <c r="H1269" s="212" t="s">
        <v>1878</v>
      </c>
      <c r="I1269" s="212" t="s">
        <v>1935</v>
      </c>
      <c r="J1269" s="212" t="s">
        <v>1744</v>
      </c>
      <c r="K1269" s="212" t="s">
        <v>269</v>
      </c>
      <c r="L1269" s="227" t="s">
        <v>1725</v>
      </c>
      <c r="M1269" t="s">
        <v>1756</v>
      </c>
      <c r="N1269" s="211" t="s">
        <v>463</v>
      </c>
      <c r="O1269" s="211" t="s">
        <v>1731</v>
      </c>
      <c r="P1269" s="211" t="s">
        <v>463</v>
      </c>
      <c r="S1269" s="211" t="s">
        <v>1731</v>
      </c>
    </row>
    <row r="1270" spans="1:21" s="208" customFormat="1">
      <c r="A1270" s="212" t="s">
        <v>601</v>
      </c>
      <c r="B1270" s="212" t="s">
        <v>602</v>
      </c>
      <c r="C1270" s="233" t="s">
        <v>603</v>
      </c>
      <c r="D1270" s="233" t="s">
        <v>151</v>
      </c>
      <c r="E1270" s="212">
        <v>933</v>
      </c>
      <c r="F1270" s="212">
        <v>748</v>
      </c>
      <c r="G1270" s="212" t="s">
        <v>1723</v>
      </c>
      <c r="H1270" s="212" t="s">
        <v>1878</v>
      </c>
      <c r="I1270" s="212" t="s">
        <v>249</v>
      </c>
      <c r="J1270" s="212" t="s">
        <v>1744</v>
      </c>
      <c r="K1270" s="212" t="s">
        <v>269</v>
      </c>
      <c r="L1270" s="227" t="s">
        <v>1725</v>
      </c>
      <c r="M1270" s="207" t="s">
        <v>1750</v>
      </c>
      <c r="N1270" s="211" t="s">
        <v>463</v>
      </c>
      <c r="O1270" s="211" t="s">
        <v>1731</v>
      </c>
      <c r="P1270" s="211" t="s">
        <v>463</v>
      </c>
      <c r="Q1270" s="211"/>
      <c r="R1270" s="211"/>
      <c r="S1270" s="211" t="s">
        <v>1731</v>
      </c>
      <c r="T1270" s="212"/>
      <c r="U1270" s="212"/>
    </row>
    <row r="1271" spans="1:21">
      <c r="A1271" s="212" t="s">
        <v>601</v>
      </c>
      <c r="B1271" s="212" t="s">
        <v>602</v>
      </c>
      <c r="C1271" s="233" t="s">
        <v>601</v>
      </c>
      <c r="D1271" s="233" t="s">
        <v>151</v>
      </c>
      <c r="E1271" s="212" t="s">
        <v>1936</v>
      </c>
      <c r="F1271" s="212">
        <v>7</v>
      </c>
      <c r="G1271" s="212" t="s">
        <v>1723</v>
      </c>
      <c r="H1271" s="212" t="s">
        <v>1878</v>
      </c>
      <c r="I1271" s="212" t="s">
        <v>1937</v>
      </c>
      <c r="J1271" s="212" t="s">
        <v>1744</v>
      </c>
      <c r="K1271" s="227" t="s">
        <v>269</v>
      </c>
      <c r="L1271" s="227" t="s">
        <v>1725</v>
      </c>
      <c r="M1271" t="s">
        <v>1938</v>
      </c>
      <c r="N1271" s="211" t="s">
        <v>463</v>
      </c>
      <c r="O1271" s="211" t="s">
        <v>1731</v>
      </c>
      <c r="P1271" s="211" t="s">
        <v>463</v>
      </c>
      <c r="S1271" s="211" t="s">
        <v>1731</v>
      </c>
    </row>
    <row r="1272" spans="1:21">
      <c r="A1272" s="212" t="s">
        <v>601</v>
      </c>
      <c r="B1272" s="212" t="s">
        <v>602</v>
      </c>
      <c r="C1272" s="233" t="s">
        <v>601</v>
      </c>
      <c r="D1272" s="233" t="s">
        <v>151</v>
      </c>
      <c r="E1272" s="212">
        <v>908</v>
      </c>
      <c r="F1272" s="212">
        <v>2443</v>
      </c>
      <c r="G1272" s="212" t="s">
        <v>1723</v>
      </c>
      <c r="H1272" s="212" t="s">
        <v>1878</v>
      </c>
      <c r="I1272" s="212" t="s">
        <v>250</v>
      </c>
      <c r="J1272" s="212" t="s">
        <v>1744</v>
      </c>
      <c r="K1272" s="227" t="s">
        <v>269</v>
      </c>
      <c r="L1272" s="227" t="s">
        <v>1725</v>
      </c>
      <c r="M1272" t="s">
        <v>1756</v>
      </c>
      <c r="N1272" s="211" t="s">
        <v>463</v>
      </c>
      <c r="O1272" s="211" t="s">
        <v>1731</v>
      </c>
      <c r="P1272" s="211" t="s">
        <v>463</v>
      </c>
      <c r="S1272" s="211" t="s">
        <v>1731</v>
      </c>
    </row>
    <row r="1273" spans="1:21" s="208" customFormat="1">
      <c r="A1273" s="212" t="s">
        <v>601</v>
      </c>
      <c r="B1273" s="212" t="s">
        <v>605</v>
      </c>
      <c r="C1273" s="233" t="s">
        <v>606</v>
      </c>
      <c r="D1273" s="233" t="s">
        <v>151</v>
      </c>
      <c r="E1273" s="212">
        <v>30967</v>
      </c>
      <c r="F1273" s="212">
        <v>219</v>
      </c>
      <c r="G1273" s="212" t="s">
        <v>1723</v>
      </c>
      <c r="H1273" s="212" t="s">
        <v>1811</v>
      </c>
      <c r="I1273" s="212" t="s">
        <v>110</v>
      </c>
      <c r="J1273" s="212" t="s">
        <v>1744</v>
      </c>
      <c r="K1273" s="212" t="s">
        <v>1745</v>
      </c>
      <c r="L1273" s="227" t="s">
        <v>1729</v>
      </c>
      <c r="M1273" s="207" t="s">
        <v>186</v>
      </c>
      <c r="N1273" s="211">
        <v>-7.4</v>
      </c>
      <c r="O1273" s="211">
        <v>-16.199000000000002</v>
      </c>
      <c r="P1273" s="211" t="s">
        <v>487</v>
      </c>
      <c r="Q1273" s="211">
        <v>29.3</v>
      </c>
      <c r="R1273" s="211">
        <v>-1.5</v>
      </c>
      <c r="S1273" s="211" t="s">
        <v>1731</v>
      </c>
      <c r="T1273" s="212"/>
      <c r="U1273" s="212"/>
    </row>
    <row r="1274" spans="1:21">
      <c r="D1274" s="233"/>
      <c r="L1274" s="212"/>
    </row>
    <row r="1275" spans="1:21">
      <c r="D1275" s="233"/>
      <c r="L1275" s="212"/>
    </row>
    <row r="1276" spans="1:21">
      <c r="D1276" s="233"/>
      <c r="L1276" s="212"/>
    </row>
    <row r="1277" spans="1:21">
      <c r="D1277" s="233"/>
      <c r="L1277" s="212"/>
    </row>
    <row r="1278" spans="1:21">
      <c r="D1278" s="233"/>
      <c r="L1278" s="212"/>
    </row>
    <row r="1279" spans="1:21">
      <c r="D1279" s="233"/>
      <c r="L1279" s="212"/>
    </row>
    <row r="1280" spans="1:21">
      <c r="D1280" s="233"/>
      <c r="L1280" s="212"/>
    </row>
    <row r="1281" spans="4:12">
      <c r="D1281" s="233"/>
      <c r="L1281" s="212"/>
    </row>
    <row r="1282" spans="4:12">
      <c r="D1282" s="233"/>
      <c r="L1282" s="212"/>
    </row>
    <row r="1283" spans="4:12">
      <c r="D1283" s="233"/>
      <c r="L1283" s="212"/>
    </row>
    <row r="1284" spans="4:12">
      <c r="D1284" s="233"/>
      <c r="L1284" s="212"/>
    </row>
    <row r="1285" spans="4:12">
      <c r="D1285" s="233"/>
      <c r="L1285" s="212"/>
    </row>
    <row r="1286" spans="4:12">
      <c r="D1286" s="233"/>
      <c r="L1286" s="212"/>
    </row>
    <row r="1287" spans="4:12">
      <c r="D1287" s="233"/>
      <c r="L1287" s="212"/>
    </row>
    <row r="1288" spans="4:12">
      <c r="D1288" s="233"/>
      <c r="L1288" s="212"/>
    </row>
    <row r="1289" spans="4:12">
      <c r="D1289" s="233"/>
      <c r="L1289" s="212"/>
    </row>
    <row r="1290" spans="4:12">
      <c r="D1290" s="233"/>
      <c r="L1290" s="212"/>
    </row>
    <row r="1291" spans="4:12">
      <c r="D1291" s="233"/>
      <c r="L1291" s="212"/>
    </row>
    <row r="1292" spans="4:12">
      <c r="D1292" s="233"/>
      <c r="L1292" s="212"/>
    </row>
    <row r="1293" spans="4:12">
      <c r="D1293" s="233"/>
      <c r="L1293" s="212"/>
    </row>
    <row r="1294" spans="4:12">
      <c r="D1294" s="233"/>
      <c r="L1294" s="212"/>
    </row>
    <row r="1295" spans="4:12">
      <c r="D1295" s="233"/>
      <c r="L1295" s="212"/>
    </row>
    <row r="1296" spans="4:12">
      <c r="D1296" s="233"/>
      <c r="L1296" s="212"/>
    </row>
    <row r="1297" spans="4:12">
      <c r="D1297" s="233"/>
      <c r="L1297" s="212"/>
    </row>
    <row r="1298" spans="4:12">
      <c r="D1298" s="233"/>
      <c r="L1298" s="212"/>
    </row>
    <row r="1299" spans="4:12">
      <c r="D1299" s="233"/>
      <c r="L1299" s="212"/>
    </row>
    <row r="1300" spans="4:12">
      <c r="D1300" s="233"/>
      <c r="L1300" s="212"/>
    </row>
    <row r="1301" spans="4:12">
      <c r="D1301" s="233"/>
      <c r="L1301" s="212"/>
    </row>
    <row r="1302" spans="4:12">
      <c r="D1302" s="233"/>
      <c r="L1302" s="212"/>
    </row>
    <row r="1303" spans="4:12">
      <c r="D1303" s="233"/>
      <c r="L1303" s="212"/>
    </row>
    <row r="1304" spans="4:12">
      <c r="D1304" s="233"/>
      <c r="L1304" s="212"/>
    </row>
    <row r="1305" spans="4:12">
      <c r="D1305" s="233"/>
      <c r="L1305" s="212"/>
    </row>
    <row r="1306" spans="4:12">
      <c r="D1306" s="233"/>
      <c r="L1306" s="212"/>
    </row>
    <row r="1307" spans="4:12">
      <c r="D1307" s="233"/>
      <c r="L1307" s="212"/>
    </row>
    <row r="1308" spans="4:12">
      <c r="D1308" s="233"/>
      <c r="L1308" s="212"/>
    </row>
    <row r="1309" spans="4:12">
      <c r="D1309" s="233"/>
      <c r="L1309" s="212"/>
    </row>
    <row r="1310" spans="4:12">
      <c r="D1310" s="233"/>
      <c r="L1310" s="212"/>
    </row>
    <row r="1311" spans="4:12">
      <c r="D1311" s="233"/>
      <c r="L1311" s="212"/>
    </row>
    <row r="1312" spans="4:12">
      <c r="D1312" s="233"/>
      <c r="L1312" s="212"/>
    </row>
    <row r="1313" spans="4:12">
      <c r="D1313" s="233"/>
      <c r="L1313" s="212"/>
    </row>
    <row r="1314" spans="4:12">
      <c r="D1314" s="233"/>
      <c r="L1314" s="212"/>
    </row>
    <row r="1315" spans="4:12">
      <c r="D1315" s="233"/>
      <c r="L1315" s="212"/>
    </row>
    <row r="1316" spans="4:12">
      <c r="D1316" s="233"/>
      <c r="L1316" s="212"/>
    </row>
    <row r="1317" spans="4:12">
      <c r="D1317" s="233"/>
      <c r="L1317" s="212"/>
    </row>
    <row r="1318" spans="4:12">
      <c r="D1318" s="233"/>
      <c r="L1318" s="212"/>
    </row>
    <row r="1319" spans="4:12">
      <c r="D1319" s="233"/>
      <c r="L1319" s="212"/>
    </row>
    <row r="1320" spans="4:12">
      <c r="D1320" s="233"/>
      <c r="L1320" s="212"/>
    </row>
    <row r="1321" spans="4:12">
      <c r="D1321" s="233"/>
      <c r="L1321" s="212"/>
    </row>
    <row r="1322" spans="4:12">
      <c r="D1322" s="233"/>
      <c r="L1322" s="212"/>
    </row>
    <row r="1323" spans="4:12">
      <c r="D1323" s="233"/>
      <c r="L1323" s="212"/>
    </row>
    <row r="1324" spans="4:12">
      <c r="D1324" s="233"/>
      <c r="L1324" s="212"/>
    </row>
    <row r="1325" spans="4:12">
      <c r="D1325" s="233"/>
      <c r="L1325" s="212"/>
    </row>
    <row r="1326" spans="4:12">
      <c r="D1326" s="233"/>
      <c r="L1326" s="212"/>
    </row>
    <row r="1327" spans="4:12">
      <c r="D1327" s="233"/>
      <c r="L1327" s="212"/>
    </row>
    <row r="1328" spans="4:12">
      <c r="D1328" s="233"/>
      <c r="L1328" s="212"/>
    </row>
    <row r="1329" spans="4:12">
      <c r="D1329" s="233"/>
      <c r="L1329" s="212"/>
    </row>
    <row r="1330" spans="4:12">
      <c r="D1330" s="233"/>
      <c r="L1330" s="212"/>
    </row>
    <row r="1331" spans="4:12">
      <c r="D1331" s="233"/>
      <c r="L1331" s="212"/>
    </row>
    <row r="1332" spans="4:12">
      <c r="D1332" s="233"/>
      <c r="L1332" s="212"/>
    </row>
    <row r="1333" spans="4:12">
      <c r="D1333" s="233"/>
      <c r="L1333" s="212"/>
    </row>
    <row r="1334" spans="4:12">
      <c r="D1334" s="233"/>
      <c r="L1334" s="212"/>
    </row>
    <row r="1335" spans="4:12">
      <c r="D1335" s="233"/>
      <c r="L1335" s="212"/>
    </row>
    <row r="1336" spans="4:12">
      <c r="D1336" s="233"/>
      <c r="L1336" s="212"/>
    </row>
    <row r="1337" spans="4:12">
      <c r="D1337" s="233"/>
      <c r="L1337" s="212"/>
    </row>
    <row r="1338" spans="4:12">
      <c r="D1338" s="233"/>
      <c r="L1338" s="212"/>
    </row>
    <row r="1339" spans="4:12">
      <c r="D1339" s="233"/>
      <c r="L1339" s="212"/>
    </row>
    <row r="1340" spans="4:12">
      <c r="D1340" s="233"/>
      <c r="L1340" s="212"/>
    </row>
    <row r="1341" spans="4:12">
      <c r="D1341" s="233"/>
      <c r="L1341" s="212"/>
    </row>
    <row r="1342" spans="4:12">
      <c r="D1342" s="233"/>
      <c r="L1342" s="212"/>
    </row>
    <row r="1343" spans="4:12">
      <c r="D1343" s="233"/>
      <c r="L1343" s="212"/>
    </row>
    <row r="1344" spans="4:12">
      <c r="D1344" s="233"/>
      <c r="L1344" s="212"/>
    </row>
    <row r="1345" spans="4:12">
      <c r="D1345" s="233"/>
      <c r="L1345" s="212"/>
    </row>
    <row r="1346" spans="4:12">
      <c r="D1346" s="233"/>
      <c r="L1346" s="212"/>
    </row>
    <row r="1347" spans="4:12">
      <c r="D1347" s="233"/>
      <c r="L1347" s="212"/>
    </row>
    <row r="1348" spans="4:12">
      <c r="D1348" s="233"/>
      <c r="L1348" s="212"/>
    </row>
    <row r="1349" spans="4:12">
      <c r="D1349" s="233"/>
      <c r="L1349" s="212"/>
    </row>
    <row r="1350" spans="4:12">
      <c r="D1350" s="233"/>
      <c r="L1350" s="212"/>
    </row>
    <row r="1351" spans="4:12">
      <c r="D1351" s="233"/>
      <c r="L1351" s="212"/>
    </row>
    <row r="1352" spans="4:12">
      <c r="D1352" s="233"/>
      <c r="L1352" s="212"/>
    </row>
    <row r="1353" spans="4:12">
      <c r="D1353" s="233"/>
      <c r="L1353" s="212"/>
    </row>
    <row r="1354" spans="4:12">
      <c r="D1354" s="233"/>
      <c r="L1354" s="212"/>
    </row>
    <row r="1355" spans="4:12">
      <c r="D1355" s="233"/>
      <c r="L1355" s="212"/>
    </row>
    <row r="1356" spans="4:12">
      <c r="D1356" s="233"/>
      <c r="L1356" s="212"/>
    </row>
    <row r="1357" spans="4:12">
      <c r="D1357" s="233"/>
      <c r="L1357" s="212"/>
    </row>
    <row r="1358" spans="4:12">
      <c r="D1358" s="233"/>
      <c r="L1358" s="212"/>
    </row>
    <row r="1359" spans="4:12">
      <c r="D1359" s="233"/>
      <c r="L1359" s="212"/>
    </row>
    <row r="1360" spans="4:12">
      <c r="D1360" s="233"/>
      <c r="L1360" s="212"/>
    </row>
    <row r="1361" spans="4:12">
      <c r="D1361" s="233"/>
      <c r="L1361" s="212"/>
    </row>
    <row r="1362" spans="4:12">
      <c r="D1362" s="233"/>
      <c r="L1362" s="212"/>
    </row>
    <row r="1363" spans="4:12">
      <c r="D1363" s="233"/>
      <c r="L1363" s="212"/>
    </row>
    <row r="1364" spans="4:12">
      <c r="D1364" s="233"/>
      <c r="L1364" s="212"/>
    </row>
    <row r="1365" spans="4:12">
      <c r="D1365" s="233"/>
      <c r="L1365" s="212"/>
    </row>
    <row r="1366" spans="4:12">
      <c r="D1366" s="233"/>
      <c r="L1366" s="212"/>
    </row>
    <row r="1367" spans="4:12">
      <c r="D1367" s="233"/>
      <c r="L1367" s="212"/>
    </row>
    <row r="1368" spans="4:12">
      <c r="D1368" s="233"/>
      <c r="L1368" s="212"/>
    </row>
    <row r="1369" spans="4:12">
      <c r="D1369" s="233"/>
      <c r="L1369" s="212"/>
    </row>
    <row r="1370" spans="4:12">
      <c r="D1370" s="233"/>
      <c r="L1370" s="212"/>
    </row>
    <row r="1371" spans="4:12">
      <c r="D1371" s="233"/>
      <c r="L1371" s="212"/>
    </row>
    <row r="1372" spans="4:12">
      <c r="D1372" s="233"/>
      <c r="L1372" s="212"/>
    </row>
    <row r="1373" spans="4:12">
      <c r="D1373" s="233"/>
      <c r="L1373" s="212"/>
    </row>
    <row r="1374" spans="4:12">
      <c r="D1374" s="233"/>
      <c r="L1374" s="212"/>
    </row>
    <row r="1375" spans="4:12">
      <c r="D1375" s="233"/>
      <c r="L1375" s="212"/>
    </row>
    <row r="1376" spans="4:12">
      <c r="D1376" s="233"/>
      <c r="L1376" s="212"/>
    </row>
    <row r="1377" spans="4:12">
      <c r="D1377" s="233"/>
      <c r="L1377" s="212"/>
    </row>
    <row r="1378" spans="4:12">
      <c r="D1378" s="233"/>
      <c r="L1378" s="212"/>
    </row>
    <row r="1379" spans="4:12">
      <c r="D1379" s="233"/>
      <c r="L1379" s="212"/>
    </row>
    <row r="1380" spans="4:12">
      <c r="D1380" s="233"/>
      <c r="L1380" s="212"/>
    </row>
    <row r="1381" spans="4:12">
      <c r="D1381" s="233"/>
      <c r="L1381" s="212"/>
    </row>
    <row r="1382" spans="4:12">
      <c r="D1382" s="233"/>
      <c r="L1382" s="212"/>
    </row>
    <row r="1383" spans="4:12">
      <c r="D1383" s="233"/>
      <c r="L1383" s="212"/>
    </row>
    <row r="1384" spans="4:12">
      <c r="D1384" s="233"/>
      <c r="L1384" s="212"/>
    </row>
    <row r="1385" spans="4:12">
      <c r="D1385" s="233"/>
      <c r="L1385" s="212"/>
    </row>
    <row r="1386" spans="4:12">
      <c r="D1386" s="233"/>
      <c r="L1386" s="212"/>
    </row>
    <row r="1387" spans="4:12">
      <c r="D1387" s="233"/>
      <c r="L1387" s="212"/>
    </row>
    <row r="1388" spans="4:12">
      <c r="D1388" s="233"/>
      <c r="L1388" s="212"/>
    </row>
    <row r="1389" spans="4:12">
      <c r="D1389" s="233"/>
      <c r="L1389" s="212"/>
    </row>
    <row r="1390" spans="4:12">
      <c r="D1390" s="233"/>
      <c r="L1390" s="212"/>
    </row>
    <row r="1391" spans="4:12">
      <c r="D1391" s="233"/>
      <c r="L1391" s="212"/>
    </row>
    <row r="1392" spans="4:12">
      <c r="D1392" s="233"/>
      <c r="L1392" s="212"/>
    </row>
    <row r="1393" spans="4:12">
      <c r="D1393" s="233"/>
      <c r="L1393" s="212"/>
    </row>
    <row r="1394" spans="4:12">
      <c r="D1394" s="233"/>
      <c r="L1394" s="212"/>
    </row>
    <row r="1395" spans="4:12">
      <c r="D1395" s="233"/>
      <c r="L1395" s="212"/>
    </row>
    <row r="1396" spans="4:12">
      <c r="D1396" s="233"/>
      <c r="L1396" s="212"/>
    </row>
    <row r="1397" spans="4:12">
      <c r="D1397" s="233"/>
      <c r="L1397" s="212"/>
    </row>
    <row r="1398" spans="4:12">
      <c r="D1398" s="233"/>
      <c r="L1398" s="212"/>
    </row>
    <row r="1399" spans="4:12">
      <c r="D1399" s="233"/>
      <c r="L1399" s="212"/>
    </row>
    <row r="1400" spans="4:12">
      <c r="D1400" s="233"/>
      <c r="L1400" s="212"/>
    </row>
    <row r="1401" spans="4:12">
      <c r="D1401" s="233"/>
      <c r="L1401" s="212"/>
    </row>
    <row r="1402" spans="4:12">
      <c r="D1402" s="233"/>
      <c r="L1402" s="212"/>
    </row>
    <row r="1403" spans="4:12">
      <c r="D1403" s="233"/>
      <c r="L1403" s="212"/>
    </row>
    <row r="1404" spans="4:12">
      <c r="D1404" s="233"/>
      <c r="L1404" s="212"/>
    </row>
    <row r="1405" spans="4:12">
      <c r="D1405" s="233"/>
      <c r="L1405" s="212"/>
    </row>
    <row r="1406" spans="4:12">
      <c r="D1406" s="233"/>
      <c r="L1406" s="212"/>
    </row>
    <row r="1407" spans="4:12">
      <c r="D1407" s="233"/>
      <c r="L1407" s="212"/>
    </row>
    <row r="1408" spans="4:12">
      <c r="D1408" s="233"/>
      <c r="L1408" s="212"/>
    </row>
    <row r="1409" spans="4:12">
      <c r="D1409" s="233"/>
      <c r="L1409" s="212"/>
    </row>
    <row r="1410" spans="4:12">
      <c r="D1410" s="233"/>
      <c r="L1410" s="212"/>
    </row>
    <row r="1411" spans="4:12">
      <c r="D1411" s="233"/>
      <c r="L1411" s="212"/>
    </row>
    <row r="1412" spans="4:12">
      <c r="D1412" s="233"/>
      <c r="L1412" s="212"/>
    </row>
    <row r="1413" spans="4:12">
      <c r="D1413" s="233"/>
      <c r="L1413" s="212"/>
    </row>
    <row r="1414" spans="4:12">
      <c r="D1414" s="233"/>
      <c r="L1414" s="212"/>
    </row>
    <row r="1415" spans="4:12">
      <c r="D1415" s="233"/>
      <c r="L1415" s="212"/>
    </row>
    <row r="1416" spans="4:12">
      <c r="D1416" s="233"/>
      <c r="L1416" s="212"/>
    </row>
    <row r="1417" spans="4:12">
      <c r="D1417" s="233"/>
      <c r="L1417" s="212"/>
    </row>
    <row r="1418" spans="4:12">
      <c r="D1418" s="233"/>
      <c r="L1418" s="212"/>
    </row>
    <row r="1419" spans="4:12">
      <c r="D1419" s="233"/>
      <c r="L1419" s="212"/>
    </row>
    <row r="1420" spans="4:12">
      <c r="D1420" s="233"/>
      <c r="L1420" s="212"/>
    </row>
    <row r="1421" spans="4:12">
      <c r="D1421" s="233"/>
      <c r="L1421" s="212"/>
    </row>
    <row r="1422" spans="4:12">
      <c r="D1422" s="233"/>
      <c r="L1422" s="212"/>
    </row>
    <row r="1423" spans="4:12">
      <c r="D1423" s="233"/>
      <c r="L1423" s="212"/>
    </row>
    <row r="1424" spans="4:12">
      <c r="D1424" s="233"/>
      <c r="L1424" s="212"/>
    </row>
    <row r="1425" spans="4:12">
      <c r="D1425" s="233"/>
      <c r="L1425" s="212"/>
    </row>
    <row r="1426" spans="4:12">
      <c r="D1426" s="233"/>
      <c r="L1426" s="212"/>
    </row>
    <row r="1427" spans="4:12">
      <c r="D1427" s="233"/>
      <c r="L1427" s="212"/>
    </row>
    <row r="1428" spans="4:12">
      <c r="D1428" s="233"/>
      <c r="L1428" s="212"/>
    </row>
    <row r="1429" spans="4:12">
      <c r="D1429" s="233"/>
      <c r="L1429" s="212"/>
    </row>
    <row r="1430" spans="4:12">
      <c r="D1430" s="233"/>
      <c r="L1430" s="212"/>
    </row>
    <row r="1431" spans="4:12">
      <c r="D1431" s="233"/>
      <c r="L1431" s="212"/>
    </row>
    <row r="1432" spans="4:12">
      <c r="D1432" s="233"/>
      <c r="L1432" s="212"/>
    </row>
    <row r="1433" spans="4:12">
      <c r="D1433" s="233"/>
      <c r="L1433" s="212"/>
    </row>
    <row r="1434" spans="4:12">
      <c r="D1434" s="233"/>
      <c r="L1434" s="212"/>
    </row>
    <row r="1435" spans="4:12">
      <c r="D1435" s="233"/>
      <c r="L1435" s="212"/>
    </row>
    <row r="1436" spans="4:12">
      <c r="D1436" s="233"/>
      <c r="L1436" s="212"/>
    </row>
    <row r="1437" spans="4:12">
      <c r="D1437" s="233"/>
      <c r="L1437" s="212"/>
    </row>
    <row r="1438" spans="4:12">
      <c r="D1438" s="233"/>
      <c r="L1438" s="212"/>
    </row>
    <row r="1439" spans="4:12">
      <c r="D1439" s="233"/>
      <c r="L1439" s="212"/>
    </row>
    <row r="1440" spans="4:12">
      <c r="D1440" s="233"/>
      <c r="L1440" s="212"/>
    </row>
    <row r="1441" spans="4:12">
      <c r="D1441" s="233"/>
      <c r="L1441" s="212"/>
    </row>
    <row r="1442" spans="4:12">
      <c r="D1442" s="233"/>
      <c r="L1442" s="212"/>
    </row>
    <row r="1443" spans="4:12">
      <c r="D1443" s="233"/>
      <c r="L1443" s="212"/>
    </row>
    <row r="1444" spans="4:12">
      <c r="D1444" s="233"/>
      <c r="L1444" s="212"/>
    </row>
    <row r="1445" spans="4:12">
      <c r="D1445" s="233"/>
      <c r="L1445" s="212"/>
    </row>
    <row r="1446" spans="4:12">
      <c r="D1446" s="233"/>
      <c r="L1446" s="212"/>
    </row>
    <row r="1447" spans="4:12">
      <c r="D1447" s="233"/>
      <c r="L1447" s="212"/>
    </row>
    <row r="1448" spans="4:12">
      <c r="D1448" s="233"/>
      <c r="L1448" s="212"/>
    </row>
    <row r="1449" spans="4:12">
      <c r="D1449" s="233"/>
      <c r="L1449" s="212"/>
    </row>
    <row r="1450" spans="4:12">
      <c r="D1450" s="233"/>
      <c r="L1450" s="212"/>
    </row>
    <row r="1451" spans="4:12">
      <c r="D1451" s="233"/>
      <c r="L1451" s="212"/>
    </row>
    <row r="1452" spans="4:12">
      <c r="D1452" s="233"/>
      <c r="L1452" s="212"/>
    </row>
    <row r="1453" spans="4:12">
      <c r="D1453" s="233"/>
      <c r="L1453" s="212"/>
    </row>
    <row r="1454" spans="4:12">
      <c r="D1454" s="233"/>
      <c r="L1454" s="212"/>
    </row>
    <row r="1455" spans="4:12">
      <c r="D1455" s="233"/>
      <c r="L1455" s="212"/>
    </row>
    <row r="1456" spans="4:12">
      <c r="D1456" s="233"/>
      <c r="L1456" s="212"/>
    </row>
    <row r="1457" spans="4:12">
      <c r="D1457" s="233"/>
      <c r="L1457" s="212"/>
    </row>
    <row r="1458" spans="4:12">
      <c r="D1458" s="233"/>
      <c r="L1458" s="212"/>
    </row>
    <row r="1459" spans="4:12">
      <c r="D1459" s="233"/>
      <c r="L1459" s="212"/>
    </row>
    <row r="1460" spans="4:12">
      <c r="D1460" s="233"/>
      <c r="L1460" s="212"/>
    </row>
    <row r="1461" spans="4:12">
      <c r="D1461" s="233"/>
      <c r="L1461" s="212"/>
    </row>
    <row r="1462" spans="4:12">
      <c r="D1462" s="233"/>
      <c r="L1462" s="212"/>
    </row>
    <row r="1463" spans="4:12">
      <c r="D1463" s="233"/>
      <c r="L1463" s="212"/>
    </row>
    <row r="1464" spans="4:12">
      <c r="D1464" s="233"/>
      <c r="L1464" s="212"/>
    </row>
    <row r="1465" spans="4:12">
      <c r="D1465" s="233"/>
      <c r="L1465" s="212"/>
    </row>
    <row r="1466" spans="4:12">
      <c r="D1466" s="233"/>
      <c r="L1466" s="212"/>
    </row>
    <row r="1467" spans="4:12">
      <c r="D1467" s="233"/>
      <c r="L1467" s="212"/>
    </row>
    <row r="1468" spans="4:12">
      <c r="D1468" s="233"/>
      <c r="L1468" s="212"/>
    </row>
    <row r="1469" spans="4:12">
      <c r="D1469" s="233"/>
      <c r="L1469" s="212"/>
    </row>
    <row r="1470" spans="4:12">
      <c r="D1470" s="233"/>
      <c r="L1470" s="212"/>
    </row>
    <row r="1471" spans="4:12">
      <c r="D1471" s="233"/>
      <c r="L1471" s="212"/>
    </row>
    <row r="1472" spans="4:12">
      <c r="D1472" s="233"/>
      <c r="L1472" s="212"/>
    </row>
    <row r="1473" spans="4:12">
      <c r="D1473" s="233"/>
      <c r="L1473" s="212"/>
    </row>
    <row r="1474" spans="4:12">
      <c r="D1474" s="233"/>
      <c r="L1474" s="212"/>
    </row>
    <row r="1475" spans="4:12">
      <c r="D1475" s="233"/>
      <c r="L1475" s="212"/>
    </row>
    <row r="1476" spans="4:12">
      <c r="D1476" s="233"/>
      <c r="L1476" s="212"/>
    </row>
    <row r="1477" spans="4:12">
      <c r="D1477" s="233"/>
      <c r="L1477" s="212"/>
    </row>
    <row r="1478" spans="4:12">
      <c r="D1478" s="233"/>
      <c r="L1478" s="212"/>
    </row>
    <row r="1479" spans="4:12">
      <c r="D1479" s="233"/>
      <c r="L1479" s="212"/>
    </row>
    <row r="1480" spans="4:12">
      <c r="D1480" s="233"/>
      <c r="L1480" s="212"/>
    </row>
    <row r="1481" spans="4:12">
      <c r="D1481" s="233"/>
      <c r="L1481" s="212"/>
    </row>
    <row r="1482" spans="4:12">
      <c r="D1482" s="233"/>
      <c r="L1482" s="212"/>
    </row>
    <row r="1483" spans="4:12">
      <c r="D1483" s="233"/>
      <c r="L1483" s="212"/>
    </row>
    <row r="1484" spans="4:12">
      <c r="D1484" s="233"/>
      <c r="L1484" s="212"/>
    </row>
    <row r="1485" spans="4:12">
      <c r="D1485" s="233"/>
      <c r="L1485" s="212"/>
    </row>
    <row r="1486" spans="4:12">
      <c r="D1486" s="233"/>
      <c r="L1486" s="212"/>
    </row>
    <row r="1487" spans="4:12">
      <c r="D1487" s="233"/>
      <c r="L1487" s="212"/>
    </row>
    <row r="1488" spans="4:12">
      <c r="D1488" s="233"/>
      <c r="L1488" s="212"/>
    </row>
    <row r="1489" spans="4:12">
      <c r="D1489" s="233"/>
      <c r="L1489" s="212"/>
    </row>
    <row r="1490" spans="4:12">
      <c r="D1490" s="233"/>
      <c r="L1490" s="212"/>
    </row>
    <row r="1491" spans="4:12">
      <c r="D1491" s="233"/>
      <c r="L1491" s="212"/>
    </row>
    <row r="1492" spans="4:12">
      <c r="D1492" s="233"/>
      <c r="L1492" s="212"/>
    </row>
    <row r="1493" spans="4:12">
      <c r="D1493" s="233"/>
      <c r="L1493" s="212"/>
    </row>
    <row r="1494" spans="4:12">
      <c r="D1494" s="233"/>
      <c r="L1494" s="212"/>
    </row>
    <row r="1495" spans="4:12">
      <c r="D1495" s="233"/>
      <c r="L1495" s="212"/>
    </row>
    <row r="1496" spans="4:12">
      <c r="D1496" s="233"/>
      <c r="L1496" s="212"/>
    </row>
    <row r="1497" spans="4:12">
      <c r="D1497" s="233"/>
      <c r="L1497" s="212"/>
    </row>
    <row r="1498" spans="4:12">
      <c r="D1498" s="233"/>
      <c r="L1498" s="212"/>
    </row>
    <row r="1499" spans="4:12">
      <c r="D1499" s="233"/>
      <c r="L1499" s="212"/>
    </row>
    <row r="1500" spans="4:12">
      <c r="D1500" s="233"/>
      <c r="L1500" s="212"/>
    </row>
    <row r="1501" spans="4:12">
      <c r="D1501" s="233"/>
      <c r="L1501" s="212"/>
    </row>
    <row r="1502" spans="4:12">
      <c r="D1502" s="233"/>
      <c r="L1502" s="212"/>
    </row>
    <row r="1503" spans="4:12">
      <c r="D1503" s="233"/>
      <c r="L1503" s="212"/>
    </row>
    <row r="1504" spans="4:12" ht="17.25" customHeight="1">
      <c r="D1504" s="233"/>
      <c r="L1504" s="212"/>
    </row>
    <row r="1505" spans="4:12">
      <c r="D1505" s="233"/>
      <c r="L1505" s="212"/>
    </row>
    <row r="1506" spans="4:12">
      <c r="D1506" s="233"/>
      <c r="L1506" s="212"/>
    </row>
    <row r="1507" spans="4:12">
      <c r="D1507" s="233"/>
      <c r="L1507" s="212"/>
    </row>
    <row r="1508" spans="4:12">
      <c r="D1508" s="233"/>
      <c r="L1508" s="212"/>
    </row>
    <row r="1509" spans="4:12">
      <c r="D1509" s="233"/>
      <c r="L1509" s="212"/>
    </row>
    <row r="1510" spans="4:12">
      <c r="D1510" s="233"/>
      <c r="L1510" s="212"/>
    </row>
    <row r="1511" spans="4:12">
      <c r="D1511" s="233"/>
      <c r="L1511" s="212"/>
    </row>
    <row r="1512" spans="4:12">
      <c r="D1512" s="233"/>
      <c r="L1512" s="212"/>
    </row>
    <row r="1513" spans="4:12">
      <c r="D1513" s="233"/>
      <c r="L1513" s="212"/>
    </row>
    <row r="1514" spans="4:12">
      <c r="D1514" s="233"/>
      <c r="L1514" s="212"/>
    </row>
    <row r="1515" spans="4:12">
      <c r="D1515" s="233"/>
      <c r="L1515" s="212"/>
    </row>
    <row r="1516" spans="4:12">
      <c r="D1516" s="233"/>
      <c r="L1516" s="212"/>
    </row>
    <row r="1517" spans="4:12" ht="37" customHeight="1">
      <c r="D1517" s="233"/>
      <c r="L1517" s="212"/>
    </row>
    <row r="1518" spans="4:12">
      <c r="D1518" s="233"/>
      <c r="L1518" s="212"/>
    </row>
    <row r="1519" spans="4:12">
      <c r="D1519" s="233"/>
      <c r="L1519" s="212"/>
    </row>
    <row r="1520" spans="4:12">
      <c r="D1520" s="233"/>
      <c r="L1520" s="212"/>
    </row>
    <row r="1521" spans="4:13">
      <c r="D1521" s="233"/>
      <c r="L1521" s="212"/>
      <c r="M1521" s="202"/>
    </row>
    <row r="1522" spans="4:13" ht="16" customHeight="1">
      <c r="D1522" s="233"/>
      <c r="L1522" s="212"/>
      <c r="M1522" s="202"/>
    </row>
    <row r="1523" spans="4:13">
      <c r="D1523" s="233"/>
      <c r="L1523" s="212"/>
      <c r="M1523" s="202"/>
    </row>
    <row r="1524" spans="4:13">
      <c r="D1524" s="233"/>
      <c r="L1524" s="212"/>
      <c r="M1524" s="202"/>
    </row>
    <row r="1525" spans="4:13">
      <c r="D1525" s="233"/>
      <c r="L1525" s="212"/>
      <c r="M1525" s="202"/>
    </row>
    <row r="1526" spans="4:13">
      <c r="D1526" s="233"/>
      <c r="L1526" s="212"/>
      <c r="M1526" s="202"/>
    </row>
    <row r="1527" spans="4:13">
      <c r="D1527" s="233"/>
      <c r="L1527" s="212"/>
      <c r="M1527" s="202"/>
    </row>
    <row r="1528" spans="4:13">
      <c r="M1528" s="202"/>
    </row>
    <row r="1529" spans="4:13">
      <c r="M1529" s="202"/>
    </row>
    <row r="1530" spans="4:13">
      <c r="M1530" s="202"/>
    </row>
    <row r="1531" spans="4:13">
      <c r="M1531" s="202"/>
    </row>
    <row r="1532" spans="4:13">
      <c r="M1532" s="202"/>
    </row>
    <row r="1533" spans="4:13">
      <c r="M1533" s="202"/>
    </row>
    <row r="1534" spans="4:13">
      <c r="M1534" s="202"/>
    </row>
    <row r="1535" spans="4:13">
      <c r="M1535" s="202"/>
    </row>
    <row r="1536" spans="4:13">
      <c r="M1536" s="202"/>
    </row>
    <row r="1537" spans="13:13">
      <c r="M1537" s="202"/>
    </row>
    <row r="1538" spans="13:13">
      <c r="M1538" s="202"/>
    </row>
    <row r="1539" spans="13:13">
      <c r="M1539" s="202"/>
    </row>
    <row r="1540" spans="13:13">
      <c r="M1540" s="202"/>
    </row>
    <row r="1541" spans="13:13">
      <c r="M1541" s="202"/>
    </row>
    <row r="1542" spans="13:13">
      <c r="M1542" s="202"/>
    </row>
    <row r="1543" spans="13:13">
      <c r="M1543" s="202"/>
    </row>
    <row r="1544" spans="13:13">
      <c r="M1544" s="202"/>
    </row>
    <row r="1545" spans="13:13">
      <c r="M1545" s="202"/>
    </row>
    <row r="1546" spans="13:13">
      <c r="M1546" s="202"/>
    </row>
    <row r="1547" spans="13:13">
      <c r="M1547" s="202"/>
    </row>
    <row r="1548" spans="13:13">
      <c r="M1548" s="202"/>
    </row>
    <row r="1549" spans="13:13">
      <c r="M1549" s="202"/>
    </row>
    <row r="1550" spans="13:13">
      <c r="M1550" s="202"/>
    </row>
    <row r="1551" spans="13:13">
      <c r="M1551" s="202"/>
    </row>
    <row r="1552" spans="13:13">
      <c r="M1552" s="202"/>
    </row>
    <row r="1553" spans="13:13">
      <c r="M1553" s="202"/>
    </row>
    <row r="1554" spans="13:13">
      <c r="M1554" s="202"/>
    </row>
    <row r="1555" spans="13:13">
      <c r="M1555" s="202"/>
    </row>
    <row r="1556" spans="13:13">
      <c r="M1556" s="202"/>
    </row>
    <row r="1557" spans="13:13">
      <c r="M1557" s="202"/>
    </row>
    <row r="1558" spans="13:13">
      <c r="M1558" s="202"/>
    </row>
    <row r="1559" spans="13:13">
      <c r="M1559" s="202"/>
    </row>
    <row r="1560" spans="13:13">
      <c r="M1560" s="202"/>
    </row>
    <row r="1561" spans="13:13">
      <c r="M1561" s="202"/>
    </row>
    <row r="1562" spans="13:13">
      <c r="M1562" s="202"/>
    </row>
    <row r="1563" spans="13:13">
      <c r="M1563" s="202"/>
    </row>
    <row r="1564" spans="13:13">
      <c r="M1564" s="202"/>
    </row>
    <row r="1565" spans="13:13">
      <c r="M1565" s="202"/>
    </row>
    <row r="1566" spans="13:13">
      <c r="M1566" s="202"/>
    </row>
    <row r="1567" spans="13:13">
      <c r="M1567" s="202"/>
    </row>
    <row r="1568" spans="13:13">
      <c r="M1568" s="202"/>
    </row>
    <row r="1569" spans="13:13">
      <c r="M1569" s="202"/>
    </row>
    <row r="1570" spans="13:13">
      <c r="M1570" s="202"/>
    </row>
    <row r="1571" spans="13:13">
      <c r="M1571" s="202"/>
    </row>
    <row r="1572" spans="13:13">
      <c r="M1572" s="202"/>
    </row>
    <row r="1573" spans="13:13">
      <c r="M1573" s="202"/>
    </row>
    <row r="1574" spans="13:13">
      <c r="M1574" s="202"/>
    </row>
    <row r="1575" spans="13:13">
      <c r="M1575" s="202"/>
    </row>
    <row r="1576" spans="13:13">
      <c r="M1576" s="202"/>
    </row>
    <row r="1577" spans="13:13">
      <c r="M1577" s="202"/>
    </row>
    <row r="1578" spans="13:13">
      <c r="M1578" s="202"/>
    </row>
    <row r="1579" spans="13:13">
      <c r="M1579" s="202"/>
    </row>
    <row r="1580" spans="13:13">
      <c r="M1580" s="202"/>
    </row>
    <row r="1581" spans="13:13">
      <c r="M1581" s="202"/>
    </row>
    <row r="1582" spans="13:13">
      <c r="M1582" s="202"/>
    </row>
    <row r="1583" spans="13:13">
      <c r="M1583" s="202"/>
    </row>
    <row r="1584" spans="13:13">
      <c r="M1584" s="202"/>
    </row>
    <row r="1585" spans="13:13">
      <c r="M1585" s="202"/>
    </row>
    <row r="1586" spans="13:13">
      <c r="M1586" s="202"/>
    </row>
    <row r="1587" spans="13:13">
      <c r="M1587" s="202"/>
    </row>
    <row r="1588" spans="13:13">
      <c r="M1588" s="202"/>
    </row>
    <row r="1589" spans="13:13">
      <c r="M1589" s="202"/>
    </row>
    <row r="1590" spans="13:13">
      <c r="M1590" s="202"/>
    </row>
    <row r="1591" spans="13:13">
      <c r="M1591" s="202"/>
    </row>
    <row r="1592" spans="13:13">
      <c r="M1592" s="202"/>
    </row>
    <row r="1593" spans="13:13">
      <c r="M1593" s="202"/>
    </row>
    <row r="1594" spans="13:13">
      <c r="M1594" s="202"/>
    </row>
    <row r="1595" spans="13:13">
      <c r="M1595" s="202"/>
    </row>
    <row r="1596" spans="13:13">
      <c r="M1596" s="202"/>
    </row>
    <row r="1597" spans="13:13">
      <c r="M1597" s="202"/>
    </row>
    <row r="1598" spans="13:13">
      <c r="M1598" s="202"/>
    </row>
    <row r="1599" spans="13:13">
      <c r="M1599" s="202"/>
    </row>
    <row r="1600" spans="13:13">
      <c r="M1600" s="202"/>
    </row>
    <row r="1601" spans="13:13">
      <c r="M1601" s="202"/>
    </row>
    <row r="1602" spans="13:13">
      <c r="M1602" s="202"/>
    </row>
    <row r="1603" spans="13:13">
      <c r="M1603" s="202"/>
    </row>
    <row r="1604" spans="13:13">
      <c r="M1604" s="202"/>
    </row>
    <row r="1605" spans="13:13">
      <c r="M1605" s="202"/>
    </row>
    <row r="1606" spans="13:13">
      <c r="M1606" s="202"/>
    </row>
    <row r="1607" spans="13:13">
      <c r="M1607" s="202"/>
    </row>
    <row r="1608" spans="13:13">
      <c r="M1608" s="202"/>
    </row>
    <row r="1609" spans="13:13">
      <c r="M1609" s="202"/>
    </row>
    <row r="1610" spans="13:13">
      <c r="M1610" s="202"/>
    </row>
    <row r="1611" spans="13:13">
      <c r="M1611" s="202"/>
    </row>
    <row r="1612" spans="13:13">
      <c r="M1612" s="202"/>
    </row>
    <row r="1613" spans="13:13">
      <c r="M1613" s="202"/>
    </row>
    <row r="1614" spans="13:13">
      <c r="M1614" s="202"/>
    </row>
    <row r="1615" spans="13:13">
      <c r="M1615" s="202"/>
    </row>
    <row r="1616" spans="13:13">
      <c r="M1616" s="202"/>
    </row>
    <row r="1617" spans="13:13">
      <c r="M1617" s="202"/>
    </row>
    <row r="1618" spans="13:13">
      <c r="M1618" s="202"/>
    </row>
    <row r="1619" spans="13:13">
      <c r="M1619" s="202"/>
    </row>
    <row r="1620" spans="13:13">
      <c r="M1620" s="202"/>
    </row>
    <row r="1621" spans="13:13">
      <c r="M1621" s="202"/>
    </row>
    <row r="1622" spans="13:13">
      <c r="M1622" s="202"/>
    </row>
    <row r="1623" spans="13:13">
      <c r="M1623" s="202"/>
    </row>
    <row r="1624" spans="13:13">
      <c r="M1624" s="202"/>
    </row>
    <row r="1625" spans="13:13">
      <c r="M1625" s="202"/>
    </row>
    <row r="1626" spans="13:13">
      <c r="M1626" s="202"/>
    </row>
    <row r="1627" spans="13:13">
      <c r="M1627" s="202"/>
    </row>
    <row r="1628" spans="13:13">
      <c r="M1628" s="202"/>
    </row>
    <row r="1629" spans="13:13">
      <c r="M1629" s="202"/>
    </row>
    <row r="1630" spans="13:13">
      <c r="M1630" s="202"/>
    </row>
    <row r="1631" spans="13:13">
      <c r="M1631" s="202"/>
    </row>
    <row r="1632" spans="13:13">
      <c r="M1632" s="202"/>
    </row>
    <row r="1633" spans="13:13">
      <c r="M1633" s="202"/>
    </row>
    <row r="1634" spans="13:13">
      <c r="M1634" s="202"/>
    </row>
    <row r="1635" spans="13:13">
      <c r="M1635" s="202"/>
    </row>
    <row r="1636" spans="13:13">
      <c r="M1636" s="202"/>
    </row>
    <row r="1637" spans="13:13">
      <c r="M1637" s="202"/>
    </row>
    <row r="1638" spans="13:13">
      <c r="M1638" s="202"/>
    </row>
    <row r="1639" spans="13:13">
      <c r="M1639" s="202"/>
    </row>
    <row r="1640" spans="13:13">
      <c r="M1640" s="202"/>
    </row>
    <row r="1641" spans="13:13">
      <c r="M1641" s="202"/>
    </row>
    <row r="1642" spans="13:13">
      <c r="M1642" s="202"/>
    </row>
    <row r="1643" spans="13:13">
      <c r="M1643" s="202"/>
    </row>
    <row r="1644" spans="13:13">
      <c r="M1644" s="202"/>
    </row>
    <row r="1645" spans="13:13">
      <c r="M1645" s="202"/>
    </row>
    <row r="1646" spans="13:13">
      <c r="M1646" s="202"/>
    </row>
    <row r="1647" spans="13:13">
      <c r="M1647" s="202"/>
    </row>
    <row r="1648" spans="13:13">
      <c r="M1648" s="202"/>
    </row>
    <row r="1649" spans="13:13">
      <c r="M1649" s="202"/>
    </row>
    <row r="1650" spans="13:13">
      <c r="M1650" s="202"/>
    </row>
    <row r="1651" spans="13:13">
      <c r="M1651" s="202"/>
    </row>
    <row r="1652" spans="13:13">
      <c r="M1652" s="202"/>
    </row>
    <row r="1653" spans="13:13">
      <c r="M1653" s="202"/>
    </row>
    <row r="1654" spans="13:13">
      <c r="M1654" s="202"/>
    </row>
    <row r="1655" spans="13:13">
      <c r="M1655" s="202"/>
    </row>
    <row r="1656" spans="13:13">
      <c r="M1656" s="202"/>
    </row>
    <row r="1657" spans="13:13">
      <c r="M1657" s="202"/>
    </row>
    <row r="1658" spans="13:13">
      <c r="M1658" s="202"/>
    </row>
    <row r="1659" spans="13:13">
      <c r="M1659" s="202"/>
    </row>
    <row r="1660" spans="13:13">
      <c r="M1660" s="202"/>
    </row>
    <row r="1661" spans="13:13">
      <c r="M1661" s="202"/>
    </row>
    <row r="1662" spans="13:13">
      <c r="M1662" s="202"/>
    </row>
    <row r="1663" spans="13:13">
      <c r="M1663" s="202"/>
    </row>
    <row r="1664" spans="13:13">
      <c r="M1664" s="202"/>
    </row>
    <row r="1665" spans="13:13">
      <c r="M1665" s="202"/>
    </row>
    <row r="1666" spans="13:13">
      <c r="M1666" s="202"/>
    </row>
    <row r="1667" spans="13:13">
      <c r="M1667" s="202"/>
    </row>
    <row r="1668" spans="13:13">
      <c r="M1668" s="202"/>
    </row>
    <row r="1669" spans="13:13">
      <c r="M1669" s="202"/>
    </row>
    <row r="1670" spans="13:13">
      <c r="M1670" s="202"/>
    </row>
    <row r="1671" spans="13:13">
      <c r="M1671" s="202"/>
    </row>
    <row r="1672" spans="13:13">
      <c r="M1672" s="202"/>
    </row>
    <row r="1673" spans="13:13">
      <c r="M1673" s="202"/>
    </row>
    <row r="1674" spans="13:13">
      <c r="M1674" s="202"/>
    </row>
    <row r="1675" spans="13:13">
      <c r="M1675" s="202"/>
    </row>
    <row r="1676" spans="13:13">
      <c r="M1676" s="202"/>
    </row>
    <row r="1677" spans="13:13">
      <c r="M1677" s="202"/>
    </row>
    <row r="1678" spans="13:13">
      <c r="M1678" s="202"/>
    </row>
    <row r="1679" spans="13:13">
      <c r="M1679" s="202"/>
    </row>
    <row r="1680" spans="13:13">
      <c r="M1680" s="202"/>
    </row>
    <row r="1681" spans="13:13">
      <c r="M1681" s="202"/>
    </row>
    <row r="1682" spans="13:13">
      <c r="M1682" s="202"/>
    </row>
    <row r="1683" spans="13:13">
      <c r="M1683" s="202"/>
    </row>
    <row r="1684" spans="13:13">
      <c r="M1684" s="202"/>
    </row>
    <row r="1685" spans="13:13">
      <c r="M1685" s="202"/>
    </row>
    <row r="1686" spans="13:13">
      <c r="M1686" s="202"/>
    </row>
    <row r="1687" spans="13:13">
      <c r="M1687" s="202"/>
    </row>
    <row r="1688" spans="13:13">
      <c r="M1688" s="202"/>
    </row>
    <row r="1689" spans="13:13">
      <c r="M1689" s="202"/>
    </row>
    <row r="1690" spans="13:13">
      <c r="M1690" s="202"/>
    </row>
    <row r="1691" spans="13:13">
      <c r="M1691" s="202"/>
    </row>
    <row r="1692" spans="13:13">
      <c r="M1692" s="202"/>
    </row>
    <row r="1693" spans="13:13">
      <c r="M1693" s="202"/>
    </row>
    <row r="1694" spans="13:13">
      <c r="M1694" s="202"/>
    </row>
    <row r="1695" spans="13:13">
      <c r="M1695" s="202"/>
    </row>
    <row r="1696" spans="13:13">
      <c r="M1696" s="202"/>
    </row>
    <row r="1697" spans="13:13">
      <c r="M1697" s="202"/>
    </row>
    <row r="1698" spans="13:13">
      <c r="M1698" s="202"/>
    </row>
    <row r="1699" spans="13:13">
      <c r="M1699" s="202"/>
    </row>
    <row r="1700" spans="13:13">
      <c r="M1700" s="202"/>
    </row>
    <row r="1701" spans="13:13">
      <c r="M1701" s="202"/>
    </row>
    <row r="1702" spans="13:13">
      <c r="M1702" s="202"/>
    </row>
    <row r="1703" spans="13:13">
      <c r="M1703" s="202"/>
    </row>
    <row r="1704" spans="13:13">
      <c r="M1704" s="202"/>
    </row>
    <row r="1705" spans="13:13">
      <c r="M1705" s="202"/>
    </row>
    <row r="1706" spans="13:13">
      <c r="M1706" s="202"/>
    </row>
    <row r="1707" spans="13:13">
      <c r="M1707" s="202"/>
    </row>
    <row r="1708" spans="13:13">
      <c r="M1708" s="202"/>
    </row>
    <row r="1709" spans="13:13">
      <c r="M1709" s="202"/>
    </row>
    <row r="1710" spans="13:13">
      <c r="M1710" s="202"/>
    </row>
    <row r="1711" spans="13:13">
      <c r="M1711" s="202"/>
    </row>
    <row r="1712" spans="13:13">
      <c r="M1712" s="202"/>
    </row>
    <row r="1713" spans="13:13">
      <c r="M1713" s="202"/>
    </row>
    <row r="1714" spans="13:13">
      <c r="M1714" s="202"/>
    </row>
    <row r="1715" spans="13:13">
      <c r="M1715" s="202"/>
    </row>
    <row r="1716" spans="13:13">
      <c r="M1716" s="202"/>
    </row>
    <row r="1717" spans="13:13">
      <c r="M1717" s="202"/>
    </row>
    <row r="1718" spans="13:13">
      <c r="M1718" s="202"/>
    </row>
    <row r="1719" spans="13:13">
      <c r="M1719" s="202"/>
    </row>
    <row r="1720" spans="13:13">
      <c r="M1720" s="202"/>
    </row>
    <row r="1721" spans="13:13">
      <c r="M1721" s="202"/>
    </row>
    <row r="1722" spans="13:13">
      <c r="M1722" s="202"/>
    </row>
    <row r="1723" spans="13:13">
      <c r="M1723" s="202"/>
    </row>
    <row r="1724" spans="13:13">
      <c r="M1724" s="202"/>
    </row>
    <row r="1725" spans="13:13">
      <c r="M1725" s="202"/>
    </row>
    <row r="1726" spans="13:13">
      <c r="M1726" s="202"/>
    </row>
    <row r="1727" spans="13:13">
      <c r="M1727" s="202"/>
    </row>
    <row r="1728" spans="13:13">
      <c r="M1728" s="202"/>
    </row>
    <row r="1729" spans="13:13">
      <c r="M1729" s="202"/>
    </row>
    <row r="1730" spans="13:13">
      <c r="M1730" s="202"/>
    </row>
    <row r="1731" spans="13:13">
      <c r="M1731" s="202"/>
    </row>
    <row r="1732" spans="13:13">
      <c r="M1732" s="202"/>
    </row>
    <row r="1733" spans="13:13">
      <c r="M1733" s="202"/>
    </row>
    <row r="1734" spans="13:13">
      <c r="M1734" s="202"/>
    </row>
    <row r="1735" spans="13:13">
      <c r="M1735" s="202"/>
    </row>
    <row r="1736" spans="13:13">
      <c r="M1736" s="202"/>
    </row>
    <row r="1737" spans="13:13">
      <c r="M1737" s="202"/>
    </row>
    <row r="1738" spans="13:13">
      <c r="M1738" s="202"/>
    </row>
    <row r="1739" spans="13:13">
      <c r="M1739" s="202"/>
    </row>
    <row r="1740" spans="13:13">
      <c r="M1740" s="202"/>
    </row>
    <row r="1741" spans="13:13">
      <c r="M1741" s="202"/>
    </row>
    <row r="1742" spans="13:13">
      <c r="M1742" s="202"/>
    </row>
    <row r="1743" spans="13:13">
      <c r="M1743" s="202"/>
    </row>
    <row r="1744" spans="13:13">
      <c r="M1744" s="202"/>
    </row>
    <row r="1745" spans="13:13">
      <c r="M1745" s="202"/>
    </row>
    <row r="1746" spans="13:13">
      <c r="M1746" s="202"/>
    </row>
    <row r="1747" spans="13:13">
      <c r="M1747" s="202"/>
    </row>
    <row r="1748" spans="13:13">
      <c r="M1748" s="202"/>
    </row>
    <row r="1749" spans="13:13">
      <c r="M1749" s="202"/>
    </row>
    <row r="1750" spans="13:13">
      <c r="M1750" s="202"/>
    </row>
    <row r="1751" spans="13:13">
      <c r="M1751" s="202"/>
    </row>
    <row r="1752" spans="13:13">
      <c r="M1752" s="202"/>
    </row>
    <row r="1753" spans="13:13">
      <c r="M1753" s="202"/>
    </row>
    <row r="1754" spans="13:13">
      <c r="M1754" s="202"/>
    </row>
    <row r="1755" spans="13:13">
      <c r="M1755" s="202"/>
    </row>
    <row r="1756" spans="13:13">
      <c r="M1756" s="202"/>
    </row>
    <row r="1757" spans="13:13">
      <c r="M1757" s="202"/>
    </row>
    <row r="1758" spans="13:13">
      <c r="M1758" s="202"/>
    </row>
    <row r="1759" spans="13:13">
      <c r="M1759" s="202"/>
    </row>
    <row r="1760" spans="13:13">
      <c r="M1760" s="202"/>
    </row>
    <row r="1761" spans="13:13">
      <c r="M1761" s="202"/>
    </row>
    <row r="1762" spans="13:13">
      <c r="M1762" s="202"/>
    </row>
    <row r="1763" spans="13:13">
      <c r="M1763" s="202"/>
    </row>
    <row r="1764" spans="13:13">
      <c r="M1764" s="202"/>
    </row>
    <row r="1765" spans="13:13">
      <c r="M1765" s="202"/>
    </row>
    <row r="1766" spans="13:13">
      <c r="M1766" s="202"/>
    </row>
    <row r="1767" spans="13:13">
      <c r="M1767" s="202"/>
    </row>
    <row r="1768" spans="13:13">
      <c r="M1768" s="202"/>
    </row>
    <row r="1769" spans="13:13">
      <c r="M1769" s="202"/>
    </row>
    <row r="1770" spans="13:13">
      <c r="M1770" s="202"/>
    </row>
    <row r="1771" spans="13:13">
      <c r="M1771" s="202"/>
    </row>
    <row r="1772" spans="13:13">
      <c r="M1772" s="202"/>
    </row>
    <row r="1773" spans="13:13">
      <c r="M1773" s="202"/>
    </row>
    <row r="1774" spans="13:13">
      <c r="M1774" s="202"/>
    </row>
    <row r="1775" spans="13:13">
      <c r="M1775" s="202"/>
    </row>
    <row r="1776" spans="13:13">
      <c r="M1776" s="202"/>
    </row>
    <row r="1777" spans="13:13">
      <c r="M1777" s="202"/>
    </row>
    <row r="1778" spans="13:13">
      <c r="M1778" s="202"/>
    </row>
    <row r="1779" spans="13:13">
      <c r="M1779" s="202"/>
    </row>
    <row r="1780" spans="13:13">
      <c r="M1780" s="202"/>
    </row>
    <row r="1781" spans="13:13">
      <c r="M1781" s="202"/>
    </row>
    <row r="1782" spans="13:13">
      <c r="M1782" s="202"/>
    </row>
    <row r="1783" spans="13:13">
      <c r="M1783" s="202"/>
    </row>
    <row r="1784" spans="13:13">
      <c r="M1784" s="202"/>
    </row>
    <row r="1785" spans="13:13">
      <c r="M1785" s="202"/>
    </row>
    <row r="1786" spans="13:13">
      <c r="M1786" s="202"/>
    </row>
    <row r="1787" spans="13:13">
      <c r="M1787" s="202"/>
    </row>
    <row r="1788" spans="13:13">
      <c r="M1788" s="202"/>
    </row>
    <row r="1789" spans="13:13">
      <c r="M1789" s="202"/>
    </row>
    <row r="1790" spans="13:13">
      <c r="M1790" s="202"/>
    </row>
    <row r="1791" spans="13:13">
      <c r="M1791" s="202"/>
    </row>
    <row r="1792" spans="13:13">
      <c r="M1792" s="202"/>
    </row>
    <row r="1793" spans="13:13">
      <c r="M1793" s="202"/>
    </row>
    <row r="1794" spans="13:13">
      <c r="M1794" s="202"/>
    </row>
    <row r="1795" spans="13:13">
      <c r="M1795" s="202"/>
    </row>
    <row r="1796" spans="13:13">
      <c r="M1796" s="202"/>
    </row>
    <row r="1797" spans="13:13">
      <c r="M1797" s="202"/>
    </row>
    <row r="1798" spans="13:13">
      <c r="M1798" s="202"/>
    </row>
    <row r="1799" spans="13:13">
      <c r="M1799" s="202"/>
    </row>
    <row r="1800" spans="13:13">
      <c r="M1800" s="202"/>
    </row>
    <row r="1801" spans="13:13">
      <c r="M1801" s="202"/>
    </row>
    <row r="1802" spans="13:13">
      <c r="M1802" s="202"/>
    </row>
    <row r="1803" spans="13:13">
      <c r="M1803" s="202"/>
    </row>
    <row r="1804" spans="13:13">
      <c r="M1804" s="202"/>
    </row>
    <row r="1805" spans="13:13">
      <c r="M1805" s="202"/>
    </row>
    <row r="1806" spans="13:13">
      <c r="M1806" s="202"/>
    </row>
    <row r="1807" spans="13:13">
      <c r="M1807" s="202"/>
    </row>
    <row r="1808" spans="13:13">
      <c r="M1808" s="202"/>
    </row>
    <row r="1809" spans="13:13">
      <c r="M1809" s="202"/>
    </row>
    <row r="1810" spans="13:13">
      <c r="M1810" s="202"/>
    </row>
    <row r="1811" spans="13:13">
      <c r="M1811" s="202"/>
    </row>
    <row r="1812" spans="13:13">
      <c r="M1812" s="202"/>
    </row>
    <row r="1813" spans="13:13">
      <c r="M1813" s="202"/>
    </row>
    <row r="1814" spans="13:13">
      <c r="M1814" s="202"/>
    </row>
    <row r="1815" spans="13:13">
      <c r="M1815" s="202"/>
    </row>
    <row r="1816" spans="13:13">
      <c r="M1816" s="202"/>
    </row>
    <row r="1817" spans="13:13">
      <c r="M1817" s="202"/>
    </row>
    <row r="1818" spans="13:13">
      <c r="M1818" s="202"/>
    </row>
    <row r="1819" spans="13:13">
      <c r="M1819" s="202"/>
    </row>
    <row r="1820" spans="13:13">
      <c r="M1820" s="202"/>
    </row>
    <row r="1821" spans="13:13">
      <c r="M1821" s="202"/>
    </row>
    <row r="1822" spans="13:13">
      <c r="M1822" s="202"/>
    </row>
    <row r="1823" spans="13:13">
      <c r="M1823" s="202"/>
    </row>
    <row r="1824" spans="13:13">
      <c r="M1824" s="202"/>
    </row>
    <row r="1825" spans="13:13">
      <c r="M1825" s="202"/>
    </row>
    <row r="1826" spans="13:13">
      <c r="M1826" s="202"/>
    </row>
    <row r="1827" spans="13:13">
      <c r="M1827" s="202"/>
    </row>
    <row r="1828" spans="13:13">
      <c r="M1828" s="202"/>
    </row>
    <row r="1829" spans="13:13">
      <c r="M1829" s="202"/>
    </row>
    <row r="1830" spans="13:13">
      <c r="M1830" s="202"/>
    </row>
    <row r="1831" spans="13:13">
      <c r="M1831" s="202"/>
    </row>
    <row r="1832" spans="13:13">
      <c r="M1832" s="202"/>
    </row>
    <row r="1833" spans="13:13">
      <c r="M1833" s="202"/>
    </row>
    <row r="1834" spans="13:13">
      <c r="M1834" s="202"/>
    </row>
    <row r="1835" spans="13:13">
      <c r="M1835" s="202"/>
    </row>
    <row r="1836" spans="13:13">
      <c r="M1836" s="202"/>
    </row>
    <row r="1837" spans="13:13">
      <c r="M1837" s="202"/>
    </row>
    <row r="1838" spans="13:13">
      <c r="M1838" s="202"/>
    </row>
    <row r="1839" spans="13:13">
      <c r="M1839" s="202"/>
    </row>
    <row r="1840" spans="13:13">
      <c r="M1840" s="202"/>
    </row>
    <row r="1841" spans="13:13">
      <c r="M1841" s="202"/>
    </row>
    <row r="1842" spans="13:13">
      <c r="M1842" s="202"/>
    </row>
    <row r="1843" spans="13:13">
      <c r="M1843" s="202"/>
    </row>
    <row r="1844" spans="13:13">
      <c r="M1844" s="202"/>
    </row>
    <row r="1845" spans="13:13">
      <c r="M1845" s="202"/>
    </row>
    <row r="1846" spans="13:13">
      <c r="M1846" s="202"/>
    </row>
    <row r="1847" spans="13:13">
      <c r="M1847" s="202"/>
    </row>
    <row r="1848" spans="13:13">
      <c r="M1848" s="202"/>
    </row>
    <row r="1849" spans="13:13">
      <c r="M1849" s="202"/>
    </row>
    <row r="1850" spans="13:13">
      <c r="M1850" s="202"/>
    </row>
    <row r="1851" spans="13:13">
      <c r="M1851" s="202"/>
    </row>
    <row r="1852" spans="13:13">
      <c r="M1852" s="202"/>
    </row>
    <row r="1853" spans="13:13">
      <c r="M1853" s="202"/>
    </row>
    <row r="1854" spans="13:13">
      <c r="M1854" s="202"/>
    </row>
    <row r="1855" spans="13:13">
      <c r="M1855" s="202"/>
    </row>
    <row r="1856" spans="13:13">
      <c r="M1856" s="202"/>
    </row>
    <row r="1857" spans="13:13">
      <c r="M1857" s="202"/>
    </row>
    <row r="1858" spans="13:13">
      <c r="M1858" s="202"/>
    </row>
    <row r="1859" spans="13:13">
      <c r="M1859" s="202"/>
    </row>
    <row r="1860" spans="13:13">
      <c r="M1860" s="202"/>
    </row>
    <row r="1861" spans="13:13">
      <c r="M1861" s="202"/>
    </row>
    <row r="1862" spans="13:13">
      <c r="M1862" s="202"/>
    </row>
    <row r="1863" spans="13:13">
      <c r="M1863" s="202"/>
    </row>
    <row r="1864" spans="13:13">
      <c r="M1864" s="202"/>
    </row>
    <row r="1865" spans="13:13">
      <c r="M1865" s="202"/>
    </row>
    <row r="1866" spans="13:13">
      <c r="M1866" s="202"/>
    </row>
    <row r="1867" spans="13:13">
      <c r="M1867" s="202"/>
    </row>
    <row r="1868" spans="13:13">
      <c r="M1868" s="202"/>
    </row>
    <row r="1869" spans="13:13">
      <c r="M1869" s="202"/>
    </row>
    <row r="1870" spans="13:13">
      <c r="M1870" s="202"/>
    </row>
    <row r="1871" spans="13:13">
      <c r="M1871" s="202"/>
    </row>
    <row r="1872" spans="13:13">
      <c r="M1872" s="202"/>
    </row>
    <row r="1873" spans="13:13">
      <c r="M1873" s="202"/>
    </row>
    <row r="1874" spans="13:13">
      <c r="M1874" s="202"/>
    </row>
    <row r="1875" spans="13:13">
      <c r="M1875" s="202"/>
    </row>
    <row r="1876" spans="13:13">
      <c r="M1876" s="202"/>
    </row>
    <row r="1877" spans="13:13">
      <c r="M1877" s="202"/>
    </row>
    <row r="1878" spans="13:13">
      <c r="M1878" s="202"/>
    </row>
    <row r="1879" spans="13:13">
      <c r="M1879" s="202"/>
    </row>
    <row r="1880" spans="13:13">
      <c r="M1880" s="202"/>
    </row>
    <row r="1881" spans="13:13">
      <c r="M1881" s="202"/>
    </row>
    <row r="1882" spans="13:13">
      <c r="M1882" s="202"/>
    </row>
    <row r="1883" spans="13:13">
      <c r="M1883" s="202"/>
    </row>
    <row r="1884" spans="13:13">
      <c r="M1884" s="202"/>
    </row>
    <row r="1885" spans="13:13">
      <c r="M1885" s="202"/>
    </row>
    <row r="1886" spans="13:13">
      <c r="M1886" s="202"/>
    </row>
    <row r="1887" spans="13:13">
      <c r="M1887" s="202"/>
    </row>
    <row r="1888" spans="13:13">
      <c r="M1888" s="202"/>
    </row>
    <row r="1889" spans="13:13">
      <c r="M1889" s="202"/>
    </row>
    <row r="1890" spans="13:13">
      <c r="M1890" s="202"/>
    </row>
    <row r="1891" spans="13:13">
      <c r="M1891" s="202"/>
    </row>
    <row r="1892" spans="13:13">
      <c r="M1892" s="202"/>
    </row>
    <row r="1893" spans="13:13">
      <c r="M1893" s="202"/>
    </row>
    <row r="1894" spans="13:13">
      <c r="M1894" s="202"/>
    </row>
    <row r="1895" spans="13:13">
      <c r="M1895" s="202"/>
    </row>
    <row r="1896" spans="13:13">
      <c r="M1896" s="202"/>
    </row>
    <row r="1897" spans="13:13">
      <c r="M1897" s="202"/>
    </row>
    <row r="1898" spans="13:13">
      <c r="M1898" s="202"/>
    </row>
    <row r="1899" spans="13:13">
      <c r="M1899" s="202"/>
    </row>
    <row r="1900" spans="13:13">
      <c r="M1900" s="202"/>
    </row>
    <row r="1901" spans="13:13">
      <c r="M1901" s="202"/>
    </row>
    <row r="1902" spans="13:13">
      <c r="M1902" s="202"/>
    </row>
    <row r="1903" spans="13:13">
      <c r="M1903" s="202"/>
    </row>
    <row r="1904" spans="13:13">
      <c r="M1904" s="202"/>
    </row>
    <row r="1905" spans="13:13">
      <c r="M1905" s="202"/>
    </row>
    <row r="1906" spans="13:13">
      <c r="M1906" s="202"/>
    </row>
    <row r="1907" spans="13:13">
      <c r="M1907" s="202"/>
    </row>
    <row r="1908" spans="13:13">
      <c r="M1908" s="202"/>
    </row>
    <row r="1909" spans="13:13">
      <c r="M1909" s="202"/>
    </row>
    <row r="1910" spans="13:13">
      <c r="M1910" s="202"/>
    </row>
    <row r="1911" spans="13:13">
      <c r="M1911" s="202"/>
    </row>
    <row r="1912" spans="13:13">
      <c r="M1912" s="202"/>
    </row>
    <row r="1913" spans="13:13">
      <c r="M1913" s="202"/>
    </row>
    <row r="1914" spans="13:13">
      <c r="M1914" s="202"/>
    </row>
    <row r="1915" spans="13:13">
      <c r="M1915" s="202"/>
    </row>
    <row r="1916" spans="13:13">
      <c r="M1916" s="202"/>
    </row>
    <row r="1917" spans="13:13">
      <c r="M1917" s="202"/>
    </row>
    <row r="1918" spans="13:13">
      <c r="M1918" s="202"/>
    </row>
    <row r="1919" spans="13:13">
      <c r="M1919" s="202"/>
    </row>
    <row r="1920" spans="13:13">
      <c r="M1920" s="202"/>
    </row>
    <row r="1921" spans="13:13">
      <c r="M1921" s="202"/>
    </row>
    <row r="1922" spans="13:13">
      <c r="M1922" s="202"/>
    </row>
    <row r="1923" spans="13:13">
      <c r="M1923" s="202"/>
    </row>
    <row r="1924" spans="13:13">
      <c r="M1924" s="202"/>
    </row>
    <row r="1925" spans="13:13">
      <c r="M1925" s="202"/>
    </row>
    <row r="1926" spans="13:13">
      <c r="M1926" s="202"/>
    </row>
    <row r="1927" spans="13:13">
      <c r="M1927" s="202"/>
    </row>
    <row r="1928" spans="13:13">
      <c r="M1928" s="202"/>
    </row>
    <row r="1929" spans="13:13">
      <c r="M1929" s="202"/>
    </row>
    <row r="1930" spans="13:13">
      <c r="M1930" s="202"/>
    </row>
    <row r="1931" spans="13:13">
      <c r="M1931" s="202"/>
    </row>
    <row r="1932" spans="13:13">
      <c r="M1932" s="202"/>
    </row>
    <row r="1933" spans="13:13">
      <c r="M1933" s="202"/>
    </row>
    <row r="1934" spans="13:13">
      <c r="M1934" s="202"/>
    </row>
    <row r="1935" spans="13:13">
      <c r="M1935" s="202"/>
    </row>
    <row r="1936" spans="13:13">
      <c r="M1936" s="202"/>
    </row>
    <row r="1937" spans="13:13">
      <c r="M1937" s="202"/>
    </row>
    <row r="1938" spans="13:13">
      <c r="M1938" s="202"/>
    </row>
    <row r="1939" spans="13:13">
      <c r="M1939" s="202"/>
    </row>
    <row r="1940" spans="13:13">
      <c r="M1940" s="202"/>
    </row>
    <row r="1941" spans="13:13">
      <c r="M1941" s="202"/>
    </row>
    <row r="1942" spans="13:13">
      <c r="M1942" s="202"/>
    </row>
    <row r="1943" spans="13:13">
      <c r="M1943" s="202"/>
    </row>
    <row r="1944" spans="13:13">
      <c r="M1944" s="202"/>
    </row>
    <row r="1945" spans="13:13">
      <c r="M1945" s="202"/>
    </row>
    <row r="1946" spans="13:13">
      <c r="M1946" s="202"/>
    </row>
    <row r="1947" spans="13:13">
      <c r="M1947" s="202"/>
    </row>
    <row r="1948" spans="13:13">
      <c r="M1948" s="202"/>
    </row>
    <row r="1949" spans="13:13">
      <c r="M1949" s="202"/>
    </row>
    <row r="1950" spans="13:13">
      <c r="M1950" s="202"/>
    </row>
    <row r="1951" spans="13:13">
      <c r="M1951" s="202"/>
    </row>
    <row r="1952" spans="13:13">
      <c r="M1952" s="202"/>
    </row>
    <row r="1953" spans="13:13">
      <c r="M1953" s="202"/>
    </row>
    <row r="1954" spans="13:13">
      <c r="M1954" s="202"/>
    </row>
    <row r="1955" spans="13:13">
      <c r="M1955" s="202"/>
    </row>
    <row r="1956" spans="13:13">
      <c r="M1956" s="202"/>
    </row>
    <row r="1957" spans="13:13">
      <c r="M1957" s="202"/>
    </row>
    <row r="1958" spans="13:13">
      <c r="M1958" s="202"/>
    </row>
    <row r="1959" spans="13:13">
      <c r="M1959" s="202"/>
    </row>
    <row r="1960" spans="13:13">
      <c r="M1960" s="202"/>
    </row>
    <row r="1961" spans="13:13">
      <c r="M1961" s="202"/>
    </row>
    <row r="1962" spans="13:13">
      <c r="M1962" s="202"/>
    </row>
    <row r="1963" spans="13:13">
      <c r="M1963" s="202"/>
    </row>
    <row r="1964" spans="13:13">
      <c r="M1964" s="202"/>
    </row>
    <row r="1965" spans="13:13">
      <c r="M1965" s="202"/>
    </row>
    <row r="1966" spans="13:13">
      <c r="M1966" s="202"/>
    </row>
    <row r="1967" spans="13:13">
      <c r="M1967" s="202"/>
    </row>
    <row r="1968" spans="13:13">
      <c r="M1968" s="202"/>
    </row>
    <row r="1969" spans="13:13">
      <c r="M1969" s="202"/>
    </row>
    <row r="1970" spans="13:13">
      <c r="M1970" s="202"/>
    </row>
    <row r="1971" spans="13:13">
      <c r="M1971" s="202"/>
    </row>
    <row r="1972" spans="13:13">
      <c r="M1972" s="202"/>
    </row>
    <row r="1973" spans="13:13">
      <c r="M1973" s="202"/>
    </row>
    <row r="1974" spans="13:13">
      <c r="M1974" s="202"/>
    </row>
    <row r="1975" spans="13:13">
      <c r="M1975" s="202"/>
    </row>
    <row r="1976" spans="13:13">
      <c r="M1976" s="202"/>
    </row>
    <row r="1977" spans="13:13">
      <c r="M1977" s="202"/>
    </row>
    <row r="1978" spans="13:13">
      <c r="M1978" s="202"/>
    </row>
    <row r="1979" spans="13:13">
      <c r="M1979" s="202"/>
    </row>
    <row r="1980" spans="13:13">
      <c r="M1980" s="202"/>
    </row>
    <row r="1981" spans="13:13">
      <c r="M1981" s="202"/>
    </row>
    <row r="1982" spans="13:13">
      <c r="M1982" s="202"/>
    </row>
    <row r="1983" spans="13:13">
      <c r="M1983" s="202"/>
    </row>
    <row r="1984" spans="13:13">
      <c r="M1984" s="202"/>
    </row>
    <row r="1985" spans="13:13">
      <c r="M1985" s="202"/>
    </row>
    <row r="1986" spans="13:13">
      <c r="M1986" s="202"/>
    </row>
    <row r="1987" spans="13:13">
      <c r="M1987" s="202"/>
    </row>
    <row r="1988" spans="13:13">
      <c r="M1988" s="202"/>
    </row>
    <row r="1989" spans="13:13">
      <c r="M1989" s="202"/>
    </row>
    <row r="1990" spans="13:13">
      <c r="M1990" s="202"/>
    </row>
    <row r="1991" spans="13:13">
      <c r="M1991" s="202"/>
    </row>
    <row r="1992" spans="13:13">
      <c r="M1992" s="202"/>
    </row>
    <row r="1993" spans="13:13">
      <c r="M1993" s="202"/>
    </row>
    <row r="1994" spans="13:13">
      <c r="M1994" s="202"/>
    </row>
    <row r="1995" spans="13:13">
      <c r="M1995" s="202"/>
    </row>
    <row r="1996" spans="13:13">
      <c r="M1996" s="202"/>
    </row>
    <row r="1997" spans="13:13">
      <c r="M1997" s="202"/>
    </row>
    <row r="1998" spans="13:13">
      <c r="M1998" s="202"/>
    </row>
    <row r="1999" spans="13:13">
      <c r="M1999" s="202"/>
    </row>
    <row r="2000" spans="13:13">
      <c r="M2000" s="202"/>
    </row>
    <row r="2001" spans="13:13">
      <c r="M2001" s="202"/>
    </row>
    <row r="2002" spans="13:13">
      <c r="M2002" s="202"/>
    </row>
    <row r="2003" spans="13:13">
      <c r="M2003" s="202"/>
    </row>
    <row r="2004" spans="13:13">
      <c r="M2004" s="202"/>
    </row>
    <row r="2005" spans="13:13">
      <c r="M2005" s="202"/>
    </row>
    <row r="2006" spans="13:13">
      <c r="M2006" s="202"/>
    </row>
    <row r="2007" spans="13:13">
      <c r="M2007" s="202"/>
    </row>
    <row r="2008" spans="13:13">
      <c r="M2008" s="202"/>
    </row>
    <row r="2009" spans="13:13">
      <c r="M2009" s="202"/>
    </row>
    <row r="2010" spans="13:13">
      <c r="M2010" s="202"/>
    </row>
    <row r="2011" spans="13:13">
      <c r="M2011" s="202"/>
    </row>
    <row r="2012" spans="13:13">
      <c r="M2012" s="202"/>
    </row>
    <row r="2013" spans="13:13">
      <c r="M2013" s="202"/>
    </row>
    <row r="2014" spans="13:13">
      <c r="M2014" s="202"/>
    </row>
    <row r="2015" spans="13:13">
      <c r="M2015" s="202"/>
    </row>
    <row r="2016" spans="13:13">
      <c r="M2016" s="202"/>
    </row>
    <row r="2017" spans="13:13">
      <c r="M2017" s="202"/>
    </row>
    <row r="2018" spans="13:13">
      <c r="M2018" s="202"/>
    </row>
    <row r="2019" spans="13:13">
      <c r="M2019" s="202"/>
    </row>
    <row r="2020" spans="13:13">
      <c r="M2020" s="202"/>
    </row>
    <row r="2021" spans="13:13">
      <c r="M2021" s="202"/>
    </row>
    <row r="2022" spans="13:13">
      <c r="M2022" s="202"/>
    </row>
    <row r="2023" spans="13:13">
      <c r="M2023" s="202"/>
    </row>
    <row r="2024" spans="13:13">
      <c r="M2024" s="202"/>
    </row>
    <row r="2025" spans="13:13">
      <c r="M2025" s="202"/>
    </row>
    <row r="2026" spans="13:13">
      <c r="M2026" s="202"/>
    </row>
    <row r="2027" spans="13:13">
      <c r="M2027" s="202"/>
    </row>
    <row r="2028" spans="13:13">
      <c r="M2028" s="202"/>
    </row>
    <row r="2029" spans="13:13">
      <c r="M2029" s="202"/>
    </row>
    <row r="2030" spans="13:13">
      <c r="M2030" s="202"/>
    </row>
    <row r="2031" spans="13:13">
      <c r="M2031" s="202"/>
    </row>
    <row r="2032" spans="13:13">
      <c r="M2032" s="202"/>
    </row>
    <row r="2033" spans="13:13">
      <c r="M2033" s="202"/>
    </row>
    <row r="2034" spans="13:13">
      <c r="M2034" s="202"/>
    </row>
    <row r="2035" spans="13:13">
      <c r="M2035" s="202"/>
    </row>
    <row r="2036" spans="13:13">
      <c r="M2036" s="202"/>
    </row>
    <row r="2037" spans="13:13">
      <c r="M2037" s="202"/>
    </row>
    <row r="2038" spans="13:13">
      <c r="M2038" s="202"/>
    </row>
    <row r="2039" spans="13:13">
      <c r="M2039" s="202"/>
    </row>
    <row r="2040" spans="13:13">
      <c r="M2040" s="202"/>
    </row>
    <row r="2041" spans="13:13">
      <c r="M2041" s="202"/>
    </row>
    <row r="2042" spans="13:13">
      <c r="M2042" s="202"/>
    </row>
    <row r="2043" spans="13:13">
      <c r="M2043" s="202"/>
    </row>
    <row r="2044" spans="13:13">
      <c r="M2044" s="202"/>
    </row>
    <row r="2045" spans="13:13">
      <c r="M2045" s="202"/>
    </row>
    <row r="2046" spans="13:13">
      <c r="M2046" s="202"/>
    </row>
    <row r="2047" spans="13:13">
      <c r="M2047" s="202"/>
    </row>
    <row r="2048" spans="13:13">
      <c r="M2048" s="202"/>
    </row>
    <row r="2049" spans="13:13">
      <c r="M2049" s="202"/>
    </row>
    <row r="2050" spans="13:13">
      <c r="M2050" s="202"/>
    </row>
    <row r="2051" spans="13:13">
      <c r="M2051" s="202"/>
    </row>
    <row r="2052" spans="13:13">
      <c r="M2052" s="202"/>
    </row>
    <row r="2053" spans="13:13">
      <c r="M2053" s="202"/>
    </row>
    <row r="2054" spans="13:13">
      <c r="M2054" s="202"/>
    </row>
    <row r="2055" spans="13:13">
      <c r="M2055" s="202"/>
    </row>
    <row r="2056" spans="13:13">
      <c r="M2056" s="202"/>
    </row>
    <row r="2057" spans="13:13">
      <c r="M2057" s="202"/>
    </row>
    <row r="2058" spans="13:13">
      <c r="M2058" s="202"/>
    </row>
    <row r="2059" spans="13:13">
      <c r="M2059" s="202"/>
    </row>
    <row r="2060" spans="13:13">
      <c r="M2060" s="202"/>
    </row>
    <row r="2061" spans="13:13">
      <c r="M2061" s="202"/>
    </row>
    <row r="2062" spans="13:13">
      <c r="M2062" s="202"/>
    </row>
    <row r="2063" spans="13:13">
      <c r="M2063" s="202"/>
    </row>
    <row r="2064" spans="13:13">
      <c r="M2064" s="202"/>
    </row>
    <row r="2065" spans="13:13">
      <c r="M2065" s="202"/>
    </row>
    <row r="2066" spans="13:13">
      <c r="M2066" s="202"/>
    </row>
    <row r="2067" spans="13:13">
      <c r="M2067" s="202"/>
    </row>
    <row r="2068" spans="13:13">
      <c r="M2068" s="202"/>
    </row>
    <row r="2069" spans="13:13">
      <c r="M2069" s="202"/>
    </row>
    <row r="2070" spans="13:13">
      <c r="M2070" s="202"/>
    </row>
    <row r="2071" spans="13:13">
      <c r="M2071" s="202"/>
    </row>
    <row r="2072" spans="13:13">
      <c r="M2072" s="202"/>
    </row>
    <row r="2073" spans="13:13">
      <c r="M2073" s="202"/>
    </row>
    <row r="2074" spans="13:13">
      <c r="M2074" s="202"/>
    </row>
    <row r="2075" spans="13:13">
      <c r="M2075" s="202"/>
    </row>
    <row r="2076" spans="13:13">
      <c r="M2076" s="202"/>
    </row>
    <row r="2077" spans="13:13">
      <c r="M2077" s="202"/>
    </row>
    <row r="2078" spans="13:13">
      <c r="M2078" s="202"/>
    </row>
    <row r="2079" spans="13:13">
      <c r="M2079" s="202"/>
    </row>
    <row r="2080" spans="13:13">
      <c r="M2080" s="202"/>
    </row>
    <row r="2081" spans="13:13">
      <c r="M2081" s="202"/>
    </row>
    <row r="2082" spans="13:13">
      <c r="M2082" s="202"/>
    </row>
    <row r="2083" spans="13:13">
      <c r="M2083" s="202"/>
    </row>
    <row r="2084" spans="13:13">
      <c r="M2084" s="202"/>
    </row>
    <row r="2085" spans="13:13">
      <c r="M2085" s="202"/>
    </row>
    <row r="2086" spans="13:13">
      <c r="M2086" s="202"/>
    </row>
    <row r="2087" spans="13:13">
      <c r="M2087" s="202"/>
    </row>
    <row r="2088" spans="13:13">
      <c r="M2088" s="202"/>
    </row>
    <row r="2089" spans="13:13">
      <c r="M2089" s="202"/>
    </row>
    <row r="2090" spans="13:13">
      <c r="M2090" s="202"/>
    </row>
    <row r="2091" spans="13:13">
      <c r="M2091" s="202"/>
    </row>
    <row r="2092" spans="13:13">
      <c r="M2092" s="202"/>
    </row>
    <row r="2093" spans="13:13">
      <c r="M2093" s="202"/>
    </row>
    <row r="2094" spans="13:13">
      <c r="M2094" s="202"/>
    </row>
    <row r="2095" spans="13:13">
      <c r="M2095" s="202"/>
    </row>
    <row r="2096" spans="13:13">
      <c r="M2096" s="202"/>
    </row>
    <row r="2097" spans="13:13">
      <c r="M2097" s="202"/>
    </row>
    <row r="2098" spans="13:13">
      <c r="M2098" s="202"/>
    </row>
    <row r="2099" spans="13:13">
      <c r="M2099" s="202"/>
    </row>
    <row r="2100" spans="13:13">
      <c r="M2100" s="202"/>
    </row>
    <row r="2101" spans="13:13">
      <c r="M2101" s="202"/>
    </row>
    <row r="2102" spans="13:13">
      <c r="M2102" s="202"/>
    </row>
    <row r="2103" spans="13:13">
      <c r="M2103" s="202"/>
    </row>
    <row r="2104" spans="13:13">
      <c r="M2104" s="202"/>
    </row>
    <row r="2105" spans="13:13">
      <c r="M2105" s="202"/>
    </row>
    <row r="2106" spans="13:13">
      <c r="M2106" s="202"/>
    </row>
    <row r="2107" spans="13:13">
      <c r="M2107" s="202"/>
    </row>
    <row r="2108" spans="13:13">
      <c r="M2108" s="202"/>
    </row>
    <row r="2109" spans="13:13">
      <c r="M2109" s="202"/>
    </row>
    <row r="2110" spans="13:13">
      <c r="M2110" s="202"/>
    </row>
    <row r="2111" spans="13:13">
      <c r="M2111" s="202"/>
    </row>
    <row r="2112" spans="13:13">
      <c r="M2112" s="202"/>
    </row>
    <row r="2113" spans="13:13">
      <c r="M2113" s="202"/>
    </row>
    <row r="2114" spans="13:13">
      <c r="M2114" s="202"/>
    </row>
    <row r="2115" spans="13:13">
      <c r="M2115" s="202"/>
    </row>
    <row r="2116" spans="13:13">
      <c r="M2116" s="202"/>
    </row>
    <row r="2117" spans="13:13">
      <c r="M2117" s="202"/>
    </row>
    <row r="2118" spans="13:13">
      <c r="M2118" s="202"/>
    </row>
    <row r="2119" spans="13:13">
      <c r="M2119" s="202"/>
    </row>
    <row r="2120" spans="13:13">
      <c r="M2120" s="202"/>
    </row>
    <row r="2121" spans="13:13">
      <c r="M2121" s="202"/>
    </row>
    <row r="2122" spans="13:13">
      <c r="M2122" s="202"/>
    </row>
    <row r="2123" spans="13:13">
      <c r="M2123" s="202"/>
    </row>
    <row r="2124" spans="13:13">
      <c r="M2124" s="202"/>
    </row>
    <row r="2125" spans="13:13">
      <c r="M2125" s="202"/>
    </row>
    <row r="2126" spans="13:13">
      <c r="M2126" s="202"/>
    </row>
    <row r="2127" spans="13:13">
      <c r="M2127" s="202"/>
    </row>
    <row r="2128" spans="13:13">
      <c r="M2128" s="202"/>
    </row>
    <row r="2129" spans="13:13">
      <c r="M2129" s="202"/>
    </row>
    <row r="2130" spans="13:13">
      <c r="M2130" s="202"/>
    </row>
    <row r="2131" spans="13:13">
      <c r="M2131" s="202"/>
    </row>
    <row r="2132" spans="13:13">
      <c r="M2132" s="202"/>
    </row>
    <row r="2133" spans="13:13">
      <c r="M2133" s="202"/>
    </row>
    <row r="2134" spans="13:13">
      <c r="M2134" s="202"/>
    </row>
    <row r="2135" spans="13:13">
      <c r="M2135" s="202"/>
    </row>
    <row r="2136" spans="13:13">
      <c r="M2136" s="202"/>
    </row>
    <row r="2137" spans="13:13">
      <c r="M2137" s="202"/>
    </row>
    <row r="2138" spans="13:13">
      <c r="M2138" s="202"/>
    </row>
    <row r="2139" spans="13:13">
      <c r="M2139" s="202"/>
    </row>
    <row r="2140" spans="13:13">
      <c r="M2140" s="202"/>
    </row>
    <row r="2141" spans="13:13">
      <c r="M2141" s="202"/>
    </row>
    <row r="2142" spans="13:13">
      <c r="M2142" s="202"/>
    </row>
    <row r="2143" spans="13:13">
      <c r="M2143" s="202"/>
    </row>
    <row r="2144" spans="13:13">
      <c r="M2144" s="202"/>
    </row>
    <row r="2145" spans="13:13">
      <c r="M2145" s="202"/>
    </row>
    <row r="2146" spans="13:13">
      <c r="M2146" s="202"/>
    </row>
    <row r="2147" spans="13:13">
      <c r="M2147" s="202"/>
    </row>
    <row r="2148" spans="13:13">
      <c r="M2148" s="202"/>
    </row>
    <row r="2149" spans="13:13">
      <c r="M2149" s="202"/>
    </row>
    <row r="2150" spans="13:13">
      <c r="M2150" s="202"/>
    </row>
    <row r="2151" spans="13:13">
      <c r="M2151" s="202"/>
    </row>
    <row r="2152" spans="13:13">
      <c r="M2152" s="202"/>
    </row>
    <row r="2153" spans="13:13">
      <c r="M2153" s="202"/>
    </row>
    <row r="2154" spans="13:13">
      <c r="M2154" s="202"/>
    </row>
    <row r="2155" spans="13:13">
      <c r="M2155" s="202"/>
    </row>
    <row r="2156" spans="13:13">
      <c r="M2156" s="202"/>
    </row>
    <row r="2157" spans="13:13">
      <c r="M2157" s="202"/>
    </row>
    <row r="2158" spans="13:13">
      <c r="M2158" s="202"/>
    </row>
    <row r="2159" spans="13:13">
      <c r="M2159" s="202"/>
    </row>
    <row r="2160" spans="13:13">
      <c r="M2160" s="202"/>
    </row>
    <row r="2161" spans="13:13">
      <c r="M2161" s="202"/>
    </row>
    <row r="2162" spans="13:13">
      <c r="M2162" s="202"/>
    </row>
    <row r="2163" spans="13:13">
      <c r="M2163" s="202"/>
    </row>
    <row r="2164" spans="13:13">
      <c r="M2164" s="202"/>
    </row>
    <row r="2165" spans="13:13">
      <c r="M2165" s="202"/>
    </row>
    <row r="2166" spans="13:13">
      <c r="M2166" s="202"/>
    </row>
    <row r="2167" spans="13:13">
      <c r="M2167" s="202"/>
    </row>
    <row r="2168" spans="13:13">
      <c r="M2168" s="202"/>
    </row>
    <row r="2169" spans="13:13">
      <c r="M2169" s="202"/>
    </row>
    <row r="2170" spans="13:13">
      <c r="M2170" s="202"/>
    </row>
    <row r="2171" spans="13:13">
      <c r="M2171" s="202"/>
    </row>
    <row r="2172" spans="13:13">
      <c r="M2172" s="202"/>
    </row>
    <row r="2173" spans="13:13">
      <c r="M2173" s="202"/>
    </row>
    <row r="2174" spans="13:13">
      <c r="M2174" s="202"/>
    </row>
    <row r="2175" spans="13:13">
      <c r="M2175" s="202"/>
    </row>
    <row r="2176" spans="13:13">
      <c r="M2176" s="202"/>
    </row>
    <row r="2177" spans="13:13">
      <c r="M2177" s="202"/>
    </row>
    <row r="2178" spans="13:13">
      <c r="M2178" s="202"/>
    </row>
    <row r="2179" spans="13:13">
      <c r="M2179" s="202"/>
    </row>
    <row r="2180" spans="13:13">
      <c r="M2180" s="202"/>
    </row>
    <row r="2181" spans="13:13">
      <c r="M2181" s="202"/>
    </row>
    <row r="2182" spans="13:13">
      <c r="M2182" s="202"/>
    </row>
    <row r="2183" spans="13:13">
      <c r="M2183" s="202"/>
    </row>
    <row r="2184" spans="13:13">
      <c r="M2184" s="202"/>
    </row>
    <row r="2185" spans="13:13">
      <c r="M2185" s="202"/>
    </row>
    <row r="2186" spans="13:13">
      <c r="M2186" s="202"/>
    </row>
    <row r="2187" spans="13:13">
      <c r="M2187" s="202"/>
    </row>
    <row r="2188" spans="13:13">
      <c r="M2188" s="202"/>
    </row>
    <row r="2189" spans="13:13">
      <c r="M2189" s="202"/>
    </row>
    <row r="2190" spans="13:13">
      <c r="M2190" s="202"/>
    </row>
    <row r="2191" spans="13:13">
      <c r="M2191" s="202"/>
    </row>
    <row r="2192" spans="13:13">
      <c r="M2192" s="202"/>
    </row>
    <row r="2193" spans="13:13">
      <c r="M2193" s="202"/>
    </row>
    <row r="2194" spans="13:13">
      <c r="M2194" s="202"/>
    </row>
    <row r="2195" spans="13:13">
      <c r="M2195" s="202"/>
    </row>
    <row r="2196" spans="13:13">
      <c r="M2196" s="202"/>
    </row>
    <row r="2197" spans="13:13">
      <c r="M2197" s="202"/>
    </row>
    <row r="2198" spans="13:13">
      <c r="M2198" s="202"/>
    </row>
    <row r="2199" spans="13:13">
      <c r="M2199" s="202"/>
    </row>
    <row r="2200" spans="13:13">
      <c r="M2200" s="202"/>
    </row>
    <row r="2201" spans="13:13">
      <c r="M2201" s="202"/>
    </row>
    <row r="2202" spans="13:13">
      <c r="M2202" s="202"/>
    </row>
    <row r="2203" spans="13:13">
      <c r="M2203" s="202"/>
    </row>
    <row r="2204" spans="13:13">
      <c r="M2204" s="202"/>
    </row>
    <row r="2205" spans="13:13">
      <c r="M2205" s="202"/>
    </row>
    <row r="2206" spans="13:13">
      <c r="M2206" s="202"/>
    </row>
    <row r="2207" spans="13:13">
      <c r="M2207" s="202"/>
    </row>
    <row r="2208" spans="13:13">
      <c r="M2208" s="202"/>
    </row>
    <row r="2209" spans="13:13">
      <c r="M2209" s="202"/>
    </row>
    <row r="2210" spans="13:13">
      <c r="M2210" s="202"/>
    </row>
    <row r="2211" spans="13:13">
      <c r="M2211" s="202"/>
    </row>
    <row r="2212" spans="13:13">
      <c r="M2212" s="202"/>
    </row>
    <row r="2213" spans="13:13">
      <c r="M2213" s="202"/>
    </row>
    <row r="2214" spans="13:13">
      <c r="M2214" s="202"/>
    </row>
    <row r="2215" spans="13:13">
      <c r="M2215" s="202"/>
    </row>
    <row r="2216" spans="13:13">
      <c r="M2216" s="202"/>
    </row>
    <row r="2217" spans="13:13">
      <c r="M2217" s="202"/>
    </row>
    <row r="2218" spans="13:13">
      <c r="M2218" s="202"/>
    </row>
    <row r="2219" spans="13:13">
      <c r="M2219" s="202"/>
    </row>
    <row r="2220" spans="13:13">
      <c r="M2220" s="202"/>
    </row>
    <row r="2221" spans="13:13">
      <c r="M2221" s="202"/>
    </row>
    <row r="2222" spans="13:13">
      <c r="M2222" s="202"/>
    </row>
    <row r="2223" spans="13:13">
      <c r="M2223" s="202"/>
    </row>
    <row r="2224" spans="13:13">
      <c r="M2224" s="202"/>
    </row>
    <row r="2225" spans="13:13">
      <c r="M2225" s="202"/>
    </row>
    <row r="2226" spans="13:13">
      <c r="M2226" s="202"/>
    </row>
    <row r="2227" spans="13:13">
      <c r="M2227" s="202"/>
    </row>
    <row r="2228" spans="13:13">
      <c r="M2228" s="202"/>
    </row>
    <row r="2229" spans="13:13">
      <c r="M2229" s="202"/>
    </row>
    <row r="2230" spans="13:13">
      <c r="M2230" s="202"/>
    </row>
    <row r="2231" spans="13:13">
      <c r="M2231" s="202"/>
    </row>
    <row r="2232" spans="13:13">
      <c r="M2232" s="202"/>
    </row>
    <row r="2233" spans="13:13">
      <c r="M2233" s="202"/>
    </row>
    <row r="2234" spans="13:13">
      <c r="M2234" s="202"/>
    </row>
    <row r="2235" spans="13:13">
      <c r="M2235" s="202"/>
    </row>
    <row r="2236" spans="13:13">
      <c r="M2236" s="202"/>
    </row>
    <row r="2237" spans="13:13">
      <c r="M2237" s="202"/>
    </row>
    <row r="2238" spans="13:13">
      <c r="M2238" s="202"/>
    </row>
    <row r="2239" spans="13:13">
      <c r="M2239" s="202"/>
    </row>
    <row r="2240" spans="13:13">
      <c r="M2240" s="202"/>
    </row>
    <row r="2241" spans="13:13">
      <c r="M2241" s="202"/>
    </row>
    <row r="2242" spans="13:13">
      <c r="M2242" s="202"/>
    </row>
    <row r="2243" spans="13:13">
      <c r="M2243" s="202"/>
    </row>
    <row r="2244" spans="13:13">
      <c r="M2244" s="202"/>
    </row>
    <row r="2245" spans="13:13">
      <c r="M2245" s="202"/>
    </row>
    <row r="2246" spans="13:13">
      <c r="M2246" s="202"/>
    </row>
    <row r="2247" spans="13:13">
      <c r="M2247" s="202"/>
    </row>
    <row r="2248" spans="13:13">
      <c r="M2248" s="202"/>
    </row>
    <row r="2249" spans="13:13">
      <c r="M2249" s="202"/>
    </row>
    <row r="2250" spans="13:13">
      <c r="M2250" s="202"/>
    </row>
    <row r="2251" spans="13:13">
      <c r="M2251" s="202"/>
    </row>
    <row r="2252" spans="13:13">
      <c r="M2252" s="202"/>
    </row>
    <row r="2253" spans="13:13">
      <c r="M2253" s="202"/>
    </row>
    <row r="2254" spans="13:13">
      <c r="M2254" s="202"/>
    </row>
    <row r="2255" spans="13:13">
      <c r="M2255" s="202"/>
    </row>
    <row r="2256" spans="13:13">
      <c r="M2256" s="202"/>
    </row>
    <row r="2257" spans="13:13">
      <c r="M2257" s="202"/>
    </row>
    <row r="2258" spans="13:13">
      <c r="M2258" s="202"/>
    </row>
    <row r="2259" spans="13:13">
      <c r="M2259" s="202"/>
    </row>
    <row r="2260" spans="13:13">
      <c r="M2260" s="202"/>
    </row>
    <row r="2261" spans="13:13">
      <c r="M2261" s="202"/>
    </row>
    <row r="2262" spans="13:13">
      <c r="M2262" s="202"/>
    </row>
    <row r="2263" spans="13:13">
      <c r="M2263" s="202"/>
    </row>
    <row r="2264" spans="13:13">
      <c r="M2264" s="202"/>
    </row>
    <row r="2265" spans="13:13">
      <c r="M2265" s="202"/>
    </row>
    <row r="2266" spans="13:13">
      <c r="M2266" s="202"/>
    </row>
    <row r="2267" spans="13:13">
      <c r="M2267" s="202"/>
    </row>
    <row r="2268" spans="13:13">
      <c r="M2268" s="202"/>
    </row>
    <row r="2269" spans="13:13">
      <c r="M2269" s="202"/>
    </row>
    <row r="2270" spans="13:13">
      <c r="M2270" s="202"/>
    </row>
    <row r="2271" spans="13:13">
      <c r="M2271" s="202"/>
    </row>
    <row r="2272" spans="13:13">
      <c r="M2272" s="202"/>
    </row>
    <row r="2273" spans="13:13">
      <c r="M2273" s="202"/>
    </row>
    <row r="2274" spans="13:13">
      <c r="M2274" s="202"/>
    </row>
    <row r="2275" spans="13:13">
      <c r="M2275" s="202"/>
    </row>
    <row r="2276" spans="13:13">
      <c r="M2276" s="202"/>
    </row>
    <row r="2277" spans="13:13">
      <c r="M2277" s="202"/>
    </row>
    <row r="2278" spans="13:13">
      <c r="M2278" s="202"/>
    </row>
    <row r="2279" spans="13:13">
      <c r="M2279" s="202"/>
    </row>
    <row r="2280" spans="13:13">
      <c r="M2280" s="202"/>
    </row>
    <row r="2281" spans="13:13">
      <c r="M2281" s="202"/>
    </row>
    <row r="2282" spans="13:13">
      <c r="M2282" s="202"/>
    </row>
    <row r="2283" spans="13:13">
      <c r="M2283" s="202"/>
    </row>
    <row r="2284" spans="13:13">
      <c r="M2284" s="202"/>
    </row>
    <row r="2285" spans="13:13">
      <c r="M2285" s="202"/>
    </row>
    <row r="2286" spans="13:13">
      <c r="M2286" s="202"/>
    </row>
    <row r="2287" spans="13:13">
      <c r="M2287" s="202"/>
    </row>
    <row r="2288" spans="13:13">
      <c r="M2288" s="202"/>
    </row>
    <row r="2289" spans="13:13">
      <c r="M2289" s="202"/>
    </row>
    <row r="2290" spans="13:13">
      <c r="M2290" s="202"/>
    </row>
    <row r="2291" spans="13:13">
      <c r="M2291" s="202"/>
    </row>
    <row r="2292" spans="13:13">
      <c r="M2292" s="202"/>
    </row>
    <row r="2293" spans="13:13">
      <c r="M2293" s="202"/>
    </row>
    <row r="2294" spans="13:13">
      <c r="M2294" s="202"/>
    </row>
    <row r="2295" spans="13:13">
      <c r="M2295" s="202"/>
    </row>
    <row r="2296" spans="13:13">
      <c r="M2296" s="202"/>
    </row>
    <row r="2297" spans="13:13">
      <c r="M2297" s="202"/>
    </row>
    <row r="2298" spans="13:13">
      <c r="M2298" s="202"/>
    </row>
    <row r="2299" spans="13:13">
      <c r="M2299" s="202"/>
    </row>
    <row r="2300" spans="13:13">
      <c r="M2300" s="202"/>
    </row>
    <row r="2301" spans="13:13">
      <c r="M2301" s="202"/>
    </row>
    <row r="2302" spans="13:13">
      <c r="M2302" s="202"/>
    </row>
    <row r="2303" spans="13:13">
      <c r="M2303" s="202"/>
    </row>
    <row r="2304" spans="13:13">
      <c r="M2304" s="202"/>
    </row>
    <row r="2305" spans="13:13">
      <c r="M2305" s="202"/>
    </row>
    <row r="2306" spans="13:13">
      <c r="M2306" s="202"/>
    </row>
    <row r="2307" spans="13:13">
      <c r="M2307" s="202"/>
    </row>
    <row r="2308" spans="13:13">
      <c r="M2308" s="202"/>
    </row>
    <row r="2309" spans="13:13">
      <c r="M2309" s="202"/>
    </row>
    <row r="2310" spans="13:13">
      <c r="M2310" s="202"/>
    </row>
    <row r="2311" spans="13:13">
      <c r="M2311" s="202"/>
    </row>
    <row r="2312" spans="13:13">
      <c r="M2312" s="202"/>
    </row>
    <row r="2313" spans="13:13">
      <c r="M2313" s="202"/>
    </row>
    <row r="2314" spans="13:13">
      <c r="M2314" s="202"/>
    </row>
    <row r="2315" spans="13:13">
      <c r="M2315" s="202"/>
    </row>
    <row r="2316" spans="13:13">
      <c r="M2316" s="202"/>
    </row>
    <row r="2317" spans="13:13">
      <c r="M2317" s="202"/>
    </row>
    <row r="2318" spans="13:13">
      <c r="M2318" s="202"/>
    </row>
    <row r="2319" spans="13:13">
      <c r="M2319" s="202"/>
    </row>
    <row r="2320" spans="13:13">
      <c r="M2320" s="202"/>
    </row>
    <row r="2321" spans="13:13">
      <c r="M2321" s="202"/>
    </row>
    <row r="2322" spans="13:13">
      <c r="M2322" s="202"/>
    </row>
    <row r="2323" spans="13:13">
      <c r="M2323" s="202"/>
    </row>
    <row r="2324" spans="13:13">
      <c r="M2324" s="202"/>
    </row>
    <row r="2325" spans="13:13">
      <c r="M2325" s="202"/>
    </row>
    <row r="2326" spans="13:13">
      <c r="M2326" s="202"/>
    </row>
    <row r="2327" spans="13:13">
      <c r="M2327" s="202"/>
    </row>
    <row r="2328" spans="13:13">
      <c r="M2328" s="202"/>
    </row>
    <row r="2329" spans="13:13">
      <c r="M2329" s="202"/>
    </row>
    <row r="2330" spans="13:13">
      <c r="M2330" s="202"/>
    </row>
    <row r="2331" spans="13:13">
      <c r="M2331" s="202"/>
    </row>
    <row r="2332" spans="13:13">
      <c r="M2332" s="202"/>
    </row>
    <row r="2333" spans="13:13">
      <c r="M2333" s="202"/>
    </row>
    <row r="2334" spans="13:13">
      <c r="M2334" s="202"/>
    </row>
    <row r="2335" spans="13:13">
      <c r="M2335" s="202"/>
    </row>
    <row r="2336" spans="13:13">
      <c r="M2336" s="202"/>
    </row>
    <row r="2337" spans="13:13">
      <c r="M2337" s="202"/>
    </row>
    <row r="2338" spans="13:13">
      <c r="M2338" s="202"/>
    </row>
    <row r="2339" spans="13:13">
      <c r="M2339" s="202"/>
    </row>
    <row r="2340" spans="13:13">
      <c r="M2340" s="202"/>
    </row>
    <row r="2341" spans="13:13">
      <c r="M2341" s="202"/>
    </row>
    <row r="2342" spans="13:13">
      <c r="M2342" s="202"/>
    </row>
    <row r="2343" spans="13:13">
      <c r="M2343" s="202"/>
    </row>
    <row r="2344" spans="13:13">
      <c r="M2344" s="202"/>
    </row>
    <row r="2345" spans="13:13">
      <c r="M2345" s="202"/>
    </row>
    <row r="2346" spans="13:13">
      <c r="M2346" s="202"/>
    </row>
    <row r="2347" spans="13:13">
      <c r="M2347" s="202"/>
    </row>
    <row r="2348" spans="13:13">
      <c r="M2348" s="202"/>
    </row>
    <row r="2349" spans="13:13">
      <c r="M2349" s="202"/>
    </row>
    <row r="2350" spans="13:13">
      <c r="M2350" s="202"/>
    </row>
    <row r="2351" spans="13:13">
      <c r="M2351" s="202"/>
    </row>
    <row r="2352" spans="13:13">
      <c r="M2352" s="202"/>
    </row>
    <row r="2353" spans="13:13">
      <c r="M2353" s="202"/>
    </row>
    <row r="2354" spans="13:13">
      <c r="M2354" s="202"/>
    </row>
    <row r="2355" spans="13:13">
      <c r="M2355" s="202"/>
    </row>
    <row r="2356" spans="13:13">
      <c r="M2356" s="202"/>
    </row>
    <row r="2357" spans="13:13">
      <c r="M2357" s="202"/>
    </row>
    <row r="2358" spans="13:13">
      <c r="M2358" s="202"/>
    </row>
    <row r="2359" spans="13:13">
      <c r="M2359" s="202"/>
    </row>
    <row r="2360" spans="13:13">
      <c r="M2360" s="202"/>
    </row>
    <row r="2361" spans="13:13">
      <c r="M2361" s="202"/>
    </row>
    <row r="2362" spans="13:13">
      <c r="M2362" s="202"/>
    </row>
    <row r="2363" spans="13:13">
      <c r="M2363" s="202"/>
    </row>
    <row r="2364" spans="13:13">
      <c r="M2364" s="202"/>
    </row>
    <row r="2365" spans="13:13">
      <c r="M2365" s="202"/>
    </row>
    <row r="2366" spans="13:13">
      <c r="M2366" s="202"/>
    </row>
    <row r="2367" spans="13:13">
      <c r="M2367" s="202"/>
    </row>
    <row r="2368" spans="13:13">
      <c r="M2368" s="202"/>
    </row>
    <row r="2369" spans="13:13">
      <c r="M2369" s="202"/>
    </row>
    <row r="2370" spans="13:13">
      <c r="M2370" s="202"/>
    </row>
    <row r="2371" spans="13:13">
      <c r="M2371" s="202"/>
    </row>
    <row r="2372" spans="13:13">
      <c r="M2372" s="202"/>
    </row>
    <row r="2373" spans="13:13">
      <c r="M2373" s="202"/>
    </row>
    <row r="2374" spans="13:13">
      <c r="M2374" s="202"/>
    </row>
    <row r="2375" spans="13:13">
      <c r="M2375" s="202"/>
    </row>
    <row r="2376" spans="13:13">
      <c r="M2376" s="202"/>
    </row>
    <row r="2377" spans="13:13">
      <c r="M2377" s="202"/>
    </row>
    <row r="2378" spans="13:13">
      <c r="M2378" s="202"/>
    </row>
    <row r="2379" spans="13:13">
      <c r="M2379" s="202"/>
    </row>
    <row r="2380" spans="13:13">
      <c r="M2380" s="202"/>
    </row>
    <row r="2381" spans="13:13">
      <c r="M2381" s="202"/>
    </row>
    <row r="2382" spans="13:13">
      <c r="M2382" s="202"/>
    </row>
    <row r="2383" spans="13:13">
      <c r="M2383" s="202"/>
    </row>
    <row r="2384" spans="13:13">
      <c r="M2384" s="202"/>
    </row>
    <row r="2385" spans="13:13">
      <c r="M2385" s="202"/>
    </row>
    <row r="2386" spans="13:13">
      <c r="M2386" s="202"/>
    </row>
    <row r="2387" spans="13:13">
      <c r="M2387" s="202"/>
    </row>
    <row r="2388" spans="13:13">
      <c r="M2388" s="202"/>
    </row>
    <row r="2389" spans="13:13">
      <c r="M2389" s="202"/>
    </row>
    <row r="2390" spans="13:13">
      <c r="M2390" s="202"/>
    </row>
    <row r="2391" spans="13:13">
      <c r="M2391" s="202"/>
    </row>
    <row r="2392" spans="13:13">
      <c r="M2392" s="202"/>
    </row>
    <row r="2393" spans="13:13">
      <c r="M2393" s="202"/>
    </row>
    <row r="2394" spans="13:13">
      <c r="M2394" s="202"/>
    </row>
    <row r="2395" spans="13:13">
      <c r="M2395" s="202"/>
    </row>
    <row r="2396" spans="13:13">
      <c r="M2396" s="202"/>
    </row>
    <row r="2397" spans="13:13">
      <c r="M2397" s="202"/>
    </row>
    <row r="2398" spans="13:13">
      <c r="M2398" s="202"/>
    </row>
    <row r="2399" spans="13:13">
      <c r="M2399" s="202"/>
    </row>
    <row r="2400" spans="13:13">
      <c r="M2400" s="202"/>
    </row>
    <row r="2401" spans="13:13">
      <c r="M2401" s="202"/>
    </row>
    <row r="2402" spans="13:13">
      <c r="M2402" s="202"/>
    </row>
    <row r="2403" spans="13:13">
      <c r="M2403" s="202"/>
    </row>
    <row r="2404" spans="13:13">
      <c r="M2404" s="202"/>
    </row>
    <row r="2405" spans="13:13">
      <c r="M2405" s="202"/>
    </row>
    <row r="2406" spans="13:13">
      <c r="M2406" s="202"/>
    </row>
    <row r="2407" spans="13:13">
      <c r="M2407" s="202"/>
    </row>
    <row r="2408" spans="13:13">
      <c r="M2408" s="202"/>
    </row>
    <row r="2409" spans="13:13">
      <c r="M2409" s="202"/>
    </row>
    <row r="2410" spans="13:13">
      <c r="M2410" s="202"/>
    </row>
    <row r="2411" spans="13:13">
      <c r="M2411" s="202"/>
    </row>
    <row r="2412" spans="13:13">
      <c r="M2412" s="202"/>
    </row>
    <row r="2413" spans="13:13">
      <c r="M2413" s="202"/>
    </row>
    <row r="2414" spans="13:13">
      <c r="M2414" s="202"/>
    </row>
    <row r="2415" spans="13:13">
      <c r="M2415" s="202"/>
    </row>
    <row r="2416" spans="13:13">
      <c r="M2416" s="202"/>
    </row>
    <row r="2417" spans="13:13">
      <c r="M2417" s="202"/>
    </row>
    <row r="2418" spans="13:13">
      <c r="M2418" s="202"/>
    </row>
    <row r="2419" spans="13:13">
      <c r="M2419" s="202"/>
    </row>
    <row r="2420" spans="13:13">
      <c r="M2420" s="202"/>
    </row>
    <row r="2421" spans="13:13">
      <c r="M2421" s="202"/>
    </row>
    <row r="2422" spans="13:13">
      <c r="M2422" s="202"/>
    </row>
    <row r="2423" spans="13:13">
      <c r="M2423" s="202"/>
    </row>
    <row r="2424" spans="13:13">
      <c r="M2424" s="202"/>
    </row>
    <row r="2425" spans="13:13">
      <c r="M2425" s="202"/>
    </row>
    <row r="2426" spans="13:13">
      <c r="M2426" s="202"/>
    </row>
    <row r="2427" spans="13:13">
      <c r="M2427" s="202"/>
    </row>
    <row r="2428" spans="13:13">
      <c r="M2428" s="202"/>
    </row>
    <row r="2429" spans="13:13">
      <c r="M2429" s="202"/>
    </row>
    <row r="2430" spans="13:13">
      <c r="M2430" s="202"/>
    </row>
    <row r="2431" spans="13:13">
      <c r="M2431" s="202"/>
    </row>
    <row r="2432" spans="13:13">
      <c r="M2432" s="202"/>
    </row>
    <row r="2433" spans="13:13">
      <c r="M2433" s="202"/>
    </row>
    <row r="2434" spans="13:13">
      <c r="M2434" s="202"/>
    </row>
    <row r="2435" spans="13:13">
      <c r="M2435" s="202"/>
    </row>
    <row r="2436" spans="13:13">
      <c r="M2436" s="202"/>
    </row>
    <row r="2437" spans="13:13">
      <c r="M2437" s="202"/>
    </row>
    <row r="2438" spans="13:13">
      <c r="M2438" s="202"/>
    </row>
    <row r="2439" spans="13:13">
      <c r="M2439" s="202"/>
    </row>
    <row r="2440" spans="13:13">
      <c r="M2440" s="202"/>
    </row>
    <row r="2441" spans="13:13">
      <c r="M2441" s="202"/>
    </row>
    <row r="2442" spans="13:13">
      <c r="M2442" s="202"/>
    </row>
    <row r="2443" spans="13:13">
      <c r="M2443" s="202"/>
    </row>
    <row r="2444" spans="13:13">
      <c r="M2444" s="202"/>
    </row>
    <row r="2445" spans="13:13">
      <c r="M2445" s="202"/>
    </row>
    <row r="2446" spans="13:13">
      <c r="M2446" s="202"/>
    </row>
    <row r="2447" spans="13:13">
      <c r="M2447" s="202"/>
    </row>
    <row r="2448" spans="13:13">
      <c r="M2448" s="202"/>
    </row>
    <row r="2449" spans="13:13">
      <c r="M2449" s="202"/>
    </row>
    <row r="2450" spans="13:13">
      <c r="M2450" s="202"/>
    </row>
    <row r="2451" spans="13:13">
      <c r="M2451" s="202"/>
    </row>
    <row r="2452" spans="13:13">
      <c r="M2452" s="202"/>
    </row>
    <row r="2453" spans="13:13">
      <c r="M2453" s="202"/>
    </row>
    <row r="2454" spans="13:13">
      <c r="M2454" s="202"/>
    </row>
    <row r="2455" spans="13:13">
      <c r="M2455" s="202"/>
    </row>
    <row r="2456" spans="13:13">
      <c r="M2456" s="202"/>
    </row>
    <row r="2457" spans="13:13">
      <c r="M2457" s="202"/>
    </row>
    <row r="2458" spans="13:13">
      <c r="M2458" s="202"/>
    </row>
    <row r="2459" spans="13:13">
      <c r="M2459" s="202"/>
    </row>
    <row r="2460" spans="13:13">
      <c r="M2460" s="202"/>
    </row>
    <row r="2461" spans="13:13">
      <c r="M2461" s="202"/>
    </row>
    <row r="2462" spans="13:13">
      <c r="M2462" s="202"/>
    </row>
    <row r="2463" spans="13:13">
      <c r="M2463" s="202"/>
    </row>
    <row r="2464" spans="13:13">
      <c r="M2464" s="202"/>
    </row>
    <row r="2465" spans="13:13">
      <c r="M2465" s="202"/>
    </row>
    <row r="2466" spans="13:13">
      <c r="M2466" s="202"/>
    </row>
    <row r="2467" spans="13:13">
      <c r="M2467" s="202"/>
    </row>
    <row r="2468" spans="13:13">
      <c r="M2468" s="202"/>
    </row>
    <row r="2469" spans="13:13">
      <c r="M2469" s="202"/>
    </row>
    <row r="2470" spans="13:13">
      <c r="M2470" s="202"/>
    </row>
    <row r="2471" spans="13:13">
      <c r="M2471" s="202"/>
    </row>
    <row r="2472" spans="13:13">
      <c r="M2472" s="202"/>
    </row>
    <row r="2473" spans="13:13">
      <c r="M2473" s="202"/>
    </row>
    <row r="2474" spans="13:13">
      <c r="M2474" s="202"/>
    </row>
    <row r="2475" spans="13:13">
      <c r="M2475" s="202"/>
    </row>
    <row r="2476" spans="13:13">
      <c r="M2476" s="202"/>
    </row>
    <row r="2477" spans="13:13">
      <c r="M2477" s="202"/>
    </row>
    <row r="2478" spans="13:13">
      <c r="M2478" s="202"/>
    </row>
    <row r="2479" spans="13:13">
      <c r="M2479" s="202"/>
    </row>
    <row r="2480" spans="13:13">
      <c r="M2480" s="202"/>
    </row>
    <row r="2481" spans="13:13">
      <c r="M2481" s="202"/>
    </row>
    <row r="2482" spans="13:13">
      <c r="M2482" s="202"/>
    </row>
    <row r="2483" spans="13:13">
      <c r="M2483" s="202"/>
    </row>
    <row r="2484" spans="13:13">
      <c r="M2484" s="202"/>
    </row>
    <row r="2485" spans="13:13">
      <c r="M2485" s="202"/>
    </row>
    <row r="2486" spans="13:13">
      <c r="M2486" s="202"/>
    </row>
    <row r="2487" spans="13:13">
      <c r="M2487" s="202"/>
    </row>
    <row r="2488" spans="13:13">
      <c r="M2488" s="202"/>
    </row>
    <row r="2489" spans="13:13">
      <c r="M2489" s="202"/>
    </row>
    <row r="2490" spans="13:13">
      <c r="M2490" s="202"/>
    </row>
    <row r="2491" spans="13:13">
      <c r="M2491" s="202"/>
    </row>
    <row r="2492" spans="13:13">
      <c r="M2492" s="202"/>
    </row>
    <row r="2493" spans="13:13">
      <c r="M2493" s="202"/>
    </row>
    <row r="2494" spans="13:13">
      <c r="M2494" s="202"/>
    </row>
    <row r="2495" spans="13:13">
      <c r="M2495" s="202"/>
    </row>
    <row r="2496" spans="13:13">
      <c r="M2496" s="202"/>
    </row>
    <row r="2497" spans="13:13">
      <c r="M2497" s="202"/>
    </row>
    <row r="2498" spans="13:13">
      <c r="M2498" s="202"/>
    </row>
    <row r="2499" spans="13:13">
      <c r="M2499" s="202"/>
    </row>
    <row r="2500" spans="13:13">
      <c r="M2500" s="202"/>
    </row>
    <row r="2501" spans="13:13">
      <c r="M2501" s="202"/>
    </row>
    <row r="2502" spans="13:13">
      <c r="M2502" s="202"/>
    </row>
    <row r="2503" spans="13:13">
      <c r="M2503" s="202"/>
    </row>
    <row r="2504" spans="13:13">
      <c r="M2504" s="202"/>
    </row>
    <row r="2505" spans="13:13">
      <c r="M2505" s="202"/>
    </row>
    <row r="2506" spans="13:13">
      <c r="M2506" s="202"/>
    </row>
    <row r="2507" spans="13:13">
      <c r="M2507" s="202"/>
    </row>
    <row r="2508" spans="13:13">
      <c r="M2508" s="202"/>
    </row>
    <row r="2509" spans="13:13">
      <c r="M2509" s="202"/>
    </row>
    <row r="2510" spans="13:13">
      <c r="M2510" s="202"/>
    </row>
    <row r="2511" spans="13:13">
      <c r="M2511" s="202"/>
    </row>
    <row r="2512" spans="13:13">
      <c r="M2512" s="202"/>
    </row>
    <row r="2513" spans="13:13">
      <c r="M2513" s="202"/>
    </row>
    <row r="2514" spans="13:13">
      <c r="M2514" s="202"/>
    </row>
    <row r="2515" spans="13:13">
      <c r="M2515" s="202"/>
    </row>
    <row r="2516" spans="13:13">
      <c r="M2516" s="202"/>
    </row>
    <row r="2517" spans="13:13">
      <c r="M2517" s="202"/>
    </row>
    <row r="2518" spans="13:13">
      <c r="M2518" s="202"/>
    </row>
    <row r="2519" spans="13:13">
      <c r="M2519" s="202"/>
    </row>
    <row r="2520" spans="13:13">
      <c r="M2520" s="202"/>
    </row>
    <row r="2521" spans="13:13">
      <c r="M2521" s="202"/>
    </row>
    <row r="2522" spans="13:13">
      <c r="M2522" s="202"/>
    </row>
    <row r="2523" spans="13:13">
      <c r="M2523" s="202"/>
    </row>
    <row r="2524" spans="13:13">
      <c r="M2524" s="202"/>
    </row>
    <row r="2525" spans="13:13">
      <c r="M2525" s="202"/>
    </row>
    <row r="2526" spans="13:13">
      <c r="M2526" s="202"/>
    </row>
    <row r="2527" spans="13:13">
      <c r="M2527" s="202"/>
    </row>
    <row r="2528" spans="13:13">
      <c r="M2528" s="202"/>
    </row>
    <row r="2529" spans="13:13">
      <c r="M2529" s="202"/>
    </row>
    <row r="2530" spans="13:13">
      <c r="M2530" s="202"/>
    </row>
    <row r="2531" spans="13:13">
      <c r="M2531" s="202"/>
    </row>
    <row r="2532" spans="13:13">
      <c r="M2532" s="202"/>
    </row>
    <row r="2533" spans="13:13">
      <c r="M2533" s="202"/>
    </row>
    <row r="2534" spans="13:13">
      <c r="M2534" s="202"/>
    </row>
    <row r="2535" spans="13:13">
      <c r="M2535" s="202"/>
    </row>
    <row r="2536" spans="13:13">
      <c r="M2536" s="202"/>
    </row>
    <row r="2537" spans="13:13">
      <c r="M2537" s="202"/>
    </row>
    <row r="2538" spans="13:13">
      <c r="M2538" s="202"/>
    </row>
    <row r="2539" spans="13:13">
      <c r="M2539" s="202"/>
    </row>
    <row r="2540" spans="13:13">
      <c r="M2540" s="202"/>
    </row>
    <row r="2541" spans="13:13">
      <c r="M2541" s="202"/>
    </row>
    <row r="2542" spans="13:13">
      <c r="M2542" s="202"/>
    </row>
    <row r="2543" spans="13:13">
      <c r="M2543" s="202"/>
    </row>
    <row r="2544" spans="13:13">
      <c r="M2544" s="202"/>
    </row>
    <row r="2545" spans="13:13">
      <c r="M2545" s="202"/>
    </row>
    <row r="2546" spans="13:13">
      <c r="M2546" s="202"/>
    </row>
    <row r="2547" spans="13:13">
      <c r="M2547" s="202"/>
    </row>
    <row r="2548" spans="13:13">
      <c r="M2548" s="202"/>
    </row>
    <row r="2549" spans="13:13">
      <c r="M2549" s="202"/>
    </row>
    <row r="2550" spans="13:13">
      <c r="M2550" s="202"/>
    </row>
    <row r="2551" spans="13:13">
      <c r="M2551" s="202"/>
    </row>
    <row r="2552" spans="13:13">
      <c r="M2552" s="202"/>
    </row>
    <row r="2553" spans="13:13">
      <c r="M2553" s="202"/>
    </row>
    <row r="2554" spans="13:13">
      <c r="M2554" s="202"/>
    </row>
    <row r="2555" spans="13:13">
      <c r="M2555" s="202"/>
    </row>
    <row r="2556" spans="13:13">
      <c r="M2556" s="202"/>
    </row>
    <row r="2557" spans="13:13">
      <c r="M2557" s="202"/>
    </row>
    <row r="2558" spans="13:13">
      <c r="M2558" s="202"/>
    </row>
    <row r="2559" spans="13:13">
      <c r="M2559" s="202"/>
    </row>
    <row r="2560" spans="13:13">
      <c r="M2560" s="202"/>
    </row>
    <row r="2561" spans="13:13">
      <c r="M2561" s="202"/>
    </row>
    <row r="2562" spans="13:13">
      <c r="M2562" s="202"/>
    </row>
    <row r="2563" spans="13:13">
      <c r="M2563" s="202"/>
    </row>
    <row r="2564" spans="13:13">
      <c r="M2564" s="202"/>
    </row>
    <row r="2565" spans="13:13">
      <c r="M2565" s="202"/>
    </row>
    <row r="2566" spans="13:13">
      <c r="M2566" s="202"/>
    </row>
    <row r="2567" spans="13:13">
      <c r="M2567" s="202"/>
    </row>
    <row r="2568" spans="13:13">
      <c r="M2568" s="202"/>
    </row>
    <row r="2569" spans="13:13">
      <c r="M2569" s="202"/>
    </row>
    <row r="2570" spans="13:13">
      <c r="M2570" s="202"/>
    </row>
    <row r="2571" spans="13:13">
      <c r="M2571" s="202"/>
    </row>
    <row r="2572" spans="13:13">
      <c r="M2572" s="202"/>
    </row>
    <row r="2573" spans="13:13">
      <c r="M2573" s="202"/>
    </row>
    <row r="2574" spans="13:13">
      <c r="M2574" s="202"/>
    </row>
    <row r="2575" spans="13:13">
      <c r="M2575" s="202"/>
    </row>
    <row r="2576" spans="13:13">
      <c r="M2576" s="202"/>
    </row>
    <row r="2577" spans="13:13">
      <c r="M2577" s="202"/>
    </row>
    <row r="2578" spans="13:13">
      <c r="M2578" s="202"/>
    </row>
    <row r="2579" spans="13:13">
      <c r="M2579" s="202"/>
    </row>
    <row r="2580" spans="13:13">
      <c r="M2580" s="202"/>
    </row>
    <row r="2581" spans="13:13">
      <c r="M2581" s="202"/>
    </row>
    <row r="2582" spans="13:13">
      <c r="M2582" s="202"/>
    </row>
    <row r="2583" spans="13:13">
      <c r="M2583" s="202"/>
    </row>
    <row r="2584" spans="13:13">
      <c r="M2584" s="202"/>
    </row>
    <row r="2585" spans="13:13">
      <c r="M2585" s="202"/>
    </row>
    <row r="2586" spans="13:13">
      <c r="M2586" s="202"/>
    </row>
    <row r="2587" spans="13:13">
      <c r="M2587" s="202"/>
    </row>
    <row r="2588" spans="13:13">
      <c r="M2588" s="202"/>
    </row>
    <row r="2589" spans="13:13">
      <c r="M2589" s="202"/>
    </row>
    <row r="2590" spans="13:13">
      <c r="M2590" s="202"/>
    </row>
    <row r="2591" spans="13:13">
      <c r="M2591" s="202"/>
    </row>
    <row r="2592" spans="13:13">
      <c r="M2592" s="202"/>
    </row>
    <row r="2593" spans="13:13">
      <c r="M2593" s="202"/>
    </row>
    <row r="2594" spans="13:13">
      <c r="M2594" s="202"/>
    </row>
    <row r="2595" spans="13:13">
      <c r="M2595" s="202"/>
    </row>
    <row r="2596" spans="13:13">
      <c r="M2596" s="202"/>
    </row>
    <row r="2597" spans="13:13">
      <c r="M2597" s="202"/>
    </row>
    <row r="2598" spans="13:13">
      <c r="M2598" s="202"/>
    </row>
    <row r="2599" spans="13:13">
      <c r="M2599" s="202"/>
    </row>
    <row r="2600" spans="13:13">
      <c r="M2600" s="202"/>
    </row>
    <row r="2601" spans="13:13">
      <c r="M2601" s="202"/>
    </row>
    <row r="2602" spans="13:13">
      <c r="M2602" s="202"/>
    </row>
    <row r="2603" spans="13:13">
      <c r="M2603" s="202"/>
    </row>
    <row r="2604" spans="13:13">
      <c r="M2604" s="202"/>
    </row>
    <row r="2605" spans="13:13">
      <c r="M2605" s="202"/>
    </row>
    <row r="2606" spans="13:13">
      <c r="M2606" s="202"/>
    </row>
    <row r="2607" spans="13:13">
      <c r="M2607" s="202"/>
    </row>
    <row r="2608" spans="13:13">
      <c r="M2608" s="202"/>
    </row>
    <row r="2609" spans="13:13">
      <c r="M2609" s="202"/>
    </row>
    <row r="2610" spans="13:13">
      <c r="M2610" s="202"/>
    </row>
    <row r="2611" spans="13:13">
      <c r="M2611" s="202"/>
    </row>
    <row r="2612" spans="13:13">
      <c r="M2612" s="202"/>
    </row>
    <row r="2613" spans="13:13">
      <c r="M2613" s="202"/>
    </row>
    <row r="2614" spans="13:13">
      <c r="M2614" s="202"/>
    </row>
    <row r="2615" spans="13:13">
      <c r="M2615" s="202"/>
    </row>
    <row r="2616" spans="13:13">
      <c r="M2616" s="202"/>
    </row>
    <row r="2617" spans="13:13">
      <c r="M2617" s="202"/>
    </row>
    <row r="2618" spans="13:13">
      <c r="M2618" s="202"/>
    </row>
    <row r="2619" spans="13:13">
      <c r="M2619" s="202"/>
    </row>
    <row r="2620" spans="13:13">
      <c r="M2620" s="202"/>
    </row>
    <row r="2621" spans="13:13">
      <c r="M2621" s="202"/>
    </row>
    <row r="2622" spans="13:13">
      <c r="M2622" s="202"/>
    </row>
    <row r="2623" spans="13:13">
      <c r="M2623" s="202"/>
    </row>
    <row r="2624" spans="13:13">
      <c r="M2624" s="202"/>
    </row>
    <row r="2625" spans="13:13">
      <c r="M2625" s="202"/>
    </row>
    <row r="2626" spans="13:13">
      <c r="M2626" s="202"/>
    </row>
    <row r="2627" spans="13:13">
      <c r="M2627" s="202"/>
    </row>
    <row r="2628" spans="13:13">
      <c r="M2628" s="202"/>
    </row>
    <row r="2629" spans="13:13">
      <c r="M2629" s="202"/>
    </row>
    <row r="2630" spans="13:13">
      <c r="M2630" s="202"/>
    </row>
    <row r="2631" spans="13:13">
      <c r="M2631" s="202"/>
    </row>
    <row r="2632" spans="13:13">
      <c r="M2632" s="202"/>
    </row>
    <row r="2633" spans="13:13">
      <c r="M2633" s="202"/>
    </row>
    <row r="2634" spans="13:13">
      <c r="M2634" s="202"/>
    </row>
    <row r="2635" spans="13:13">
      <c r="M2635" s="202"/>
    </row>
    <row r="2636" spans="13:13">
      <c r="M2636" s="202"/>
    </row>
    <row r="2637" spans="13:13">
      <c r="M2637" s="202"/>
    </row>
    <row r="2638" spans="13:13">
      <c r="M2638" s="202"/>
    </row>
    <row r="2639" spans="13:13">
      <c r="M2639" s="202"/>
    </row>
    <row r="2640" spans="13:13">
      <c r="M2640" s="202"/>
    </row>
    <row r="2641" spans="13:13">
      <c r="M2641" s="202"/>
    </row>
    <row r="2642" spans="13:13">
      <c r="M2642" s="202"/>
    </row>
    <row r="2643" spans="13:13">
      <c r="M2643" s="202"/>
    </row>
    <row r="2644" spans="13:13">
      <c r="M2644" s="202"/>
    </row>
    <row r="2645" spans="13:13">
      <c r="M2645" s="202"/>
    </row>
    <row r="2646" spans="13:13">
      <c r="M2646" s="202"/>
    </row>
    <row r="2647" spans="13:13">
      <c r="M2647" s="202"/>
    </row>
    <row r="2648" spans="13:13">
      <c r="M2648" s="202"/>
    </row>
    <row r="2649" spans="13:13">
      <c r="M2649" s="202"/>
    </row>
    <row r="2650" spans="13:13">
      <c r="M2650" s="202"/>
    </row>
    <row r="2651" spans="13:13">
      <c r="M2651" s="202"/>
    </row>
    <row r="2652" spans="13:13">
      <c r="M2652" s="202"/>
    </row>
    <row r="2653" spans="13:13">
      <c r="M2653" s="202"/>
    </row>
    <row r="2654" spans="13:13">
      <c r="M2654" s="202"/>
    </row>
    <row r="2655" spans="13:13">
      <c r="M2655" s="202"/>
    </row>
    <row r="2656" spans="13:13">
      <c r="M2656" s="202"/>
    </row>
    <row r="2657" spans="13:13">
      <c r="M2657" s="202"/>
    </row>
    <row r="2658" spans="13:13">
      <c r="M2658" s="202"/>
    </row>
    <row r="2659" spans="13:13">
      <c r="M2659" s="202"/>
    </row>
    <row r="2660" spans="13:13">
      <c r="M2660" s="202"/>
    </row>
    <row r="2661" spans="13:13">
      <c r="M2661" s="202"/>
    </row>
    <row r="2662" spans="13:13">
      <c r="M2662" s="202"/>
    </row>
    <row r="2663" spans="13:13">
      <c r="M2663" s="202"/>
    </row>
    <row r="2664" spans="13:13">
      <c r="M2664" s="202"/>
    </row>
    <row r="2665" spans="13:13">
      <c r="M2665" s="202"/>
    </row>
    <row r="2666" spans="13:13">
      <c r="M2666" s="202"/>
    </row>
    <row r="2667" spans="13:13">
      <c r="M2667" s="202"/>
    </row>
    <row r="2668" spans="13:13">
      <c r="M2668" s="202"/>
    </row>
    <row r="2669" spans="13:13">
      <c r="M2669" s="202"/>
    </row>
    <row r="2670" spans="13:13">
      <c r="M2670" s="202"/>
    </row>
    <row r="2671" spans="13:13">
      <c r="M2671" s="202"/>
    </row>
    <row r="2672" spans="13:13">
      <c r="M2672" s="202"/>
    </row>
    <row r="2673" spans="13:13">
      <c r="M2673" s="202"/>
    </row>
    <row r="2674" spans="13:13">
      <c r="M2674" s="202"/>
    </row>
    <row r="2675" spans="13:13">
      <c r="M2675" s="202"/>
    </row>
    <row r="2676" spans="13:13">
      <c r="M2676" s="202"/>
    </row>
    <row r="2677" spans="13:13">
      <c r="M2677" s="202"/>
    </row>
    <row r="2678" spans="13:13">
      <c r="M2678" s="202"/>
    </row>
    <row r="2679" spans="13:13">
      <c r="M2679" s="202"/>
    </row>
    <row r="2680" spans="13:13">
      <c r="M2680" s="202"/>
    </row>
    <row r="2681" spans="13:13">
      <c r="M2681" s="202"/>
    </row>
    <row r="2682" spans="13:13">
      <c r="M2682" s="202"/>
    </row>
    <row r="2683" spans="13:13">
      <c r="M2683" s="202"/>
    </row>
    <row r="2684" spans="13:13">
      <c r="M2684" s="202"/>
    </row>
    <row r="2685" spans="13:13">
      <c r="M2685" s="202"/>
    </row>
    <row r="2686" spans="13:13">
      <c r="M2686" s="202"/>
    </row>
    <row r="2687" spans="13:13">
      <c r="M2687" s="202"/>
    </row>
    <row r="2688" spans="13:13">
      <c r="M2688" s="202"/>
    </row>
    <row r="2689" spans="13:13">
      <c r="M2689" s="202"/>
    </row>
    <row r="2690" spans="13:13">
      <c r="M2690" s="202"/>
    </row>
    <row r="2691" spans="13:13">
      <c r="M2691" s="202"/>
    </row>
    <row r="2692" spans="13:13">
      <c r="M2692" s="202"/>
    </row>
    <row r="2693" spans="13:13">
      <c r="M2693" s="202"/>
    </row>
    <row r="2694" spans="13:13">
      <c r="M2694" s="202"/>
    </row>
    <row r="2695" spans="13:13">
      <c r="M2695" s="202"/>
    </row>
    <row r="2696" spans="13:13">
      <c r="M2696" s="202"/>
    </row>
    <row r="2697" spans="13:13">
      <c r="M2697" s="202"/>
    </row>
    <row r="2698" spans="13:13">
      <c r="M2698" s="202"/>
    </row>
    <row r="2699" spans="13:13">
      <c r="M2699" s="202"/>
    </row>
    <row r="2700" spans="13:13">
      <c r="M2700" s="202"/>
    </row>
    <row r="2701" spans="13:13">
      <c r="M2701" s="202"/>
    </row>
    <row r="2702" spans="13:13">
      <c r="M2702" s="202"/>
    </row>
    <row r="2703" spans="13:13">
      <c r="M2703" s="202"/>
    </row>
    <row r="2704" spans="13:13">
      <c r="M2704" s="202"/>
    </row>
    <row r="2705" spans="13:13">
      <c r="M2705" s="202"/>
    </row>
    <row r="2706" spans="13:13">
      <c r="M2706" s="202"/>
    </row>
    <row r="2707" spans="13:13">
      <c r="M2707" s="202"/>
    </row>
    <row r="2708" spans="13:13">
      <c r="M2708" s="202"/>
    </row>
    <row r="2709" spans="13:13">
      <c r="M2709" s="202"/>
    </row>
    <row r="2710" spans="13:13">
      <c r="M2710" s="202"/>
    </row>
    <row r="2711" spans="13:13">
      <c r="M2711" s="202"/>
    </row>
    <row r="2712" spans="13:13">
      <c r="M2712" s="202"/>
    </row>
    <row r="2713" spans="13:13">
      <c r="M2713" s="202"/>
    </row>
    <row r="2714" spans="13:13">
      <c r="M2714" s="202"/>
    </row>
    <row r="2715" spans="13:13">
      <c r="M2715" s="202"/>
    </row>
    <row r="2716" spans="13:13">
      <c r="M2716" s="202"/>
    </row>
    <row r="2717" spans="13:13">
      <c r="M2717" s="202"/>
    </row>
    <row r="2718" spans="13:13">
      <c r="M2718" s="202"/>
    </row>
    <row r="2719" spans="13:13">
      <c r="M2719" s="202"/>
    </row>
    <row r="2720" spans="13:13">
      <c r="M2720" s="202"/>
    </row>
    <row r="2721" spans="13:13">
      <c r="M2721" s="202"/>
    </row>
    <row r="2722" spans="13:13">
      <c r="M2722" s="202"/>
    </row>
    <row r="2723" spans="13:13">
      <c r="M2723" s="202"/>
    </row>
    <row r="2724" spans="13:13">
      <c r="M2724" s="202"/>
    </row>
    <row r="2725" spans="13:13">
      <c r="M2725" s="202"/>
    </row>
    <row r="2726" spans="13:13">
      <c r="M2726" s="202"/>
    </row>
    <row r="2727" spans="13:13">
      <c r="M2727" s="202"/>
    </row>
    <row r="2728" spans="13:13">
      <c r="M2728" s="202"/>
    </row>
    <row r="2729" spans="13:13">
      <c r="M2729" s="202"/>
    </row>
    <row r="2730" spans="13:13">
      <c r="M2730" s="202"/>
    </row>
    <row r="2731" spans="13:13">
      <c r="M2731" s="202"/>
    </row>
    <row r="2732" spans="13:13">
      <c r="M2732" s="202"/>
    </row>
    <row r="2733" spans="13:13">
      <c r="M2733" s="202"/>
    </row>
    <row r="2734" spans="13:13">
      <c r="M2734" s="202"/>
    </row>
    <row r="2735" spans="13:13">
      <c r="M2735" s="202"/>
    </row>
    <row r="2736" spans="13:13">
      <c r="M2736" s="202"/>
    </row>
    <row r="2737" spans="13:13">
      <c r="M2737" s="202"/>
    </row>
    <row r="2738" spans="13:13">
      <c r="M2738" s="202"/>
    </row>
    <row r="2739" spans="13:13">
      <c r="M2739" s="202"/>
    </row>
    <row r="2740" spans="13:13">
      <c r="M2740" s="202"/>
    </row>
    <row r="2741" spans="13:13">
      <c r="M2741" s="202"/>
    </row>
    <row r="2742" spans="13:13">
      <c r="M2742" s="202"/>
    </row>
    <row r="2743" spans="13:13">
      <c r="M2743" s="202"/>
    </row>
    <row r="2744" spans="13:13">
      <c r="M2744" s="202"/>
    </row>
    <row r="2745" spans="13:13">
      <c r="M2745" s="202"/>
    </row>
    <row r="2746" spans="13:13">
      <c r="M2746" s="202"/>
    </row>
    <row r="2747" spans="13:13">
      <c r="M2747" s="202"/>
    </row>
    <row r="2748" spans="13:13">
      <c r="M2748" s="202"/>
    </row>
    <row r="2749" spans="13:13">
      <c r="M2749" s="202"/>
    </row>
    <row r="2750" spans="13:13">
      <c r="M2750" s="202"/>
    </row>
    <row r="2751" spans="13:13">
      <c r="M2751" s="202"/>
    </row>
    <row r="2752" spans="13:13">
      <c r="M2752" s="202"/>
    </row>
    <row r="2753" spans="13:13">
      <c r="M2753" s="202"/>
    </row>
    <row r="2754" spans="13:13">
      <c r="M2754" s="202"/>
    </row>
    <row r="2755" spans="13:13">
      <c r="M2755" s="202"/>
    </row>
    <row r="2756" spans="13:13">
      <c r="M2756" s="202"/>
    </row>
    <row r="2757" spans="13:13">
      <c r="M2757" s="202"/>
    </row>
    <row r="2758" spans="13:13">
      <c r="M2758" s="202"/>
    </row>
    <row r="2759" spans="13:13">
      <c r="M2759" s="202"/>
    </row>
    <row r="2760" spans="13:13">
      <c r="M2760" s="202"/>
    </row>
    <row r="2761" spans="13:13">
      <c r="M2761" s="202"/>
    </row>
    <row r="2762" spans="13:13">
      <c r="M2762" s="202"/>
    </row>
    <row r="2763" spans="13:13">
      <c r="M2763" s="202"/>
    </row>
    <row r="2764" spans="13:13">
      <c r="M2764" s="202"/>
    </row>
    <row r="2765" spans="13:13">
      <c r="M2765" s="202"/>
    </row>
    <row r="2766" spans="13:13">
      <c r="M2766" s="202"/>
    </row>
    <row r="2767" spans="13:13">
      <c r="M2767" s="202"/>
    </row>
    <row r="2768" spans="13:13">
      <c r="M2768" s="202"/>
    </row>
    <row r="2769" spans="13:13">
      <c r="M2769" s="202"/>
    </row>
    <row r="2770" spans="13:13">
      <c r="M2770" s="202"/>
    </row>
    <row r="2771" spans="13:13">
      <c r="M2771" s="202"/>
    </row>
    <row r="2772" spans="13:13">
      <c r="M2772" s="202"/>
    </row>
    <row r="2773" spans="13:13">
      <c r="M2773" s="202"/>
    </row>
    <row r="2774" spans="13:13">
      <c r="M2774" s="202"/>
    </row>
    <row r="2775" spans="13:13">
      <c r="M2775" s="202"/>
    </row>
    <row r="2776" spans="13:13">
      <c r="M2776" s="202"/>
    </row>
    <row r="2777" spans="13:13">
      <c r="M2777" s="202"/>
    </row>
    <row r="2778" spans="13:13">
      <c r="M2778" s="202"/>
    </row>
    <row r="2779" spans="13:13">
      <c r="M2779" s="202"/>
    </row>
    <row r="2780" spans="13:13">
      <c r="M2780" s="202"/>
    </row>
    <row r="2781" spans="13:13">
      <c r="M2781" s="202"/>
    </row>
    <row r="2782" spans="13:13">
      <c r="M2782" s="202"/>
    </row>
    <row r="2783" spans="13:13">
      <c r="M2783" s="202"/>
    </row>
    <row r="2784" spans="13:13">
      <c r="M2784" s="202"/>
    </row>
    <row r="2785" spans="13:13">
      <c r="M2785" s="202"/>
    </row>
    <row r="2786" spans="13:13">
      <c r="M2786" s="202"/>
    </row>
    <row r="2787" spans="13:13">
      <c r="M2787" s="202"/>
    </row>
    <row r="2788" spans="13:13">
      <c r="M2788" s="202"/>
    </row>
    <row r="2789" spans="13:13">
      <c r="M2789" s="202"/>
    </row>
    <row r="2790" spans="13:13">
      <c r="M2790" s="202"/>
    </row>
    <row r="2791" spans="13:13">
      <c r="M2791" s="202"/>
    </row>
    <row r="2792" spans="13:13">
      <c r="M2792" s="202"/>
    </row>
    <row r="2793" spans="13:13">
      <c r="M2793" s="202"/>
    </row>
    <row r="2794" spans="13:13">
      <c r="M2794" s="202"/>
    </row>
    <row r="2795" spans="13:13">
      <c r="M2795" s="202"/>
    </row>
    <row r="2796" spans="13:13">
      <c r="M2796" s="202"/>
    </row>
    <row r="2797" spans="13:13">
      <c r="M2797" s="202"/>
    </row>
    <row r="2798" spans="13:13">
      <c r="M2798" s="202"/>
    </row>
    <row r="2799" spans="13:13">
      <c r="M2799" s="202"/>
    </row>
    <row r="2800" spans="13:13">
      <c r="M2800" s="202"/>
    </row>
    <row r="2801" spans="13:13">
      <c r="M2801" s="202"/>
    </row>
    <row r="2802" spans="13:13">
      <c r="M2802" s="202"/>
    </row>
    <row r="2803" spans="13:13">
      <c r="M2803" s="202"/>
    </row>
    <row r="2804" spans="13:13">
      <c r="M2804" s="202"/>
    </row>
    <row r="2805" spans="13:13">
      <c r="M2805" s="202"/>
    </row>
    <row r="2806" spans="13:13">
      <c r="M2806" s="202"/>
    </row>
    <row r="2807" spans="13:13">
      <c r="M2807" s="202"/>
    </row>
    <row r="2808" spans="13:13">
      <c r="M2808" s="202"/>
    </row>
    <row r="2809" spans="13:13">
      <c r="M2809" s="202"/>
    </row>
    <row r="2810" spans="13:13">
      <c r="M2810" s="202"/>
    </row>
    <row r="2811" spans="13:13">
      <c r="M2811" s="202"/>
    </row>
    <row r="2812" spans="13:13">
      <c r="M2812" s="202"/>
    </row>
    <row r="2813" spans="13:13">
      <c r="M2813" s="202"/>
    </row>
    <row r="2814" spans="13:13">
      <c r="M2814" s="202"/>
    </row>
    <row r="2815" spans="13:13">
      <c r="M2815" s="202"/>
    </row>
    <row r="2816" spans="13:13">
      <c r="M2816" s="202"/>
    </row>
    <row r="2817" spans="13:13">
      <c r="M2817" s="202"/>
    </row>
    <row r="2818" spans="13:13">
      <c r="M2818" s="202"/>
    </row>
    <row r="2819" spans="13:13">
      <c r="M2819" s="202"/>
    </row>
    <row r="2820" spans="13:13">
      <c r="M2820" s="202"/>
    </row>
    <row r="2821" spans="13:13">
      <c r="M2821" s="202"/>
    </row>
    <row r="2822" spans="13:13">
      <c r="M2822" s="202"/>
    </row>
    <row r="2823" spans="13:13">
      <c r="M2823" s="202"/>
    </row>
    <row r="2824" spans="13:13">
      <c r="M2824" s="202"/>
    </row>
    <row r="2825" spans="13:13">
      <c r="M2825" s="202"/>
    </row>
    <row r="2826" spans="13:13">
      <c r="M2826" s="202"/>
    </row>
    <row r="2827" spans="13:13">
      <c r="M2827" s="202"/>
    </row>
    <row r="2828" spans="13:13">
      <c r="M2828" s="202"/>
    </row>
    <row r="2829" spans="13:13">
      <c r="M2829" s="202"/>
    </row>
    <row r="2830" spans="13:13">
      <c r="M2830" s="202"/>
    </row>
    <row r="2831" spans="13:13">
      <c r="M2831" s="202"/>
    </row>
    <row r="2832" spans="13:13">
      <c r="M2832" s="202"/>
    </row>
    <row r="2833" spans="13:13">
      <c r="M2833" s="202"/>
    </row>
    <row r="2834" spans="13:13">
      <c r="M2834" s="202"/>
    </row>
    <row r="2835" spans="13:13">
      <c r="M2835" s="202"/>
    </row>
    <row r="2836" spans="13:13">
      <c r="M2836" s="202"/>
    </row>
    <row r="2837" spans="13:13">
      <c r="M2837" s="202"/>
    </row>
    <row r="2838" spans="13:13">
      <c r="M2838" s="202"/>
    </row>
    <row r="2839" spans="13:13">
      <c r="M2839" s="202"/>
    </row>
    <row r="2840" spans="13:13">
      <c r="M2840" s="202"/>
    </row>
    <row r="2841" spans="13:13">
      <c r="M2841" s="202"/>
    </row>
    <row r="2842" spans="13:13">
      <c r="M2842" s="202"/>
    </row>
    <row r="2843" spans="13:13">
      <c r="M2843" s="202"/>
    </row>
    <row r="2844" spans="13:13">
      <c r="M2844" s="202"/>
    </row>
    <row r="2845" spans="13:13">
      <c r="M2845" s="202"/>
    </row>
    <row r="2846" spans="13:13">
      <c r="M2846" s="202"/>
    </row>
    <row r="2847" spans="13:13">
      <c r="M2847" s="202"/>
    </row>
    <row r="2848" spans="13:13">
      <c r="M2848" s="202"/>
    </row>
    <row r="2849" spans="13:13">
      <c r="M2849" s="202"/>
    </row>
    <row r="2850" spans="13:13">
      <c r="M2850" s="202"/>
    </row>
    <row r="2851" spans="13:13">
      <c r="M2851" s="202"/>
    </row>
    <row r="2852" spans="13:13">
      <c r="M2852" s="202"/>
    </row>
    <row r="2853" spans="13:13">
      <c r="M2853" s="202"/>
    </row>
    <row r="2854" spans="13:13">
      <c r="M2854" s="202"/>
    </row>
    <row r="2855" spans="13:13">
      <c r="M2855" s="202"/>
    </row>
    <row r="2856" spans="13:13">
      <c r="M2856" s="202"/>
    </row>
    <row r="2857" spans="13:13">
      <c r="M2857" s="202"/>
    </row>
    <row r="2858" spans="13:13">
      <c r="M2858" s="202"/>
    </row>
    <row r="2859" spans="13:13">
      <c r="M2859" s="202"/>
    </row>
    <row r="2860" spans="13:13">
      <c r="M2860" s="202"/>
    </row>
    <row r="2861" spans="13:13">
      <c r="M2861" s="202"/>
    </row>
    <row r="2862" spans="13:13">
      <c r="M2862" s="202"/>
    </row>
    <row r="2863" spans="13:13">
      <c r="M2863" s="202"/>
    </row>
    <row r="2864" spans="13:13">
      <c r="M2864" s="202"/>
    </row>
    <row r="2865" spans="13:13">
      <c r="M2865" s="202"/>
    </row>
    <row r="2866" spans="13:13">
      <c r="M2866" s="202"/>
    </row>
    <row r="2867" spans="13:13">
      <c r="M2867" s="202"/>
    </row>
    <row r="2868" spans="13:13">
      <c r="M2868" s="202"/>
    </row>
    <row r="2869" spans="13:13">
      <c r="M2869" s="202"/>
    </row>
    <row r="2870" spans="13:13">
      <c r="M2870" s="202"/>
    </row>
    <row r="2871" spans="13:13">
      <c r="M2871" s="202"/>
    </row>
    <row r="2872" spans="13:13">
      <c r="M2872" s="202"/>
    </row>
    <row r="2873" spans="13:13">
      <c r="M2873" s="202"/>
    </row>
    <row r="2874" spans="13:13">
      <c r="M2874" s="202"/>
    </row>
    <row r="2875" spans="13:13">
      <c r="M2875" s="202"/>
    </row>
    <row r="2876" spans="13:13">
      <c r="M2876" s="202"/>
    </row>
    <row r="2877" spans="13:13">
      <c r="M2877" s="202"/>
    </row>
    <row r="2878" spans="13:13">
      <c r="M2878" s="202"/>
    </row>
    <row r="2879" spans="13:13">
      <c r="M2879" s="202"/>
    </row>
    <row r="2880" spans="13:13">
      <c r="M2880" s="202"/>
    </row>
    <row r="2881" spans="13:13">
      <c r="M2881" s="202"/>
    </row>
    <row r="2882" spans="13:13">
      <c r="M2882" s="202"/>
    </row>
    <row r="2883" spans="13:13">
      <c r="M2883" s="202"/>
    </row>
    <row r="2884" spans="13:13">
      <c r="M2884" s="202"/>
    </row>
    <row r="2885" spans="13:13">
      <c r="M2885" s="202"/>
    </row>
    <row r="2886" spans="13:13">
      <c r="M2886" s="202"/>
    </row>
    <row r="2887" spans="13:13">
      <c r="M2887" s="202"/>
    </row>
    <row r="2888" spans="13:13">
      <c r="M2888" s="202"/>
    </row>
    <row r="2889" spans="13:13">
      <c r="M2889" s="202"/>
    </row>
    <row r="2890" spans="13:13">
      <c r="M2890" s="202"/>
    </row>
    <row r="2891" spans="13:13">
      <c r="M2891" s="202"/>
    </row>
    <row r="2892" spans="13:13">
      <c r="M2892" s="202"/>
    </row>
    <row r="2893" spans="13:13">
      <c r="M2893" s="202"/>
    </row>
    <row r="2894" spans="13:13">
      <c r="M2894" s="202"/>
    </row>
    <row r="2895" spans="13:13">
      <c r="M2895" s="202"/>
    </row>
    <row r="2896" spans="13:13">
      <c r="M2896" s="202"/>
    </row>
    <row r="2897" spans="13:13">
      <c r="M2897" s="202"/>
    </row>
    <row r="2898" spans="13:13">
      <c r="M2898" s="202"/>
    </row>
    <row r="2899" spans="13:13">
      <c r="M2899" s="202"/>
    </row>
    <row r="2900" spans="13:13">
      <c r="M2900" s="202"/>
    </row>
    <row r="2901" spans="13:13">
      <c r="M2901" s="202"/>
    </row>
    <row r="2902" spans="13:13">
      <c r="M2902" s="202"/>
    </row>
    <row r="2903" spans="13:13">
      <c r="M2903" s="202"/>
    </row>
    <row r="2904" spans="13:13">
      <c r="M2904" s="202"/>
    </row>
    <row r="2905" spans="13:13">
      <c r="M2905" s="202"/>
    </row>
    <row r="2906" spans="13:13">
      <c r="M2906" s="202"/>
    </row>
    <row r="2907" spans="13:13">
      <c r="M2907" s="202"/>
    </row>
    <row r="2908" spans="13:13">
      <c r="M2908" s="202"/>
    </row>
    <row r="2909" spans="13:13">
      <c r="M2909" s="202"/>
    </row>
    <row r="2910" spans="13:13">
      <c r="M2910" s="202"/>
    </row>
    <row r="2911" spans="13:13">
      <c r="M2911" s="202"/>
    </row>
    <row r="2912" spans="13:13">
      <c r="M2912" s="202"/>
    </row>
    <row r="2913" spans="13:13">
      <c r="M2913" s="202"/>
    </row>
    <row r="2914" spans="13:13">
      <c r="M2914" s="202"/>
    </row>
    <row r="2915" spans="13:13">
      <c r="M2915" s="202"/>
    </row>
    <row r="2916" spans="13:13">
      <c r="M2916" s="202"/>
    </row>
    <row r="2917" spans="13:13">
      <c r="M2917" s="202"/>
    </row>
    <row r="2918" spans="13:13">
      <c r="M2918" s="202"/>
    </row>
    <row r="2919" spans="13:13">
      <c r="M2919" s="202"/>
    </row>
    <row r="2920" spans="13:13">
      <c r="M2920" s="202"/>
    </row>
    <row r="2921" spans="13:13">
      <c r="M2921" s="202"/>
    </row>
    <row r="2922" spans="13:13">
      <c r="M2922" s="202"/>
    </row>
    <row r="2923" spans="13:13">
      <c r="M2923" s="202"/>
    </row>
    <row r="2924" spans="13:13">
      <c r="M2924" s="202"/>
    </row>
    <row r="2925" spans="13:13">
      <c r="M2925" s="202"/>
    </row>
    <row r="2926" spans="13:13">
      <c r="M2926" s="202"/>
    </row>
    <row r="2927" spans="13:13">
      <c r="M2927" s="202"/>
    </row>
    <row r="2928" spans="13:13">
      <c r="M2928" s="202"/>
    </row>
    <row r="2929" spans="13:13">
      <c r="M2929" s="202"/>
    </row>
    <row r="2930" spans="13:13">
      <c r="M2930" s="202"/>
    </row>
    <row r="2931" spans="13:13">
      <c r="M2931" s="202"/>
    </row>
    <row r="2932" spans="13:13">
      <c r="M2932" s="202"/>
    </row>
    <row r="2933" spans="13:13">
      <c r="M2933" s="202"/>
    </row>
    <row r="2934" spans="13:13">
      <c r="M2934" s="202"/>
    </row>
    <row r="2935" spans="13:13">
      <c r="M2935" s="202"/>
    </row>
    <row r="2936" spans="13:13">
      <c r="M2936" s="202"/>
    </row>
    <row r="2937" spans="13:13">
      <c r="M2937" s="202"/>
    </row>
    <row r="2938" spans="13:13">
      <c r="M2938" s="202"/>
    </row>
    <row r="2939" spans="13:13">
      <c r="M2939" s="202"/>
    </row>
    <row r="2940" spans="13:13">
      <c r="M2940" s="202"/>
    </row>
    <row r="2941" spans="13:13">
      <c r="M2941" s="202"/>
    </row>
    <row r="2942" spans="13:13">
      <c r="M2942" s="202"/>
    </row>
    <row r="2943" spans="13:13">
      <c r="M2943" s="202"/>
    </row>
    <row r="2944" spans="13:13">
      <c r="M2944" s="202"/>
    </row>
    <row r="2945" spans="13:13">
      <c r="M2945" s="202"/>
    </row>
    <row r="2946" spans="13:13">
      <c r="M2946" s="202"/>
    </row>
    <row r="2947" spans="13:13">
      <c r="M2947" s="202"/>
    </row>
    <row r="2948" spans="13:13">
      <c r="M2948" s="202"/>
    </row>
    <row r="2949" spans="13:13">
      <c r="M2949" s="202"/>
    </row>
    <row r="2950" spans="13:13">
      <c r="M2950" s="202"/>
    </row>
    <row r="2951" spans="13:13">
      <c r="M2951" s="202"/>
    </row>
    <row r="2952" spans="13:13">
      <c r="M2952" s="202"/>
    </row>
    <row r="2953" spans="13:13">
      <c r="M2953" s="202"/>
    </row>
    <row r="2954" spans="13:13">
      <c r="M2954" s="202"/>
    </row>
    <row r="2955" spans="13:13">
      <c r="M2955" s="202"/>
    </row>
    <row r="2956" spans="13:13">
      <c r="M2956" s="202"/>
    </row>
    <row r="2957" spans="13:13">
      <c r="M2957" s="202"/>
    </row>
    <row r="2958" spans="13:13">
      <c r="M2958" s="202"/>
    </row>
    <row r="2959" spans="13:13">
      <c r="M2959" s="202"/>
    </row>
    <row r="2960" spans="13:13">
      <c r="M2960" s="202"/>
    </row>
    <row r="2961" spans="13:13">
      <c r="M2961" s="202"/>
    </row>
    <row r="2962" spans="13:13">
      <c r="M2962" s="202"/>
    </row>
    <row r="2963" spans="13:13">
      <c r="M2963" s="202"/>
    </row>
    <row r="2964" spans="13:13">
      <c r="M2964" s="202"/>
    </row>
    <row r="2965" spans="13:13">
      <c r="M2965" s="202"/>
    </row>
    <row r="2966" spans="13:13">
      <c r="M2966" s="202"/>
    </row>
    <row r="2967" spans="13:13">
      <c r="M2967" s="202"/>
    </row>
    <row r="2968" spans="13:13">
      <c r="M2968" s="202"/>
    </row>
    <row r="2969" spans="13:13">
      <c r="M2969" s="202"/>
    </row>
    <row r="2970" spans="13:13">
      <c r="M2970" s="202"/>
    </row>
    <row r="2971" spans="13:13">
      <c r="M2971" s="202"/>
    </row>
    <row r="2972" spans="13:13">
      <c r="M2972" s="202"/>
    </row>
    <row r="2973" spans="13:13">
      <c r="M2973" s="202"/>
    </row>
    <row r="2974" spans="13:13">
      <c r="M2974" s="202"/>
    </row>
    <row r="2975" spans="13:13">
      <c r="M2975" s="202"/>
    </row>
    <row r="2976" spans="13:13">
      <c r="M2976" s="202"/>
    </row>
    <row r="2977" spans="13:13">
      <c r="M2977" s="202"/>
    </row>
    <row r="2978" spans="13:13">
      <c r="M2978" s="202"/>
    </row>
    <row r="2979" spans="13:13">
      <c r="M2979" s="202"/>
    </row>
    <row r="2980" spans="13:13">
      <c r="M2980" s="202"/>
    </row>
    <row r="2981" spans="13:13">
      <c r="M2981" s="202"/>
    </row>
    <row r="2982" spans="13:13">
      <c r="M2982" s="202"/>
    </row>
    <row r="2983" spans="13:13">
      <c r="M2983" s="202"/>
    </row>
    <row r="2984" spans="13:13">
      <c r="M2984" s="202"/>
    </row>
    <row r="2985" spans="13:13">
      <c r="M2985" s="202"/>
    </row>
    <row r="2986" spans="13:13">
      <c r="M2986" s="202"/>
    </row>
    <row r="2987" spans="13:13">
      <c r="M2987" s="202"/>
    </row>
    <row r="2988" spans="13:13">
      <c r="M2988" s="202"/>
    </row>
    <row r="2989" spans="13:13">
      <c r="M2989" s="202"/>
    </row>
    <row r="2990" spans="13:13">
      <c r="M2990" s="202"/>
    </row>
    <row r="2991" spans="13:13">
      <c r="M2991" s="202"/>
    </row>
    <row r="2992" spans="13:13">
      <c r="M2992" s="202"/>
    </row>
    <row r="2993" spans="13:13">
      <c r="M2993" s="202"/>
    </row>
    <row r="2994" spans="13:13">
      <c r="M2994" s="202"/>
    </row>
    <row r="2995" spans="13:13">
      <c r="M2995" s="202"/>
    </row>
    <row r="2996" spans="13:13">
      <c r="M2996" s="202"/>
    </row>
    <row r="2997" spans="13:13">
      <c r="M2997" s="202"/>
    </row>
    <row r="2998" spans="13:13">
      <c r="M2998" s="202"/>
    </row>
    <row r="2999" spans="13:13">
      <c r="M2999" s="202"/>
    </row>
    <row r="3000" spans="13:13">
      <c r="M3000" s="202"/>
    </row>
    <row r="3001" spans="13:13">
      <c r="M3001" s="202"/>
    </row>
    <row r="3002" spans="13:13">
      <c r="M3002" s="202"/>
    </row>
    <row r="3003" spans="13:13">
      <c r="M3003" s="202"/>
    </row>
    <row r="3004" spans="13:13">
      <c r="M3004" s="202"/>
    </row>
    <row r="3005" spans="13:13">
      <c r="M3005" s="202"/>
    </row>
    <row r="3006" spans="13:13">
      <c r="M3006" s="202"/>
    </row>
    <row r="3007" spans="13:13">
      <c r="M3007" s="202"/>
    </row>
    <row r="3008" spans="13:13">
      <c r="M3008" s="202"/>
    </row>
    <row r="3009" spans="13:13">
      <c r="M3009" s="202"/>
    </row>
    <row r="3010" spans="13:13">
      <c r="M3010" s="202"/>
    </row>
    <row r="3011" spans="13:13">
      <c r="M3011" s="202"/>
    </row>
    <row r="3012" spans="13:13">
      <c r="M3012" s="202"/>
    </row>
    <row r="3013" spans="13:13">
      <c r="M3013" s="202"/>
    </row>
    <row r="3014" spans="13:13">
      <c r="M3014" s="202"/>
    </row>
    <row r="3015" spans="13:13">
      <c r="M3015" s="202"/>
    </row>
    <row r="3016" spans="13:13">
      <c r="M3016" s="202"/>
    </row>
    <row r="3017" spans="13:13">
      <c r="M3017" s="202"/>
    </row>
    <row r="3018" spans="13:13">
      <c r="M3018" s="202"/>
    </row>
    <row r="3019" spans="13:13">
      <c r="M3019" s="202"/>
    </row>
    <row r="3020" spans="13:13">
      <c r="M3020" s="202"/>
    </row>
    <row r="3021" spans="13:13">
      <c r="M3021" s="202"/>
    </row>
    <row r="3022" spans="13:13">
      <c r="M3022" s="202"/>
    </row>
    <row r="3023" spans="13:13">
      <c r="M3023" s="202"/>
    </row>
    <row r="3024" spans="13:13">
      <c r="M3024" s="202"/>
    </row>
    <row r="3025" spans="13:13">
      <c r="M3025" s="202"/>
    </row>
    <row r="3026" spans="13:13">
      <c r="M3026" s="202"/>
    </row>
    <row r="3027" spans="13:13">
      <c r="M3027" s="202"/>
    </row>
    <row r="3028" spans="13:13">
      <c r="M3028" s="202"/>
    </row>
    <row r="3029" spans="13:13">
      <c r="M3029" s="202"/>
    </row>
    <row r="3030" spans="13:13">
      <c r="M3030" s="202"/>
    </row>
    <row r="3031" spans="13:13">
      <c r="M3031" s="202"/>
    </row>
    <row r="3032" spans="13:13">
      <c r="M3032" s="202"/>
    </row>
    <row r="3033" spans="13:13">
      <c r="M3033" s="202"/>
    </row>
    <row r="3034" spans="13:13">
      <c r="M3034" s="202"/>
    </row>
    <row r="3035" spans="13:13">
      <c r="M3035" s="202"/>
    </row>
    <row r="3036" spans="13:13">
      <c r="M3036" s="202"/>
    </row>
    <row r="3037" spans="13:13">
      <c r="M3037" s="202"/>
    </row>
    <row r="3038" spans="13:13">
      <c r="M3038" s="202"/>
    </row>
    <row r="3039" spans="13:13">
      <c r="M3039" s="202"/>
    </row>
    <row r="3040" spans="13:13">
      <c r="M3040" s="202"/>
    </row>
    <row r="3041" spans="13:13">
      <c r="M3041" s="202"/>
    </row>
    <row r="3042" spans="13:13">
      <c r="M3042" s="202"/>
    </row>
    <row r="3043" spans="13:13">
      <c r="M3043" s="202"/>
    </row>
    <row r="3044" spans="13:13">
      <c r="M3044" s="202"/>
    </row>
    <row r="3045" spans="13:13">
      <c r="M3045" s="202"/>
    </row>
    <row r="3046" spans="13:13">
      <c r="M3046" s="202"/>
    </row>
    <row r="3047" spans="13:13">
      <c r="M3047" s="202"/>
    </row>
    <row r="3048" spans="13:13">
      <c r="M3048" s="202"/>
    </row>
    <row r="3049" spans="13:13">
      <c r="M3049" s="202"/>
    </row>
    <row r="3050" spans="13:13">
      <c r="M3050" s="202"/>
    </row>
    <row r="3051" spans="13:13">
      <c r="M3051" s="202"/>
    </row>
    <row r="3052" spans="13:13">
      <c r="M3052" s="202"/>
    </row>
    <row r="3053" spans="13:13">
      <c r="M3053" s="202"/>
    </row>
    <row r="3054" spans="13:13">
      <c r="M3054" s="202"/>
    </row>
    <row r="3055" spans="13:13">
      <c r="M3055" s="202"/>
    </row>
    <row r="3056" spans="13:13">
      <c r="M3056" s="202"/>
    </row>
    <row r="3057" spans="13:13">
      <c r="M3057" s="202"/>
    </row>
    <row r="3058" spans="13:13">
      <c r="M3058" s="202"/>
    </row>
    <row r="3059" spans="13:13">
      <c r="M3059" s="202"/>
    </row>
    <row r="3060" spans="13:13">
      <c r="M3060" s="202"/>
    </row>
    <row r="3061" spans="13:13">
      <c r="M3061" s="202"/>
    </row>
    <row r="3062" spans="13:13">
      <c r="M3062" s="202"/>
    </row>
    <row r="3063" spans="13:13">
      <c r="M3063" s="202"/>
    </row>
    <row r="3064" spans="13:13">
      <c r="M3064" s="202"/>
    </row>
    <row r="3065" spans="13:13">
      <c r="M3065" s="202"/>
    </row>
    <row r="3066" spans="13:13">
      <c r="M3066" s="202"/>
    </row>
    <row r="3067" spans="13:13">
      <c r="M3067" s="202"/>
    </row>
    <row r="3068" spans="13:13">
      <c r="M3068" s="202"/>
    </row>
    <row r="3069" spans="13:13">
      <c r="M3069" s="202"/>
    </row>
    <row r="3070" spans="13:13">
      <c r="M3070" s="202"/>
    </row>
    <row r="3071" spans="13:13">
      <c r="M3071" s="202"/>
    </row>
    <row r="3072" spans="13:13">
      <c r="M3072" s="202"/>
    </row>
    <row r="3073" spans="13:13">
      <c r="M3073" s="202"/>
    </row>
    <row r="3074" spans="13:13">
      <c r="M3074" s="202"/>
    </row>
    <row r="3075" spans="13:13">
      <c r="M3075" s="202"/>
    </row>
    <row r="3076" spans="13:13">
      <c r="M3076" s="202"/>
    </row>
    <row r="3077" spans="13:13">
      <c r="M3077" s="202"/>
    </row>
    <row r="3078" spans="13:13">
      <c r="M3078" s="202"/>
    </row>
    <row r="3079" spans="13:13">
      <c r="M3079" s="202"/>
    </row>
    <row r="3080" spans="13:13">
      <c r="M3080" s="202"/>
    </row>
    <row r="3081" spans="13:13">
      <c r="M3081" s="202"/>
    </row>
    <row r="3082" spans="13:13">
      <c r="M3082" s="202"/>
    </row>
    <row r="3083" spans="13:13">
      <c r="M3083" s="202"/>
    </row>
    <row r="3084" spans="13:13">
      <c r="M3084" s="202"/>
    </row>
    <row r="3085" spans="13:13">
      <c r="M3085" s="202"/>
    </row>
    <row r="3086" spans="13:13">
      <c r="M3086" s="202"/>
    </row>
    <row r="3087" spans="13:13">
      <c r="M3087" s="202"/>
    </row>
    <row r="3088" spans="13:13">
      <c r="M3088" s="202"/>
    </row>
    <row r="3089" spans="13:13">
      <c r="M3089" s="202"/>
    </row>
    <row r="3090" spans="13:13">
      <c r="M3090" s="202"/>
    </row>
    <row r="3091" spans="13:13">
      <c r="M3091" s="202"/>
    </row>
    <row r="3092" spans="13:13">
      <c r="M3092" s="202"/>
    </row>
    <row r="3093" spans="13:13">
      <c r="M3093" s="202"/>
    </row>
    <row r="3094" spans="13:13">
      <c r="M3094" s="202"/>
    </row>
    <row r="3095" spans="13:13">
      <c r="M3095" s="202"/>
    </row>
    <row r="3096" spans="13:13">
      <c r="M3096" s="202"/>
    </row>
    <row r="3097" spans="13:13">
      <c r="M3097" s="202"/>
    </row>
    <row r="3098" spans="13:13">
      <c r="M3098" s="202"/>
    </row>
    <row r="3099" spans="13:13">
      <c r="M3099" s="202"/>
    </row>
    <row r="3100" spans="13:13">
      <c r="M3100" s="202"/>
    </row>
    <row r="3101" spans="13:13">
      <c r="M3101" s="202"/>
    </row>
    <row r="3102" spans="13:13">
      <c r="M3102" s="202"/>
    </row>
    <row r="3103" spans="13:13">
      <c r="M3103" s="202"/>
    </row>
    <row r="3104" spans="13:13">
      <c r="M3104" s="202"/>
    </row>
    <row r="3105" spans="13:13">
      <c r="M3105" s="202"/>
    </row>
    <row r="3106" spans="13:13">
      <c r="M3106" s="202"/>
    </row>
    <row r="3107" spans="13:13">
      <c r="M3107" s="202"/>
    </row>
    <row r="3108" spans="13:13">
      <c r="M3108" s="202"/>
    </row>
    <row r="3109" spans="13:13">
      <c r="M3109" s="202"/>
    </row>
    <row r="3110" spans="13:13">
      <c r="M3110" s="202"/>
    </row>
    <row r="3111" spans="13:13">
      <c r="M3111" s="202"/>
    </row>
    <row r="3112" spans="13:13">
      <c r="M3112" s="202"/>
    </row>
    <row r="3113" spans="13:13">
      <c r="M3113" s="202"/>
    </row>
    <row r="3114" spans="13:13">
      <c r="M3114" s="202"/>
    </row>
    <row r="3115" spans="13:13">
      <c r="M3115" s="202"/>
    </row>
    <row r="3116" spans="13:13">
      <c r="M3116" s="202"/>
    </row>
    <row r="3117" spans="13:13">
      <c r="M3117" s="202"/>
    </row>
    <row r="3118" spans="13:13">
      <c r="M3118" s="202"/>
    </row>
    <row r="3119" spans="13:13">
      <c r="M3119" s="202"/>
    </row>
    <row r="3120" spans="13:13">
      <c r="M3120" s="202"/>
    </row>
    <row r="3121" spans="13:13">
      <c r="M3121" s="202"/>
    </row>
    <row r="3122" spans="13:13">
      <c r="M3122" s="202"/>
    </row>
    <row r="3123" spans="13:13">
      <c r="M3123" s="202"/>
    </row>
    <row r="3124" spans="13:13">
      <c r="M3124" s="202"/>
    </row>
    <row r="3125" spans="13:13">
      <c r="M3125" s="202"/>
    </row>
    <row r="3126" spans="13:13">
      <c r="M3126" s="202"/>
    </row>
    <row r="3127" spans="13:13">
      <c r="M3127" s="202"/>
    </row>
    <row r="3128" spans="13:13">
      <c r="M3128" s="202"/>
    </row>
    <row r="3129" spans="13:13">
      <c r="M3129" s="202"/>
    </row>
    <row r="3130" spans="13:13">
      <c r="M3130" s="202"/>
    </row>
    <row r="3131" spans="13:13">
      <c r="M3131" s="202"/>
    </row>
    <row r="3132" spans="13:13">
      <c r="M3132" s="202"/>
    </row>
    <row r="3133" spans="13:13">
      <c r="M3133" s="202"/>
    </row>
    <row r="3134" spans="13:13">
      <c r="M3134" s="202"/>
    </row>
    <row r="3135" spans="13:13">
      <c r="M3135" s="202"/>
    </row>
    <row r="3136" spans="13:13">
      <c r="M3136" s="202"/>
    </row>
    <row r="3137" spans="13:13">
      <c r="M3137" s="202"/>
    </row>
    <row r="3138" spans="13:13">
      <c r="M3138" s="202"/>
    </row>
    <row r="3139" spans="13:13">
      <c r="M3139" s="202"/>
    </row>
    <row r="3140" spans="13:13">
      <c r="M3140" s="202"/>
    </row>
    <row r="3141" spans="13:13">
      <c r="M3141" s="202"/>
    </row>
    <row r="3142" spans="13:13">
      <c r="M3142" s="202"/>
    </row>
    <row r="3143" spans="13:13">
      <c r="M3143" s="202"/>
    </row>
    <row r="3144" spans="13:13">
      <c r="M3144" s="202"/>
    </row>
    <row r="3145" spans="13:13">
      <c r="M3145" s="202"/>
    </row>
    <row r="3146" spans="13:13">
      <c r="M3146" s="202"/>
    </row>
    <row r="3147" spans="13:13">
      <c r="M3147" s="202"/>
    </row>
    <row r="3148" spans="13:13">
      <c r="M3148" s="202"/>
    </row>
    <row r="3149" spans="13:13">
      <c r="M3149" s="202"/>
    </row>
    <row r="3150" spans="13:13">
      <c r="M3150" s="202"/>
    </row>
    <row r="3151" spans="13:13">
      <c r="M3151" s="202"/>
    </row>
    <row r="3152" spans="13:13">
      <c r="M3152" s="202"/>
    </row>
    <row r="3153" spans="13:13">
      <c r="M3153" s="202"/>
    </row>
    <row r="3154" spans="13:13">
      <c r="M3154" s="202"/>
    </row>
    <row r="3155" spans="13:13">
      <c r="M3155" s="202"/>
    </row>
    <row r="3156" spans="13:13">
      <c r="M3156" s="202"/>
    </row>
    <row r="3157" spans="13:13">
      <c r="M3157" s="202"/>
    </row>
    <row r="3158" spans="13:13">
      <c r="M3158" s="202"/>
    </row>
    <row r="3159" spans="13:13">
      <c r="M3159" s="202"/>
    </row>
    <row r="3160" spans="13:13">
      <c r="M3160" s="202"/>
    </row>
    <row r="3161" spans="13:13">
      <c r="M3161" s="202"/>
    </row>
    <row r="3162" spans="13:13">
      <c r="M3162" s="202"/>
    </row>
    <row r="3163" spans="13:13">
      <c r="M3163" s="202"/>
    </row>
    <row r="3164" spans="13:13">
      <c r="M3164" s="202"/>
    </row>
    <row r="3165" spans="13:13">
      <c r="M3165" s="202"/>
    </row>
    <row r="3166" spans="13:13">
      <c r="M3166" s="202"/>
    </row>
    <row r="3167" spans="13:13">
      <c r="M3167" s="202"/>
    </row>
    <row r="3168" spans="13:13">
      <c r="M3168" s="202"/>
    </row>
    <row r="3169" spans="13:13">
      <c r="M3169" s="202"/>
    </row>
    <row r="3170" spans="13:13">
      <c r="M3170" s="202"/>
    </row>
    <row r="3171" spans="13:13">
      <c r="M3171" s="202"/>
    </row>
    <row r="3172" spans="13:13">
      <c r="M3172" s="202"/>
    </row>
    <row r="3173" spans="13:13">
      <c r="M3173" s="202"/>
    </row>
    <row r="3174" spans="13:13">
      <c r="M3174" s="202"/>
    </row>
    <row r="3175" spans="13:13">
      <c r="M3175" s="202"/>
    </row>
    <row r="3176" spans="13:13">
      <c r="M3176" s="202"/>
    </row>
    <row r="3177" spans="13:13">
      <c r="M3177" s="202"/>
    </row>
    <row r="3178" spans="13:13">
      <c r="M3178" s="202"/>
    </row>
    <row r="3179" spans="13:13">
      <c r="M3179" s="202"/>
    </row>
    <row r="3180" spans="13:13">
      <c r="M3180" s="202"/>
    </row>
    <row r="3181" spans="13:13">
      <c r="M3181" s="202"/>
    </row>
    <row r="3182" spans="13:13">
      <c r="M3182" s="202"/>
    </row>
    <row r="3183" spans="13:13">
      <c r="M3183" s="202"/>
    </row>
    <row r="3184" spans="13:13">
      <c r="M3184" s="202"/>
    </row>
    <row r="3185" spans="13:13">
      <c r="M3185" s="202"/>
    </row>
    <row r="3186" spans="13:13">
      <c r="M3186" s="202"/>
    </row>
    <row r="3187" spans="13:13">
      <c r="M3187" s="202"/>
    </row>
    <row r="3188" spans="13:13">
      <c r="M3188" s="202"/>
    </row>
    <row r="3189" spans="13:13">
      <c r="M3189" s="202"/>
    </row>
    <row r="3190" spans="13:13">
      <c r="M3190" s="202"/>
    </row>
    <row r="3191" spans="13:13">
      <c r="M3191" s="202"/>
    </row>
    <row r="3192" spans="13:13">
      <c r="M3192" s="202"/>
    </row>
    <row r="3193" spans="13:13">
      <c r="M3193" s="202"/>
    </row>
    <row r="3194" spans="13:13">
      <c r="M3194" s="202"/>
    </row>
    <row r="3195" spans="13:13">
      <c r="M3195" s="202"/>
    </row>
    <row r="3196" spans="13:13">
      <c r="M3196" s="202"/>
    </row>
    <row r="3197" spans="13:13">
      <c r="M3197" s="202"/>
    </row>
    <row r="3198" spans="13:13">
      <c r="M3198" s="202"/>
    </row>
    <row r="3199" spans="13:13">
      <c r="M3199" s="202"/>
    </row>
    <row r="3200" spans="13:13">
      <c r="M3200" s="202"/>
    </row>
    <row r="3201" spans="13:13">
      <c r="M3201" s="202"/>
    </row>
    <row r="3202" spans="13:13">
      <c r="M3202" s="202"/>
    </row>
    <row r="3203" spans="13:13">
      <c r="M3203" s="202"/>
    </row>
    <row r="3204" spans="13:13">
      <c r="M3204" s="202"/>
    </row>
    <row r="3205" spans="13:13">
      <c r="M3205" s="202"/>
    </row>
    <row r="3206" spans="13:13">
      <c r="M3206" s="202"/>
    </row>
    <row r="3207" spans="13:13">
      <c r="M3207" s="202"/>
    </row>
    <row r="3208" spans="13:13">
      <c r="M3208" s="202"/>
    </row>
    <row r="3209" spans="13:13">
      <c r="M3209" s="202"/>
    </row>
    <row r="3210" spans="13:13">
      <c r="M3210" s="202"/>
    </row>
    <row r="3211" spans="13:13">
      <c r="M3211" s="202"/>
    </row>
    <row r="3212" spans="13:13">
      <c r="M3212" s="202"/>
    </row>
    <row r="3213" spans="13:13">
      <c r="M3213" s="202"/>
    </row>
    <row r="3214" spans="13:13">
      <c r="M3214" s="202"/>
    </row>
    <row r="3215" spans="13:13">
      <c r="M3215" s="202"/>
    </row>
    <row r="3216" spans="13:13">
      <c r="M3216" s="202"/>
    </row>
    <row r="3217" spans="13:13">
      <c r="M3217" s="202"/>
    </row>
    <row r="3218" spans="13:13">
      <c r="M3218" s="202"/>
    </row>
    <row r="3219" spans="13:13">
      <c r="M3219" s="202"/>
    </row>
    <row r="3220" spans="13:13">
      <c r="M3220" s="202"/>
    </row>
    <row r="3221" spans="13:13">
      <c r="M3221" s="202"/>
    </row>
    <row r="3222" spans="13:13">
      <c r="M3222" s="202"/>
    </row>
    <row r="3223" spans="13:13">
      <c r="M3223" s="202"/>
    </row>
    <row r="3224" spans="13:13">
      <c r="M3224" s="202"/>
    </row>
    <row r="3225" spans="13:13">
      <c r="M3225" s="202"/>
    </row>
    <row r="3226" spans="13:13">
      <c r="M3226" s="202"/>
    </row>
    <row r="3227" spans="13:13">
      <c r="M3227" s="202"/>
    </row>
    <row r="3228" spans="13:13">
      <c r="M3228" s="202"/>
    </row>
    <row r="3229" spans="13:13">
      <c r="M3229" s="202"/>
    </row>
    <row r="3230" spans="13:13">
      <c r="M3230" s="202"/>
    </row>
    <row r="3231" spans="13:13">
      <c r="M3231" s="202"/>
    </row>
    <row r="3232" spans="13:13">
      <c r="M3232" s="202"/>
    </row>
    <row r="3233" spans="13:13">
      <c r="M3233" s="202"/>
    </row>
    <row r="3234" spans="13:13">
      <c r="M3234" s="202"/>
    </row>
    <row r="3235" spans="13:13">
      <c r="M3235" s="202"/>
    </row>
    <row r="3236" spans="13:13">
      <c r="M3236" s="202"/>
    </row>
    <row r="3237" spans="13:13">
      <c r="M3237" s="202"/>
    </row>
    <row r="3238" spans="13:13">
      <c r="M3238" s="202"/>
    </row>
    <row r="3239" spans="13:13">
      <c r="M3239" s="202"/>
    </row>
    <row r="3240" spans="13:13">
      <c r="M3240" s="202"/>
    </row>
    <row r="3241" spans="13:13">
      <c r="M3241" s="202"/>
    </row>
    <row r="3242" spans="13:13">
      <c r="M3242" s="202"/>
    </row>
    <row r="3243" spans="13:13">
      <c r="M3243" s="202"/>
    </row>
    <row r="3244" spans="13:13">
      <c r="M3244" s="202"/>
    </row>
    <row r="3245" spans="13:13">
      <c r="M3245" s="202"/>
    </row>
    <row r="3246" spans="13:13">
      <c r="M3246" s="202"/>
    </row>
    <row r="3247" spans="13:13">
      <c r="M3247" s="202"/>
    </row>
    <row r="3248" spans="13:13">
      <c r="M3248" s="202"/>
    </row>
    <row r="3249" spans="13:13">
      <c r="M3249" s="202"/>
    </row>
    <row r="3250" spans="13:13">
      <c r="M3250" s="202"/>
    </row>
    <row r="3251" spans="13:13">
      <c r="M3251" s="202"/>
    </row>
    <row r="3252" spans="13:13">
      <c r="M3252" s="202"/>
    </row>
    <row r="3253" spans="13:13">
      <c r="M3253" s="202"/>
    </row>
    <row r="3254" spans="13:13">
      <c r="M3254" s="202"/>
    </row>
    <row r="3255" spans="13:13">
      <c r="M3255" s="202"/>
    </row>
    <row r="3256" spans="13:13">
      <c r="M3256" s="202"/>
    </row>
    <row r="3257" spans="13:13">
      <c r="M3257" s="202"/>
    </row>
    <row r="3258" spans="13:13">
      <c r="M3258" s="202"/>
    </row>
    <row r="3259" spans="13:13">
      <c r="M3259" s="202"/>
    </row>
    <row r="3260" spans="13:13">
      <c r="M3260" s="202"/>
    </row>
    <row r="3261" spans="13:13">
      <c r="M3261" s="202"/>
    </row>
    <row r="3262" spans="13:13">
      <c r="M3262" s="202"/>
    </row>
    <row r="3263" spans="13:13">
      <c r="M3263" s="202"/>
    </row>
    <row r="3264" spans="13:13">
      <c r="M3264" s="202"/>
    </row>
    <row r="3265" spans="13:13">
      <c r="M3265" s="202"/>
    </row>
    <row r="3266" spans="13:13">
      <c r="M3266" s="202"/>
    </row>
    <row r="3267" spans="13:13">
      <c r="M3267" s="202"/>
    </row>
    <row r="3268" spans="13:13">
      <c r="M3268" s="202"/>
    </row>
    <row r="3269" spans="13:13">
      <c r="M3269" s="202"/>
    </row>
    <row r="3270" spans="13:13">
      <c r="M3270" s="202"/>
    </row>
    <row r="3271" spans="13:13">
      <c r="M3271" s="202"/>
    </row>
    <row r="3272" spans="13:13">
      <c r="M3272" s="202"/>
    </row>
    <row r="3273" spans="13:13">
      <c r="M3273" s="202"/>
    </row>
    <row r="3274" spans="13:13">
      <c r="M3274" s="202"/>
    </row>
    <row r="3275" spans="13:13">
      <c r="M3275" s="202"/>
    </row>
    <row r="3276" spans="13:13">
      <c r="M3276" s="202"/>
    </row>
    <row r="3277" spans="13:13">
      <c r="M3277" s="202"/>
    </row>
    <row r="3278" spans="13:13">
      <c r="M3278" s="202"/>
    </row>
    <row r="3279" spans="13:13">
      <c r="M3279" s="202"/>
    </row>
    <row r="3280" spans="13:13">
      <c r="M3280" s="202"/>
    </row>
    <row r="3281" spans="13:13">
      <c r="M3281" s="202"/>
    </row>
    <row r="3282" spans="13:13">
      <c r="M3282" s="202"/>
    </row>
    <row r="3283" spans="13:13">
      <c r="M3283" s="202"/>
    </row>
    <row r="3284" spans="13:13">
      <c r="M3284" s="202"/>
    </row>
    <row r="3285" spans="13:13">
      <c r="M3285" s="202"/>
    </row>
    <row r="3286" spans="13:13">
      <c r="M3286" s="202"/>
    </row>
    <row r="3287" spans="13:13">
      <c r="M3287" s="202"/>
    </row>
    <row r="3288" spans="13:13">
      <c r="M3288" s="202"/>
    </row>
    <row r="3289" spans="13:13">
      <c r="M3289" s="202"/>
    </row>
    <row r="3290" spans="13:13">
      <c r="M3290" s="202"/>
    </row>
    <row r="3291" spans="13:13">
      <c r="M3291" s="202"/>
    </row>
    <row r="3292" spans="13:13">
      <c r="M3292" s="202"/>
    </row>
    <row r="3293" spans="13:13">
      <c r="M3293" s="202"/>
    </row>
    <row r="3294" spans="13:13">
      <c r="M3294" s="202"/>
    </row>
    <row r="3295" spans="13:13">
      <c r="M3295" s="202"/>
    </row>
    <row r="3296" spans="13:13">
      <c r="M3296" s="202"/>
    </row>
    <row r="3297" spans="13:13">
      <c r="M3297" s="202"/>
    </row>
    <row r="3298" spans="13:13">
      <c r="M3298" s="202"/>
    </row>
    <row r="3299" spans="13:13">
      <c r="M3299" s="202"/>
    </row>
    <row r="3300" spans="13:13">
      <c r="M3300" s="202"/>
    </row>
    <row r="3301" spans="13:13">
      <c r="M3301" s="202"/>
    </row>
    <row r="3302" spans="13:13">
      <c r="M3302" s="202"/>
    </row>
    <row r="3303" spans="13:13">
      <c r="M3303" s="202"/>
    </row>
    <row r="3304" spans="13:13">
      <c r="M3304" s="202"/>
    </row>
    <row r="3305" spans="13:13">
      <c r="M3305" s="202"/>
    </row>
    <row r="3306" spans="13:13">
      <c r="M3306" s="202"/>
    </row>
    <row r="3307" spans="13:13">
      <c r="M3307" s="202"/>
    </row>
    <row r="3308" spans="13:13">
      <c r="M3308" s="202"/>
    </row>
    <row r="3309" spans="13:13">
      <c r="M3309" s="202"/>
    </row>
    <row r="3310" spans="13:13">
      <c r="M3310" s="202"/>
    </row>
    <row r="3311" spans="13:13">
      <c r="M3311" s="202"/>
    </row>
    <row r="3312" spans="13:13">
      <c r="M3312" s="202"/>
    </row>
    <row r="3313" spans="13:13">
      <c r="M3313" s="202"/>
    </row>
    <row r="3314" spans="13:13">
      <c r="M3314" s="202"/>
    </row>
    <row r="3315" spans="13:13">
      <c r="M3315" s="202"/>
    </row>
    <row r="3316" spans="13:13">
      <c r="M3316" s="202"/>
    </row>
    <row r="3317" spans="13:13">
      <c r="M3317" s="202"/>
    </row>
    <row r="3318" spans="13:13">
      <c r="M3318" s="202"/>
    </row>
    <row r="3319" spans="13:13">
      <c r="M3319" s="202"/>
    </row>
    <row r="3320" spans="13:13">
      <c r="M3320" s="202"/>
    </row>
    <row r="3321" spans="13:13">
      <c r="M3321" s="202"/>
    </row>
    <row r="3322" spans="13:13">
      <c r="M3322" s="202"/>
    </row>
    <row r="3323" spans="13:13">
      <c r="M3323" s="202"/>
    </row>
    <row r="3324" spans="13:13">
      <c r="M3324" s="202"/>
    </row>
    <row r="3325" spans="13:13">
      <c r="M3325" s="202"/>
    </row>
    <row r="3326" spans="13:13">
      <c r="M3326" s="202"/>
    </row>
    <row r="3327" spans="13:13">
      <c r="M3327" s="202"/>
    </row>
    <row r="3328" spans="13:13">
      <c r="M3328" s="202"/>
    </row>
    <row r="3329" spans="13:13">
      <c r="M3329" s="202"/>
    </row>
    <row r="3330" spans="13:13">
      <c r="M3330" s="202"/>
    </row>
    <row r="3331" spans="13:13">
      <c r="M3331" s="202"/>
    </row>
    <row r="3332" spans="13:13">
      <c r="M3332" s="202"/>
    </row>
    <row r="3333" spans="13:13">
      <c r="M3333" s="202"/>
    </row>
    <row r="3334" spans="13:13">
      <c r="M3334" s="202"/>
    </row>
    <row r="3335" spans="13:13">
      <c r="M3335" s="202"/>
    </row>
    <row r="3336" spans="13:13">
      <c r="M3336" s="202"/>
    </row>
    <row r="3337" spans="13:13">
      <c r="M3337" s="202"/>
    </row>
    <row r="3338" spans="13:13">
      <c r="M3338" s="202"/>
    </row>
    <row r="3339" spans="13:13">
      <c r="M3339" s="202"/>
    </row>
    <row r="3340" spans="13:13">
      <c r="M3340" s="202"/>
    </row>
    <row r="3341" spans="13:13">
      <c r="M3341" s="202"/>
    </row>
    <row r="3342" spans="13:13">
      <c r="M3342" s="202"/>
    </row>
    <row r="3343" spans="13:13">
      <c r="M3343" s="202"/>
    </row>
    <row r="3344" spans="13:13">
      <c r="M3344" s="202"/>
    </row>
    <row r="3345" spans="13:13">
      <c r="M3345" s="202"/>
    </row>
    <row r="3346" spans="13:13">
      <c r="M3346" s="202"/>
    </row>
    <row r="3347" spans="13:13">
      <c r="M3347" s="202"/>
    </row>
    <row r="3348" spans="13:13">
      <c r="M3348" s="202"/>
    </row>
    <row r="3349" spans="13:13">
      <c r="M3349" s="202"/>
    </row>
    <row r="3350" spans="13:13">
      <c r="M3350" s="202"/>
    </row>
    <row r="3351" spans="13:13">
      <c r="M3351" s="202"/>
    </row>
    <row r="3352" spans="13:13">
      <c r="M3352" s="202"/>
    </row>
    <row r="3353" spans="13:13">
      <c r="M3353" s="202"/>
    </row>
    <row r="3354" spans="13:13">
      <c r="M3354" s="202"/>
    </row>
    <row r="3355" spans="13:13">
      <c r="M3355" s="202"/>
    </row>
    <row r="3356" spans="13:13">
      <c r="M3356" s="202"/>
    </row>
    <row r="3357" spans="13:13">
      <c r="M3357" s="202"/>
    </row>
    <row r="3358" spans="13:13">
      <c r="M3358" s="202"/>
    </row>
    <row r="3359" spans="13:13">
      <c r="M3359" s="202"/>
    </row>
    <row r="3360" spans="13:13">
      <c r="M3360" s="202"/>
    </row>
    <row r="3361" spans="13:13">
      <c r="M3361" s="202"/>
    </row>
    <row r="3362" spans="13:13">
      <c r="M3362" s="202"/>
    </row>
    <row r="3363" spans="13:13">
      <c r="M3363" s="202"/>
    </row>
    <row r="3364" spans="13:13">
      <c r="M3364" s="202"/>
    </row>
    <row r="3365" spans="13:13">
      <c r="M3365" s="202"/>
    </row>
    <row r="3366" spans="13:13">
      <c r="M3366" s="202"/>
    </row>
    <row r="3367" spans="13:13">
      <c r="M3367" s="202"/>
    </row>
    <row r="3368" spans="13:13">
      <c r="M3368" s="202"/>
    </row>
    <row r="3369" spans="13:13">
      <c r="M3369" s="202"/>
    </row>
    <row r="3370" spans="13:13">
      <c r="M3370" s="202"/>
    </row>
    <row r="3371" spans="13:13">
      <c r="M3371" s="202"/>
    </row>
    <row r="3372" spans="13:13">
      <c r="M3372" s="202"/>
    </row>
    <row r="3373" spans="13:13">
      <c r="M3373" s="202"/>
    </row>
    <row r="3374" spans="13:13">
      <c r="M3374" s="202"/>
    </row>
    <row r="3375" spans="13:13">
      <c r="M3375" s="202"/>
    </row>
    <row r="3376" spans="13:13">
      <c r="M3376" s="202"/>
    </row>
    <row r="3377" spans="13:13">
      <c r="M3377" s="202"/>
    </row>
    <row r="3378" spans="13:13">
      <c r="M3378" s="202"/>
    </row>
    <row r="3379" spans="13:13">
      <c r="M3379" s="202"/>
    </row>
    <row r="3380" spans="13:13">
      <c r="M3380" s="202"/>
    </row>
    <row r="3381" spans="13:13">
      <c r="M3381" s="202"/>
    </row>
    <row r="3382" spans="13:13">
      <c r="M3382" s="202"/>
    </row>
    <row r="3383" spans="13:13">
      <c r="M3383" s="202"/>
    </row>
    <row r="3384" spans="13:13">
      <c r="M3384" s="202"/>
    </row>
    <row r="3385" spans="13:13">
      <c r="M3385" s="202"/>
    </row>
    <row r="3386" spans="13:13">
      <c r="M3386" s="202"/>
    </row>
    <row r="3387" spans="13:13">
      <c r="M3387" s="202"/>
    </row>
    <row r="3388" spans="13:13">
      <c r="M3388" s="202"/>
    </row>
    <row r="3389" spans="13:13">
      <c r="M3389" s="202"/>
    </row>
    <row r="3390" spans="13:13">
      <c r="M3390" s="202"/>
    </row>
    <row r="3391" spans="13:13">
      <c r="M3391" s="202"/>
    </row>
    <row r="3392" spans="13:13">
      <c r="M3392" s="202"/>
    </row>
    <row r="3393" spans="13:13">
      <c r="M3393" s="202"/>
    </row>
    <row r="3394" spans="13:13">
      <c r="M3394" s="202"/>
    </row>
    <row r="3395" spans="13:13">
      <c r="M3395" s="202"/>
    </row>
    <row r="3396" spans="13:13">
      <c r="M3396" s="202"/>
    </row>
    <row r="3397" spans="13:13">
      <c r="M3397" s="202"/>
    </row>
    <row r="3398" spans="13:13">
      <c r="M3398" s="202"/>
    </row>
    <row r="3399" spans="13:13">
      <c r="M3399" s="202"/>
    </row>
    <row r="3400" spans="13:13">
      <c r="M3400" s="202"/>
    </row>
    <row r="3401" spans="13:13">
      <c r="M3401" s="202"/>
    </row>
    <row r="3402" spans="13:13">
      <c r="M3402" s="202"/>
    </row>
    <row r="3403" spans="13:13">
      <c r="M3403" s="202"/>
    </row>
    <row r="3404" spans="13:13">
      <c r="M3404" s="202"/>
    </row>
    <row r="3405" spans="13:13">
      <c r="M3405" s="202"/>
    </row>
    <row r="3406" spans="13:13">
      <c r="M3406" s="202"/>
    </row>
    <row r="3407" spans="13:13">
      <c r="M3407" s="202"/>
    </row>
    <row r="3408" spans="13:13">
      <c r="M3408" s="202"/>
    </row>
    <row r="3409" spans="13:13">
      <c r="M3409" s="202"/>
    </row>
    <row r="3410" spans="13:13">
      <c r="M3410" s="202"/>
    </row>
    <row r="3411" spans="13:13">
      <c r="M3411" s="202"/>
    </row>
    <row r="3412" spans="13:13">
      <c r="M3412" s="202"/>
    </row>
    <row r="3413" spans="13:13">
      <c r="M3413" s="202"/>
    </row>
    <row r="3414" spans="13:13">
      <c r="M3414" s="202"/>
    </row>
    <row r="3415" spans="13:13">
      <c r="M3415" s="202"/>
    </row>
    <row r="3416" spans="13:13">
      <c r="M3416" s="202"/>
    </row>
    <row r="3417" spans="13:13">
      <c r="M3417" s="202"/>
    </row>
    <row r="3418" spans="13:13">
      <c r="M3418" s="202"/>
    </row>
    <row r="3419" spans="13:13">
      <c r="M3419" s="202"/>
    </row>
    <row r="3420" spans="13:13">
      <c r="M3420" s="202"/>
    </row>
    <row r="3421" spans="13:13">
      <c r="M3421" s="202"/>
    </row>
    <row r="3422" spans="13:13">
      <c r="M3422" s="202"/>
    </row>
    <row r="3423" spans="13:13">
      <c r="M3423" s="202"/>
    </row>
    <row r="3424" spans="13:13">
      <c r="M3424" s="202"/>
    </row>
    <row r="3425" spans="13:13">
      <c r="M3425" s="202"/>
    </row>
    <row r="3426" spans="13:13">
      <c r="M3426" s="202"/>
    </row>
    <row r="3427" spans="13:13">
      <c r="M3427" s="202"/>
    </row>
    <row r="3428" spans="13:13">
      <c r="M3428" s="202"/>
    </row>
    <row r="3429" spans="13:13">
      <c r="M3429" s="202"/>
    </row>
    <row r="3430" spans="13:13">
      <c r="M3430" s="202"/>
    </row>
    <row r="3431" spans="13:13">
      <c r="M3431" s="202"/>
    </row>
    <row r="3432" spans="13:13">
      <c r="M3432" s="202"/>
    </row>
    <row r="3433" spans="13:13">
      <c r="M3433" s="202"/>
    </row>
    <row r="3434" spans="13:13">
      <c r="M3434" s="202"/>
    </row>
    <row r="3435" spans="13:13">
      <c r="M3435" s="202"/>
    </row>
    <row r="3436" spans="13:13">
      <c r="M3436" s="202"/>
    </row>
    <row r="3437" spans="13:13">
      <c r="M3437" s="202"/>
    </row>
    <row r="3438" spans="13:13">
      <c r="M3438" s="202"/>
    </row>
    <row r="3439" spans="13:13">
      <c r="M3439" s="202"/>
    </row>
    <row r="3440" spans="13:13">
      <c r="M3440" s="202"/>
    </row>
    <row r="3441" spans="13:13">
      <c r="M3441" s="202"/>
    </row>
    <row r="3442" spans="13:13">
      <c r="M3442" s="202"/>
    </row>
    <row r="3443" spans="13:13">
      <c r="M3443" s="202"/>
    </row>
    <row r="3444" spans="13:13">
      <c r="M3444" s="202"/>
    </row>
    <row r="3445" spans="13:13">
      <c r="M3445" s="202"/>
    </row>
    <row r="3446" spans="13:13">
      <c r="M3446" s="202"/>
    </row>
    <row r="3447" spans="13:13">
      <c r="M3447" s="202"/>
    </row>
    <row r="3448" spans="13:13">
      <c r="M3448" s="202"/>
    </row>
    <row r="3449" spans="13:13">
      <c r="M3449" s="202"/>
    </row>
    <row r="3450" spans="13:13">
      <c r="M3450" s="202"/>
    </row>
    <row r="3451" spans="13:13">
      <c r="M3451" s="202"/>
    </row>
    <row r="3452" spans="13:13">
      <c r="M3452" s="202"/>
    </row>
    <row r="3453" spans="13:13">
      <c r="M3453" s="202"/>
    </row>
    <row r="3454" spans="13:13">
      <c r="M3454" s="202"/>
    </row>
    <row r="3455" spans="13:13">
      <c r="M3455" s="202"/>
    </row>
    <row r="3456" spans="13:13">
      <c r="M3456" s="202"/>
    </row>
    <row r="3457" spans="13:13">
      <c r="M3457" s="202"/>
    </row>
    <row r="3458" spans="13:13">
      <c r="M3458" s="202"/>
    </row>
    <row r="3459" spans="13:13">
      <c r="M3459" s="202"/>
    </row>
    <row r="3460" spans="13:13">
      <c r="M3460" s="202"/>
    </row>
    <row r="3461" spans="13:13">
      <c r="M3461" s="202"/>
    </row>
    <row r="3462" spans="13:13">
      <c r="M3462" s="202"/>
    </row>
    <row r="3463" spans="13:13">
      <c r="M3463" s="202"/>
    </row>
    <row r="3464" spans="13:13">
      <c r="M3464" s="202"/>
    </row>
    <row r="3465" spans="13:13">
      <c r="M3465" s="202"/>
    </row>
    <row r="3466" spans="13:13">
      <c r="M3466" s="202"/>
    </row>
    <row r="3467" spans="13:13">
      <c r="M3467" s="202"/>
    </row>
    <row r="3468" spans="13:13">
      <c r="M3468" s="202"/>
    </row>
    <row r="3469" spans="13:13">
      <c r="M3469" s="202"/>
    </row>
    <row r="3470" spans="13:13">
      <c r="M3470" s="202"/>
    </row>
    <row r="3471" spans="13:13">
      <c r="M3471" s="202"/>
    </row>
    <row r="3472" spans="13:13">
      <c r="M3472" s="202"/>
    </row>
    <row r="3473" spans="13:13">
      <c r="M3473" s="202"/>
    </row>
    <row r="3474" spans="13:13">
      <c r="M3474" s="202"/>
    </row>
    <row r="3475" spans="13:13">
      <c r="M3475" s="202"/>
    </row>
    <row r="3476" spans="13:13">
      <c r="M3476" s="202"/>
    </row>
    <row r="3477" spans="13:13">
      <c r="M3477" s="202"/>
    </row>
    <row r="3478" spans="13:13">
      <c r="M3478" s="202"/>
    </row>
    <row r="3479" spans="13:13">
      <c r="M3479" s="202"/>
    </row>
    <row r="3480" spans="13:13">
      <c r="M3480" s="202"/>
    </row>
    <row r="3481" spans="13:13">
      <c r="M3481" s="202"/>
    </row>
    <row r="3482" spans="13:13">
      <c r="M3482" s="202"/>
    </row>
    <row r="3483" spans="13:13">
      <c r="M3483" s="202"/>
    </row>
    <row r="3484" spans="13:13">
      <c r="M3484" s="202"/>
    </row>
    <row r="3485" spans="13:13">
      <c r="M3485" s="202"/>
    </row>
    <row r="3486" spans="13:13">
      <c r="M3486" s="202"/>
    </row>
    <row r="3487" spans="13:13">
      <c r="M3487" s="202"/>
    </row>
    <row r="3488" spans="13:13">
      <c r="M3488" s="202"/>
    </row>
    <row r="3489" spans="13:13">
      <c r="M3489" s="202"/>
    </row>
    <row r="3490" spans="13:13">
      <c r="M3490" s="202"/>
    </row>
    <row r="3491" spans="13:13">
      <c r="M3491" s="202"/>
    </row>
    <row r="3492" spans="13:13">
      <c r="M3492" s="202"/>
    </row>
    <row r="3493" spans="13:13">
      <c r="M3493" s="202"/>
    </row>
    <row r="3494" spans="13:13">
      <c r="M3494" s="202"/>
    </row>
    <row r="3495" spans="13:13">
      <c r="M3495" s="202"/>
    </row>
    <row r="3496" spans="13:13">
      <c r="M3496" s="202"/>
    </row>
    <row r="3497" spans="13:13">
      <c r="M3497" s="202"/>
    </row>
    <row r="3498" spans="13:13">
      <c r="M3498" s="202"/>
    </row>
    <row r="3499" spans="13:13">
      <c r="M3499" s="202"/>
    </row>
    <row r="3500" spans="13:13">
      <c r="M3500" s="202"/>
    </row>
    <row r="3501" spans="13:13">
      <c r="M3501" s="202"/>
    </row>
    <row r="3502" spans="13:13">
      <c r="M3502" s="202"/>
    </row>
    <row r="3503" spans="13:13">
      <c r="M3503" s="202"/>
    </row>
    <row r="3504" spans="13:13">
      <c r="M3504" s="202"/>
    </row>
    <row r="3505" spans="13:13">
      <c r="M3505" s="202"/>
    </row>
    <row r="3506" spans="13:13">
      <c r="M3506" s="202"/>
    </row>
    <row r="3507" spans="13:13">
      <c r="M3507" s="202"/>
    </row>
    <row r="3508" spans="13:13">
      <c r="M3508" s="202"/>
    </row>
    <row r="3509" spans="13:13">
      <c r="M3509" s="202"/>
    </row>
    <row r="3510" spans="13:13">
      <c r="M3510" s="202"/>
    </row>
    <row r="3511" spans="13:13">
      <c r="M3511" s="202"/>
    </row>
    <row r="3512" spans="13:13">
      <c r="M3512" s="202"/>
    </row>
    <row r="3513" spans="13:13">
      <c r="M3513" s="202"/>
    </row>
    <row r="3514" spans="13:13">
      <c r="M3514" s="202"/>
    </row>
    <row r="3515" spans="13:13">
      <c r="M3515" s="202"/>
    </row>
    <row r="3516" spans="13:13">
      <c r="M3516" s="202"/>
    </row>
    <row r="3517" spans="13:13">
      <c r="M3517" s="202"/>
    </row>
    <row r="3518" spans="13:13">
      <c r="M3518" s="202"/>
    </row>
    <row r="3519" spans="13:13">
      <c r="M3519" s="202"/>
    </row>
    <row r="3520" spans="13:13">
      <c r="M3520" s="202"/>
    </row>
    <row r="3521" spans="13:13">
      <c r="M3521" s="202"/>
    </row>
    <row r="3522" spans="13:13">
      <c r="M3522" s="202"/>
    </row>
    <row r="3523" spans="13:13">
      <c r="M3523" s="202"/>
    </row>
    <row r="3524" spans="13:13">
      <c r="M3524" s="202"/>
    </row>
    <row r="3525" spans="13:13">
      <c r="M3525" s="202"/>
    </row>
    <row r="3526" spans="13:13">
      <c r="M3526" s="202"/>
    </row>
    <row r="3527" spans="13:13">
      <c r="M3527" s="202"/>
    </row>
    <row r="3528" spans="13:13">
      <c r="M3528" s="202"/>
    </row>
    <row r="3529" spans="13:13">
      <c r="M3529" s="202"/>
    </row>
    <row r="3530" spans="13:13">
      <c r="M3530" s="202"/>
    </row>
    <row r="3531" spans="13:13">
      <c r="M3531" s="202"/>
    </row>
    <row r="3532" spans="13:13">
      <c r="M3532" s="202"/>
    </row>
    <row r="3533" spans="13:13">
      <c r="M3533" s="202"/>
    </row>
    <row r="3534" spans="13:13">
      <c r="M3534" s="202"/>
    </row>
    <row r="3535" spans="13:13">
      <c r="M3535" s="202"/>
    </row>
    <row r="3536" spans="13:13">
      <c r="M3536" s="202"/>
    </row>
    <row r="3537" spans="13:13">
      <c r="M3537" s="202"/>
    </row>
    <row r="3538" spans="13:13">
      <c r="M3538" s="202"/>
    </row>
    <row r="3539" spans="13:13">
      <c r="M3539" s="202"/>
    </row>
    <row r="3540" spans="13:13">
      <c r="M3540" s="202"/>
    </row>
    <row r="3541" spans="13:13">
      <c r="M3541" s="202"/>
    </row>
    <row r="3542" spans="13:13">
      <c r="M3542" s="202"/>
    </row>
    <row r="3543" spans="13:13">
      <c r="M3543" s="202"/>
    </row>
    <row r="3544" spans="13:13">
      <c r="M3544" s="202"/>
    </row>
    <row r="3545" spans="13:13">
      <c r="M3545" s="202"/>
    </row>
    <row r="3546" spans="13:13">
      <c r="M3546" s="202"/>
    </row>
    <row r="3547" spans="13:13">
      <c r="M3547" s="202"/>
    </row>
    <row r="3548" spans="13:13">
      <c r="M3548" s="202"/>
    </row>
    <row r="3549" spans="13:13">
      <c r="M3549" s="202"/>
    </row>
    <row r="3550" spans="13:13">
      <c r="M3550" s="202"/>
    </row>
    <row r="3551" spans="13:13">
      <c r="M3551" s="202"/>
    </row>
    <row r="3552" spans="13:13">
      <c r="M3552" s="202"/>
    </row>
    <row r="3553" spans="13:13">
      <c r="M3553" s="202"/>
    </row>
    <row r="3554" spans="13:13">
      <c r="M3554" s="202"/>
    </row>
    <row r="3555" spans="13:13">
      <c r="M3555" s="202"/>
    </row>
    <row r="3556" spans="13:13">
      <c r="M3556" s="202"/>
    </row>
    <row r="3557" spans="13:13">
      <c r="M3557" s="202"/>
    </row>
    <row r="3558" spans="13:13">
      <c r="M3558" s="202"/>
    </row>
    <row r="3559" spans="13:13">
      <c r="M3559" s="202"/>
    </row>
    <row r="3560" spans="13:13">
      <c r="M3560" s="202"/>
    </row>
    <row r="3561" spans="13:13">
      <c r="M3561" s="202"/>
    </row>
    <row r="3562" spans="13:13">
      <c r="M3562" s="202"/>
    </row>
    <row r="3563" spans="13:13">
      <c r="M3563" s="202"/>
    </row>
    <row r="3564" spans="13:13">
      <c r="M3564" s="202"/>
    </row>
    <row r="3565" spans="13:13">
      <c r="M3565" s="202"/>
    </row>
    <row r="3566" spans="13:13">
      <c r="M3566" s="202"/>
    </row>
    <row r="3567" spans="13:13">
      <c r="M3567" s="202"/>
    </row>
    <row r="3568" spans="13:13">
      <c r="M3568" s="202"/>
    </row>
    <row r="3569" spans="13:13">
      <c r="M3569" s="202"/>
    </row>
    <row r="3570" spans="13:13">
      <c r="M3570" s="202"/>
    </row>
    <row r="3571" spans="13:13">
      <c r="M3571" s="202"/>
    </row>
    <row r="3572" spans="13:13">
      <c r="M3572" s="202"/>
    </row>
    <row r="3573" spans="13:13">
      <c r="M3573" s="202"/>
    </row>
    <row r="3574" spans="13:13">
      <c r="M3574" s="202"/>
    </row>
    <row r="3575" spans="13:13">
      <c r="M3575" s="202"/>
    </row>
    <row r="3576" spans="13:13">
      <c r="M3576" s="202"/>
    </row>
    <row r="3577" spans="13:13">
      <c r="M3577" s="202"/>
    </row>
    <row r="3578" spans="13:13">
      <c r="M3578" s="202"/>
    </row>
    <row r="3579" spans="13:13">
      <c r="M3579" s="202"/>
    </row>
    <row r="3580" spans="13:13">
      <c r="M3580" s="202"/>
    </row>
    <row r="3581" spans="13:13">
      <c r="M3581" s="202"/>
    </row>
    <row r="3582" spans="13:13">
      <c r="M3582" s="202"/>
    </row>
    <row r="3583" spans="13:13">
      <c r="M3583" s="202"/>
    </row>
    <row r="3584" spans="13:13">
      <c r="M3584" s="202"/>
    </row>
    <row r="3585" spans="13:13">
      <c r="M3585" s="202"/>
    </row>
    <row r="3586" spans="13:13">
      <c r="M3586" s="202"/>
    </row>
    <row r="3587" spans="13:13">
      <c r="M3587" s="202"/>
    </row>
    <row r="3588" spans="13:13">
      <c r="M3588" s="202"/>
    </row>
    <row r="3589" spans="13:13">
      <c r="M3589" s="202"/>
    </row>
    <row r="3590" spans="13:13">
      <c r="M3590" s="202"/>
    </row>
    <row r="3591" spans="13:13">
      <c r="M3591" s="202"/>
    </row>
    <row r="3592" spans="13:13">
      <c r="M3592" s="202"/>
    </row>
    <row r="3593" spans="13:13">
      <c r="M3593" s="202"/>
    </row>
    <row r="3594" spans="13:13">
      <c r="M3594" s="202"/>
    </row>
    <row r="3595" spans="13:13">
      <c r="M3595" s="202"/>
    </row>
    <row r="3596" spans="13:13">
      <c r="M3596" s="202"/>
    </row>
    <row r="3597" spans="13:13">
      <c r="M3597" s="202"/>
    </row>
    <row r="3598" spans="13:13">
      <c r="M3598" s="202"/>
    </row>
    <row r="3599" spans="13:13">
      <c r="M3599" s="202"/>
    </row>
    <row r="3600" spans="13:13">
      <c r="M3600" s="202"/>
    </row>
    <row r="3601" spans="13:13">
      <c r="M3601" s="202"/>
    </row>
    <row r="3602" spans="13:13">
      <c r="M3602" s="202"/>
    </row>
    <row r="3603" spans="13:13">
      <c r="M3603" s="202"/>
    </row>
    <row r="3604" spans="13:13">
      <c r="M3604" s="202"/>
    </row>
    <row r="3605" spans="13:13">
      <c r="M3605" s="202"/>
    </row>
    <row r="3606" spans="13:13">
      <c r="M3606" s="202"/>
    </row>
    <row r="3607" spans="13:13">
      <c r="M3607" s="202"/>
    </row>
    <row r="3608" spans="13:13">
      <c r="M3608" s="202"/>
    </row>
    <row r="3609" spans="13:13">
      <c r="M3609" s="202"/>
    </row>
    <row r="3610" spans="13:13">
      <c r="M3610" s="202"/>
    </row>
    <row r="3611" spans="13:13">
      <c r="M3611" s="202"/>
    </row>
    <row r="3612" spans="13:13">
      <c r="M3612" s="202"/>
    </row>
    <row r="3613" spans="13:13">
      <c r="M3613" s="202"/>
    </row>
    <row r="3614" spans="13:13">
      <c r="M3614" s="202"/>
    </row>
    <row r="3615" spans="13:13">
      <c r="M3615" s="202"/>
    </row>
    <row r="3616" spans="13:13">
      <c r="M3616" s="202"/>
    </row>
    <row r="3617" spans="13:13">
      <c r="M3617" s="202"/>
    </row>
    <row r="3618" spans="13:13">
      <c r="M3618" s="202"/>
    </row>
    <row r="3619" spans="13:13">
      <c r="M3619" s="202"/>
    </row>
    <row r="3620" spans="13:13">
      <c r="M3620" s="202"/>
    </row>
    <row r="3621" spans="13:13">
      <c r="M3621" s="202"/>
    </row>
    <row r="3622" spans="13:13">
      <c r="M3622" s="202"/>
    </row>
    <row r="3623" spans="13:13">
      <c r="M3623" s="202"/>
    </row>
    <row r="3624" spans="13:13">
      <c r="M3624" s="202"/>
    </row>
    <row r="3625" spans="13:13">
      <c r="M3625" s="202"/>
    </row>
    <row r="3626" spans="13:13">
      <c r="M3626" s="202"/>
    </row>
    <row r="3627" spans="13:13">
      <c r="M3627" s="202"/>
    </row>
    <row r="3628" spans="13:13">
      <c r="M3628" s="202"/>
    </row>
    <row r="3629" spans="13:13">
      <c r="M3629" s="202"/>
    </row>
    <row r="3630" spans="13:13">
      <c r="M3630" s="202"/>
    </row>
    <row r="3631" spans="13:13">
      <c r="M3631" s="202"/>
    </row>
    <row r="3632" spans="13:13">
      <c r="M3632" s="202"/>
    </row>
    <row r="3633" spans="13:13">
      <c r="M3633" s="202"/>
    </row>
    <row r="3634" spans="13:13">
      <c r="M3634" s="202"/>
    </row>
    <row r="3635" spans="13:13">
      <c r="M3635" s="202"/>
    </row>
    <row r="3636" spans="13:13">
      <c r="M3636" s="202"/>
    </row>
    <row r="3637" spans="13:13">
      <c r="M3637" s="202"/>
    </row>
    <row r="3638" spans="13:13">
      <c r="M3638" s="202"/>
    </row>
    <row r="3639" spans="13:13">
      <c r="M3639" s="202"/>
    </row>
    <row r="3640" spans="13:13">
      <c r="M3640" s="202"/>
    </row>
    <row r="3641" spans="13:13">
      <c r="M3641" s="202"/>
    </row>
    <row r="3642" spans="13:13">
      <c r="M3642" s="202"/>
    </row>
    <row r="3643" spans="13:13">
      <c r="M3643" s="202"/>
    </row>
    <row r="3644" spans="13:13">
      <c r="M3644" s="202"/>
    </row>
    <row r="3645" spans="13:13">
      <c r="M3645" s="202"/>
    </row>
    <row r="3646" spans="13:13">
      <c r="M3646" s="202"/>
    </row>
    <row r="3647" spans="13:13">
      <c r="M3647" s="202"/>
    </row>
    <row r="3648" spans="13:13">
      <c r="M3648" s="202"/>
    </row>
    <row r="3649" spans="13:13">
      <c r="M3649" s="202"/>
    </row>
    <row r="3650" spans="13:13">
      <c r="M3650" s="202"/>
    </row>
    <row r="3651" spans="13:13">
      <c r="M3651" s="202"/>
    </row>
    <row r="3652" spans="13:13">
      <c r="M3652" s="202"/>
    </row>
    <row r="3653" spans="13:13">
      <c r="M3653" s="202"/>
    </row>
    <row r="3654" spans="13:13">
      <c r="M3654" s="202"/>
    </row>
    <row r="3655" spans="13:13">
      <c r="M3655" s="202"/>
    </row>
    <row r="3656" spans="13:13">
      <c r="M3656" s="202"/>
    </row>
    <row r="3657" spans="13:13">
      <c r="M3657" s="202"/>
    </row>
    <row r="3658" spans="13:13">
      <c r="M3658" s="202"/>
    </row>
    <row r="3659" spans="13:13">
      <c r="M3659" s="202"/>
    </row>
    <row r="3660" spans="13:13">
      <c r="M3660" s="202"/>
    </row>
    <row r="3661" spans="13:13">
      <c r="M3661" s="202"/>
    </row>
    <row r="3662" spans="13:13">
      <c r="M3662" s="202"/>
    </row>
    <row r="3663" spans="13:13">
      <c r="M3663" s="202"/>
    </row>
    <row r="3664" spans="13:13">
      <c r="M3664" s="202"/>
    </row>
    <row r="3665" spans="13:13">
      <c r="M3665" s="202"/>
    </row>
    <row r="3666" spans="13:13">
      <c r="M3666" s="202"/>
    </row>
    <row r="3667" spans="13:13">
      <c r="M3667" s="202"/>
    </row>
    <row r="3668" spans="13:13">
      <c r="M3668" s="202"/>
    </row>
    <row r="3669" spans="13:13">
      <c r="M3669" s="202"/>
    </row>
    <row r="3670" spans="13:13">
      <c r="M3670" s="202"/>
    </row>
    <row r="3671" spans="13:13">
      <c r="M3671" s="202"/>
    </row>
    <row r="3672" spans="13:13">
      <c r="M3672" s="202"/>
    </row>
    <row r="3673" spans="13:13">
      <c r="M3673" s="202"/>
    </row>
    <row r="3674" spans="13:13">
      <c r="M3674" s="202"/>
    </row>
    <row r="3675" spans="13:13">
      <c r="M3675" s="202"/>
    </row>
    <row r="3676" spans="13:13">
      <c r="M3676" s="202"/>
    </row>
    <row r="3677" spans="13:13">
      <c r="M3677" s="202"/>
    </row>
    <row r="3678" spans="13:13">
      <c r="M3678" s="202"/>
    </row>
    <row r="3679" spans="13:13">
      <c r="M3679" s="202"/>
    </row>
    <row r="3680" spans="13:13">
      <c r="M3680" s="202"/>
    </row>
    <row r="3681" spans="13:13">
      <c r="M3681" s="202"/>
    </row>
    <row r="3682" spans="13:13">
      <c r="M3682" s="202"/>
    </row>
    <row r="3683" spans="13:13">
      <c r="M3683" s="202"/>
    </row>
    <row r="3684" spans="13:13">
      <c r="M3684" s="202"/>
    </row>
    <row r="3685" spans="13:13">
      <c r="M3685" s="202"/>
    </row>
    <row r="3686" spans="13:13">
      <c r="M3686" s="202"/>
    </row>
    <row r="3687" spans="13:13">
      <c r="M3687" s="202"/>
    </row>
    <row r="3688" spans="13:13">
      <c r="M3688" s="202"/>
    </row>
    <row r="3689" spans="13:13">
      <c r="M3689" s="202"/>
    </row>
    <row r="3690" spans="13:13">
      <c r="M3690" s="202"/>
    </row>
    <row r="3691" spans="13:13">
      <c r="M3691" s="202"/>
    </row>
    <row r="3692" spans="13:13">
      <c r="M3692" s="202"/>
    </row>
    <row r="3693" spans="13:13">
      <c r="M3693" s="202"/>
    </row>
    <row r="3694" spans="13:13">
      <c r="M3694" s="202"/>
    </row>
    <row r="3695" spans="13:13">
      <c r="M3695" s="202"/>
    </row>
    <row r="3696" spans="13:13">
      <c r="M3696" s="202"/>
    </row>
    <row r="3697" spans="13:13">
      <c r="M3697" s="202"/>
    </row>
    <row r="3698" spans="13:13">
      <c r="M3698" s="202"/>
    </row>
    <row r="3699" spans="13:13">
      <c r="M3699" s="202"/>
    </row>
    <row r="3700" spans="13:13">
      <c r="M3700" s="202"/>
    </row>
    <row r="3701" spans="13:13">
      <c r="M3701" s="202"/>
    </row>
    <row r="3702" spans="13:13">
      <c r="M3702" s="202"/>
    </row>
    <row r="3703" spans="13:13">
      <c r="M3703" s="202"/>
    </row>
    <row r="3704" spans="13:13">
      <c r="M3704" s="202"/>
    </row>
    <row r="3705" spans="13:13">
      <c r="M3705" s="202"/>
    </row>
    <row r="3706" spans="13:13">
      <c r="M3706" s="202"/>
    </row>
    <row r="3707" spans="13:13">
      <c r="M3707" s="202"/>
    </row>
    <row r="3708" spans="13:13">
      <c r="M3708" s="202"/>
    </row>
    <row r="3709" spans="13:13">
      <c r="M3709" s="202"/>
    </row>
    <row r="3710" spans="13:13">
      <c r="M3710" s="202"/>
    </row>
    <row r="3711" spans="13:13">
      <c r="M3711" s="202"/>
    </row>
    <row r="3712" spans="13:13">
      <c r="M3712" s="202"/>
    </row>
    <row r="3713" spans="13:13">
      <c r="M3713" s="202"/>
    </row>
    <row r="3714" spans="13:13">
      <c r="M3714" s="202"/>
    </row>
    <row r="3715" spans="13:13">
      <c r="M3715" s="202"/>
    </row>
    <row r="3716" spans="13:13">
      <c r="M3716" s="202"/>
    </row>
    <row r="3717" spans="13:13">
      <c r="M3717" s="202"/>
    </row>
    <row r="3718" spans="13:13">
      <c r="M3718" s="202"/>
    </row>
    <row r="3719" spans="13:13">
      <c r="M3719" s="202"/>
    </row>
    <row r="3720" spans="13:13">
      <c r="M3720" s="202"/>
    </row>
    <row r="3721" spans="13:13">
      <c r="M3721" s="202"/>
    </row>
    <row r="3722" spans="13:13">
      <c r="M3722" s="202"/>
    </row>
    <row r="3723" spans="13:13">
      <c r="M3723" s="202"/>
    </row>
    <row r="3724" spans="13:13">
      <c r="M3724" s="202"/>
    </row>
    <row r="3725" spans="13:13">
      <c r="M3725" s="202"/>
    </row>
    <row r="3726" spans="13:13">
      <c r="M3726" s="202"/>
    </row>
    <row r="3727" spans="13:13">
      <c r="M3727" s="202"/>
    </row>
    <row r="3728" spans="13:13">
      <c r="M3728" s="202"/>
    </row>
    <row r="3729" spans="13:13">
      <c r="M3729" s="202"/>
    </row>
    <row r="3730" spans="13:13">
      <c r="M3730" s="202"/>
    </row>
    <row r="3731" spans="13:13">
      <c r="M3731" s="202"/>
    </row>
    <row r="3732" spans="13:13">
      <c r="M3732" s="202"/>
    </row>
    <row r="3733" spans="13:13">
      <c r="M3733" s="202"/>
    </row>
    <row r="3734" spans="13:13">
      <c r="M3734" s="202"/>
    </row>
    <row r="3735" spans="13:13">
      <c r="M3735" s="202"/>
    </row>
    <row r="3736" spans="13:13">
      <c r="M3736" s="202"/>
    </row>
    <row r="3737" spans="13:13">
      <c r="M3737" s="202"/>
    </row>
    <row r="3738" spans="13:13">
      <c r="M3738" s="202"/>
    </row>
    <row r="3739" spans="13:13">
      <c r="M3739" s="202"/>
    </row>
    <row r="3740" spans="13:13">
      <c r="M3740" s="202"/>
    </row>
    <row r="3741" spans="13:13">
      <c r="M3741" s="202"/>
    </row>
    <row r="3742" spans="13:13">
      <c r="M3742" s="202"/>
    </row>
    <row r="3743" spans="13:13">
      <c r="M3743" s="202"/>
    </row>
    <row r="3744" spans="13:13">
      <c r="M3744" s="202"/>
    </row>
    <row r="3745" spans="13:13">
      <c r="M3745" s="202"/>
    </row>
    <row r="3746" spans="13:13">
      <c r="M3746" s="202"/>
    </row>
    <row r="3747" spans="13:13">
      <c r="M3747" s="202"/>
    </row>
    <row r="3748" spans="13:13">
      <c r="M3748" s="202"/>
    </row>
    <row r="3749" spans="13:13">
      <c r="M3749" s="202"/>
    </row>
    <row r="3750" spans="13:13">
      <c r="M3750" s="202"/>
    </row>
    <row r="3751" spans="13:13">
      <c r="M3751" s="202"/>
    </row>
    <row r="3752" spans="13:13">
      <c r="M3752" s="202"/>
    </row>
    <row r="3753" spans="13:13">
      <c r="M3753" s="202"/>
    </row>
    <row r="3754" spans="13:13">
      <c r="M3754" s="202"/>
    </row>
    <row r="3755" spans="13:13">
      <c r="M3755" s="202"/>
    </row>
    <row r="3756" spans="13:13">
      <c r="M3756" s="202"/>
    </row>
    <row r="3757" spans="13:13">
      <c r="M3757" s="202"/>
    </row>
    <row r="3758" spans="13:13">
      <c r="M3758" s="202"/>
    </row>
    <row r="3759" spans="13:13">
      <c r="M3759" s="202"/>
    </row>
    <row r="3760" spans="13:13">
      <c r="M3760" s="202"/>
    </row>
    <row r="3761" spans="13:13">
      <c r="M3761" s="202"/>
    </row>
    <row r="3762" spans="13:13">
      <c r="M3762" s="202"/>
    </row>
    <row r="3763" spans="13:13">
      <c r="M3763" s="202"/>
    </row>
    <row r="3764" spans="13:13">
      <c r="M3764" s="202"/>
    </row>
    <row r="3765" spans="13:13">
      <c r="M3765" s="202"/>
    </row>
    <row r="3766" spans="13:13">
      <c r="M3766" s="202"/>
    </row>
    <row r="3767" spans="13:13">
      <c r="M3767" s="202"/>
    </row>
    <row r="3768" spans="13:13">
      <c r="M3768" s="202"/>
    </row>
    <row r="3769" spans="13:13">
      <c r="M3769" s="202"/>
    </row>
    <row r="3770" spans="13:13">
      <c r="M3770" s="202"/>
    </row>
    <row r="3771" spans="13:13">
      <c r="M3771" s="202"/>
    </row>
    <row r="3772" spans="13:13">
      <c r="M3772" s="202"/>
    </row>
    <row r="3773" spans="13:13">
      <c r="M3773" s="202"/>
    </row>
    <row r="3774" spans="13:13">
      <c r="M3774" s="202"/>
    </row>
    <row r="3775" spans="13:13">
      <c r="M3775" s="202"/>
    </row>
    <row r="3776" spans="13:13">
      <c r="M3776" s="202"/>
    </row>
    <row r="3777" spans="13:13">
      <c r="M3777" s="202"/>
    </row>
    <row r="3778" spans="13:13">
      <c r="M3778" s="202"/>
    </row>
    <row r="3779" spans="13:13">
      <c r="M3779" s="202"/>
    </row>
    <row r="3780" spans="13:13">
      <c r="M3780" s="202"/>
    </row>
    <row r="3781" spans="13:13">
      <c r="M3781" s="202"/>
    </row>
    <row r="3782" spans="13:13">
      <c r="M3782" s="202"/>
    </row>
    <row r="3783" spans="13:13">
      <c r="M3783" s="202"/>
    </row>
    <row r="3784" spans="13:13">
      <c r="M3784" s="202"/>
    </row>
    <row r="3785" spans="13:13">
      <c r="M3785" s="202"/>
    </row>
    <row r="3786" spans="13:13">
      <c r="M3786" s="202"/>
    </row>
    <row r="3787" spans="13:13">
      <c r="M3787" s="202"/>
    </row>
    <row r="3788" spans="13:13">
      <c r="M3788" s="202"/>
    </row>
    <row r="3789" spans="13:13">
      <c r="M3789" s="202"/>
    </row>
    <row r="3790" spans="13:13">
      <c r="M3790" s="202"/>
    </row>
    <row r="3791" spans="13:13">
      <c r="M3791" s="202"/>
    </row>
    <row r="3792" spans="13:13">
      <c r="M3792" s="202"/>
    </row>
    <row r="3793" spans="13:13">
      <c r="M3793" s="202"/>
    </row>
    <row r="3794" spans="13:13">
      <c r="M3794" s="202"/>
    </row>
    <row r="3795" spans="13:13">
      <c r="M3795" s="202"/>
    </row>
    <row r="3796" spans="13:13">
      <c r="M3796" s="202"/>
    </row>
    <row r="3797" spans="13:13">
      <c r="M3797" s="202"/>
    </row>
    <row r="3798" spans="13:13">
      <c r="M3798" s="202"/>
    </row>
    <row r="3799" spans="13:13">
      <c r="M3799" s="202"/>
    </row>
    <row r="3800" spans="13:13">
      <c r="M3800" s="202"/>
    </row>
    <row r="3801" spans="13:13">
      <c r="M3801" s="202"/>
    </row>
    <row r="3802" spans="13:13">
      <c r="M3802" s="202"/>
    </row>
    <row r="3803" spans="13:13">
      <c r="M3803" s="202"/>
    </row>
    <row r="3804" spans="13:13">
      <c r="M3804" s="202"/>
    </row>
    <row r="3805" spans="13:13">
      <c r="M3805" s="202"/>
    </row>
    <row r="3806" spans="13:13">
      <c r="M3806" s="202"/>
    </row>
    <row r="3807" spans="13:13">
      <c r="M3807" s="202"/>
    </row>
    <row r="3808" spans="13:13">
      <c r="M3808" s="202"/>
    </row>
    <row r="3809" spans="13:13">
      <c r="M3809" s="202"/>
    </row>
    <row r="3810" spans="13:13">
      <c r="M3810" s="202"/>
    </row>
    <row r="3811" spans="13:13">
      <c r="M3811" s="202"/>
    </row>
    <row r="3812" spans="13:13">
      <c r="M3812" s="202"/>
    </row>
    <row r="3813" spans="13:13">
      <c r="M3813" s="202"/>
    </row>
    <row r="3814" spans="13:13">
      <c r="M3814" s="202"/>
    </row>
    <row r="3815" spans="13:13">
      <c r="M3815" s="202"/>
    </row>
    <row r="3816" spans="13:13">
      <c r="M3816" s="202"/>
    </row>
    <row r="3817" spans="13:13">
      <c r="M3817" s="202"/>
    </row>
    <row r="3818" spans="13:13">
      <c r="M3818" s="202"/>
    </row>
    <row r="3819" spans="13:13">
      <c r="M3819" s="202"/>
    </row>
    <row r="3820" spans="13:13">
      <c r="M3820" s="202"/>
    </row>
    <row r="3821" spans="13:13">
      <c r="M3821" s="202"/>
    </row>
    <row r="3822" spans="13:13">
      <c r="M3822" s="202"/>
    </row>
    <row r="3823" spans="13:13">
      <c r="M3823" s="202"/>
    </row>
    <row r="3824" spans="13:13">
      <c r="M3824" s="202"/>
    </row>
    <row r="3825" spans="13:13">
      <c r="M3825" s="202"/>
    </row>
    <row r="3826" spans="13:13">
      <c r="M3826" s="202"/>
    </row>
    <row r="3827" spans="13:13">
      <c r="M3827" s="202"/>
    </row>
    <row r="3828" spans="13:13">
      <c r="M3828" s="202"/>
    </row>
    <row r="3829" spans="13:13">
      <c r="M3829" s="202"/>
    </row>
    <row r="3830" spans="13:13">
      <c r="M3830" s="202"/>
    </row>
    <row r="3831" spans="13:13">
      <c r="M3831" s="202"/>
    </row>
    <row r="3832" spans="13:13">
      <c r="M3832" s="202"/>
    </row>
    <row r="3833" spans="13:13">
      <c r="M3833" s="202"/>
    </row>
    <row r="3834" spans="13:13">
      <c r="M3834" s="202"/>
    </row>
    <row r="3835" spans="13:13">
      <c r="M3835" s="202"/>
    </row>
    <row r="3836" spans="13:13">
      <c r="M3836" s="202"/>
    </row>
    <row r="3837" spans="13:13">
      <c r="M3837" s="202"/>
    </row>
    <row r="3838" spans="13:13">
      <c r="M3838" s="202"/>
    </row>
    <row r="3839" spans="13:13">
      <c r="M3839" s="202"/>
    </row>
    <row r="3840" spans="13:13">
      <c r="M3840" s="202"/>
    </row>
    <row r="3841" spans="13:13">
      <c r="M3841" s="202"/>
    </row>
    <row r="3842" spans="13:13">
      <c r="M3842" s="202"/>
    </row>
    <row r="3843" spans="13:13">
      <c r="M3843" s="202"/>
    </row>
    <row r="3844" spans="13:13">
      <c r="M3844" s="202"/>
    </row>
    <row r="3845" spans="13:13">
      <c r="M3845" s="202"/>
    </row>
    <row r="3846" spans="13:13">
      <c r="M3846" s="202"/>
    </row>
    <row r="3847" spans="13:13">
      <c r="M3847" s="202"/>
    </row>
    <row r="3848" spans="13:13">
      <c r="M3848" s="202"/>
    </row>
    <row r="3849" spans="13:13">
      <c r="M3849" s="202"/>
    </row>
    <row r="3850" spans="13:13">
      <c r="M3850" s="202"/>
    </row>
    <row r="3851" spans="13:13">
      <c r="M3851" s="202"/>
    </row>
    <row r="3852" spans="13:13">
      <c r="M3852" s="202"/>
    </row>
    <row r="3853" spans="13:13">
      <c r="M3853" s="202"/>
    </row>
    <row r="3854" spans="13:13">
      <c r="M3854" s="202"/>
    </row>
    <row r="3855" spans="13:13">
      <c r="M3855" s="202"/>
    </row>
    <row r="3856" spans="13:13">
      <c r="M3856" s="202"/>
    </row>
    <row r="3857" spans="13:13">
      <c r="M3857" s="202"/>
    </row>
    <row r="3858" spans="13:13">
      <c r="M3858" s="202"/>
    </row>
    <row r="3859" spans="13:13">
      <c r="M3859" s="202"/>
    </row>
    <row r="3860" spans="13:13">
      <c r="M3860" s="202"/>
    </row>
    <row r="3861" spans="13:13">
      <c r="M3861" s="202"/>
    </row>
    <row r="3862" spans="13:13">
      <c r="M3862" s="202"/>
    </row>
    <row r="3863" spans="13:13">
      <c r="M3863" s="202"/>
    </row>
    <row r="3864" spans="13:13">
      <c r="M3864" s="202"/>
    </row>
    <row r="3865" spans="13:13">
      <c r="M3865" s="202"/>
    </row>
    <row r="3866" spans="13:13">
      <c r="M3866" s="202"/>
    </row>
    <row r="3867" spans="13:13">
      <c r="M3867" s="202"/>
    </row>
    <row r="3868" spans="13:13">
      <c r="M3868" s="202"/>
    </row>
    <row r="3869" spans="13:13">
      <c r="M3869" s="202"/>
    </row>
    <row r="3870" spans="13:13">
      <c r="M3870" s="202"/>
    </row>
    <row r="3871" spans="13:13">
      <c r="M3871" s="202"/>
    </row>
    <row r="3872" spans="13:13">
      <c r="M3872" s="202"/>
    </row>
    <row r="3873" spans="13:13">
      <c r="M3873" s="202"/>
    </row>
    <row r="3874" spans="13:13">
      <c r="M3874" s="202"/>
    </row>
    <row r="3875" spans="13:13">
      <c r="M3875" s="202"/>
    </row>
    <row r="3876" spans="13:13">
      <c r="M3876" s="202"/>
    </row>
    <row r="3877" spans="13:13">
      <c r="M3877" s="202"/>
    </row>
    <row r="3878" spans="13:13">
      <c r="M3878" s="202"/>
    </row>
    <row r="3879" spans="13:13">
      <c r="M3879" s="202"/>
    </row>
    <row r="3880" spans="13:13">
      <c r="M3880" s="202"/>
    </row>
    <row r="3881" spans="13:13">
      <c r="M3881" s="202"/>
    </row>
    <row r="3882" spans="13:13">
      <c r="M3882" s="202"/>
    </row>
    <row r="3883" spans="13:13">
      <c r="M3883" s="202"/>
    </row>
    <row r="3884" spans="13:13">
      <c r="M3884" s="202"/>
    </row>
    <row r="3885" spans="13:13">
      <c r="M3885" s="202"/>
    </row>
    <row r="3886" spans="13:13">
      <c r="M3886" s="202"/>
    </row>
    <row r="3887" spans="13:13">
      <c r="M3887" s="202"/>
    </row>
    <row r="3888" spans="13:13">
      <c r="M3888" s="202"/>
    </row>
    <row r="3889" spans="13:13">
      <c r="M3889" s="202"/>
    </row>
    <row r="3890" spans="13:13">
      <c r="M3890" s="202"/>
    </row>
    <row r="3891" spans="13:13">
      <c r="M3891" s="202"/>
    </row>
    <row r="3892" spans="13:13">
      <c r="M3892" s="202"/>
    </row>
    <row r="3893" spans="13:13">
      <c r="M3893" s="202"/>
    </row>
    <row r="3894" spans="13:13">
      <c r="M3894" s="202"/>
    </row>
    <row r="3895" spans="13:13">
      <c r="M3895" s="202"/>
    </row>
    <row r="3896" spans="13:13">
      <c r="M3896" s="202"/>
    </row>
    <row r="3897" spans="13:13">
      <c r="M3897" s="202"/>
    </row>
    <row r="3898" spans="13:13">
      <c r="M3898" s="202"/>
    </row>
    <row r="3899" spans="13:13">
      <c r="M3899" s="202"/>
    </row>
    <row r="3900" spans="13:13">
      <c r="M3900" s="202"/>
    </row>
    <row r="3901" spans="13:13">
      <c r="M3901" s="202"/>
    </row>
    <row r="3902" spans="13:13">
      <c r="M3902" s="202"/>
    </row>
    <row r="3903" spans="13:13">
      <c r="M3903" s="202"/>
    </row>
    <row r="3904" spans="13:13">
      <c r="M3904" s="202"/>
    </row>
    <row r="3905" spans="13:13">
      <c r="M3905" s="202"/>
    </row>
    <row r="3906" spans="13:13">
      <c r="M3906" s="202"/>
    </row>
    <row r="3907" spans="13:13">
      <c r="M3907" s="202"/>
    </row>
    <row r="3908" spans="13:13">
      <c r="M3908" s="202"/>
    </row>
    <row r="3909" spans="13:13">
      <c r="M3909" s="202"/>
    </row>
    <row r="3910" spans="13:13">
      <c r="M3910" s="202"/>
    </row>
    <row r="3911" spans="13:13">
      <c r="M3911" s="202"/>
    </row>
    <row r="3912" spans="13:13">
      <c r="M3912" s="202"/>
    </row>
    <row r="3913" spans="13:13">
      <c r="M3913" s="202"/>
    </row>
    <row r="3914" spans="13:13">
      <c r="M3914" s="202"/>
    </row>
    <row r="3915" spans="13:13">
      <c r="M3915" s="202"/>
    </row>
    <row r="3916" spans="13:13">
      <c r="M3916" s="202"/>
    </row>
    <row r="3917" spans="13:13">
      <c r="M3917" s="202"/>
    </row>
    <row r="3918" spans="13:13">
      <c r="M3918" s="202"/>
    </row>
    <row r="3919" spans="13:13">
      <c r="M3919" s="202"/>
    </row>
    <row r="3920" spans="13:13">
      <c r="M3920" s="202"/>
    </row>
    <row r="3921" spans="13:13">
      <c r="M3921" s="202"/>
    </row>
    <row r="3922" spans="13:13">
      <c r="M3922" s="202"/>
    </row>
    <row r="3923" spans="13:13">
      <c r="M3923" s="202"/>
    </row>
    <row r="3924" spans="13:13">
      <c r="M3924" s="202"/>
    </row>
    <row r="3925" spans="13:13">
      <c r="M3925" s="202"/>
    </row>
    <row r="3926" spans="13:13">
      <c r="M3926" s="202"/>
    </row>
    <row r="3927" spans="13:13">
      <c r="M3927" s="202"/>
    </row>
    <row r="3928" spans="13:13">
      <c r="M3928" s="202"/>
    </row>
    <row r="3929" spans="13:13">
      <c r="M3929" s="202"/>
    </row>
    <row r="3930" spans="13:13">
      <c r="M3930" s="202"/>
    </row>
    <row r="3931" spans="13:13">
      <c r="M3931" s="202"/>
    </row>
    <row r="3932" spans="13:13">
      <c r="M3932" s="202"/>
    </row>
    <row r="3933" spans="13:13">
      <c r="M3933" s="202"/>
    </row>
    <row r="3934" spans="13:13">
      <c r="M3934" s="202"/>
    </row>
    <row r="3935" spans="13:13">
      <c r="M3935" s="202"/>
    </row>
    <row r="3936" spans="13:13">
      <c r="M3936" s="202"/>
    </row>
    <row r="3937" spans="13:13">
      <c r="M3937" s="202"/>
    </row>
    <row r="3938" spans="13:13">
      <c r="M3938" s="202"/>
    </row>
    <row r="3939" spans="13:13">
      <c r="M3939" s="202"/>
    </row>
    <row r="3940" spans="13:13">
      <c r="M3940" s="202"/>
    </row>
    <row r="3941" spans="13:13">
      <c r="M3941" s="202"/>
    </row>
    <row r="3942" spans="13:13">
      <c r="M3942" s="202"/>
    </row>
    <row r="3943" spans="13:13">
      <c r="M3943" s="202"/>
    </row>
    <row r="3944" spans="13:13">
      <c r="M3944" s="202"/>
    </row>
    <row r="3945" spans="13:13">
      <c r="M3945" s="202"/>
    </row>
    <row r="3946" spans="13:13">
      <c r="M3946" s="202"/>
    </row>
    <row r="3947" spans="13:13">
      <c r="M3947" s="202"/>
    </row>
    <row r="3948" spans="13:13">
      <c r="M3948" s="202"/>
    </row>
    <row r="3949" spans="13:13">
      <c r="M3949" s="202"/>
    </row>
    <row r="3950" spans="13:13">
      <c r="M3950" s="202"/>
    </row>
    <row r="3951" spans="13:13">
      <c r="M3951" s="202"/>
    </row>
    <row r="3952" spans="13:13">
      <c r="M3952" s="202"/>
    </row>
    <row r="3953" spans="13:13">
      <c r="M3953" s="202"/>
    </row>
    <row r="3954" spans="13:13">
      <c r="M3954" s="202"/>
    </row>
    <row r="3955" spans="13:13">
      <c r="M3955" s="202"/>
    </row>
    <row r="3956" spans="13:13">
      <c r="M3956" s="202"/>
    </row>
    <row r="3957" spans="13:13">
      <c r="M3957" s="202"/>
    </row>
    <row r="3958" spans="13:13">
      <c r="M3958" s="202"/>
    </row>
    <row r="3959" spans="13:13">
      <c r="M3959" s="202"/>
    </row>
    <row r="3960" spans="13:13">
      <c r="M3960" s="202"/>
    </row>
    <row r="3961" spans="13:13">
      <c r="M3961" s="202"/>
    </row>
    <row r="3962" spans="13:13">
      <c r="M3962" s="202"/>
    </row>
    <row r="3963" spans="13:13">
      <c r="M3963" s="202"/>
    </row>
    <row r="3964" spans="13:13">
      <c r="M3964" s="202"/>
    </row>
    <row r="3965" spans="13:13">
      <c r="M3965" s="202"/>
    </row>
    <row r="3966" spans="13:13">
      <c r="M3966" s="202"/>
    </row>
    <row r="3967" spans="13:13">
      <c r="M3967" s="202"/>
    </row>
    <row r="3968" spans="13:13">
      <c r="M3968" s="202"/>
    </row>
    <row r="3969" spans="13:13">
      <c r="M3969" s="202"/>
    </row>
    <row r="3970" spans="13:13">
      <c r="M3970" s="202"/>
    </row>
    <row r="3971" spans="13:13">
      <c r="M3971" s="202"/>
    </row>
    <row r="3972" spans="13:13">
      <c r="M3972" s="202"/>
    </row>
    <row r="3973" spans="13:13">
      <c r="M3973" s="202"/>
    </row>
    <row r="3974" spans="13:13">
      <c r="M3974" s="202"/>
    </row>
    <row r="3975" spans="13:13">
      <c r="M3975" s="202"/>
    </row>
    <row r="3976" spans="13:13">
      <c r="M3976" s="202"/>
    </row>
    <row r="3977" spans="13:13">
      <c r="M3977" s="202"/>
    </row>
    <row r="3978" spans="13:13">
      <c r="M3978" s="202"/>
    </row>
    <row r="3979" spans="13:13">
      <c r="M3979" s="202"/>
    </row>
    <row r="3980" spans="13:13">
      <c r="M3980" s="202"/>
    </row>
    <row r="3981" spans="13:13">
      <c r="M3981" s="202"/>
    </row>
    <row r="3982" spans="13:13">
      <c r="M3982" s="202"/>
    </row>
    <row r="3983" spans="13:13">
      <c r="M3983" s="202"/>
    </row>
    <row r="3984" spans="13:13">
      <c r="M3984" s="202"/>
    </row>
    <row r="3985" spans="13:13">
      <c r="M3985" s="202"/>
    </row>
    <row r="3986" spans="13:13">
      <c r="M3986" s="202"/>
    </row>
    <row r="3987" spans="13:13">
      <c r="M3987" s="202"/>
    </row>
    <row r="3988" spans="13:13">
      <c r="M3988" s="202"/>
    </row>
    <row r="3989" spans="13:13">
      <c r="M3989" s="202"/>
    </row>
    <row r="3990" spans="13:13">
      <c r="M3990" s="202"/>
    </row>
    <row r="3991" spans="13:13">
      <c r="M3991" s="202"/>
    </row>
    <row r="3992" spans="13:13">
      <c r="M3992" s="202"/>
    </row>
    <row r="3993" spans="13:13">
      <c r="M3993" s="202"/>
    </row>
    <row r="3994" spans="13:13">
      <c r="M3994" s="202"/>
    </row>
    <row r="3995" spans="13:13">
      <c r="M3995" s="202"/>
    </row>
    <row r="3996" spans="13:13">
      <c r="M3996" s="202"/>
    </row>
    <row r="3997" spans="13:13">
      <c r="M3997" s="202"/>
    </row>
    <row r="3998" spans="13:13">
      <c r="M3998" s="202"/>
    </row>
    <row r="3999" spans="13:13">
      <c r="M3999" s="202"/>
    </row>
    <row r="4000" spans="13:13">
      <c r="M4000" s="202"/>
    </row>
    <row r="4001" spans="13:13">
      <c r="M4001" s="202"/>
    </row>
    <row r="4002" spans="13:13">
      <c r="M4002" s="202"/>
    </row>
    <row r="4003" spans="13:13">
      <c r="M4003" s="202"/>
    </row>
    <row r="4004" spans="13:13">
      <c r="M4004" s="202"/>
    </row>
    <row r="4005" spans="13:13">
      <c r="M4005" s="202"/>
    </row>
    <row r="4006" spans="13:13">
      <c r="M4006" s="202"/>
    </row>
    <row r="4007" spans="13:13">
      <c r="M4007" s="202"/>
    </row>
    <row r="4008" spans="13:13">
      <c r="M4008" s="202"/>
    </row>
    <row r="4009" spans="13:13">
      <c r="M4009" s="202"/>
    </row>
    <row r="4010" spans="13:13">
      <c r="M4010" s="202"/>
    </row>
    <row r="4011" spans="13:13">
      <c r="M4011" s="202"/>
    </row>
    <row r="4012" spans="13:13">
      <c r="M4012" s="202"/>
    </row>
    <row r="4013" spans="13:13">
      <c r="M4013" s="202"/>
    </row>
    <row r="4014" spans="13:13">
      <c r="M4014" s="202"/>
    </row>
    <row r="4015" spans="13:13">
      <c r="M4015" s="202"/>
    </row>
    <row r="4016" spans="13:13">
      <c r="M4016" s="202"/>
    </row>
    <row r="4017" spans="13:13">
      <c r="M4017" s="202"/>
    </row>
    <row r="4018" spans="13:13">
      <c r="M4018" s="202"/>
    </row>
    <row r="4019" spans="13:13">
      <c r="M4019" s="202"/>
    </row>
    <row r="4020" spans="13:13">
      <c r="M4020" s="202"/>
    </row>
    <row r="4021" spans="13:13">
      <c r="M4021" s="202"/>
    </row>
    <row r="4022" spans="13:13">
      <c r="M4022" s="202"/>
    </row>
    <row r="4023" spans="13:13">
      <c r="M4023" s="202"/>
    </row>
    <row r="4024" spans="13:13">
      <c r="M4024" s="202"/>
    </row>
    <row r="4025" spans="13:13">
      <c r="M4025" s="202"/>
    </row>
    <row r="4026" spans="13:13">
      <c r="M4026" s="202"/>
    </row>
    <row r="4027" spans="13:13">
      <c r="M4027" s="202"/>
    </row>
    <row r="4028" spans="13:13">
      <c r="M4028" s="202"/>
    </row>
    <row r="4029" spans="13:13">
      <c r="M4029" s="202"/>
    </row>
    <row r="4030" spans="13:13">
      <c r="M4030" s="202"/>
    </row>
    <row r="4031" spans="13:13">
      <c r="M4031" s="202"/>
    </row>
    <row r="4032" spans="13:13">
      <c r="M4032" s="202"/>
    </row>
    <row r="4033" spans="13:13">
      <c r="M4033" s="202"/>
    </row>
    <row r="4034" spans="13:13">
      <c r="M4034" s="202"/>
    </row>
    <row r="4035" spans="13:13">
      <c r="M4035" s="202"/>
    </row>
    <row r="4036" spans="13:13">
      <c r="M4036" s="202"/>
    </row>
    <row r="4037" spans="13:13">
      <c r="M4037" s="202"/>
    </row>
    <row r="4038" spans="13:13">
      <c r="M4038" s="202"/>
    </row>
    <row r="4039" spans="13:13">
      <c r="M4039" s="202"/>
    </row>
    <row r="4040" spans="13:13">
      <c r="M4040" s="202"/>
    </row>
    <row r="4041" spans="13:13">
      <c r="M4041" s="202"/>
    </row>
    <row r="4042" spans="13:13">
      <c r="M4042" s="202"/>
    </row>
    <row r="4043" spans="13:13">
      <c r="M4043" s="202"/>
    </row>
    <row r="4044" spans="13:13">
      <c r="M4044" s="202"/>
    </row>
    <row r="4045" spans="13:13">
      <c r="M4045" s="202"/>
    </row>
    <row r="4046" spans="13:13">
      <c r="M4046" s="202"/>
    </row>
    <row r="4047" spans="13:13">
      <c r="M4047" s="202"/>
    </row>
    <row r="4048" spans="13:13">
      <c r="M4048" s="202"/>
    </row>
    <row r="4049" spans="13:13">
      <c r="M4049" s="202"/>
    </row>
    <row r="4050" spans="13:13">
      <c r="M4050" s="202"/>
    </row>
    <row r="4051" spans="13:13">
      <c r="M4051" s="202"/>
    </row>
    <row r="4052" spans="13:13">
      <c r="M4052" s="202"/>
    </row>
    <row r="4053" spans="13:13">
      <c r="M4053" s="202"/>
    </row>
    <row r="4054" spans="13:13">
      <c r="M4054" s="202"/>
    </row>
    <row r="4055" spans="13:13">
      <c r="M4055" s="202"/>
    </row>
    <row r="4056" spans="13:13">
      <c r="M4056" s="202"/>
    </row>
    <row r="4057" spans="13:13">
      <c r="M4057" s="202"/>
    </row>
    <row r="4058" spans="13:13">
      <c r="M4058" s="202"/>
    </row>
    <row r="4059" spans="13:13">
      <c r="M4059" s="202"/>
    </row>
    <row r="4060" spans="13:13">
      <c r="M4060" s="202"/>
    </row>
    <row r="4061" spans="13:13">
      <c r="M4061" s="202"/>
    </row>
    <row r="4062" spans="13:13">
      <c r="M4062" s="202"/>
    </row>
    <row r="4063" spans="13:13">
      <c r="M4063" s="202"/>
    </row>
    <row r="4064" spans="13:13">
      <c r="M4064" s="202"/>
    </row>
    <row r="4065" spans="13:13">
      <c r="M4065" s="202"/>
    </row>
    <row r="4066" spans="13:13">
      <c r="M4066" s="202"/>
    </row>
    <row r="4067" spans="13:13">
      <c r="M4067" s="202"/>
    </row>
    <row r="4068" spans="13:13">
      <c r="M4068" s="202"/>
    </row>
    <row r="4069" spans="13:13">
      <c r="M4069" s="202"/>
    </row>
    <row r="4070" spans="13:13">
      <c r="M4070" s="202"/>
    </row>
    <row r="4071" spans="13:13">
      <c r="M4071" s="202"/>
    </row>
    <row r="4072" spans="13:13">
      <c r="M4072" s="202"/>
    </row>
    <row r="4073" spans="13:13">
      <c r="M4073" s="202"/>
    </row>
    <row r="4074" spans="13:13">
      <c r="M4074" s="202"/>
    </row>
    <row r="4075" spans="13:13">
      <c r="M4075" s="202"/>
    </row>
    <row r="4076" spans="13:13">
      <c r="M4076" s="202"/>
    </row>
    <row r="4077" spans="13:13">
      <c r="M4077" s="202"/>
    </row>
    <row r="4078" spans="13:13">
      <c r="M4078" s="202"/>
    </row>
    <row r="4079" spans="13:13">
      <c r="M4079" s="202"/>
    </row>
    <row r="4080" spans="13:13">
      <c r="M4080" s="202"/>
    </row>
    <row r="4081" spans="13:13">
      <c r="M4081" s="202"/>
    </row>
    <row r="4082" spans="13:13">
      <c r="M4082" s="202"/>
    </row>
    <row r="4083" spans="13:13">
      <c r="M4083" s="202"/>
    </row>
    <row r="4084" spans="13:13">
      <c r="M4084" s="202"/>
    </row>
    <row r="4085" spans="13:13">
      <c r="M4085" s="202"/>
    </row>
    <row r="4086" spans="13:13">
      <c r="M4086" s="202"/>
    </row>
    <row r="4087" spans="13:13">
      <c r="M4087" s="202"/>
    </row>
    <row r="4088" spans="13:13">
      <c r="M4088" s="202"/>
    </row>
    <row r="4089" spans="13:13">
      <c r="M4089" s="202"/>
    </row>
    <row r="4090" spans="13:13">
      <c r="M4090" s="202"/>
    </row>
    <row r="4091" spans="13:13">
      <c r="M4091" s="202"/>
    </row>
    <row r="4092" spans="13:13">
      <c r="M4092" s="202"/>
    </row>
    <row r="4093" spans="13:13">
      <c r="M4093" s="202"/>
    </row>
    <row r="4094" spans="13:13">
      <c r="M4094" s="202"/>
    </row>
    <row r="4095" spans="13:13">
      <c r="M4095" s="202"/>
    </row>
    <row r="4096" spans="13:13">
      <c r="M4096" s="202"/>
    </row>
    <row r="4097" spans="13:13">
      <c r="M4097" s="202"/>
    </row>
    <row r="4098" spans="13:13">
      <c r="M4098" s="202"/>
    </row>
    <row r="4099" spans="13:13">
      <c r="M4099" s="202"/>
    </row>
    <row r="4100" spans="13:13">
      <c r="M4100" s="202"/>
    </row>
    <row r="4101" spans="13:13">
      <c r="M4101" s="202"/>
    </row>
    <row r="4102" spans="13:13">
      <c r="M4102" s="202"/>
    </row>
    <row r="4103" spans="13:13">
      <c r="M4103" s="202"/>
    </row>
    <row r="4104" spans="13:13">
      <c r="M4104" s="202"/>
    </row>
    <row r="4105" spans="13:13">
      <c r="M4105" s="202"/>
    </row>
    <row r="4106" spans="13:13">
      <c r="M4106" s="202"/>
    </row>
    <row r="4107" spans="13:13">
      <c r="M4107" s="202"/>
    </row>
    <row r="4108" spans="13:13">
      <c r="M4108" s="202"/>
    </row>
    <row r="4109" spans="13:13">
      <c r="M4109" s="202"/>
    </row>
    <row r="4110" spans="13:13">
      <c r="M4110" s="202"/>
    </row>
    <row r="4111" spans="13:13">
      <c r="M4111" s="202"/>
    </row>
    <row r="4112" spans="13:13">
      <c r="M4112" s="202"/>
    </row>
    <row r="4113" spans="13:13">
      <c r="M4113" s="202"/>
    </row>
    <row r="4114" spans="13:13">
      <c r="M4114" s="202"/>
    </row>
    <row r="4115" spans="13:13">
      <c r="M4115" s="202"/>
    </row>
    <row r="4116" spans="13:13">
      <c r="M4116" s="202"/>
    </row>
    <row r="4117" spans="13:13">
      <c r="M4117" s="202"/>
    </row>
    <row r="4118" spans="13:13">
      <c r="M4118" s="202"/>
    </row>
    <row r="4119" spans="13:13">
      <c r="M4119" s="202"/>
    </row>
    <row r="4120" spans="13:13">
      <c r="M4120" s="202"/>
    </row>
    <row r="4121" spans="13:13">
      <c r="M4121" s="202"/>
    </row>
    <row r="4122" spans="13:13">
      <c r="M4122" s="202"/>
    </row>
    <row r="4123" spans="13:13">
      <c r="M4123" s="202"/>
    </row>
    <row r="4124" spans="13:13">
      <c r="M4124" s="202"/>
    </row>
    <row r="4125" spans="13:13">
      <c r="M4125" s="202"/>
    </row>
    <row r="4126" spans="13:13">
      <c r="M4126" s="202"/>
    </row>
    <row r="4127" spans="13:13">
      <c r="M4127" s="202"/>
    </row>
    <row r="4128" spans="13:13">
      <c r="M4128" s="202"/>
    </row>
    <row r="4129" spans="13:13">
      <c r="M4129" s="202"/>
    </row>
    <row r="4130" spans="13:13">
      <c r="M4130" s="202"/>
    </row>
    <row r="4131" spans="13:13">
      <c r="M4131" s="202"/>
    </row>
    <row r="4132" spans="13:13">
      <c r="M4132" s="202"/>
    </row>
    <row r="4133" spans="13:13">
      <c r="M4133" s="202"/>
    </row>
    <row r="4134" spans="13:13">
      <c r="M4134" s="202"/>
    </row>
    <row r="4135" spans="13:13">
      <c r="M4135" s="202"/>
    </row>
    <row r="4136" spans="13:13">
      <c r="M4136" s="202"/>
    </row>
    <row r="4137" spans="13:13">
      <c r="M4137" s="202"/>
    </row>
    <row r="4138" spans="13:13">
      <c r="M4138" s="202"/>
    </row>
    <row r="4139" spans="13:13">
      <c r="M4139" s="202"/>
    </row>
    <row r="4140" spans="13:13">
      <c r="M4140" s="202"/>
    </row>
    <row r="4141" spans="13:13">
      <c r="M4141" s="202"/>
    </row>
    <row r="4142" spans="13:13">
      <c r="M4142" s="202"/>
    </row>
    <row r="4143" spans="13:13">
      <c r="M4143" s="202"/>
    </row>
    <row r="4144" spans="13:13">
      <c r="M4144" s="202"/>
    </row>
    <row r="4145" spans="13:13">
      <c r="M4145" s="202"/>
    </row>
    <row r="4146" spans="13:13">
      <c r="M4146" s="202"/>
    </row>
    <row r="4147" spans="13:13">
      <c r="M4147" s="202"/>
    </row>
    <row r="4148" spans="13:13">
      <c r="M4148" s="202"/>
    </row>
    <row r="4149" spans="13:13">
      <c r="M4149" s="202"/>
    </row>
    <row r="4150" spans="13:13">
      <c r="M4150" s="202"/>
    </row>
    <row r="4151" spans="13:13">
      <c r="M4151" s="202"/>
    </row>
    <row r="4152" spans="13:13">
      <c r="M4152" s="202"/>
    </row>
    <row r="4153" spans="13:13">
      <c r="M4153" s="202"/>
    </row>
    <row r="4154" spans="13:13">
      <c r="M4154" s="202"/>
    </row>
    <row r="4155" spans="13:13">
      <c r="M4155" s="202"/>
    </row>
    <row r="4156" spans="13:13">
      <c r="M4156" s="202"/>
    </row>
    <row r="4157" spans="13:13">
      <c r="M4157" s="202"/>
    </row>
    <row r="4158" spans="13:13">
      <c r="M4158" s="202"/>
    </row>
    <row r="4159" spans="13:13">
      <c r="M4159" s="202"/>
    </row>
    <row r="4160" spans="13:13">
      <c r="M4160" s="202"/>
    </row>
    <row r="4161" spans="13:13">
      <c r="M4161" s="202"/>
    </row>
    <row r="4162" spans="13:13">
      <c r="M4162" s="202"/>
    </row>
    <row r="4163" spans="13:13">
      <c r="M4163" s="202"/>
    </row>
    <row r="4164" spans="13:13">
      <c r="M4164" s="202"/>
    </row>
    <row r="4165" spans="13:13">
      <c r="M4165" s="202"/>
    </row>
    <row r="4166" spans="13:13">
      <c r="M4166" s="202"/>
    </row>
    <row r="4167" spans="13:13">
      <c r="M4167" s="202"/>
    </row>
    <row r="4168" spans="13:13">
      <c r="M4168" s="202"/>
    </row>
    <row r="4169" spans="13:13">
      <c r="M4169" s="202"/>
    </row>
    <row r="4170" spans="13:13">
      <c r="M4170" s="202"/>
    </row>
    <row r="4171" spans="13:13">
      <c r="M4171" s="202"/>
    </row>
    <row r="4172" spans="13:13">
      <c r="M4172" s="202"/>
    </row>
    <row r="4173" spans="13:13">
      <c r="M4173" s="202"/>
    </row>
    <row r="4174" spans="13:13">
      <c r="M4174" s="202"/>
    </row>
    <row r="4175" spans="13:13">
      <c r="M4175" s="202"/>
    </row>
    <row r="4176" spans="13:13">
      <c r="M4176" s="202"/>
    </row>
    <row r="4177" spans="13:13">
      <c r="M4177" s="202"/>
    </row>
    <row r="4178" spans="13:13">
      <c r="M4178" s="202"/>
    </row>
    <row r="4179" spans="13:13">
      <c r="M4179" s="202"/>
    </row>
    <row r="4180" spans="13:13">
      <c r="M4180" s="202"/>
    </row>
    <row r="4181" spans="13:13">
      <c r="M4181" s="202"/>
    </row>
    <row r="4182" spans="13:13">
      <c r="M4182" s="202"/>
    </row>
    <row r="4183" spans="13:13">
      <c r="M4183" s="202"/>
    </row>
    <row r="4184" spans="13:13">
      <c r="M4184" s="202"/>
    </row>
    <row r="4185" spans="13:13">
      <c r="M4185" s="202"/>
    </row>
    <row r="4186" spans="13:13">
      <c r="M4186" s="202"/>
    </row>
    <row r="4187" spans="13:13">
      <c r="M4187" s="202"/>
    </row>
    <row r="4188" spans="13:13">
      <c r="M4188" s="202"/>
    </row>
    <row r="4189" spans="13:13">
      <c r="M4189" s="202"/>
    </row>
    <row r="4190" spans="13:13">
      <c r="M4190" s="202"/>
    </row>
    <row r="4191" spans="13:13">
      <c r="M4191" s="202"/>
    </row>
    <row r="4192" spans="13:13">
      <c r="M4192" s="202"/>
    </row>
    <row r="4193" spans="13:13">
      <c r="M4193" s="202"/>
    </row>
    <row r="4194" spans="13:13">
      <c r="M4194" s="202"/>
    </row>
    <row r="4195" spans="13:13">
      <c r="M4195" s="202"/>
    </row>
    <row r="4196" spans="13:13">
      <c r="M4196" s="202"/>
    </row>
    <row r="4197" spans="13:13">
      <c r="M4197" s="202"/>
    </row>
    <row r="4198" spans="13:13">
      <c r="M4198" s="202"/>
    </row>
    <row r="4199" spans="13:13">
      <c r="M4199" s="202"/>
    </row>
    <row r="4200" spans="13:13">
      <c r="M4200" s="202"/>
    </row>
    <row r="4201" spans="13:13">
      <c r="M4201" s="202"/>
    </row>
    <row r="4202" spans="13:13">
      <c r="M4202" s="202"/>
    </row>
    <row r="4203" spans="13:13">
      <c r="M4203" s="202"/>
    </row>
    <row r="4204" spans="13:13">
      <c r="M4204" s="202"/>
    </row>
    <row r="4205" spans="13:13">
      <c r="M4205" s="202"/>
    </row>
    <row r="4206" spans="13:13">
      <c r="M4206" s="202"/>
    </row>
    <row r="4207" spans="13:13">
      <c r="M4207" s="202"/>
    </row>
    <row r="4208" spans="13:13">
      <c r="M4208" s="202"/>
    </row>
    <row r="4209" spans="13:13">
      <c r="M4209" s="202"/>
    </row>
    <row r="4210" spans="13:13">
      <c r="M4210" s="202"/>
    </row>
    <row r="4211" spans="13:13">
      <c r="M4211" s="202"/>
    </row>
    <row r="4212" spans="13:13">
      <c r="M4212" s="202"/>
    </row>
    <row r="4213" spans="13:13">
      <c r="M4213" s="202"/>
    </row>
    <row r="4214" spans="13:13">
      <c r="M4214" s="202"/>
    </row>
    <row r="4215" spans="13:13">
      <c r="M4215" s="202"/>
    </row>
    <row r="4216" spans="13:13">
      <c r="M4216" s="202"/>
    </row>
    <row r="4217" spans="13:13">
      <c r="M4217" s="202"/>
    </row>
    <row r="4218" spans="13:13">
      <c r="M4218" s="202"/>
    </row>
    <row r="4219" spans="13:13">
      <c r="M4219" s="202"/>
    </row>
    <row r="4220" spans="13:13">
      <c r="M4220" s="202"/>
    </row>
    <row r="4221" spans="13:13">
      <c r="M4221" s="202"/>
    </row>
    <row r="4222" spans="13:13">
      <c r="M4222" s="202"/>
    </row>
    <row r="4223" spans="13:13">
      <c r="M4223" s="202"/>
    </row>
    <row r="4224" spans="13:13">
      <c r="M4224" s="202"/>
    </row>
    <row r="4225" spans="13:13">
      <c r="M4225" s="202"/>
    </row>
    <row r="4226" spans="13:13">
      <c r="M4226" s="202"/>
    </row>
    <row r="4227" spans="13:13">
      <c r="M4227" s="202"/>
    </row>
    <row r="4228" spans="13:13">
      <c r="M4228" s="202"/>
    </row>
    <row r="4229" spans="13:13">
      <c r="M4229" s="202"/>
    </row>
    <row r="4230" spans="13:13">
      <c r="M4230" s="202"/>
    </row>
    <row r="4231" spans="13:13">
      <c r="M4231" s="202"/>
    </row>
    <row r="4232" spans="13:13">
      <c r="M4232" s="202"/>
    </row>
    <row r="4233" spans="13:13">
      <c r="M4233" s="202"/>
    </row>
    <row r="4234" spans="13:13">
      <c r="M4234" s="202"/>
    </row>
    <row r="4235" spans="13:13">
      <c r="M4235" s="202"/>
    </row>
    <row r="4236" spans="13:13">
      <c r="M4236" s="202"/>
    </row>
    <row r="4237" spans="13:13">
      <c r="M4237" s="202"/>
    </row>
    <row r="4238" spans="13:13">
      <c r="M4238" s="202"/>
    </row>
    <row r="4239" spans="13:13">
      <c r="M4239" s="202"/>
    </row>
    <row r="4240" spans="13:13">
      <c r="M4240" s="202"/>
    </row>
    <row r="4241" spans="13:13">
      <c r="M4241" s="202"/>
    </row>
    <row r="4242" spans="13:13">
      <c r="M4242" s="202"/>
    </row>
    <row r="4243" spans="13:13">
      <c r="M4243" s="202"/>
    </row>
    <row r="4244" spans="13:13">
      <c r="M4244" s="202"/>
    </row>
    <row r="4245" spans="13:13">
      <c r="M4245" s="202"/>
    </row>
    <row r="4246" spans="13:13">
      <c r="M4246" s="202"/>
    </row>
    <row r="4247" spans="13:13">
      <c r="M4247" s="202"/>
    </row>
    <row r="4248" spans="13:13">
      <c r="M4248" s="202"/>
    </row>
    <row r="4249" spans="13:13">
      <c r="M4249" s="202"/>
    </row>
    <row r="4250" spans="13:13">
      <c r="M4250" s="202"/>
    </row>
    <row r="4251" spans="13:13">
      <c r="M4251" s="202"/>
    </row>
    <row r="4252" spans="13:13">
      <c r="M4252" s="202"/>
    </row>
    <row r="4253" spans="13:13">
      <c r="M4253" s="202"/>
    </row>
    <row r="4254" spans="13:13">
      <c r="M4254" s="202"/>
    </row>
    <row r="4255" spans="13:13">
      <c r="M4255" s="202"/>
    </row>
    <row r="4256" spans="13:13">
      <c r="M4256" s="202"/>
    </row>
    <row r="4257" spans="13:13">
      <c r="M4257" s="202"/>
    </row>
    <row r="4258" spans="13:13">
      <c r="M4258" s="202"/>
    </row>
    <row r="4259" spans="13:13">
      <c r="M4259" s="202"/>
    </row>
    <row r="4260" spans="13:13">
      <c r="M4260" s="202"/>
    </row>
    <row r="4261" spans="13:13">
      <c r="M4261" s="202"/>
    </row>
    <row r="4262" spans="13:13">
      <c r="M4262" s="202"/>
    </row>
    <row r="4263" spans="13:13">
      <c r="M4263" s="202"/>
    </row>
    <row r="4264" spans="13:13">
      <c r="M4264" s="202"/>
    </row>
    <row r="4265" spans="13:13">
      <c r="M4265" s="202"/>
    </row>
    <row r="4266" spans="13:13">
      <c r="M4266" s="202"/>
    </row>
    <row r="4267" spans="13:13">
      <c r="M4267" s="202"/>
    </row>
    <row r="4268" spans="13:13">
      <c r="M4268" s="202"/>
    </row>
    <row r="4269" spans="13:13">
      <c r="M4269" s="202"/>
    </row>
    <row r="4270" spans="13:13">
      <c r="M4270" s="202"/>
    </row>
    <row r="4271" spans="13:13">
      <c r="M4271" s="202"/>
    </row>
    <row r="4272" spans="13:13">
      <c r="M4272" s="202"/>
    </row>
    <row r="4273" spans="13:13">
      <c r="M4273" s="202"/>
    </row>
    <row r="4274" spans="13:13">
      <c r="M4274" s="202"/>
    </row>
    <row r="4275" spans="13:13">
      <c r="M4275" s="202"/>
    </row>
    <row r="4276" spans="13:13">
      <c r="M4276" s="202"/>
    </row>
    <row r="4277" spans="13:13">
      <c r="M4277" s="202"/>
    </row>
    <row r="4278" spans="13:13">
      <c r="M4278" s="202"/>
    </row>
    <row r="4279" spans="13:13">
      <c r="M4279" s="202"/>
    </row>
    <row r="4280" spans="13:13">
      <c r="M4280" s="202"/>
    </row>
    <row r="4281" spans="13:13">
      <c r="M4281" s="202"/>
    </row>
    <row r="4282" spans="13:13">
      <c r="M4282" s="202"/>
    </row>
    <row r="4283" spans="13:13">
      <c r="M4283" s="202"/>
    </row>
    <row r="4284" spans="13:13">
      <c r="M4284" s="202"/>
    </row>
    <row r="4285" spans="13:13">
      <c r="M4285" s="202"/>
    </row>
    <row r="4286" spans="13:13">
      <c r="M4286" s="202"/>
    </row>
    <row r="4287" spans="13:13">
      <c r="M4287" s="202"/>
    </row>
    <row r="4288" spans="13:13">
      <c r="M4288" s="202"/>
    </row>
    <row r="4289" spans="13:13">
      <c r="M4289" s="202"/>
    </row>
    <row r="4290" spans="13:13">
      <c r="M4290" s="202"/>
    </row>
    <row r="4291" spans="13:13">
      <c r="M4291" s="202"/>
    </row>
    <row r="4292" spans="13:13">
      <c r="M4292" s="202"/>
    </row>
    <row r="4293" spans="13:13">
      <c r="M4293" s="202"/>
    </row>
    <row r="4294" spans="13:13">
      <c r="M4294" s="202"/>
    </row>
    <row r="4295" spans="13:13">
      <c r="M4295" s="202"/>
    </row>
    <row r="4296" spans="13:13">
      <c r="M4296" s="202"/>
    </row>
    <row r="4297" spans="13:13">
      <c r="M4297" s="202"/>
    </row>
    <row r="4298" spans="13:13">
      <c r="M4298" s="202"/>
    </row>
    <row r="4299" spans="13:13">
      <c r="M4299" s="202"/>
    </row>
    <row r="4300" spans="13:13">
      <c r="M4300" s="202"/>
    </row>
    <row r="4301" spans="13:13">
      <c r="M4301" s="202"/>
    </row>
    <row r="4302" spans="13:13">
      <c r="M4302" s="202"/>
    </row>
    <row r="4303" spans="13:13">
      <c r="M4303" s="202"/>
    </row>
    <row r="4304" spans="13:13">
      <c r="M4304" s="202"/>
    </row>
    <row r="4305" spans="13:13">
      <c r="M4305" s="202"/>
    </row>
    <row r="4306" spans="13:13">
      <c r="M4306" s="202"/>
    </row>
    <row r="4307" spans="13:13">
      <c r="M4307" s="202"/>
    </row>
    <row r="4308" spans="13:13">
      <c r="M4308" s="202"/>
    </row>
    <row r="4309" spans="13:13">
      <c r="M4309" s="202"/>
    </row>
    <row r="4310" spans="13:13">
      <c r="M4310" s="202"/>
    </row>
    <row r="4311" spans="13:13">
      <c r="M4311" s="202"/>
    </row>
    <row r="4312" spans="13:13">
      <c r="M4312" s="202"/>
    </row>
    <row r="4313" spans="13:13">
      <c r="M4313" s="202"/>
    </row>
    <row r="4314" spans="13:13">
      <c r="M4314" s="202"/>
    </row>
    <row r="4315" spans="13:13">
      <c r="M4315" s="202"/>
    </row>
    <row r="4316" spans="13:13">
      <c r="M4316" s="202"/>
    </row>
    <row r="4317" spans="13:13">
      <c r="M4317" s="202"/>
    </row>
    <row r="4318" spans="13:13">
      <c r="M4318" s="202"/>
    </row>
    <row r="4319" spans="13:13">
      <c r="M4319" s="202"/>
    </row>
    <row r="4320" spans="13:13">
      <c r="M4320" s="202"/>
    </row>
    <row r="4321" spans="13:13">
      <c r="M4321" s="202"/>
    </row>
    <row r="4322" spans="13:13">
      <c r="M4322" s="202"/>
    </row>
    <row r="4323" spans="13:13">
      <c r="M4323" s="202"/>
    </row>
    <row r="4324" spans="13:13">
      <c r="M4324" s="202"/>
    </row>
    <row r="4325" spans="13:13">
      <c r="M4325" s="202"/>
    </row>
    <row r="4326" spans="13:13">
      <c r="M4326" s="202"/>
    </row>
    <row r="4327" spans="13:13">
      <c r="M4327" s="202"/>
    </row>
    <row r="4328" spans="13:13">
      <c r="M4328" s="202"/>
    </row>
    <row r="4329" spans="13:13">
      <c r="M4329" s="202"/>
    </row>
    <row r="4330" spans="13:13">
      <c r="M4330" s="202"/>
    </row>
    <row r="4331" spans="13:13">
      <c r="M4331" s="202"/>
    </row>
    <row r="4332" spans="13:13">
      <c r="M4332" s="202"/>
    </row>
    <row r="4333" spans="13:13">
      <c r="M4333" s="202"/>
    </row>
    <row r="4334" spans="13:13">
      <c r="M4334" s="202"/>
    </row>
    <row r="4335" spans="13:13">
      <c r="M4335" s="202"/>
    </row>
    <row r="4336" spans="13:13">
      <c r="M4336" s="202"/>
    </row>
    <row r="4337" spans="13:13">
      <c r="M4337" s="202"/>
    </row>
    <row r="4338" spans="13:13">
      <c r="M4338" s="202"/>
    </row>
    <row r="4339" spans="13:13">
      <c r="M4339" s="202"/>
    </row>
    <row r="4340" spans="13:13">
      <c r="M4340" s="202"/>
    </row>
    <row r="4341" spans="13:13">
      <c r="M4341" s="202"/>
    </row>
    <row r="4342" spans="13:13">
      <c r="M4342" s="202"/>
    </row>
    <row r="4343" spans="13:13">
      <c r="M4343" s="202"/>
    </row>
    <row r="4344" spans="13:13">
      <c r="M4344" s="202"/>
    </row>
    <row r="4345" spans="13:13">
      <c r="M4345" s="202"/>
    </row>
    <row r="4346" spans="13:13">
      <c r="M4346" s="202"/>
    </row>
    <row r="4347" spans="13:13">
      <c r="M4347" s="202"/>
    </row>
    <row r="4348" spans="13:13">
      <c r="M4348" s="202"/>
    </row>
    <row r="4349" spans="13:13">
      <c r="M4349" s="202"/>
    </row>
    <row r="4350" spans="13:13">
      <c r="M4350" s="202"/>
    </row>
    <row r="4351" spans="13:13">
      <c r="M4351" s="202"/>
    </row>
    <row r="4352" spans="13:13">
      <c r="M4352" s="202"/>
    </row>
    <row r="4353" spans="13:13">
      <c r="M4353" s="202"/>
    </row>
    <row r="4354" spans="13:13">
      <c r="M4354" s="202"/>
    </row>
    <row r="4355" spans="13:13">
      <c r="M4355" s="202"/>
    </row>
    <row r="4356" spans="13:13">
      <c r="M4356" s="202"/>
    </row>
    <row r="4357" spans="13:13">
      <c r="M4357" s="202"/>
    </row>
    <row r="4358" spans="13:13">
      <c r="M4358" s="202"/>
    </row>
    <row r="4359" spans="13:13">
      <c r="M4359" s="202"/>
    </row>
    <row r="4360" spans="13:13">
      <c r="M4360" s="202"/>
    </row>
    <row r="4361" spans="13:13">
      <c r="M4361" s="202"/>
    </row>
    <row r="4362" spans="13:13">
      <c r="M4362" s="202"/>
    </row>
    <row r="4363" spans="13:13">
      <c r="M4363" s="202"/>
    </row>
    <row r="4364" spans="13:13">
      <c r="M4364" s="202"/>
    </row>
    <row r="4365" spans="13:13">
      <c r="M4365" s="202"/>
    </row>
    <row r="4366" spans="13:13">
      <c r="M4366" s="202"/>
    </row>
    <row r="4367" spans="13:13">
      <c r="M4367" s="202"/>
    </row>
    <row r="4368" spans="13:13">
      <c r="M4368" s="202"/>
    </row>
    <row r="4369" spans="13:13">
      <c r="M4369" s="202"/>
    </row>
    <row r="4370" spans="13:13">
      <c r="M4370" s="202"/>
    </row>
    <row r="4371" spans="13:13">
      <c r="M4371" s="202"/>
    </row>
    <row r="4372" spans="13:13">
      <c r="M4372" s="202"/>
    </row>
    <row r="4373" spans="13:13">
      <c r="M4373" s="202"/>
    </row>
    <row r="4374" spans="13:13">
      <c r="M4374" s="202"/>
    </row>
    <row r="4375" spans="13:13">
      <c r="M4375" s="202"/>
    </row>
    <row r="4376" spans="13:13">
      <c r="M4376" s="202"/>
    </row>
    <row r="4377" spans="13:13">
      <c r="M4377" s="202"/>
    </row>
    <row r="4378" spans="13:13">
      <c r="M4378" s="202"/>
    </row>
    <row r="4379" spans="13:13">
      <c r="M4379" s="202"/>
    </row>
    <row r="4380" spans="13:13">
      <c r="M4380" s="202"/>
    </row>
    <row r="4381" spans="13:13">
      <c r="M4381" s="202"/>
    </row>
    <row r="4382" spans="13:13">
      <c r="M4382" s="202"/>
    </row>
    <row r="4383" spans="13:13">
      <c r="M4383" s="202"/>
    </row>
    <row r="4384" spans="13:13">
      <c r="M4384" s="202"/>
    </row>
    <row r="4385" spans="13:13">
      <c r="M4385" s="202"/>
    </row>
    <row r="4386" spans="13:13">
      <c r="M4386" s="202"/>
    </row>
    <row r="4387" spans="13:13">
      <c r="M4387" s="202"/>
    </row>
    <row r="4388" spans="13:13">
      <c r="M4388" s="202"/>
    </row>
    <row r="4389" spans="13:13">
      <c r="M4389" s="202"/>
    </row>
    <row r="4390" spans="13:13">
      <c r="M4390" s="202"/>
    </row>
    <row r="4391" spans="13:13">
      <c r="M4391" s="202"/>
    </row>
    <row r="4392" spans="13:13">
      <c r="M4392" s="202"/>
    </row>
    <row r="4393" spans="13:13">
      <c r="M4393" s="202"/>
    </row>
    <row r="4394" spans="13:13">
      <c r="M4394" s="202"/>
    </row>
    <row r="4395" spans="13:13">
      <c r="M4395" s="202"/>
    </row>
    <row r="4396" spans="13:13">
      <c r="M4396" s="202"/>
    </row>
    <row r="4397" spans="13:13">
      <c r="M4397" s="202"/>
    </row>
    <row r="4398" spans="13:13">
      <c r="M4398" s="202"/>
    </row>
    <row r="4399" spans="13:13">
      <c r="M4399" s="202"/>
    </row>
    <row r="4400" spans="13:13">
      <c r="M4400" s="202"/>
    </row>
    <row r="4401" spans="13:13">
      <c r="M4401" s="202"/>
    </row>
    <row r="4402" spans="13:13">
      <c r="M4402" s="202"/>
    </row>
    <row r="4403" spans="13:13">
      <c r="M4403" s="202"/>
    </row>
    <row r="4404" spans="13:13">
      <c r="M4404" s="202"/>
    </row>
    <row r="4405" spans="13:13">
      <c r="M4405" s="202"/>
    </row>
    <row r="4406" spans="13:13">
      <c r="M4406" s="202"/>
    </row>
    <row r="4407" spans="13:13">
      <c r="M4407" s="202"/>
    </row>
    <row r="4408" spans="13:13">
      <c r="M4408" s="202"/>
    </row>
    <row r="4409" spans="13:13">
      <c r="M4409" s="202"/>
    </row>
    <row r="4410" spans="13:13">
      <c r="M4410" s="202"/>
    </row>
    <row r="4411" spans="13:13">
      <c r="M4411" s="202"/>
    </row>
    <row r="4412" spans="13:13">
      <c r="M4412" s="202"/>
    </row>
    <row r="4413" spans="13:13">
      <c r="M4413" s="202"/>
    </row>
    <row r="4414" spans="13:13">
      <c r="M4414" s="202"/>
    </row>
    <row r="4415" spans="13:13">
      <c r="M4415" s="202"/>
    </row>
    <row r="4416" spans="13:13">
      <c r="M4416" s="202"/>
    </row>
    <row r="4417" spans="13:13">
      <c r="M4417" s="202"/>
    </row>
    <row r="4418" spans="13:13">
      <c r="M4418" s="202"/>
    </row>
    <row r="4419" spans="13:13">
      <c r="M4419" s="202"/>
    </row>
    <row r="4420" spans="13:13">
      <c r="M4420" s="202"/>
    </row>
    <row r="4421" spans="13:13">
      <c r="M4421" s="202"/>
    </row>
    <row r="4422" spans="13:13">
      <c r="M4422" s="202"/>
    </row>
    <row r="4423" spans="13:13">
      <c r="M4423" s="202"/>
    </row>
    <row r="4424" spans="13:13">
      <c r="M4424" s="202"/>
    </row>
    <row r="4425" spans="13:13">
      <c r="M4425" s="202"/>
    </row>
    <row r="4426" spans="13:13">
      <c r="M4426" s="202"/>
    </row>
    <row r="4427" spans="13:13">
      <c r="M4427" s="202"/>
    </row>
    <row r="4428" spans="13:13">
      <c r="M4428" s="202"/>
    </row>
    <row r="4429" spans="13:13">
      <c r="M4429" s="202"/>
    </row>
    <row r="4430" spans="13:13">
      <c r="M4430" s="202"/>
    </row>
    <row r="4431" spans="13:13">
      <c r="M4431" s="202"/>
    </row>
    <row r="4432" spans="13:13">
      <c r="M4432" s="202"/>
    </row>
    <row r="4433" spans="13:13">
      <c r="M4433" s="202"/>
    </row>
    <row r="4434" spans="13:13">
      <c r="M4434" s="202"/>
    </row>
    <row r="4435" spans="13:13">
      <c r="M4435" s="202"/>
    </row>
    <row r="4436" spans="13:13">
      <c r="M4436" s="202"/>
    </row>
    <row r="4437" spans="13:13">
      <c r="M4437" s="202"/>
    </row>
    <row r="4438" spans="13:13">
      <c r="M4438" s="202"/>
    </row>
    <row r="4439" spans="13:13">
      <c r="M4439" s="202"/>
    </row>
    <row r="4440" spans="13:13">
      <c r="M4440" s="202"/>
    </row>
    <row r="4441" spans="13:13">
      <c r="M4441" s="202"/>
    </row>
    <row r="4442" spans="13:13">
      <c r="M4442" s="202"/>
    </row>
    <row r="4443" spans="13:13">
      <c r="M4443" s="202"/>
    </row>
    <row r="4444" spans="13:13">
      <c r="M4444" s="202"/>
    </row>
    <row r="4445" spans="13:13">
      <c r="M4445" s="202"/>
    </row>
    <row r="4446" spans="13:13">
      <c r="M4446" s="202"/>
    </row>
    <row r="4447" spans="13:13">
      <c r="M4447" s="202"/>
    </row>
    <row r="4448" spans="13:13">
      <c r="M4448" s="202"/>
    </row>
    <row r="4449" spans="13:13">
      <c r="M4449" s="202"/>
    </row>
    <row r="4450" spans="13:13">
      <c r="M4450" s="202"/>
    </row>
    <row r="4451" spans="13:13">
      <c r="M4451" s="202"/>
    </row>
    <row r="4452" spans="13:13">
      <c r="M4452" s="202"/>
    </row>
    <row r="4453" spans="13:13">
      <c r="M4453" s="202"/>
    </row>
    <row r="4454" spans="13:13">
      <c r="M4454" s="202"/>
    </row>
    <row r="4455" spans="13:13">
      <c r="M4455" s="202"/>
    </row>
    <row r="4456" spans="13:13">
      <c r="M4456" s="202"/>
    </row>
    <row r="4457" spans="13:13">
      <c r="M4457" s="202"/>
    </row>
    <row r="4458" spans="13:13">
      <c r="M4458" s="202"/>
    </row>
    <row r="4459" spans="13:13">
      <c r="M4459" s="202"/>
    </row>
    <row r="4460" spans="13:13">
      <c r="M4460" s="202"/>
    </row>
    <row r="4461" spans="13:13">
      <c r="M4461" s="202"/>
    </row>
    <row r="4462" spans="13:13">
      <c r="M4462" s="202"/>
    </row>
    <row r="4463" spans="13:13">
      <c r="M4463" s="202"/>
    </row>
    <row r="4464" spans="13:13">
      <c r="M4464" s="202"/>
    </row>
    <row r="4465" spans="13:13">
      <c r="M4465" s="202"/>
    </row>
    <row r="4466" spans="13:13">
      <c r="M4466" s="202"/>
    </row>
    <row r="4467" spans="13:13">
      <c r="M4467" s="202"/>
    </row>
    <row r="4468" spans="13:13">
      <c r="M4468" s="202"/>
    </row>
    <row r="4469" spans="13:13">
      <c r="M4469" s="202"/>
    </row>
    <row r="4470" spans="13:13">
      <c r="M4470" s="202"/>
    </row>
    <row r="4471" spans="13:13">
      <c r="M4471" s="202"/>
    </row>
    <row r="4472" spans="13:13">
      <c r="M4472" s="202"/>
    </row>
    <row r="4473" spans="13:13">
      <c r="M4473" s="202"/>
    </row>
    <row r="4474" spans="13:13">
      <c r="M4474" s="202"/>
    </row>
    <row r="4475" spans="13:13">
      <c r="M4475" s="202"/>
    </row>
    <row r="4476" spans="13:13">
      <c r="M4476" s="202"/>
    </row>
    <row r="4477" spans="13:13">
      <c r="M4477" s="202"/>
    </row>
    <row r="4478" spans="13:13">
      <c r="M4478" s="202"/>
    </row>
    <row r="4479" spans="13:13">
      <c r="M4479" s="202"/>
    </row>
    <row r="4480" spans="13:13">
      <c r="M4480" s="202"/>
    </row>
    <row r="4481" spans="13:13">
      <c r="M4481" s="202"/>
    </row>
    <row r="4482" spans="13:13">
      <c r="M4482" s="202"/>
    </row>
    <row r="4483" spans="13:13">
      <c r="M4483" s="202"/>
    </row>
    <row r="4484" spans="13:13">
      <c r="M4484" s="202"/>
    </row>
    <row r="4485" spans="13:13">
      <c r="M4485" s="202"/>
    </row>
    <row r="4486" spans="13:13">
      <c r="M4486" s="202"/>
    </row>
    <row r="4487" spans="13:13">
      <c r="M4487" s="202"/>
    </row>
    <row r="4488" spans="13:13">
      <c r="M4488" s="202"/>
    </row>
    <row r="4489" spans="13:13">
      <c r="M4489" s="202"/>
    </row>
    <row r="4490" spans="13:13">
      <c r="M4490" s="202"/>
    </row>
    <row r="4491" spans="13:13">
      <c r="M4491" s="202"/>
    </row>
    <row r="4492" spans="13:13">
      <c r="M4492" s="202"/>
    </row>
    <row r="4493" spans="13:13">
      <c r="M4493" s="202"/>
    </row>
    <row r="4494" spans="13:13">
      <c r="M4494" s="202"/>
    </row>
    <row r="4495" spans="13:13">
      <c r="M4495" s="202"/>
    </row>
    <row r="4496" spans="13:13">
      <c r="M4496" s="202"/>
    </row>
    <row r="4497" spans="13:13">
      <c r="M4497" s="202"/>
    </row>
    <row r="4498" spans="13:13">
      <c r="M4498" s="202"/>
    </row>
    <row r="4499" spans="13:13">
      <c r="M4499" s="202"/>
    </row>
    <row r="4500" spans="13:13">
      <c r="M4500" s="202"/>
    </row>
    <row r="4501" spans="13:13">
      <c r="M4501" s="202"/>
    </row>
    <row r="4502" spans="13:13">
      <c r="M4502" s="202"/>
    </row>
    <row r="4503" spans="13:13">
      <c r="M4503" s="202"/>
    </row>
    <row r="4504" spans="13:13">
      <c r="M4504" s="202"/>
    </row>
    <row r="4505" spans="13:13">
      <c r="M4505" s="202"/>
    </row>
    <row r="4506" spans="13:13">
      <c r="M4506" s="202"/>
    </row>
    <row r="4507" spans="13:13">
      <c r="M4507" s="202"/>
    </row>
    <row r="4508" spans="13:13">
      <c r="M4508" s="202"/>
    </row>
    <row r="4509" spans="13:13">
      <c r="M4509" s="202"/>
    </row>
    <row r="4510" spans="13:13">
      <c r="M4510" s="202"/>
    </row>
    <row r="4511" spans="13:13">
      <c r="M4511" s="202"/>
    </row>
    <row r="4512" spans="13:13">
      <c r="M4512" s="202"/>
    </row>
    <row r="4513" spans="13:13">
      <c r="M4513" s="202"/>
    </row>
    <row r="4514" spans="13:13">
      <c r="M4514" s="202"/>
    </row>
    <row r="4515" spans="13:13">
      <c r="M4515" s="202"/>
    </row>
    <row r="4516" spans="13:13">
      <c r="M4516" s="202"/>
    </row>
    <row r="4517" spans="13:13">
      <c r="M4517" s="202"/>
    </row>
    <row r="4518" spans="13:13">
      <c r="M4518" s="202"/>
    </row>
    <row r="4519" spans="13:13">
      <c r="M4519" s="202"/>
    </row>
    <row r="4520" spans="13:13">
      <c r="M4520" s="202"/>
    </row>
    <row r="4521" spans="13:13">
      <c r="M4521" s="202"/>
    </row>
    <row r="4522" spans="13:13">
      <c r="M4522" s="202"/>
    </row>
    <row r="4523" spans="13:13">
      <c r="M4523" s="202"/>
    </row>
    <row r="4524" spans="13:13">
      <c r="M4524" s="202"/>
    </row>
    <row r="4525" spans="13:13">
      <c r="M4525" s="202"/>
    </row>
    <row r="4526" spans="13:13">
      <c r="M4526" s="202"/>
    </row>
    <row r="4527" spans="13:13">
      <c r="M4527" s="202"/>
    </row>
    <row r="4528" spans="13:13">
      <c r="M4528" s="202"/>
    </row>
    <row r="4529" spans="13:13">
      <c r="M4529" s="202"/>
    </row>
    <row r="4530" spans="13:13">
      <c r="M4530" s="202"/>
    </row>
    <row r="4531" spans="13:13">
      <c r="M4531" s="202"/>
    </row>
    <row r="4532" spans="13:13">
      <c r="M4532" s="202"/>
    </row>
    <row r="4533" spans="13:13">
      <c r="M4533" s="202"/>
    </row>
    <row r="4534" spans="13:13">
      <c r="M4534" s="202"/>
    </row>
    <row r="4535" spans="13:13">
      <c r="M4535" s="202"/>
    </row>
    <row r="4536" spans="13:13">
      <c r="M4536" s="202"/>
    </row>
    <row r="4537" spans="13:13">
      <c r="M4537" s="202"/>
    </row>
    <row r="4538" spans="13:13">
      <c r="M4538" s="202"/>
    </row>
    <row r="4539" spans="13:13">
      <c r="M4539" s="202"/>
    </row>
    <row r="4540" spans="13:13">
      <c r="M4540" s="202"/>
    </row>
    <row r="4541" spans="13:13">
      <c r="M4541" s="202"/>
    </row>
    <row r="4542" spans="13:13">
      <c r="M4542" s="202"/>
    </row>
    <row r="4543" spans="13:13">
      <c r="M4543" s="202"/>
    </row>
    <row r="4544" spans="13:13">
      <c r="M4544" s="202"/>
    </row>
    <row r="4545" spans="13:13">
      <c r="M4545" s="202"/>
    </row>
    <row r="4546" spans="13:13">
      <c r="M4546" s="202"/>
    </row>
    <row r="4547" spans="13:13">
      <c r="M4547" s="202"/>
    </row>
    <row r="4548" spans="13:13">
      <c r="M4548" s="202"/>
    </row>
    <row r="4549" spans="13:13">
      <c r="M4549" s="202"/>
    </row>
    <row r="4550" spans="13:13">
      <c r="M4550" s="202"/>
    </row>
    <row r="4551" spans="13:13">
      <c r="M4551" s="202"/>
    </row>
    <row r="4552" spans="13:13">
      <c r="M4552" s="202"/>
    </row>
    <row r="4553" spans="13:13">
      <c r="M4553" s="202"/>
    </row>
    <row r="4554" spans="13:13">
      <c r="M4554" s="202"/>
    </row>
    <row r="4555" spans="13:13">
      <c r="M4555" s="202"/>
    </row>
    <row r="4556" spans="13:13">
      <c r="M4556" s="202"/>
    </row>
    <row r="4557" spans="13:13">
      <c r="M4557" s="202"/>
    </row>
    <row r="4558" spans="13:13">
      <c r="M4558" s="202"/>
    </row>
    <row r="4559" spans="13:13">
      <c r="M4559" s="202"/>
    </row>
    <row r="4560" spans="13:13">
      <c r="M4560" s="202"/>
    </row>
    <row r="4561" spans="13:13">
      <c r="M4561" s="202"/>
    </row>
    <row r="4562" spans="13:13">
      <c r="M4562" s="202"/>
    </row>
    <row r="4563" spans="13:13">
      <c r="M4563" s="202"/>
    </row>
    <row r="4564" spans="13:13">
      <c r="M4564" s="202"/>
    </row>
    <row r="4565" spans="13:13">
      <c r="M4565" s="202"/>
    </row>
    <row r="4566" spans="13:13">
      <c r="M4566" s="202"/>
    </row>
    <row r="4567" spans="13:13">
      <c r="M4567" s="202"/>
    </row>
    <row r="4568" spans="13:13">
      <c r="M4568" s="202"/>
    </row>
    <row r="4569" spans="13:13">
      <c r="M4569" s="202"/>
    </row>
    <row r="4570" spans="13:13">
      <c r="M4570" s="202"/>
    </row>
    <row r="4571" spans="13:13">
      <c r="M4571" s="202"/>
    </row>
    <row r="4572" spans="13:13">
      <c r="M4572" s="202"/>
    </row>
    <row r="4573" spans="13:13">
      <c r="M4573" s="202"/>
    </row>
    <row r="4574" spans="13:13">
      <c r="M4574" s="202"/>
    </row>
    <row r="4575" spans="13:13">
      <c r="M4575" s="202"/>
    </row>
    <row r="4576" spans="13:13">
      <c r="M4576" s="202"/>
    </row>
    <row r="4577" spans="13:13">
      <c r="M4577" s="202"/>
    </row>
    <row r="4578" spans="13:13">
      <c r="M4578" s="202"/>
    </row>
    <row r="4579" spans="13:13">
      <c r="M4579" s="202"/>
    </row>
    <row r="4580" spans="13:13">
      <c r="M4580" s="202"/>
    </row>
    <row r="4581" spans="13:13">
      <c r="M4581" s="202"/>
    </row>
    <row r="4582" spans="13:13">
      <c r="M4582" s="202"/>
    </row>
    <row r="4583" spans="13:13">
      <c r="M4583" s="202"/>
    </row>
    <row r="4584" spans="13:13">
      <c r="M4584" s="202"/>
    </row>
    <row r="4585" spans="13:13">
      <c r="M4585" s="202"/>
    </row>
    <row r="4586" spans="13:13">
      <c r="M4586" s="202"/>
    </row>
    <row r="4587" spans="13:13">
      <c r="M4587" s="202"/>
    </row>
    <row r="4588" spans="13:13">
      <c r="M4588" s="202"/>
    </row>
    <row r="4589" spans="13:13">
      <c r="M4589" s="202"/>
    </row>
    <row r="4590" spans="13:13">
      <c r="M4590" s="202"/>
    </row>
    <row r="4591" spans="13:13">
      <c r="M4591" s="202"/>
    </row>
    <row r="4592" spans="13:13">
      <c r="M4592" s="202"/>
    </row>
    <row r="4593" spans="13:13">
      <c r="M4593" s="202"/>
    </row>
    <row r="4594" spans="13:13">
      <c r="M4594" s="202"/>
    </row>
    <row r="4595" spans="13:13">
      <c r="M4595" s="202"/>
    </row>
    <row r="4596" spans="13:13">
      <c r="M4596" s="202"/>
    </row>
    <row r="4597" spans="13:13">
      <c r="M4597" s="202"/>
    </row>
    <row r="4598" spans="13:13">
      <c r="M4598" s="202"/>
    </row>
    <row r="4599" spans="13:13">
      <c r="M4599" s="202"/>
    </row>
    <row r="4600" spans="13:13">
      <c r="M4600" s="202"/>
    </row>
    <row r="4601" spans="13:13">
      <c r="M4601" s="202"/>
    </row>
    <row r="4602" spans="13:13">
      <c r="M4602" s="202"/>
    </row>
    <row r="4603" spans="13:13">
      <c r="M4603" s="202"/>
    </row>
    <row r="4604" spans="13:13">
      <c r="M4604" s="202"/>
    </row>
    <row r="4605" spans="13:13">
      <c r="M4605" s="202"/>
    </row>
    <row r="4606" spans="13:13">
      <c r="M4606" s="202"/>
    </row>
    <row r="4607" spans="13:13">
      <c r="M4607" s="202"/>
    </row>
    <row r="4608" spans="13:13">
      <c r="M4608" s="202"/>
    </row>
    <row r="4609" spans="13:13">
      <c r="M4609" s="202"/>
    </row>
    <row r="4610" spans="13:13">
      <c r="M4610" s="202"/>
    </row>
    <row r="4611" spans="13:13">
      <c r="M4611" s="202"/>
    </row>
    <row r="4612" spans="13:13">
      <c r="M4612" s="202"/>
    </row>
    <row r="4613" spans="13:13">
      <c r="M4613" s="202"/>
    </row>
    <row r="4614" spans="13:13">
      <c r="M4614" s="202"/>
    </row>
    <row r="4615" spans="13:13">
      <c r="M4615" s="202"/>
    </row>
    <row r="4616" spans="13:13">
      <c r="M4616" s="202"/>
    </row>
    <row r="4617" spans="13:13">
      <c r="M4617" s="202"/>
    </row>
    <row r="4618" spans="13:13">
      <c r="M4618" s="202"/>
    </row>
    <row r="4619" spans="13:13">
      <c r="M4619" s="202"/>
    </row>
    <row r="4620" spans="13:13">
      <c r="M4620" s="202"/>
    </row>
    <row r="4621" spans="13:13">
      <c r="M4621" s="202"/>
    </row>
    <row r="4622" spans="13:13">
      <c r="M4622" s="202"/>
    </row>
    <row r="4623" spans="13:13">
      <c r="M4623" s="202"/>
    </row>
    <row r="4624" spans="13:13">
      <c r="M4624" s="202"/>
    </row>
    <row r="4625" spans="13:13">
      <c r="M4625" s="202"/>
    </row>
    <row r="4626" spans="13:13">
      <c r="M4626" s="202"/>
    </row>
    <row r="4627" spans="13:13">
      <c r="M4627" s="202"/>
    </row>
    <row r="4628" spans="13:13">
      <c r="M4628" s="202"/>
    </row>
    <row r="4629" spans="13:13">
      <c r="M4629" s="202"/>
    </row>
    <row r="4630" spans="13:13">
      <c r="M4630" s="202"/>
    </row>
    <row r="4631" spans="13:13">
      <c r="M4631" s="202"/>
    </row>
    <row r="4632" spans="13:13">
      <c r="M4632" s="202"/>
    </row>
    <row r="4633" spans="13:13">
      <c r="M4633" s="202"/>
    </row>
    <row r="4634" spans="13:13">
      <c r="M4634" s="202"/>
    </row>
    <row r="4635" spans="13:13">
      <c r="M4635" s="202"/>
    </row>
    <row r="4636" spans="13:13">
      <c r="M4636" s="202"/>
    </row>
    <row r="4637" spans="13:13">
      <c r="M4637" s="202"/>
    </row>
    <row r="4638" spans="13:13">
      <c r="M4638" s="202"/>
    </row>
    <row r="4639" spans="13:13">
      <c r="M4639" s="202"/>
    </row>
    <row r="4640" spans="13:13">
      <c r="M4640" s="202"/>
    </row>
    <row r="4641" spans="13:13">
      <c r="M4641" s="202"/>
    </row>
    <row r="4642" spans="13:13">
      <c r="M4642" s="202"/>
    </row>
    <row r="4643" spans="13:13">
      <c r="M4643" s="202"/>
    </row>
    <row r="4644" spans="13:13">
      <c r="M4644" s="202"/>
    </row>
    <row r="4645" spans="13:13">
      <c r="M4645" s="202"/>
    </row>
    <row r="4646" spans="13:13">
      <c r="M4646" s="202"/>
    </row>
    <row r="4647" spans="13:13">
      <c r="M4647" s="202"/>
    </row>
    <row r="4648" spans="13:13">
      <c r="M4648" s="202"/>
    </row>
    <row r="4649" spans="13:13">
      <c r="M4649" s="202"/>
    </row>
    <row r="4650" spans="13:13">
      <c r="M4650" s="202"/>
    </row>
    <row r="4651" spans="13:13">
      <c r="M4651" s="202"/>
    </row>
    <row r="4652" spans="13:13">
      <c r="M4652" s="202"/>
    </row>
    <row r="4653" spans="13:13">
      <c r="M4653" s="202"/>
    </row>
    <row r="4654" spans="13:13">
      <c r="M4654" s="202"/>
    </row>
    <row r="4655" spans="13:13">
      <c r="M4655" s="202"/>
    </row>
    <row r="4656" spans="13:13">
      <c r="M4656" s="202"/>
    </row>
    <row r="4657" spans="13:13">
      <c r="M4657" s="202"/>
    </row>
    <row r="4658" spans="13:13">
      <c r="M4658" s="202"/>
    </row>
    <row r="4659" spans="13:13">
      <c r="M4659" s="202"/>
    </row>
    <row r="4660" spans="13:13">
      <c r="M4660" s="202"/>
    </row>
    <row r="4661" spans="13:13">
      <c r="M4661" s="202"/>
    </row>
    <row r="4662" spans="13:13">
      <c r="M4662" s="202"/>
    </row>
    <row r="4663" spans="13:13">
      <c r="M4663" s="202"/>
    </row>
    <row r="4664" spans="13:13">
      <c r="M4664" s="202"/>
    </row>
    <row r="4665" spans="13:13">
      <c r="M4665" s="202"/>
    </row>
    <row r="4666" spans="13:13">
      <c r="M4666" s="202"/>
    </row>
    <row r="4667" spans="13:13">
      <c r="M4667" s="202"/>
    </row>
    <row r="4668" spans="13:13">
      <c r="M4668" s="202"/>
    </row>
    <row r="4669" spans="13:13">
      <c r="M4669" s="202"/>
    </row>
    <row r="4670" spans="13:13">
      <c r="M4670" s="202"/>
    </row>
    <row r="4671" spans="13:13">
      <c r="M4671" s="202"/>
    </row>
    <row r="4672" spans="13:13">
      <c r="M4672" s="202"/>
    </row>
    <row r="4673" spans="13:13">
      <c r="M4673" s="202"/>
    </row>
    <row r="4674" spans="13:13">
      <c r="M4674" s="202"/>
    </row>
    <row r="4675" spans="13:13">
      <c r="M4675" s="202"/>
    </row>
    <row r="4676" spans="13:13">
      <c r="M4676" s="202"/>
    </row>
    <row r="4677" spans="13:13">
      <c r="M4677" s="202"/>
    </row>
    <row r="4678" spans="13:13">
      <c r="M4678" s="202"/>
    </row>
    <row r="4679" spans="13:13">
      <c r="M4679" s="202"/>
    </row>
    <row r="4680" spans="13:13">
      <c r="M4680" s="202"/>
    </row>
    <row r="4681" spans="13:13">
      <c r="M4681" s="202"/>
    </row>
    <row r="4682" spans="13:13">
      <c r="M4682" s="202"/>
    </row>
    <row r="4683" spans="13:13">
      <c r="M4683" s="202"/>
    </row>
    <row r="4684" spans="13:13">
      <c r="M4684" s="202"/>
    </row>
    <row r="4685" spans="13:13">
      <c r="M4685" s="202"/>
    </row>
    <row r="4686" spans="13:13">
      <c r="M4686" s="202"/>
    </row>
    <row r="4687" spans="13:13">
      <c r="M4687" s="202"/>
    </row>
    <row r="4688" spans="13:13">
      <c r="M4688" s="202"/>
    </row>
    <row r="4689" spans="13:13">
      <c r="M4689" s="202"/>
    </row>
    <row r="4690" spans="13:13">
      <c r="M4690" s="202"/>
    </row>
    <row r="4691" spans="13:13">
      <c r="M4691" s="202"/>
    </row>
    <row r="4692" spans="13:13">
      <c r="M4692" s="202"/>
    </row>
    <row r="4693" spans="13:13">
      <c r="M4693" s="202"/>
    </row>
    <row r="4694" spans="13:13">
      <c r="M4694" s="202"/>
    </row>
    <row r="4695" spans="13:13">
      <c r="M4695" s="202"/>
    </row>
    <row r="4696" spans="13:13">
      <c r="M4696" s="202"/>
    </row>
    <row r="4697" spans="13:13">
      <c r="M4697" s="202"/>
    </row>
    <row r="4698" spans="13:13">
      <c r="M4698" s="202"/>
    </row>
    <row r="4699" spans="13:13">
      <c r="M4699" s="202"/>
    </row>
    <row r="4700" spans="13:13">
      <c r="M4700" s="202"/>
    </row>
    <row r="4701" spans="13:13">
      <c r="M4701" s="202"/>
    </row>
    <row r="4702" spans="13:13">
      <c r="M4702" s="202"/>
    </row>
    <row r="4703" spans="13:13">
      <c r="M4703" s="202"/>
    </row>
    <row r="4704" spans="13:13">
      <c r="M4704" s="202"/>
    </row>
    <row r="4705" spans="13:13">
      <c r="M4705" s="202"/>
    </row>
    <row r="4706" spans="13:13">
      <c r="M4706" s="202"/>
    </row>
    <row r="4707" spans="13:13">
      <c r="M4707" s="202"/>
    </row>
    <row r="4708" spans="13:13">
      <c r="M4708" s="202"/>
    </row>
    <row r="4709" spans="13:13">
      <c r="M4709" s="202"/>
    </row>
    <row r="4710" spans="13:13">
      <c r="M4710" s="202"/>
    </row>
    <row r="4711" spans="13:13">
      <c r="M4711" s="202"/>
    </row>
    <row r="4712" spans="13:13">
      <c r="M4712" s="202"/>
    </row>
    <row r="4713" spans="13:13">
      <c r="M4713" s="202"/>
    </row>
    <row r="4714" spans="13:13">
      <c r="M4714" s="202"/>
    </row>
    <row r="4715" spans="13:13">
      <c r="M4715" s="202"/>
    </row>
    <row r="4716" spans="13:13">
      <c r="M4716" s="202"/>
    </row>
    <row r="4717" spans="13:13">
      <c r="M4717" s="202"/>
    </row>
    <row r="4718" spans="13:13">
      <c r="M4718" s="202"/>
    </row>
    <row r="4719" spans="13:13">
      <c r="M4719" s="202"/>
    </row>
    <row r="4720" spans="13:13">
      <c r="M4720" s="202"/>
    </row>
    <row r="4721" spans="13:13">
      <c r="M4721" s="202"/>
    </row>
    <row r="4722" spans="13:13">
      <c r="M4722" s="202"/>
    </row>
    <row r="4723" spans="13:13">
      <c r="M4723" s="202"/>
    </row>
    <row r="4724" spans="13:13">
      <c r="M4724" s="202"/>
    </row>
    <row r="4725" spans="13:13">
      <c r="M4725" s="202"/>
    </row>
    <row r="4726" spans="13:13">
      <c r="M4726" s="202"/>
    </row>
    <row r="4727" spans="13:13">
      <c r="M4727" s="202"/>
    </row>
    <row r="4728" spans="13:13">
      <c r="M4728" s="202"/>
    </row>
    <row r="4729" spans="13:13">
      <c r="M4729" s="202"/>
    </row>
    <row r="4730" spans="13:13">
      <c r="M4730" s="202"/>
    </row>
    <row r="4731" spans="13:13">
      <c r="M4731" s="202"/>
    </row>
    <row r="4732" spans="13:13">
      <c r="M4732" s="202"/>
    </row>
    <row r="4733" spans="13:13">
      <c r="M4733" s="202"/>
    </row>
    <row r="4734" spans="13:13">
      <c r="M4734" s="202"/>
    </row>
    <row r="4735" spans="13:13">
      <c r="M4735" s="202"/>
    </row>
    <row r="4736" spans="13:13">
      <c r="M4736" s="202"/>
    </row>
    <row r="4737" spans="13:13">
      <c r="M4737" s="202"/>
    </row>
    <row r="4738" spans="13:13">
      <c r="M4738" s="202"/>
    </row>
    <row r="4739" spans="13:13">
      <c r="M4739" s="202"/>
    </row>
    <row r="4740" spans="13:13">
      <c r="M4740" s="202"/>
    </row>
    <row r="4741" spans="13:13">
      <c r="M4741" s="202"/>
    </row>
    <row r="4742" spans="13:13">
      <c r="M4742" s="202"/>
    </row>
    <row r="4743" spans="13:13">
      <c r="M4743" s="202"/>
    </row>
    <row r="4744" spans="13:13">
      <c r="M4744" s="202"/>
    </row>
    <row r="4745" spans="13:13">
      <c r="M4745" s="202"/>
    </row>
    <row r="4746" spans="13:13">
      <c r="M4746" s="202"/>
    </row>
    <row r="4747" spans="13:13">
      <c r="M4747" s="202"/>
    </row>
    <row r="4748" spans="13:13">
      <c r="M4748" s="202"/>
    </row>
    <row r="4749" spans="13:13">
      <c r="M4749" s="202"/>
    </row>
    <row r="4750" spans="13:13">
      <c r="M4750" s="202"/>
    </row>
    <row r="4751" spans="13:13">
      <c r="M4751" s="202"/>
    </row>
    <row r="4752" spans="13:13">
      <c r="M4752" s="202"/>
    </row>
    <row r="4753" spans="13:13">
      <c r="M4753" s="202"/>
    </row>
    <row r="4754" spans="13:13">
      <c r="M4754" s="202"/>
    </row>
    <row r="4755" spans="13:13">
      <c r="M4755" s="202"/>
    </row>
    <row r="4756" spans="13:13">
      <c r="M4756" s="202"/>
    </row>
    <row r="4757" spans="13:13">
      <c r="M4757" s="202"/>
    </row>
    <row r="4758" spans="13:13">
      <c r="M4758" s="202"/>
    </row>
    <row r="4759" spans="13:13">
      <c r="M4759" s="202"/>
    </row>
    <row r="4760" spans="13:13">
      <c r="M4760" s="202"/>
    </row>
    <row r="4761" spans="13:13">
      <c r="M4761" s="202"/>
    </row>
    <row r="4762" spans="13:13">
      <c r="M4762" s="202"/>
    </row>
    <row r="4763" spans="13:13">
      <c r="M4763" s="202"/>
    </row>
    <row r="4764" spans="13:13">
      <c r="M4764" s="202"/>
    </row>
    <row r="4765" spans="13:13">
      <c r="M4765" s="202"/>
    </row>
    <row r="4766" spans="13:13">
      <c r="M4766" s="202"/>
    </row>
    <row r="4767" spans="13:13">
      <c r="M4767" s="202"/>
    </row>
    <row r="4768" spans="13:13">
      <c r="M4768" s="202"/>
    </row>
    <row r="4769" spans="13:13">
      <c r="M4769" s="202"/>
    </row>
    <row r="4770" spans="13:13">
      <c r="M4770" s="202"/>
    </row>
    <row r="4771" spans="13:13">
      <c r="M4771" s="202"/>
    </row>
    <row r="4772" spans="13:13">
      <c r="M4772" s="202"/>
    </row>
    <row r="4773" spans="13:13">
      <c r="M4773" s="202"/>
    </row>
    <row r="4774" spans="13:13">
      <c r="M4774" s="202"/>
    </row>
    <row r="4775" spans="13:13">
      <c r="M4775" s="202"/>
    </row>
    <row r="4776" spans="13:13">
      <c r="M4776" s="202"/>
    </row>
    <row r="4777" spans="13:13">
      <c r="M4777" s="202"/>
    </row>
    <row r="4778" spans="13:13">
      <c r="M4778" s="202"/>
    </row>
    <row r="4779" spans="13:13">
      <c r="M4779" s="202"/>
    </row>
    <row r="4780" spans="13:13">
      <c r="M4780" s="202"/>
    </row>
    <row r="4781" spans="13:13">
      <c r="M4781" s="202"/>
    </row>
    <row r="4782" spans="13:13">
      <c r="M4782" s="202"/>
    </row>
    <row r="4783" spans="13:13">
      <c r="M4783" s="202"/>
    </row>
    <row r="4784" spans="13:13">
      <c r="M4784" s="202"/>
    </row>
    <row r="4785" spans="13:13">
      <c r="M4785" s="202"/>
    </row>
    <row r="4786" spans="13:13">
      <c r="M4786" s="202"/>
    </row>
    <row r="4787" spans="13:13">
      <c r="M4787" s="202"/>
    </row>
    <row r="4788" spans="13:13">
      <c r="M4788" s="202"/>
    </row>
    <row r="4789" spans="13:13">
      <c r="M4789" s="202"/>
    </row>
    <row r="4790" spans="13:13">
      <c r="M4790" s="202"/>
    </row>
    <row r="4791" spans="13:13">
      <c r="M4791" s="202"/>
    </row>
    <row r="4792" spans="13:13">
      <c r="M4792" s="202"/>
    </row>
    <row r="4793" spans="13:13">
      <c r="M4793" s="202"/>
    </row>
    <row r="4794" spans="13:13">
      <c r="M4794" s="202"/>
    </row>
    <row r="4795" spans="13:13">
      <c r="M4795" s="202"/>
    </row>
    <row r="4796" spans="13:13">
      <c r="M4796" s="202"/>
    </row>
    <row r="4797" spans="13:13">
      <c r="M4797" s="202"/>
    </row>
    <row r="4798" spans="13:13">
      <c r="M4798" s="202"/>
    </row>
    <row r="4799" spans="13:13">
      <c r="M4799" s="202"/>
    </row>
    <row r="4800" spans="13:13">
      <c r="M4800" s="202"/>
    </row>
    <row r="4801" spans="13:13">
      <c r="M4801" s="202"/>
    </row>
    <row r="4802" spans="13:13">
      <c r="M4802" s="202"/>
    </row>
    <row r="4803" spans="13:13">
      <c r="M4803" s="202"/>
    </row>
    <row r="4804" spans="13:13">
      <c r="M4804" s="202"/>
    </row>
    <row r="4805" spans="13:13">
      <c r="M4805" s="202"/>
    </row>
    <row r="4806" spans="13:13">
      <c r="M4806" s="202"/>
    </row>
    <row r="4807" spans="13:13">
      <c r="M4807" s="202"/>
    </row>
    <row r="4808" spans="13:13">
      <c r="M4808" s="202"/>
    </row>
    <row r="4809" spans="13:13">
      <c r="M4809" s="202"/>
    </row>
    <row r="4810" spans="13:13">
      <c r="M4810" s="202"/>
    </row>
    <row r="4811" spans="13:13">
      <c r="M4811" s="202"/>
    </row>
    <row r="4812" spans="13:13">
      <c r="M4812" s="202"/>
    </row>
    <row r="4813" spans="13:13">
      <c r="M4813" s="202"/>
    </row>
    <row r="4814" spans="13:13">
      <c r="M4814" s="202"/>
    </row>
    <row r="4815" spans="13:13">
      <c r="M4815" s="202"/>
    </row>
    <row r="4816" spans="13:13">
      <c r="M4816" s="202"/>
    </row>
    <row r="4817" spans="13:13">
      <c r="M4817" s="202"/>
    </row>
    <row r="4818" spans="13:13">
      <c r="M4818" s="202"/>
    </row>
    <row r="4819" spans="13:13">
      <c r="M4819" s="202"/>
    </row>
    <row r="4820" spans="13:13">
      <c r="M4820" s="202"/>
    </row>
    <row r="4821" spans="13:13">
      <c r="M4821" s="202"/>
    </row>
    <row r="4822" spans="13:13">
      <c r="M4822" s="202"/>
    </row>
    <row r="4823" spans="13:13">
      <c r="M4823" s="202"/>
    </row>
    <row r="4824" spans="13:13">
      <c r="M4824" s="202"/>
    </row>
    <row r="4825" spans="13:13">
      <c r="M4825" s="202"/>
    </row>
    <row r="4826" spans="13:13">
      <c r="M4826" s="202"/>
    </row>
    <row r="4827" spans="13:13">
      <c r="M4827" s="202"/>
    </row>
    <row r="4828" spans="13:13">
      <c r="M4828" s="202"/>
    </row>
    <row r="4829" spans="13:13">
      <c r="M4829" s="202"/>
    </row>
    <row r="4830" spans="13:13">
      <c r="M4830" s="202"/>
    </row>
    <row r="4831" spans="13:13">
      <c r="M4831" s="202"/>
    </row>
    <row r="4832" spans="13:13">
      <c r="M4832" s="202"/>
    </row>
    <row r="4833" spans="13:13">
      <c r="M4833" s="202"/>
    </row>
    <row r="4834" spans="13:13">
      <c r="M4834" s="202"/>
    </row>
    <row r="4835" spans="13:13">
      <c r="M4835" s="202"/>
    </row>
    <row r="4836" spans="13:13">
      <c r="M4836" s="202"/>
    </row>
    <row r="4837" spans="13:13">
      <c r="M4837" s="202"/>
    </row>
    <row r="4838" spans="13:13">
      <c r="M4838" s="202"/>
    </row>
    <row r="4839" spans="13:13">
      <c r="M4839" s="202"/>
    </row>
    <row r="4840" spans="13:13">
      <c r="M4840" s="202"/>
    </row>
    <row r="4841" spans="13:13">
      <c r="M4841" s="202"/>
    </row>
    <row r="4842" spans="13:13">
      <c r="M4842" s="202"/>
    </row>
    <row r="4843" spans="13:13">
      <c r="M4843" s="202"/>
    </row>
    <row r="4844" spans="13:13">
      <c r="M4844" s="202"/>
    </row>
    <row r="4845" spans="13:13">
      <c r="M4845" s="202"/>
    </row>
    <row r="4846" spans="13:13">
      <c r="M4846" s="202"/>
    </row>
    <row r="4847" spans="13:13">
      <c r="M4847" s="202"/>
    </row>
    <row r="4848" spans="13:13">
      <c r="M4848" s="202"/>
    </row>
    <row r="4849" spans="13:13">
      <c r="M4849" s="202"/>
    </row>
    <row r="4850" spans="13:13">
      <c r="M4850" s="202"/>
    </row>
    <row r="4851" spans="13:13">
      <c r="M4851" s="202"/>
    </row>
    <row r="4852" spans="13:13">
      <c r="M4852" s="202"/>
    </row>
    <row r="4853" spans="13:13">
      <c r="M4853" s="202"/>
    </row>
    <row r="4854" spans="13:13">
      <c r="M4854" s="202"/>
    </row>
    <row r="4855" spans="13:13">
      <c r="M4855" s="202"/>
    </row>
    <row r="4856" spans="13:13">
      <c r="M4856" s="202"/>
    </row>
    <row r="4857" spans="13:13">
      <c r="M4857" s="202"/>
    </row>
    <row r="4858" spans="13:13">
      <c r="M4858" s="202"/>
    </row>
    <row r="4859" spans="13:13">
      <c r="M4859" s="202"/>
    </row>
    <row r="4860" spans="13:13">
      <c r="M4860" s="202"/>
    </row>
    <row r="4861" spans="13:13">
      <c r="M4861" s="202"/>
    </row>
    <row r="4862" spans="13:13">
      <c r="M4862" s="202"/>
    </row>
    <row r="4863" spans="13:13">
      <c r="M4863" s="202"/>
    </row>
    <row r="4864" spans="13:13">
      <c r="M4864" s="202"/>
    </row>
    <row r="4865" spans="13:13">
      <c r="M4865" s="202"/>
    </row>
    <row r="4866" spans="13:13">
      <c r="M4866" s="202"/>
    </row>
    <row r="4867" spans="13:13">
      <c r="M4867" s="202"/>
    </row>
    <row r="4868" spans="13:13">
      <c r="M4868" s="202"/>
    </row>
    <row r="4869" spans="13:13">
      <c r="M4869" s="202"/>
    </row>
    <row r="4870" spans="13:13">
      <c r="M4870" s="202"/>
    </row>
    <row r="4871" spans="13:13">
      <c r="M4871" s="202"/>
    </row>
    <row r="4872" spans="13:13">
      <c r="M4872" s="202"/>
    </row>
    <row r="4873" spans="13:13">
      <c r="M4873" s="202"/>
    </row>
    <row r="4874" spans="13:13">
      <c r="M4874" s="202"/>
    </row>
    <row r="4875" spans="13:13">
      <c r="M4875" s="202"/>
    </row>
    <row r="4876" spans="13:13">
      <c r="M4876" s="202"/>
    </row>
    <row r="4877" spans="13:13">
      <c r="M4877" s="202"/>
    </row>
    <row r="4878" spans="13:13">
      <c r="M4878" s="202"/>
    </row>
    <row r="4879" spans="13:13">
      <c r="M4879" s="202"/>
    </row>
    <row r="4880" spans="13:13">
      <c r="M4880" s="202"/>
    </row>
    <row r="4881" spans="13:13">
      <c r="M4881" s="202"/>
    </row>
    <row r="4882" spans="13:13">
      <c r="M4882" s="202"/>
    </row>
    <row r="4883" spans="13:13">
      <c r="M4883" s="202"/>
    </row>
    <row r="4884" spans="13:13">
      <c r="M4884" s="202"/>
    </row>
    <row r="4885" spans="13:13">
      <c r="M4885" s="202"/>
    </row>
    <row r="4886" spans="13:13">
      <c r="M4886" s="202"/>
    </row>
    <row r="4887" spans="13:13">
      <c r="M4887" s="202"/>
    </row>
    <row r="4888" spans="13:13">
      <c r="M4888" s="202"/>
    </row>
    <row r="4889" spans="13:13">
      <c r="M4889" s="202"/>
    </row>
    <row r="4890" spans="13:13">
      <c r="M4890" s="202"/>
    </row>
    <row r="4891" spans="13:13">
      <c r="M4891" s="202"/>
    </row>
    <row r="4892" spans="13:13">
      <c r="M4892" s="202"/>
    </row>
    <row r="4893" spans="13:13">
      <c r="M4893" s="202"/>
    </row>
    <row r="4894" spans="13:13">
      <c r="M4894" s="202"/>
    </row>
    <row r="4895" spans="13:13">
      <c r="M4895" s="202"/>
    </row>
    <row r="4896" spans="13:13">
      <c r="M4896" s="202"/>
    </row>
    <row r="4897" spans="13:13">
      <c r="M4897" s="202"/>
    </row>
    <row r="4898" spans="13:13">
      <c r="M4898" s="202"/>
    </row>
    <row r="4899" spans="13:13">
      <c r="M4899" s="202"/>
    </row>
    <row r="4900" spans="13:13">
      <c r="M4900" s="202"/>
    </row>
    <row r="4901" spans="13:13">
      <c r="M4901" s="202"/>
    </row>
    <row r="4902" spans="13:13">
      <c r="M4902" s="202"/>
    </row>
    <row r="4903" spans="13:13">
      <c r="M4903" s="202"/>
    </row>
    <row r="4904" spans="13:13">
      <c r="M4904" s="202"/>
    </row>
    <row r="4905" spans="13:13">
      <c r="M4905" s="202"/>
    </row>
    <row r="4906" spans="13:13">
      <c r="M4906" s="202"/>
    </row>
    <row r="4907" spans="13:13">
      <c r="M4907" s="202"/>
    </row>
    <row r="4908" spans="13:13">
      <c r="M4908" s="202"/>
    </row>
    <row r="4909" spans="13:13">
      <c r="M4909" s="202"/>
    </row>
    <row r="4910" spans="13:13">
      <c r="M4910" s="202"/>
    </row>
    <row r="4911" spans="13:13">
      <c r="M4911" s="202"/>
    </row>
    <row r="4912" spans="13:13">
      <c r="M4912" s="202"/>
    </row>
    <row r="4913" spans="13:13">
      <c r="M4913" s="202"/>
    </row>
    <row r="4914" spans="13:13">
      <c r="M4914" s="202"/>
    </row>
    <row r="4915" spans="13:13">
      <c r="M4915" s="202"/>
    </row>
    <row r="4916" spans="13:13">
      <c r="M4916" s="202"/>
    </row>
    <row r="4917" spans="13:13">
      <c r="M4917" s="202"/>
    </row>
    <row r="4918" spans="13:13">
      <c r="M4918" s="202"/>
    </row>
    <row r="4919" spans="13:13">
      <c r="M4919" s="202"/>
    </row>
    <row r="4920" spans="13:13">
      <c r="M4920" s="202"/>
    </row>
    <row r="4921" spans="13:13">
      <c r="M4921" s="202"/>
    </row>
    <row r="4922" spans="13:13">
      <c r="M4922" s="202"/>
    </row>
    <row r="4923" spans="13:13">
      <c r="M4923" s="202"/>
    </row>
    <row r="4924" spans="13:13">
      <c r="M4924" s="202"/>
    </row>
    <row r="4925" spans="13:13">
      <c r="M4925" s="202"/>
    </row>
    <row r="4926" spans="13:13">
      <c r="M4926" s="202"/>
    </row>
    <row r="4927" spans="13:13">
      <c r="M4927" s="202"/>
    </row>
    <row r="4928" spans="13:13">
      <c r="M4928" s="202"/>
    </row>
    <row r="4929" spans="13:13">
      <c r="M4929" s="202"/>
    </row>
    <row r="4930" spans="13:13">
      <c r="M4930" s="202"/>
    </row>
    <row r="4931" spans="13:13">
      <c r="M4931" s="202"/>
    </row>
    <row r="4932" spans="13:13">
      <c r="M4932" s="202"/>
    </row>
    <row r="4933" spans="13:13">
      <c r="M4933" s="202"/>
    </row>
    <row r="4934" spans="13:13">
      <c r="M4934" s="202"/>
    </row>
    <row r="4935" spans="13:13">
      <c r="M4935" s="202"/>
    </row>
    <row r="4936" spans="13:13">
      <c r="M4936" s="202"/>
    </row>
    <row r="4937" spans="13:13">
      <c r="M4937" s="202"/>
    </row>
    <row r="4938" spans="13:13">
      <c r="M4938" s="202"/>
    </row>
    <row r="4939" spans="13:13">
      <c r="M4939" s="202"/>
    </row>
    <row r="4940" spans="13:13">
      <c r="M4940" s="202"/>
    </row>
    <row r="4941" spans="13:13">
      <c r="M4941" s="202"/>
    </row>
    <row r="4942" spans="13:13">
      <c r="M4942" s="202"/>
    </row>
    <row r="4943" spans="13:13">
      <c r="M4943" s="202"/>
    </row>
    <row r="4944" spans="13:13">
      <c r="M4944" s="202"/>
    </row>
    <row r="4945" spans="13:13">
      <c r="M4945" s="202"/>
    </row>
    <row r="4946" spans="13:13">
      <c r="M4946" s="202"/>
    </row>
    <row r="4947" spans="13:13">
      <c r="M4947" s="202"/>
    </row>
    <row r="4948" spans="13:13">
      <c r="M4948" s="202"/>
    </row>
    <row r="4949" spans="13:13">
      <c r="M4949" s="202"/>
    </row>
    <row r="4950" spans="13:13">
      <c r="M4950" s="202"/>
    </row>
    <row r="4951" spans="13:13">
      <c r="M4951" s="202"/>
    </row>
    <row r="4952" spans="13:13">
      <c r="M4952" s="202"/>
    </row>
    <row r="4953" spans="13:13">
      <c r="M4953" s="202"/>
    </row>
    <row r="4954" spans="13:13">
      <c r="M4954" s="202"/>
    </row>
    <row r="4955" spans="13:13">
      <c r="M4955" s="202"/>
    </row>
    <row r="4956" spans="13:13">
      <c r="M4956" s="202"/>
    </row>
    <row r="4957" spans="13:13">
      <c r="M4957" s="202"/>
    </row>
    <row r="4958" spans="13:13">
      <c r="M4958" s="202"/>
    </row>
    <row r="4959" spans="13:13">
      <c r="M4959" s="202"/>
    </row>
    <row r="4960" spans="13:13">
      <c r="M4960" s="202"/>
    </row>
    <row r="4961" spans="13:13">
      <c r="M4961" s="202"/>
    </row>
    <row r="4962" spans="13:13">
      <c r="M4962" s="202"/>
    </row>
    <row r="4963" spans="13:13">
      <c r="M4963" s="202"/>
    </row>
    <row r="4964" spans="13:13">
      <c r="M4964" s="202"/>
    </row>
    <row r="4965" spans="13:13">
      <c r="M4965" s="202"/>
    </row>
    <row r="4966" spans="13:13">
      <c r="M4966" s="202"/>
    </row>
    <row r="4967" spans="13:13">
      <c r="M4967" s="202"/>
    </row>
    <row r="4968" spans="13:13">
      <c r="M4968" s="202"/>
    </row>
    <row r="4969" spans="13:13">
      <c r="M4969" s="202"/>
    </row>
    <row r="4970" spans="13:13">
      <c r="M4970" s="202"/>
    </row>
    <row r="4971" spans="13:13">
      <c r="M4971" s="202"/>
    </row>
    <row r="4972" spans="13:13">
      <c r="M4972" s="202"/>
    </row>
    <row r="4973" spans="13:13">
      <c r="M4973" s="202"/>
    </row>
    <row r="4974" spans="13:13">
      <c r="M4974" s="202"/>
    </row>
    <row r="4975" spans="13:13">
      <c r="M4975" s="202"/>
    </row>
    <row r="4976" spans="13:13">
      <c r="M4976" s="202"/>
    </row>
    <row r="4977" spans="13:13">
      <c r="M4977" s="202"/>
    </row>
    <row r="4978" spans="13:13">
      <c r="M4978" s="202"/>
    </row>
    <row r="4979" spans="13:13">
      <c r="M4979" s="202"/>
    </row>
    <row r="4980" spans="13:13">
      <c r="M4980" s="202"/>
    </row>
    <row r="4981" spans="13:13">
      <c r="M4981" s="202"/>
    </row>
    <row r="4982" spans="13:13">
      <c r="M4982" s="202"/>
    </row>
    <row r="4983" spans="13:13">
      <c r="M4983" s="202"/>
    </row>
    <row r="4984" spans="13:13">
      <c r="M4984" s="202"/>
    </row>
    <row r="4985" spans="13:13">
      <c r="M4985" s="202"/>
    </row>
    <row r="4986" spans="13:13">
      <c r="M4986" s="202"/>
    </row>
    <row r="4987" spans="13:13">
      <c r="M4987" s="202"/>
    </row>
    <row r="4988" spans="13:13">
      <c r="M4988" s="202"/>
    </row>
    <row r="4989" spans="13:13">
      <c r="M4989" s="202"/>
    </row>
    <row r="4990" spans="13:13">
      <c r="M4990" s="202"/>
    </row>
    <row r="4991" spans="13:13">
      <c r="M4991" s="202"/>
    </row>
    <row r="4992" spans="13:13">
      <c r="M4992" s="202"/>
    </row>
    <row r="4993" spans="13:13">
      <c r="M4993" s="202"/>
    </row>
    <row r="4994" spans="13:13">
      <c r="M4994" s="202"/>
    </row>
    <row r="4995" spans="13:13">
      <c r="M4995" s="202"/>
    </row>
    <row r="4996" spans="13:13">
      <c r="M4996" s="202"/>
    </row>
    <row r="4997" spans="13:13">
      <c r="M4997" s="202"/>
    </row>
    <row r="4998" spans="13:13">
      <c r="M4998" s="202"/>
    </row>
    <row r="4999" spans="13:13">
      <c r="M4999" s="202"/>
    </row>
    <row r="5000" spans="13:13">
      <c r="M5000" s="202"/>
    </row>
    <row r="5001" spans="13:13">
      <c r="M5001" s="202"/>
    </row>
    <row r="5002" spans="13:13">
      <c r="M5002" s="202"/>
    </row>
    <row r="5003" spans="13:13">
      <c r="M5003" s="202"/>
    </row>
    <row r="5004" spans="13:13">
      <c r="M5004" s="202"/>
    </row>
    <row r="5005" spans="13:13">
      <c r="M5005" s="202"/>
    </row>
    <row r="5006" spans="13:13">
      <c r="M5006" s="202"/>
    </row>
    <row r="5007" spans="13:13">
      <c r="M5007" s="202"/>
    </row>
    <row r="5008" spans="13:13">
      <c r="M5008" s="202"/>
    </row>
    <row r="5009" spans="13:13">
      <c r="M5009" s="202"/>
    </row>
    <row r="5010" spans="13:13">
      <c r="M5010" s="202"/>
    </row>
    <row r="5011" spans="13:13">
      <c r="M5011" s="202"/>
    </row>
    <row r="5012" spans="13:13">
      <c r="M5012" s="202"/>
    </row>
    <row r="5013" spans="13:13">
      <c r="M5013" s="202"/>
    </row>
    <row r="5014" spans="13:13">
      <c r="M5014" s="202"/>
    </row>
    <row r="5015" spans="13:13">
      <c r="M5015" s="202"/>
    </row>
    <row r="5016" spans="13:13">
      <c r="M5016" s="202"/>
    </row>
    <row r="5017" spans="13:13">
      <c r="M5017" s="202"/>
    </row>
    <row r="5018" spans="13:13">
      <c r="M5018" s="202"/>
    </row>
    <row r="5019" spans="13:13">
      <c r="M5019" s="202"/>
    </row>
    <row r="5020" spans="13:13">
      <c r="M5020" s="202"/>
    </row>
    <row r="5021" spans="13:13">
      <c r="M5021" s="202"/>
    </row>
    <row r="5022" spans="13:13">
      <c r="M5022" s="202"/>
    </row>
    <row r="5023" spans="13:13">
      <c r="M5023" s="202"/>
    </row>
    <row r="5024" spans="13:13">
      <c r="M5024" s="202"/>
    </row>
    <row r="5025" spans="13:13">
      <c r="M5025" s="202"/>
    </row>
    <row r="5026" spans="13:13">
      <c r="M5026" s="202"/>
    </row>
    <row r="5027" spans="13:13">
      <c r="M5027" s="202"/>
    </row>
    <row r="5028" spans="13:13">
      <c r="M5028" s="202"/>
    </row>
    <row r="5029" spans="13:13">
      <c r="M5029" s="202"/>
    </row>
    <row r="5030" spans="13:13">
      <c r="M5030" s="202"/>
    </row>
    <row r="5031" spans="13:13">
      <c r="M5031" s="202"/>
    </row>
    <row r="5032" spans="13:13">
      <c r="M5032" s="202"/>
    </row>
    <row r="5033" spans="13:13">
      <c r="M5033" s="202"/>
    </row>
    <row r="5034" spans="13:13">
      <c r="M5034" s="202"/>
    </row>
    <row r="5035" spans="13:13">
      <c r="M5035" s="202"/>
    </row>
    <row r="5036" spans="13:13">
      <c r="M5036" s="202"/>
    </row>
    <row r="5037" spans="13:13">
      <c r="M5037" s="202"/>
    </row>
    <row r="5038" spans="13:13">
      <c r="M5038" s="202"/>
    </row>
    <row r="5039" spans="13:13">
      <c r="M5039" s="202"/>
    </row>
    <row r="5040" spans="13:13">
      <c r="M5040" s="202"/>
    </row>
    <row r="5041" spans="13:13">
      <c r="M5041" s="202"/>
    </row>
    <row r="5042" spans="13:13">
      <c r="M5042" s="202"/>
    </row>
    <row r="5043" spans="13:13">
      <c r="M5043" s="202"/>
    </row>
    <row r="5044" spans="13:13">
      <c r="M5044" s="202"/>
    </row>
    <row r="5045" spans="13:13">
      <c r="M5045" s="202"/>
    </row>
    <row r="5046" spans="13:13">
      <c r="M5046" s="202"/>
    </row>
    <row r="5047" spans="13:13">
      <c r="M5047" s="202"/>
    </row>
    <row r="5048" spans="13:13">
      <c r="M5048" s="202"/>
    </row>
    <row r="5049" spans="13:13">
      <c r="M5049" s="202"/>
    </row>
    <row r="5050" spans="13:13">
      <c r="M5050" s="202"/>
    </row>
    <row r="5051" spans="13:13">
      <c r="M5051" s="202"/>
    </row>
    <row r="5052" spans="13:13">
      <c r="M5052" s="202"/>
    </row>
    <row r="5053" spans="13:13">
      <c r="M5053" s="202"/>
    </row>
    <row r="5054" spans="13:13">
      <c r="M5054" s="202"/>
    </row>
    <row r="5055" spans="13:13">
      <c r="M5055" s="202"/>
    </row>
    <row r="5056" spans="13:13">
      <c r="M5056" s="202"/>
    </row>
    <row r="5057" spans="13:13">
      <c r="M5057" s="202"/>
    </row>
    <row r="5058" spans="13:13">
      <c r="M5058" s="202"/>
    </row>
    <row r="5059" spans="13:13">
      <c r="M5059" s="202"/>
    </row>
    <row r="5060" spans="13:13">
      <c r="M5060" s="202"/>
    </row>
    <row r="5061" spans="13:13">
      <c r="M5061" s="202"/>
    </row>
    <row r="5062" spans="13:13">
      <c r="M5062" s="202"/>
    </row>
    <row r="5063" spans="13:13">
      <c r="M5063" s="202"/>
    </row>
    <row r="5064" spans="13:13">
      <c r="M5064" s="202"/>
    </row>
    <row r="5065" spans="13:13">
      <c r="M5065" s="202"/>
    </row>
    <row r="5066" spans="13:13">
      <c r="M5066" s="202"/>
    </row>
    <row r="5067" spans="13:13">
      <c r="M5067" s="202"/>
    </row>
    <row r="5068" spans="13:13">
      <c r="M5068" s="202"/>
    </row>
    <row r="5069" spans="13:13">
      <c r="M5069" s="202"/>
    </row>
    <row r="5070" spans="13:13">
      <c r="M5070" s="202"/>
    </row>
    <row r="5071" spans="13:13">
      <c r="M5071" s="202"/>
    </row>
    <row r="5072" spans="13:13">
      <c r="M5072" s="202"/>
    </row>
    <row r="5073" spans="13:13">
      <c r="M5073" s="202"/>
    </row>
    <row r="5074" spans="13:13">
      <c r="M5074" s="202"/>
    </row>
    <row r="5075" spans="13:13">
      <c r="M5075" s="202"/>
    </row>
    <row r="5076" spans="13:13">
      <c r="M5076" s="202"/>
    </row>
    <row r="5077" spans="13:13">
      <c r="M5077" s="202"/>
    </row>
    <row r="5078" spans="13:13">
      <c r="M5078" s="202"/>
    </row>
    <row r="5079" spans="13:13">
      <c r="M5079" s="202"/>
    </row>
    <row r="5080" spans="13:13">
      <c r="M5080" s="202"/>
    </row>
    <row r="5081" spans="13:13">
      <c r="M5081" s="202"/>
    </row>
    <row r="5082" spans="13:13">
      <c r="M5082" s="202"/>
    </row>
    <row r="5083" spans="13:13">
      <c r="M5083" s="202"/>
    </row>
    <row r="5084" spans="13:13">
      <c r="M5084" s="202"/>
    </row>
    <row r="5085" spans="13:13">
      <c r="M5085" s="202"/>
    </row>
    <row r="5086" spans="13:13">
      <c r="M5086" s="202"/>
    </row>
    <row r="5087" spans="13:13">
      <c r="M5087" s="202"/>
    </row>
    <row r="5088" spans="13:13">
      <c r="M5088" s="202"/>
    </row>
    <row r="5089" spans="13:13">
      <c r="M5089" s="202"/>
    </row>
    <row r="5090" spans="13:13">
      <c r="M5090" s="202"/>
    </row>
    <row r="5091" spans="13:13">
      <c r="M5091" s="202"/>
    </row>
    <row r="5092" spans="13:13">
      <c r="M5092" s="202"/>
    </row>
    <row r="5093" spans="13:13">
      <c r="M5093" s="202"/>
    </row>
    <row r="5094" spans="13:13">
      <c r="M5094" s="202"/>
    </row>
    <row r="5095" spans="13:13">
      <c r="M5095" s="202"/>
    </row>
    <row r="5096" spans="13:13">
      <c r="M5096" s="202"/>
    </row>
    <row r="5097" spans="13:13">
      <c r="M5097" s="202"/>
    </row>
    <row r="5098" spans="13:13">
      <c r="M5098" s="202"/>
    </row>
    <row r="5099" spans="13:13">
      <c r="M5099" s="202"/>
    </row>
    <row r="5100" spans="13:13">
      <c r="M5100" s="202"/>
    </row>
    <row r="5101" spans="13:13">
      <c r="M5101" s="202"/>
    </row>
    <row r="5102" spans="13:13">
      <c r="M5102" s="202"/>
    </row>
    <row r="5103" spans="13:13">
      <c r="M5103" s="202"/>
    </row>
    <row r="5104" spans="13:13">
      <c r="M5104" s="202"/>
    </row>
    <row r="5105" spans="13:13">
      <c r="M5105" s="202"/>
    </row>
    <row r="5106" spans="13:13">
      <c r="M5106" s="202"/>
    </row>
    <row r="5107" spans="13:13">
      <c r="M5107" s="202"/>
    </row>
    <row r="5108" spans="13:13">
      <c r="M5108" s="202"/>
    </row>
    <row r="5109" spans="13:13">
      <c r="M5109" s="202"/>
    </row>
    <row r="5110" spans="13:13">
      <c r="M5110" s="202"/>
    </row>
    <row r="5111" spans="13:13">
      <c r="M5111" s="202"/>
    </row>
    <row r="5112" spans="13:13">
      <c r="M5112" s="202"/>
    </row>
    <row r="5113" spans="13:13">
      <c r="M5113" s="202"/>
    </row>
    <row r="5114" spans="13:13">
      <c r="M5114" s="202"/>
    </row>
    <row r="5115" spans="13:13">
      <c r="M5115" s="202"/>
    </row>
    <row r="5116" spans="13:13">
      <c r="M5116" s="202"/>
    </row>
    <row r="5117" spans="13:13">
      <c r="M5117" s="202"/>
    </row>
    <row r="5118" spans="13:13">
      <c r="M5118" s="202"/>
    </row>
    <row r="5119" spans="13:13">
      <c r="M5119" s="202"/>
    </row>
    <row r="5120" spans="13:13">
      <c r="M5120" s="202"/>
    </row>
    <row r="5121" spans="13:13">
      <c r="M5121" s="202"/>
    </row>
    <row r="5122" spans="13:13">
      <c r="M5122" s="202"/>
    </row>
    <row r="5123" spans="13:13">
      <c r="M5123" s="202"/>
    </row>
    <row r="5124" spans="13:13">
      <c r="M5124" s="202"/>
    </row>
    <row r="5125" spans="13:13">
      <c r="M5125" s="202"/>
    </row>
    <row r="5126" spans="13:13">
      <c r="M5126" s="202"/>
    </row>
    <row r="5127" spans="13:13">
      <c r="M5127" s="202"/>
    </row>
    <row r="5128" spans="13:13">
      <c r="M5128" s="202"/>
    </row>
    <row r="5129" spans="13:13">
      <c r="M5129" s="202"/>
    </row>
    <row r="5130" spans="13:13">
      <c r="M5130" s="202"/>
    </row>
    <row r="5131" spans="13:13">
      <c r="M5131" s="202"/>
    </row>
    <row r="5132" spans="13:13">
      <c r="M5132" s="202"/>
    </row>
    <row r="5133" spans="13:13">
      <c r="M5133" s="202"/>
    </row>
    <row r="5134" spans="13:13">
      <c r="M5134" s="202"/>
    </row>
    <row r="5135" spans="13:13">
      <c r="M5135" s="202"/>
    </row>
    <row r="5136" spans="13:13">
      <c r="M5136" s="202"/>
    </row>
    <row r="5137" spans="13:13">
      <c r="M5137" s="202"/>
    </row>
    <row r="5138" spans="13:13">
      <c r="M5138" s="202"/>
    </row>
    <row r="5139" spans="13:13">
      <c r="M5139" s="202"/>
    </row>
    <row r="5140" spans="13:13">
      <c r="M5140" s="202"/>
    </row>
    <row r="5141" spans="13:13">
      <c r="M5141" s="202"/>
    </row>
    <row r="5142" spans="13:13">
      <c r="M5142" s="202"/>
    </row>
    <row r="5143" spans="13:13">
      <c r="M5143" s="202"/>
    </row>
    <row r="5144" spans="13:13">
      <c r="M5144" s="202"/>
    </row>
    <row r="5145" spans="13:13">
      <c r="M5145" s="202"/>
    </row>
    <row r="5146" spans="13:13">
      <c r="M5146" s="202"/>
    </row>
    <row r="5147" spans="13:13">
      <c r="M5147" s="202"/>
    </row>
    <row r="5148" spans="13:13">
      <c r="M5148" s="202"/>
    </row>
    <row r="5149" spans="13:13">
      <c r="M5149" s="202"/>
    </row>
    <row r="5150" spans="13:13">
      <c r="M5150" s="202"/>
    </row>
    <row r="5151" spans="13:13">
      <c r="M5151" s="202"/>
    </row>
    <row r="5152" spans="13:13">
      <c r="M5152" s="202"/>
    </row>
    <row r="5153" spans="13:13">
      <c r="M5153" s="202"/>
    </row>
    <row r="5154" spans="13:13">
      <c r="M5154" s="202"/>
    </row>
    <row r="5155" spans="13:13">
      <c r="M5155" s="202"/>
    </row>
    <row r="5156" spans="13:13">
      <c r="M5156" s="202"/>
    </row>
    <row r="5157" spans="13:13">
      <c r="M5157" s="202"/>
    </row>
    <row r="5158" spans="13:13">
      <c r="M5158" s="202"/>
    </row>
    <row r="5159" spans="13:13">
      <c r="M5159" s="202"/>
    </row>
    <row r="5160" spans="13:13">
      <c r="M5160" s="202"/>
    </row>
    <row r="5161" spans="13:13">
      <c r="M5161" s="202"/>
    </row>
    <row r="5162" spans="13:13">
      <c r="M5162" s="202"/>
    </row>
    <row r="5163" spans="13:13">
      <c r="M5163" s="202"/>
    </row>
    <row r="5164" spans="13:13">
      <c r="M5164" s="202"/>
    </row>
    <row r="5165" spans="13:13">
      <c r="M5165" s="202"/>
    </row>
    <row r="5166" spans="13:13">
      <c r="M5166" s="202"/>
    </row>
    <row r="5167" spans="13:13">
      <c r="M5167" s="202"/>
    </row>
    <row r="5168" spans="13:13">
      <c r="M5168" s="202"/>
    </row>
    <row r="5169" spans="13:13">
      <c r="M5169" s="202"/>
    </row>
    <row r="5170" spans="13:13">
      <c r="M5170" s="202"/>
    </row>
    <row r="5171" spans="13:13">
      <c r="M5171" s="202"/>
    </row>
    <row r="5172" spans="13:13">
      <c r="M5172" s="202"/>
    </row>
    <row r="5173" spans="13:13">
      <c r="M5173" s="202"/>
    </row>
    <row r="5174" spans="13:13">
      <c r="M5174" s="202"/>
    </row>
    <row r="5175" spans="13:13">
      <c r="M5175" s="202"/>
    </row>
    <row r="5176" spans="13:13">
      <c r="M5176" s="202"/>
    </row>
    <row r="5177" spans="13:13">
      <c r="M5177" s="202"/>
    </row>
    <row r="5178" spans="13:13">
      <c r="M5178" s="202"/>
    </row>
    <row r="5179" spans="13:13">
      <c r="M5179" s="202"/>
    </row>
    <row r="5180" spans="13:13">
      <c r="M5180" s="202"/>
    </row>
    <row r="5181" spans="13:13">
      <c r="M5181" s="202"/>
    </row>
    <row r="5182" spans="13:13">
      <c r="M5182" s="202"/>
    </row>
    <row r="5183" spans="13:13">
      <c r="M5183" s="202"/>
    </row>
    <row r="5184" spans="13:13">
      <c r="M5184" s="202"/>
    </row>
    <row r="5185" spans="13:13">
      <c r="M5185" s="202"/>
    </row>
    <row r="5186" spans="13:13">
      <c r="M5186" s="202"/>
    </row>
    <row r="5187" spans="13:13">
      <c r="M5187" s="202"/>
    </row>
    <row r="5188" spans="13:13">
      <c r="M5188" s="202"/>
    </row>
    <row r="5189" spans="13:13">
      <c r="M5189" s="202"/>
    </row>
    <row r="5190" spans="13:13">
      <c r="M5190" s="202"/>
    </row>
    <row r="5191" spans="13:13">
      <c r="M5191" s="202"/>
    </row>
    <row r="5192" spans="13:13">
      <c r="M5192" s="202"/>
    </row>
    <row r="5193" spans="13:13">
      <c r="M5193" s="202"/>
    </row>
    <row r="5194" spans="13:13">
      <c r="M5194" s="202"/>
    </row>
    <row r="5195" spans="13:13">
      <c r="M5195" s="202"/>
    </row>
    <row r="5196" spans="13:13">
      <c r="M5196" s="202"/>
    </row>
    <row r="5197" spans="13:13">
      <c r="M5197" s="202"/>
    </row>
    <row r="5198" spans="13:13">
      <c r="M5198" s="202"/>
    </row>
    <row r="5199" spans="13:13">
      <c r="M5199" s="202"/>
    </row>
    <row r="5200" spans="13:13">
      <c r="M5200" s="202"/>
    </row>
    <row r="5201" spans="13:13">
      <c r="M5201" s="202"/>
    </row>
    <row r="5202" spans="13:13">
      <c r="M5202" s="202"/>
    </row>
    <row r="5203" spans="13:13">
      <c r="M5203" s="202"/>
    </row>
    <row r="5204" spans="13:13">
      <c r="M5204" s="202"/>
    </row>
    <row r="5205" spans="13:13">
      <c r="M5205" s="202"/>
    </row>
    <row r="5206" spans="13:13">
      <c r="M5206" s="202"/>
    </row>
    <row r="5207" spans="13:13">
      <c r="M5207" s="202"/>
    </row>
    <row r="5208" spans="13:13">
      <c r="M5208" s="202"/>
    </row>
    <row r="5209" spans="13:13">
      <c r="M5209" s="202"/>
    </row>
    <row r="5210" spans="13:13">
      <c r="M5210" s="202"/>
    </row>
    <row r="5211" spans="13:13">
      <c r="M5211" s="202"/>
    </row>
    <row r="5212" spans="13:13">
      <c r="M5212" s="202"/>
    </row>
    <row r="5213" spans="13:13">
      <c r="M5213" s="202"/>
    </row>
    <row r="5214" spans="13:13">
      <c r="M5214" s="202"/>
    </row>
    <row r="5215" spans="13:13">
      <c r="M5215" s="202"/>
    </row>
    <row r="5216" spans="13:13">
      <c r="M5216" s="202"/>
    </row>
    <row r="5217" spans="13:13">
      <c r="M5217" s="202"/>
    </row>
    <row r="5218" spans="13:13">
      <c r="M5218" s="202"/>
    </row>
    <row r="5219" spans="13:13">
      <c r="M5219" s="202"/>
    </row>
    <row r="5220" spans="13:13">
      <c r="M5220" s="202"/>
    </row>
    <row r="5221" spans="13:13">
      <c r="M5221" s="202"/>
    </row>
    <row r="5222" spans="13:13">
      <c r="M5222" s="202"/>
    </row>
    <row r="5223" spans="13:13">
      <c r="M5223" s="202"/>
    </row>
    <row r="5224" spans="13:13">
      <c r="M5224" s="202"/>
    </row>
    <row r="5225" spans="13:13">
      <c r="M5225" s="202"/>
    </row>
    <row r="5226" spans="13:13">
      <c r="M5226" s="202"/>
    </row>
    <row r="5227" spans="13:13">
      <c r="M5227" s="202"/>
    </row>
    <row r="5228" spans="13:13">
      <c r="M5228" s="202"/>
    </row>
    <row r="5229" spans="13:13">
      <c r="M5229" s="202"/>
    </row>
    <row r="5230" spans="13:13">
      <c r="M5230" s="202"/>
    </row>
    <row r="5231" spans="13:13">
      <c r="M5231" s="202"/>
    </row>
    <row r="5232" spans="13:13">
      <c r="M5232" s="202"/>
    </row>
    <row r="5233" spans="13:13">
      <c r="M5233" s="202"/>
    </row>
    <row r="5234" spans="13:13">
      <c r="M5234" s="202"/>
    </row>
    <row r="5235" spans="13:13">
      <c r="M5235" s="202"/>
    </row>
    <row r="5236" spans="13:13">
      <c r="M5236" s="202"/>
    </row>
    <row r="5237" spans="13:13">
      <c r="M5237" s="202"/>
    </row>
    <row r="5238" spans="13:13">
      <c r="M5238" s="202"/>
    </row>
    <row r="5239" spans="13:13">
      <c r="M5239" s="202"/>
    </row>
    <row r="5240" spans="13:13">
      <c r="M5240" s="202"/>
    </row>
    <row r="5241" spans="13:13">
      <c r="M5241" s="202"/>
    </row>
    <row r="5242" spans="13:13">
      <c r="M5242" s="202"/>
    </row>
    <row r="5243" spans="13:13">
      <c r="M5243" s="202"/>
    </row>
    <row r="5244" spans="13:13">
      <c r="M5244" s="202"/>
    </row>
    <row r="5245" spans="13:13">
      <c r="M5245" s="202"/>
    </row>
    <row r="5246" spans="13:13">
      <c r="M5246" s="202"/>
    </row>
    <row r="5247" spans="13:13">
      <c r="M5247" s="202"/>
    </row>
    <row r="5248" spans="13:13">
      <c r="M5248" s="202"/>
    </row>
    <row r="5249" spans="13:13">
      <c r="M5249" s="202"/>
    </row>
    <row r="5250" spans="13:13">
      <c r="M5250" s="202"/>
    </row>
    <row r="5251" spans="13:13">
      <c r="M5251" s="202"/>
    </row>
    <row r="5252" spans="13:13">
      <c r="M5252" s="202"/>
    </row>
    <row r="5253" spans="13:13">
      <c r="M5253" s="202"/>
    </row>
    <row r="5254" spans="13:13">
      <c r="M5254" s="202"/>
    </row>
    <row r="5255" spans="13:13">
      <c r="M5255" s="202"/>
    </row>
    <row r="5256" spans="13:13">
      <c r="M5256" s="202"/>
    </row>
    <row r="5257" spans="13:13">
      <c r="M5257" s="202"/>
    </row>
    <row r="5258" spans="13:13">
      <c r="M5258" s="202"/>
    </row>
    <row r="5259" spans="13:13">
      <c r="M5259" s="202"/>
    </row>
    <row r="5260" spans="13:13">
      <c r="M5260" s="202"/>
    </row>
    <row r="5261" spans="13:13">
      <c r="M5261" s="202"/>
    </row>
    <row r="5262" spans="13:13">
      <c r="M5262" s="202"/>
    </row>
    <row r="5263" spans="13:13">
      <c r="M5263" s="202"/>
    </row>
    <row r="5264" spans="13:13">
      <c r="M5264" s="202"/>
    </row>
    <row r="5265" spans="13:13">
      <c r="M5265" s="202"/>
    </row>
    <row r="5266" spans="13:13">
      <c r="M5266" s="202"/>
    </row>
    <row r="5267" spans="13:13">
      <c r="M5267" s="202"/>
    </row>
    <row r="5268" spans="13:13">
      <c r="M5268" s="202"/>
    </row>
    <row r="5269" spans="13:13">
      <c r="M5269" s="202"/>
    </row>
    <row r="5270" spans="13:13">
      <c r="M5270" s="202"/>
    </row>
    <row r="5271" spans="13:13">
      <c r="M5271" s="202"/>
    </row>
    <row r="5272" spans="13:13">
      <c r="M5272" s="202"/>
    </row>
    <row r="5273" spans="13:13">
      <c r="M5273" s="202"/>
    </row>
    <row r="5274" spans="13:13">
      <c r="M5274" s="202"/>
    </row>
    <row r="5275" spans="13:13">
      <c r="M5275" s="202"/>
    </row>
    <row r="5276" spans="13:13">
      <c r="M5276" s="202"/>
    </row>
    <row r="5277" spans="13:13">
      <c r="M5277" s="202"/>
    </row>
    <row r="5278" spans="13:13">
      <c r="M5278" s="202"/>
    </row>
    <row r="5279" spans="13:13">
      <c r="M5279" s="202"/>
    </row>
    <row r="5280" spans="13:13">
      <c r="M5280" s="202"/>
    </row>
    <row r="5281" spans="13:13">
      <c r="M5281" s="202"/>
    </row>
    <row r="5282" spans="13:13">
      <c r="M5282" s="202"/>
    </row>
    <row r="5283" spans="13:13">
      <c r="M5283" s="202"/>
    </row>
    <row r="5284" spans="13:13">
      <c r="M5284" s="202"/>
    </row>
    <row r="5285" spans="13:13">
      <c r="M5285" s="202"/>
    </row>
    <row r="5286" spans="13:13">
      <c r="M5286" s="202"/>
    </row>
    <row r="5287" spans="13:13">
      <c r="M5287" s="202"/>
    </row>
    <row r="5288" spans="13:13">
      <c r="M5288" s="202"/>
    </row>
    <row r="5289" spans="13:13">
      <c r="M5289" s="202"/>
    </row>
    <row r="5290" spans="13:13">
      <c r="M5290" s="202"/>
    </row>
    <row r="5291" spans="13:13">
      <c r="M5291" s="202"/>
    </row>
    <row r="5292" spans="13:13">
      <c r="M5292" s="202"/>
    </row>
    <row r="5293" spans="13:13">
      <c r="M5293" s="202"/>
    </row>
    <row r="5294" spans="13:13">
      <c r="M5294" s="202"/>
    </row>
    <row r="5295" spans="13:13">
      <c r="M5295" s="202"/>
    </row>
    <row r="5296" spans="13:13">
      <c r="M5296" s="202"/>
    </row>
    <row r="5297" spans="13:13">
      <c r="M5297" s="202"/>
    </row>
    <row r="5298" spans="13:13">
      <c r="M5298" s="202"/>
    </row>
    <row r="5299" spans="13:13">
      <c r="M5299" s="202"/>
    </row>
    <row r="5300" spans="13:13">
      <c r="M5300" s="202"/>
    </row>
    <row r="5301" spans="13:13">
      <c r="M5301" s="202"/>
    </row>
    <row r="5302" spans="13:13">
      <c r="M5302" s="202"/>
    </row>
    <row r="5303" spans="13:13">
      <c r="M5303" s="202"/>
    </row>
    <row r="5304" spans="13:13">
      <c r="M5304" s="202"/>
    </row>
    <row r="5305" spans="13:13">
      <c r="M5305" s="202"/>
    </row>
    <row r="5306" spans="13:13">
      <c r="M5306" s="202"/>
    </row>
    <row r="5307" spans="13:13">
      <c r="M5307" s="202"/>
    </row>
    <row r="5308" spans="13:13">
      <c r="M5308" s="202"/>
    </row>
    <row r="5309" spans="13:13">
      <c r="M5309" s="202"/>
    </row>
    <row r="5310" spans="13:13">
      <c r="M5310" s="202"/>
    </row>
    <row r="5311" spans="13:13">
      <c r="M5311" s="202"/>
    </row>
    <row r="5312" spans="13:13">
      <c r="M5312" s="202"/>
    </row>
    <row r="5313" spans="13:13">
      <c r="M5313" s="202"/>
    </row>
    <row r="5314" spans="13:13">
      <c r="M5314" s="202"/>
    </row>
    <row r="5315" spans="13:13">
      <c r="M5315" s="202"/>
    </row>
    <row r="5316" spans="13:13">
      <c r="M5316" s="202"/>
    </row>
    <row r="5317" spans="13:13">
      <c r="M5317" s="202"/>
    </row>
    <row r="5318" spans="13:13">
      <c r="M5318" s="202"/>
    </row>
    <row r="5319" spans="13:13">
      <c r="M5319" s="202"/>
    </row>
    <row r="5320" spans="13:13">
      <c r="M5320" s="202"/>
    </row>
    <row r="5321" spans="13:13">
      <c r="M5321" s="202"/>
    </row>
    <row r="5322" spans="13:13">
      <c r="M5322" s="202"/>
    </row>
    <row r="5323" spans="13:13">
      <c r="M5323" s="202"/>
    </row>
    <row r="5324" spans="13:13">
      <c r="M5324" s="202"/>
    </row>
    <row r="5325" spans="13:13">
      <c r="M5325" s="202"/>
    </row>
    <row r="5326" spans="13:13">
      <c r="M5326" s="202"/>
    </row>
    <row r="5327" spans="13:13">
      <c r="M5327" s="202"/>
    </row>
    <row r="5328" spans="13:13">
      <c r="M5328" s="202"/>
    </row>
    <row r="5329" spans="13:13">
      <c r="M5329" s="202"/>
    </row>
    <row r="5330" spans="13:13">
      <c r="M5330" s="202"/>
    </row>
    <row r="5331" spans="13:13">
      <c r="M5331" s="202"/>
    </row>
    <row r="5332" spans="13:13">
      <c r="M5332" s="202"/>
    </row>
    <row r="5333" spans="13:13">
      <c r="M5333" s="202"/>
    </row>
    <row r="5334" spans="13:13">
      <c r="M5334" s="202"/>
    </row>
    <row r="5335" spans="13:13">
      <c r="M5335" s="202"/>
    </row>
    <row r="5336" spans="13:13">
      <c r="M5336" s="202"/>
    </row>
    <row r="5337" spans="13:13">
      <c r="M5337" s="202"/>
    </row>
    <row r="5338" spans="13:13">
      <c r="M5338" s="202"/>
    </row>
    <row r="5339" spans="13:13">
      <c r="M5339" s="202"/>
    </row>
    <row r="5340" spans="13:13">
      <c r="M5340" s="202"/>
    </row>
    <row r="5341" spans="13:13">
      <c r="M5341" s="202"/>
    </row>
    <row r="5342" spans="13:13">
      <c r="M5342" s="202"/>
    </row>
    <row r="5343" spans="13:13">
      <c r="M5343" s="202"/>
    </row>
    <row r="5344" spans="13:13">
      <c r="M5344" s="202"/>
    </row>
    <row r="5345" spans="13:13">
      <c r="M5345" s="202"/>
    </row>
    <row r="5346" spans="13:13">
      <c r="M5346" s="202"/>
    </row>
    <row r="5347" spans="13:13">
      <c r="M5347" s="202"/>
    </row>
    <row r="5348" spans="13:13">
      <c r="M5348" s="202"/>
    </row>
    <row r="5349" spans="13:13">
      <c r="M5349" s="202"/>
    </row>
    <row r="5350" spans="13:13">
      <c r="M5350" s="202"/>
    </row>
    <row r="5351" spans="13:13">
      <c r="M5351" s="202"/>
    </row>
    <row r="5352" spans="13:13">
      <c r="M5352" s="202"/>
    </row>
    <row r="5353" spans="13:13">
      <c r="M5353" s="202"/>
    </row>
    <row r="5354" spans="13:13">
      <c r="M5354" s="202"/>
    </row>
    <row r="5355" spans="13:13">
      <c r="M5355" s="202"/>
    </row>
    <row r="5356" spans="13:13">
      <c r="M5356" s="202"/>
    </row>
    <row r="5357" spans="13:13">
      <c r="M5357" s="202"/>
    </row>
    <row r="5358" spans="13:13">
      <c r="M5358" s="202"/>
    </row>
    <row r="5359" spans="13:13">
      <c r="M5359" s="202"/>
    </row>
    <row r="5360" spans="13:13">
      <c r="M5360" s="202"/>
    </row>
    <row r="5361" spans="13:13">
      <c r="M5361" s="202"/>
    </row>
    <row r="5362" spans="13:13">
      <c r="M5362" s="202"/>
    </row>
    <row r="5363" spans="13:13">
      <c r="M5363" s="202"/>
    </row>
    <row r="5364" spans="13:13">
      <c r="M5364" s="202"/>
    </row>
    <row r="5365" spans="13:13">
      <c r="M5365" s="202"/>
    </row>
    <row r="5366" spans="13:13">
      <c r="M5366" s="202"/>
    </row>
    <row r="5367" spans="13:13">
      <c r="M5367" s="202"/>
    </row>
    <row r="5368" spans="13:13">
      <c r="M5368" s="202"/>
    </row>
    <row r="5369" spans="13:13">
      <c r="M5369" s="202"/>
    </row>
    <row r="5370" spans="13:13">
      <c r="M5370" s="202"/>
    </row>
    <row r="5371" spans="13:13">
      <c r="M5371" s="202"/>
    </row>
    <row r="5372" spans="13:13">
      <c r="M5372" s="202"/>
    </row>
    <row r="5373" spans="13:13">
      <c r="M5373" s="202"/>
    </row>
    <row r="5374" spans="13:13">
      <c r="M5374" s="202"/>
    </row>
    <row r="5375" spans="13:13">
      <c r="M5375" s="202"/>
    </row>
    <row r="5376" spans="13:13">
      <c r="M5376" s="202"/>
    </row>
    <row r="5377" spans="13:13">
      <c r="M5377" s="202"/>
    </row>
    <row r="5378" spans="13:13">
      <c r="M5378" s="202"/>
    </row>
    <row r="5379" spans="13:13">
      <c r="M5379" s="202"/>
    </row>
    <row r="5380" spans="13:13">
      <c r="M5380" s="202"/>
    </row>
    <row r="5381" spans="13:13">
      <c r="M5381" s="202"/>
    </row>
    <row r="5382" spans="13:13">
      <c r="M5382" s="202"/>
    </row>
    <row r="5383" spans="13:13">
      <c r="M5383" s="202"/>
    </row>
    <row r="5384" spans="13:13">
      <c r="M5384" s="202"/>
    </row>
    <row r="5385" spans="13:13">
      <c r="M5385" s="202"/>
    </row>
    <row r="5386" spans="13:13">
      <c r="M5386" s="202"/>
    </row>
    <row r="5387" spans="13:13">
      <c r="M5387" s="202"/>
    </row>
    <row r="5388" spans="13:13">
      <c r="M5388" s="202"/>
    </row>
    <row r="5389" spans="13:13">
      <c r="M5389" s="202"/>
    </row>
    <row r="5390" spans="13:13">
      <c r="M5390" s="202"/>
    </row>
    <row r="5391" spans="13:13">
      <c r="M5391" s="202"/>
    </row>
    <row r="5392" spans="13:13">
      <c r="M5392" s="202"/>
    </row>
    <row r="5393" spans="13:13">
      <c r="M5393" s="202"/>
    </row>
    <row r="5394" spans="13:13">
      <c r="M5394" s="202"/>
    </row>
    <row r="5395" spans="13:13">
      <c r="M5395" s="202"/>
    </row>
    <row r="5396" spans="13:13">
      <c r="M5396" s="202"/>
    </row>
    <row r="5397" spans="13:13">
      <c r="M5397" s="202"/>
    </row>
    <row r="5398" spans="13:13">
      <c r="M5398" s="202"/>
    </row>
    <row r="5399" spans="13:13">
      <c r="M5399" s="202"/>
    </row>
    <row r="5400" spans="13:13">
      <c r="M5400" s="202"/>
    </row>
    <row r="5401" spans="13:13">
      <c r="M5401" s="202"/>
    </row>
    <row r="5402" spans="13:13">
      <c r="M5402" s="202"/>
    </row>
    <row r="5403" spans="13:13">
      <c r="M5403" s="202"/>
    </row>
    <row r="5404" spans="13:13">
      <c r="M5404" s="202"/>
    </row>
    <row r="5405" spans="13:13">
      <c r="M5405" s="202"/>
    </row>
    <row r="5406" spans="13:13">
      <c r="M5406" s="202"/>
    </row>
    <row r="5407" spans="13:13">
      <c r="M5407" s="202"/>
    </row>
    <row r="5408" spans="13:13">
      <c r="M5408" s="202"/>
    </row>
    <row r="5409" spans="13:13">
      <c r="M5409" s="202"/>
    </row>
    <row r="5410" spans="13:13">
      <c r="M5410" s="202"/>
    </row>
    <row r="5411" spans="13:13">
      <c r="M5411" s="202"/>
    </row>
    <row r="5412" spans="13:13">
      <c r="M5412" s="202"/>
    </row>
    <row r="5413" spans="13:13">
      <c r="M5413" s="202"/>
    </row>
    <row r="5414" spans="13:13">
      <c r="M5414" s="202"/>
    </row>
    <row r="5415" spans="13:13">
      <c r="M5415" s="202"/>
    </row>
    <row r="5416" spans="13:13">
      <c r="M5416" s="202"/>
    </row>
    <row r="5417" spans="13:13">
      <c r="M5417" s="202"/>
    </row>
    <row r="5418" spans="13:13">
      <c r="M5418" s="202"/>
    </row>
    <row r="5419" spans="13:13">
      <c r="M5419" s="202"/>
    </row>
    <row r="5420" spans="13:13">
      <c r="M5420" s="202"/>
    </row>
    <row r="5421" spans="13:13">
      <c r="M5421" s="202"/>
    </row>
    <row r="5422" spans="13:13">
      <c r="M5422" s="202"/>
    </row>
    <row r="5423" spans="13:13">
      <c r="M5423" s="202"/>
    </row>
    <row r="5424" spans="13:13">
      <c r="M5424" s="202"/>
    </row>
    <row r="5425" spans="13:13">
      <c r="M5425" s="202"/>
    </row>
    <row r="5426" spans="13:13">
      <c r="M5426" s="202"/>
    </row>
    <row r="5427" spans="13:13">
      <c r="M5427" s="202"/>
    </row>
    <row r="5428" spans="13:13">
      <c r="M5428" s="202"/>
    </row>
    <row r="5429" spans="13:13">
      <c r="M5429" s="202"/>
    </row>
    <row r="5430" spans="13:13">
      <c r="M5430" s="202"/>
    </row>
    <row r="5431" spans="13:13">
      <c r="M5431" s="202"/>
    </row>
    <row r="5432" spans="13:13">
      <c r="M5432" s="202"/>
    </row>
    <row r="5433" spans="13:13">
      <c r="M5433" s="202"/>
    </row>
    <row r="5434" spans="13:13">
      <c r="M5434" s="202"/>
    </row>
    <row r="5435" spans="13:13">
      <c r="M5435" s="202"/>
    </row>
    <row r="5436" spans="13:13">
      <c r="M5436" s="202"/>
    </row>
    <row r="5437" spans="13:13">
      <c r="M5437" s="202"/>
    </row>
    <row r="5438" spans="13:13">
      <c r="M5438" s="202"/>
    </row>
    <row r="5439" spans="13:13">
      <c r="M5439" s="202"/>
    </row>
    <row r="5440" spans="13:13">
      <c r="M5440" s="202"/>
    </row>
    <row r="5441" spans="13:13">
      <c r="M5441" s="202"/>
    </row>
    <row r="5442" spans="13:13">
      <c r="M5442" s="202"/>
    </row>
    <row r="5443" spans="13:13">
      <c r="M5443" s="202"/>
    </row>
    <row r="5444" spans="13:13">
      <c r="M5444" s="202"/>
    </row>
    <row r="5445" spans="13:13">
      <c r="M5445" s="202"/>
    </row>
    <row r="5446" spans="13:13">
      <c r="M5446" s="202"/>
    </row>
    <row r="5447" spans="13:13">
      <c r="M5447" s="202"/>
    </row>
    <row r="5448" spans="13:13">
      <c r="M5448" s="202"/>
    </row>
    <row r="5449" spans="13:13">
      <c r="M5449" s="202"/>
    </row>
    <row r="5450" spans="13:13">
      <c r="M5450" s="202"/>
    </row>
    <row r="5451" spans="13:13">
      <c r="M5451" s="202"/>
    </row>
    <row r="5452" spans="13:13">
      <c r="M5452" s="202"/>
    </row>
    <row r="5453" spans="13:13">
      <c r="M5453" s="202"/>
    </row>
    <row r="5454" spans="13:13">
      <c r="M5454" s="202"/>
    </row>
    <row r="5455" spans="13:13">
      <c r="M5455" s="202"/>
    </row>
    <row r="5456" spans="13:13">
      <c r="M5456" s="202"/>
    </row>
    <row r="5457" spans="13:13">
      <c r="M5457" s="202"/>
    </row>
    <row r="5458" spans="13:13">
      <c r="M5458" s="202"/>
    </row>
    <row r="5459" spans="13:13">
      <c r="M5459" s="202"/>
    </row>
    <row r="5460" spans="13:13">
      <c r="M5460" s="202"/>
    </row>
    <row r="5461" spans="13:13">
      <c r="M5461" s="202"/>
    </row>
    <row r="5462" spans="13:13">
      <c r="M5462" s="202"/>
    </row>
    <row r="5463" spans="13:13">
      <c r="M5463" s="202"/>
    </row>
    <row r="5464" spans="13:13">
      <c r="M5464" s="202"/>
    </row>
    <row r="5465" spans="13:13">
      <c r="M5465" s="202"/>
    </row>
    <row r="5466" spans="13:13">
      <c r="M5466" s="202"/>
    </row>
    <row r="5467" spans="13:13">
      <c r="M5467" s="202"/>
    </row>
    <row r="5468" spans="13:13">
      <c r="M5468" s="202"/>
    </row>
    <row r="5469" spans="13:13">
      <c r="M5469" s="202"/>
    </row>
    <row r="5470" spans="13:13">
      <c r="M5470" s="202"/>
    </row>
    <row r="5471" spans="13:13">
      <c r="M5471" s="202"/>
    </row>
    <row r="5472" spans="13:13">
      <c r="M5472" s="202"/>
    </row>
    <row r="5473" spans="13:13">
      <c r="M5473" s="202"/>
    </row>
    <row r="5474" spans="13:13">
      <c r="M5474" s="202"/>
    </row>
    <row r="5475" spans="13:13">
      <c r="M5475" s="202"/>
    </row>
    <row r="5476" spans="13:13">
      <c r="M5476" s="202"/>
    </row>
    <row r="5477" spans="13:13">
      <c r="M5477" s="202"/>
    </row>
    <row r="5478" spans="13:13">
      <c r="M5478" s="202"/>
    </row>
    <row r="5479" spans="13:13">
      <c r="M5479" s="202"/>
    </row>
    <row r="5480" spans="13:13">
      <c r="M5480" s="202"/>
    </row>
    <row r="5481" spans="13:13">
      <c r="M5481" s="202"/>
    </row>
    <row r="5482" spans="13:13">
      <c r="M5482" s="202"/>
    </row>
    <row r="5483" spans="13:13">
      <c r="M5483" s="202"/>
    </row>
    <row r="5484" spans="13:13">
      <c r="M5484" s="202"/>
    </row>
    <row r="5485" spans="13:13">
      <c r="M5485" s="202"/>
    </row>
    <row r="5486" spans="13:13">
      <c r="M5486" s="202"/>
    </row>
    <row r="5487" spans="13:13">
      <c r="M5487" s="202"/>
    </row>
    <row r="5488" spans="13:13">
      <c r="M5488" s="202"/>
    </row>
    <row r="5489" spans="13:13">
      <c r="M5489" s="202"/>
    </row>
    <row r="5490" spans="13:13">
      <c r="M5490" s="202"/>
    </row>
    <row r="5491" spans="13:13">
      <c r="M5491" s="202"/>
    </row>
    <row r="5492" spans="13:13">
      <c r="M5492" s="202"/>
    </row>
    <row r="5493" spans="13:13">
      <c r="M5493" s="202"/>
    </row>
    <row r="5494" spans="13:13">
      <c r="M5494" s="202"/>
    </row>
    <row r="5495" spans="13:13">
      <c r="M5495" s="202"/>
    </row>
    <row r="5496" spans="13:13">
      <c r="M5496" s="202"/>
    </row>
    <row r="5497" spans="13:13">
      <c r="M5497" s="202"/>
    </row>
    <row r="5498" spans="13:13">
      <c r="M5498" s="202"/>
    </row>
    <row r="5499" spans="13:13">
      <c r="M5499" s="202"/>
    </row>
    <row r="5500" spans="13:13">
      <c r="M5500" s="202"/>
    </row>
    <row r="5501" spans="13:13">
      <c r="M5501" s="202"/>
    </row>
    <row r="5502" spans="13:13">
      <c r="M5502" s="202"/>
    </row>
    <row r="5503" spans="13:13">
      <c r="M5503" s="202"/>
    </row>
    <row r="5504" spans="13:13">
      <c r="M5504" s="202"/>
    </row>
    <row r="5505" spans="13:13">
      <c r="M5505" s="202"/>
    </row>
    <row r="5506" spans="13:13">
      <c r="M5506" s="202"/>
    </row>
    <row r="5507" spans="13:13">
      <c r="M5507" s="202"/>
    </row>
    <row r="5508" spans="13:13">
      <c r="M5508" s="202"/>
    </row>
    <row r="5509" spans="13:13">
      <c r="M5509" s="202"/>
    </row>
    <row r="5510" spans="13:13">
      <c r="M5510" s="202"/>
    </row>
    <row r="5511" spans="13:13">
      <c r="M5511" s="202"/>
    </row>
    <row r="5512" spans="13:13">
      <c r="M5512" s="202"/>
    </row>
    <row r="5513" spans="13:13">
      <c r="M5513" s="202"/>
    </row>
    <row r="5514" spans="13:13">
      <c r="M5514" s="202"/>
    </row>
    <row r="5515" spans="13:13">
      <c r="M5515" s="202"/>
    </row>
    <row r="5516" spans="13:13">
      <c r="M5516" s="202"/>
    </row>
    <row r="5517" spans="13:13">
      <c r="M5517" s="202"/>
    </row>
    <row r="5518" spans="13:13">
      <c r="M5518" s="202"/>
    </row>
    <row r="5519" spans="13:13">
      <c r="M5519" s="202"/>
    </row>
    <row r="5520" spans="13:13">
      <c r="M5520" s="202"/>
    </row>
    <row r="5521" spans="13:13">
      <c r="M5521" s="202"/>
    </row>
    <row r="5522" spans="13:13">
      <c r="M5522" s="202"/>
    </row>
    <row r="5523" spans="13:13">
      <c r="M5523" s="202"/>
    </row>
    <row r="5524" spans="13:13">
      <c r="M5524" s="202"/>
    </row>
    <row r="5525" spans="13:13">
      <c r="M5525" s="202"/>
    </row>
    <row r="5526" spans="13:13">
      <c r="M5526" s="202"/>
    </row>
    <row r="5527" spans="13:13">
      <c r="M5527" s="202"/>
    </row>
    <row r="5528" spans="13:13">
      <c r="M5528" s="202"/>
    </row>
    <row r="5529" spans="13:13">
      <c r="M5529" s="202"/>
    </row>
    <row r="5530" spans="13:13">
      <c r="M5530" s="202"/>
    </row>
    <row r="5531" spans="13:13">
      <c r="M5531" s="202"/>
    </row>
    <row r="5532" spans="13:13">
      <c r="M5532" s="202"/>
    </row>
    <row r="5533" spans="13:13">
      <c r="M5533" s="202"/>
    </row>
    <row r="5534" spans="13:13">
      <c r="M5534" s="202"/>
    </row>
    <row r="5535" spans="13:13">
      <c r="M5535" s="202"/>
    </row>
    <row r="5536" spans="13:13">
      <c r="M5536" s="202"/>
    </row>
    <row r="5537" spans="13:13">
      <c r="M5537" s="202"/>
    </row>
    <row r="5538" spans="13:13">
      <c r="M5538" s="202"/>
    </row>
    <row r="5539" spans="13:13">
      <c r="M5539" s="202"/>
    </row>
    <row r="5540" spans="13:13">
      <c r="M5540" s="202"/>
    </row>
    <row r="5541" spans="13:13">
      <c r="M5541" s="202"/>
    </row>
    <row r="5542" spans="13:13">
      <c r="M5542" s="202"/>
    </row>
    <row r="5543" spans="13:13">
      <c r="M5543" s="202"/>
    </row>
    <row r="5544" spans="13:13">
      <c r="M5544" s="202"/>
    </row>
    <row r="5545" spans="13:13">
      <c r="M5545" s="202"/>
    </row>
    <row r="5546" spans="13:13">
      <c r="M5546" s="202"/>
    </row>
    <row r="5547" spans="13:13">
      <c r="M5547" s="202"/>
    </row>
    <row r="5548" spans="13:13">
      <c r="M5548" s="202"/>
    </row>
    <row r="5549" spans="13:13">
      <c r="M5549" s="202"/>
    </row>
    <row r="5550" spans="13:13">
      <c r="M5550" s="202"/>
    </row>
    <row r="5551" spans="13:13">
      <c r="M5551" s="202"/>
    </row>
    <row r="5552" spans="13:13">
      <c r="M5552" s="202"/>
    </row>
    <row r="5553" spans="13:13">
      <c r="M5553" s="202"/>
    </row>
    <row r="5554" spans="13:13">
      <c r="M5554" s="202"/>
    </row>
    <row r="5555" spans="13:13">
      <c r="M5555" s="202"/>
    </row>
    <row r="5556" spans="13:13">
      <c r="M5556" s="202"/>
    </row>
    <row r="5557" spans="13:13">
      <c r="M5557" s="202"/>
    </row>
    <row r="5558" spans="13:13">
      <c r="M5558" s="202"/>
    </row>
    <row r="5559" spans="13:13">
      <c r="M5559" s="202"/>
    </row>
    <row r="5560" spans="13:13">
      <c r="M5560" s="202"/>
    </row>
    <row r="5561" spans="13:13">
      <c r="M5561" s="202"/>
    </row>
    <row r="5562" spans="13:13">
      <c r="M5562" s="202"/>
    </row>
    <row r="5563" spans="13:13">
      <c r="M5563" s="202"/>
    </row>
    <row r="5564" spans="13:13">
      <c r="M5564" s="202"/>
    </row>
    <row r="5565" spans="13:13">
      <c r="M5565" s="202"/>
    </row>
    <row r="5566" spans="13:13">
      <c r="M5566" s="202"/>
    </row>
    <row r="5567" spans="13:13">
      <c r="M5567" s="202"/>
    </row>
    <row r="5568" spans="13:13">
      <c r="M5568" s="202"/>
    </row>
    <row r="5569" spans="13:13">
      <c r="M5569" s="202"/>
    </row>
    <row r="5570" spans="13:13">
      <c r="M5570" s="202"/>
    </row>
    <row r="5571" spans="13:13">
      <c r="M5571" s="202"/>
    </row>
    <row r="5572" spans="13:13">
      <c r="M5572" s="202"/>
    </row>
    <row r="5573" spans="13:13">
      <c r="M5573" s="202"/>
    </row>
    <row r="5574" spans="13:13">
      <c r="M5574" s="202"/>
    </row>
    <row r="5575" spans="13:13">
      <c r="M5575" s="202"/>
    </row>
    <row r="5576" spans="13:13">
      <c r="M5576" s="202"/>
    </row>
    <row r="5577" spans="13:13">
      <c r="M5577" s="202"/>
    </row>
    <row r="5578" spans="13:13">
      <c r="M5578" s="202"/>
    </row>
    <row r="5579" spans="13:13">
      <c r="M5579" s="202"/>
    </row>
    <row r="5580" spans="13:13">
      <c r="M5580" s="202"/>
    </row>
    <row r="5581" spans="13:13">
      <c r="M5581" s="202"/>
    </row>
    <row r="5582" spans="13:13">
      <c r="M5582" s="202"/>
    </row>
    <row r="5583" spans="13:13">
      <c r="M5583" s="202"/>
    </row>
    <row r="5584" spans="13:13">
      <c r="M5584" s="202"/>
    </row>
    <row r="5585" spans="13:13">
      <c r="M5585" s="202"/>
    </row>
    <row r="5586" spans="13:13">
      <c r="M5586" s="202"/>
    </row>
    <row r="5587" spans="13:13">
      <c r="M5587" s="202"/>
    </row>
    <row r="5588" spans="13:13">
      <c r="M5588" s="202"/>
    </row>
    <row r="5589" spans="13:13">
      <c r="M5589" s="202"/>
    </row>
    <row r="5590" spans="13:13">
      <c r="M5590" s="202"/>
    </row>
    <row r="5591" spans="13:13">
      <c r="M5591" s="202"/>
    </row>
    <row r="5592" spans="13:13">
      <c r="M5592" s="202"/>
    </row>
    <row r="5593" spans="13:13">
      <c r="M5593" s="202"/>
    </row>
    <row r="5594" spans="13:13">
      <c r="M5594" s="202"/>
    </row>
    <row r="5595" spans="13:13">
      <c r="M5595" s="202"/>
    </row>
    <row r="5596" spans="13:13">
      <c r="M5596" s="202"/>
    </row>
    <row r="5597" spans="13:13">
      <c r="M5597" s="202"/>
    </row>
    <row r="5598" spans="13:13">
      <c r="M5598" s="202"/>
    </row>
    <row r="5599" spans="13:13">
      <c r="M5599" s="202"/>
    </row>
    <row r="5600" spans="13:13">
      <c r="M5600" s="202"/>
    </row>
    <row r="5601" spans="13:13">
      <c r="M5601" s="202"/>
    </row>
    <row r="5602" spans="13:13">
      <c r="M5602" s="202"/>
    </row>
    <row r="5603" spans="13:13">
      <c r="M5603" s="202"/>
    </row>
    <row r="5604" spans="13:13">
      <c r="M5604" s="202"/>
    </row>
    <row r="5605" spans="13:13">
      <c r="M5605" s="202"/>
    </row>
    <row r="5606" spans="13:13">
      <c r="M5606" s="202"/>
    </row>
    <row r="5607" spans="13:13">
      <c r="M5607" s="202"/>
    </row>
    <row r="5608" spans="13:13">
      <c r="M5608" s="202"/>
    </row>
    <row r="5609" spans="13:13">
      <c r="M5609" s="202"/>
    </row>
    <row r="5610" spans="13:13">
      <c r="M5610" s="202"/>
    </row>
    <row r="5611" spans="13:13">
      <c r="M5611" s="202"/>
    </row>
    <row r="5612" spans="13:13">
      <c r="M5612" s="202"/>
    </row>
    <row r="5613" spans="13:13">
      <c r="M5613" s="202"/>
    </row>
    <row r="5614" spans="13:13">
      <c r="M5614" s="202"/>
    </row>
    <row r="5615" spans="13:13">
      <c r="M5615" s="202"/>
    </row>
    <row r="5616" spans="13:13">
      <c r="M5616" s="202"/>
    </row>
    <row r="5617" spans="13:13">
      <c r="M5617" s="202"/>
    </row>
    <row r="5618" spans="13:13">
      <c r="M5618" s="202"/>
    </row>
    <row r="5619" spans="13:13">
      <c r="M5619" s="202"/>
    </row>
    <row r="5620" spans="13:13">
      <c r="M5620" s="202"/>
    </row>
    <row r="5621" spans="13:13">
      <c r="M5621" s="202"/>
    </row>
    <row r="5622" spans="13:13">
      <c r="M5622" s="202"/>
    </row>
    <row r="5623" spans="13:13">
      <c r="M5623" s="202"/>
    </row>
    <row r="5624" spans="13:13">
      <c r="M5624" s="202"/>
    </row>
    <row r="5625" spans="13:13">
      <c r="M5625" s="202"/>
    </row>
    <row r="5626" spans="13:13">
      <c r="M5626" s="202"/>
    </row>
    <row r="5627" spans="13:13">
      <c r="M5627" s="202"/>
    </row>
    <row r="5628" spans="13:13">
      <c r="M5628" s="202"/>
    </row>
    <row r="5629" spans="13:13">
      <c r="M5629" s="202"/>
    </row>
    <row r="5630" spans="13:13">
      <c r="M5630" s="202"/>
    </row>
    <row r="5631" spans="13:13">
      <c r="M5631" s="202"/>
    </row>
    <row r="5632" spans="13:13">
      <c r="M5632" s="202"/>
    </row>
    <row r="5633" spans="13:13">
      <c r="M5633" s="202"/>
    </row>
    <row r="5634" spans="13:13">
      <c r="M5634" s="202"/>
    </row>
    <row r="5635" spans="13:13">
      <c r="M5635" s="202"/>
    </row>
    <row r="5636" spans="13:13">
      <c r="M5636" s="202"/>
    </row>
    <row r="5637" spans="13:13">
      <c r="M5637" s="202"/>
    </row>
    <row r="5638" spans="13:13">
      <c r="M5638" s="202"/>
    </row>
    <row r="5639" spans="13:13">
      <c r="M5639" s="202"/>
    </row>
    <row r="5640" spans="13:13">
      <c r="M5640" s="202"/>
    </row>
    <row r="5641" spans="13:13">
      <c r="M5641" s="202"/>
    </row>
    <row r="5642" spans="13:13">
      <c r="M5642" s="202"/>
    </row>
    <row r="5643" spans="13:13">
      <c r="M5643" s="202"/>
    </row>
    <row r="5644" spans="13:13">
      <c r="M5644" s="202"/>
    </row>
    <row r="5645" spans="13:13">
      <c r="M5645" s="202"/>
    </row>
    <row r="5646" spans="13:13">
      <c r="M5646" s="202"/>
    </row>
    <row r="5647" spans="13:13">
      <c r="M5647" s="202"/>
    </row>
    <row r="5648" spans="13:13">
      <c r="M5648" s="202"/>
    </row>
    <row r="5649" spans="13:13">
      <c r="M5649" s="202"/>
    </row>
    <row r="5650" spans="13:13">
      <c r="M5650" s="202"/>
    </row>
    <row r="5651" spans="13:13">
      <c r="M5651" s="202"/>
    </row>
    <row r="5652" spans="13:13">
      <c r="M5652" s="202"/>
    </row>
    <row r="5653" spans="13:13">
      <c r="M5653" s="202"/>
    </row>
    <row r="5654" spans="13:13">
      <c r="M5654" s="202"/>
    </row>
    <row r="5655" spans="13:13">
      <c r="M5655" s="202"/>
    </row>
    <row r="5656" spans="13:13">
      <c r="M5656" s="202"/>
    </row>
    <row r="5657" spans="13:13">
      <c r="M5657" s="202"/>
    </row>
    <row r="5658" spans="13:13">
      <c r="M5658" s="202"/>
    </row>
    <row r="5659" spans="13:13">
      <c r="M5659" s="202"/>
    </row>
    <row r="5660" spans="13:13">
      <c r="M5660" s="202"/>
    </row>
    <row r="5661" spans="13:13">
      <c r="M5661" s="202"/>
    </row>
    <row r="5662" spans="13:13">
      <c r="M5662" s="202"/>
    </row>
    <row r="5663" spans="13:13">
      <c r="M5663" s="202"/>
    </row>
    <row r="5664" spans="13:13">
      <c r="M5664" s="202"/>
    </row>
    <row r="5665" spans="13:13">
      <c r="M5665" s="202"/>
    </row>
    <row r="5666" spans="13:13">
      <c r="M5666" s="202"/>
    </row>
    <row r="5667" spans="13:13">
      <c r="M5667" s="202"/>
    </row>
    <row r="5668" spans="13:13">
      <c r="M5668" s="202"/>
    </row>
    <row r="5669" spans="13:13">
      <c r="M5669" s="202"/>
    </row>
    <row r="5670" spans="13:13">
      <c r="M5670" s="202"/>
    </row>
    <row r="5671" spans="13:13">
      <c r="M5671" s="202"/>
    </row>
    <row r="5672" spans="13:13">
      <c r="M5672" s="202"/>
    </row>
    <row r="5673" spans="13:13">
      <c r="M5673" s="202"/>
    </row>
    <row r="5674" spans="13:13">
      <c r="M5674" s="202"/>
    </row>
    <row r="5675" spans="13:13">
      <c r="M5675" s="202"/>
    </row>
    <row r="5676" spans="13:13">
      <c r="M5676" s="202"/>
    </row>
    <row r="5677" spans="13:13">
      <c r="M5677" s="202"/>
    </row>
    <row r="5678" spans="13:13">
      <c r="M5678" s="202"/>
    </row>
    <row r="5679" spans="13:13">
      <c r="M5679" s="202"/>
    </row>
    <row r="5680" spans="13:13">
      <c r="M5680" s="202"/>
    </row>
    <row r="5681" spans="13:13">
      <c r="M5681" s="202"/>
    </row>
    <row r="5682" spans="13:13">
      <c r="M5682" s="202"/>
    </row>
    <row r="5683" spans="13:13">
      <c r="M5683" s="202"/>
    </row>
    <row r="5684" spans="13:13">
      <c r="M5684" s="202"/>
    </row>
    <row r="5685" spans="13:13">
      <c r="M5685" s="202"/>
    </row>
    <row r="5686" spans="13:13">
      <c r="M5686" s="202"/>
    </row>
    <row r="5687" spans="13:13">
      <c r="M5687" s="202"/>
    </row>
    <row r="5688" spans="13:13">
      <c r="M5688" s="202"/>
    </row>
    <row r="5689" spans="13:13">
      <c r="M5689" s="202"/>
    </row>
    <row r="5690" spans="13:13">
      <c r="M5690" s="202"/>
    </row>
    <row r="5691" spans="13:13">
      <c r="M5691" s="202"/>
    </row>
    <row r="5692" spans="13:13">
      <c r="M5692" s="202"/>
    </row>
    <row r="5693" spans="13:13">
      <c r="M5693" s="202"/>
    </row>
    <row r="5694" spans="13:13">
      <c r="M5694" s="202"/>
    </row>
    <row r="5695" spans="13:13">
      <c r="M5695" s="202"/>
    </row>
    <row r="5696" spans="13:13">
      <c r="M5696" s="202"/>
    </row>
    <row r="5697" spans="13:13">
      <c r="M5697" s="202"/>
    </row>
    <row r="5698" spans="13:13">
      <c r="M5698" s="202"/>
    </row>
    <row r="5699" spans="13:13">
      <c r="M5699" s="202"/>
    </row>
    <row r="5700" spans="13:13">
      <c r="M5700" s="202"/>
    </row>
    <row r="5701" spans="13:13">
      <c r="M5701" s="202"/>
    </row>
    <row r="5702" spans="13:13">
      <c r="M5702" s="202"/>
    </row>
    <row r="5703" spans="13:13">
      <c r="M5703" s="202"/>
    </row>
    <row r="5704" spans="13:13">
      <c r="M5704" s="202"/>
    </row>
    <row r="5705" spans="13:13">
      <c r="M5705" s="202"/>
    </row>
    <row r="5706" spans="13:13">
      <c r="M5706" s="202"/>
    </row>
    <row r="5707" spans="13:13">
      <c r="M5707" s="202"/>
    </row>
    <row r="5708" spans="13:13">
      <c r="M5708" s="202"/>
    </row>
    <row r="5709" spans="13:13">
      <c r="M5709" s="202"/>
    </row>
    <row r="5710" spans="13:13">
      <c r="M5710" s="202"/>
    </row>
    <row r="5711" spans="13:13">
      <c r="M5711" s="202"/>
    </row>
    <row r="5712" spans="13:13">
      <c r="M5712" s="202"/>
    </row>
    <row r="5713" spans="13:13">
      <c r="M5713" s="202"/>
    </row>
    <row r="5714" spans="13:13">
      <c r="M5714" s="202"/>
    </row>
    <row r="5715" spans="13:13">
      <c r="M5715" s="202"/>
    </row>
    <row r="5716" spans="13:13">
      <c r="M5716" s="202"/>
    </row>
    <row r="5717" spans="13:13">
      <c r="M5717" s="202"/>
    </row>
    <row r="5718" spans="13:13">
      <c r="M5718" s="202"/>
    </row>
    <row r="5719" spans="13:13">
      <c r="M5719" s="202"/>
    </row>
    <row r="5720" spans="13:13">
      <c r="M5720" s="202"/>
    </row>
    <row r="5721" spans="13:13">
      <c r="M5721" s="202"/>
    </row>
    <row r="5722" spans="13:13">
      <c r="M5722" s="202"/>
    </row>
    <row r="5723" spans="13:13">
      <c r="M5723" s="202"/>
    </row>
    <row r="5724" spans="13:13">
      <c r="M5724" s="202"/>
    </row>
    <row r="5725" spans="13:13">
      <c r="M5725" s="202"/>
    </row>
    <row r="5726" spans="13:13">
      <c r="M5726" s="202"/>
    </row>
    <row r="5727" spans="13:13">
      <c r="M5727" s="202"/>
    </row>
    <row r="5728" spans="13:13">
      <c r="M5728" s="202"/>
    </row>
    <row r="5729" spans="13:13">
      <c r="M5729" s="202"/>
    </row>
    <row r="5730" spans="13:13">
      <c r="M5730" s="202"/>
    </row>
    <row r="5731" spans="13:13">
      <c r="M5731" s="202"/>
    </row>
    <row r="5732" spans="13:13">
      <c r="M5732" s="202"/>
    </row>
    <row r="5733" spans="13:13">
      <c r="M5733" s="202"/>
    </row>
    <row r="5734" spans="13:13">
      <c r="M5734" s="202"/>
    </row>
    <row r="5735" spans="13:13">
      <c r="M5735" s="202"/>
    </row>
    <row r="5736" spans="13:13">
      <c r="M5736" s="202"/>
    </row>
    <row r="5737" spans="13:13">
      <c r="M5737" s="202"/>
    </row>
    <row r="5738" spans="13:13">
      <c r="M5738" s="202"/>
    </row>
    <row r="5739" spans="13:13">
      <c r="M5739" s="202"/>
    </row>
    <row r="5740" spans="13:13">
      <c r="M5740" s="202"/>
    </row>
    <row r="5741" spans="13:13">
      <c r="M5741" s="202"/>
    </row>
    <row r="5742" spans="13:13">
      <c r="M5742" s="202"/>
    </row>
    <row r="5743" spans="13:13">
      <c r="M5743" s="202"/>
    </row>
    <row r="5744" spans="13:13">
      <c r="M5744" s="202"/>
    </row>
    <row r="5745" spans="13:13">
      <c r="M5745" s="202"/>
    </row>
    <row r="5746" spans="13:13">
      <c r="M5746" s="202"/>
    </row>
    <row r="5747" spans="13:13">
      <c r="M5747" s="202"/>
    </row>
    <row r="5748" spans="13:13">
      <c r="M5748" s="202"/>
    </row>
    <row r="5749" spans="13:13">
      <c r="M5749" s="202"/>
    </row>
    <row r="5750" spans="13:13">
      <c r="M5750" s="202"/>
    </row>
    <row r="5751" spans="13:13">
      <c r="M5751" s="202"/>
    </row>
    <row r="5752" spans="13:13">
      <c r="M5752" s="202"/>
    </row>
    <row r="5753" spans="13:13">
      <c r="M5753" s="202"/>
    </row>
    <row r="5754" spans="13:13">
      <c r="M5754" s="202"/>
    </row>
    <row r="5755" spans="13:13">
      <c r="M5755" s="202"/>
    </row>
    <row r="5756" spans="13:13">
      <c r="M5756" s="202"/>
    </row>
    <row r="5757" spans="13:13">
      <c r="M5757" s="202"/>
    </row>
    <row r="5758" spans="13:13">
      <c r="M5758" s="202"/>
    </row>
    <row r="5759" spans="13:13">
      <c r="M5759" s="202"/>
    </row>
    <row r="5760" spans="13:13">
      <c r="M5760" s="202"/>
    </row>
    <row r="5761" spans="13:13">
      <c r="M5761" s="202"/>
    </row>
    <row r="5762" spans="13:13">
      <c r="M5762" s="202"/>
    </row>
    <row r="5763" spans="13:13">
      <c r="M5763" s="202"/>
    </row>
    <row r="5764" spans="13:13">
      <c r="M5764" s="202"/>
    </row>
    <row r="5765" spans="13:13">
      <c r="M5765" s="202"/>
    </row>
    <row r="5766" spans="13:13">
      <c r="M5766" s="202"/>
    </row>
    <row r="5767" spans="13:13">
      <c r="M5767" s="202"/>
    </row>
    <row r="5768" spans="13:13">
      <c r="M5768" s="202"/>
    </row>
    <row r="5769" spans="13:13">
      <c r="M5769" s="202"/>
    </row>
    <row r="5770" spans="13:13">
      <c r="M5770" s="202"/>
    </row>
    <row r="5771" spans="13:13">
      <c r="M5771" s="202"/>
    </row>
    <row r="5772" spans="13:13">
      <c r="M5772" s="202"/>
    </row>
    <row r="5773" spans="13:13">
      <c r="M5773" s="202"/>
    </row>
    <row r="5774" spans="13:13">
      <c r="M5774" s="202"/>
    </row>
    <row r="5775" spans="13:13">
      <c r="M5775" s="202"/>
    </row>
    <row r="5776" spans="13:13">
      <c r="M5776" s="202"/>
    </row>
    <row r="5777" spans="13:13">
      <c r="M5777" s="202"/>
    </row>
    <row r="5778" spans="13:13">
      <c r="M5778" s="202"/>
    </row>
    <row r="5779" spans="13:13">
      <c r="M5779" s="202"/>
    </row>
    <row r="5780" spans="13:13">
      <c r="M5780" s="202"/>
    </row>
    <row r="5781" spans="13:13">
      <c r="M5781" s="202"/>
    </row>
    <row r="5782" spans="13:13">
      <c r="M5782" s="202"/>
    </row>
    <row r="5783" spans="13:13">
      <c r="M5783" s="202"/>
    </row>
    <row r="5784" spans="13:13">
      <c r="M5784" s="202"/>
    </row>
    <row r="5785" spans="13:13">
      <c r="M5785" s="202"/>
    </row>
    <row r="5786" spans="13:13">
      <c r="M5786" s="202"/>
    </row>
    <row r="5787" spans="13:13">
      <c r="M5787" s="202"/>
    </row>
    <row r="5788" spans="13:13">
      <c r="M5788" s="202"/>
    </row>
    <row r="5789" spans="13:13">
      <c r="M5789" s="202"/>
    </row>
    <row r="5790" spans="13:13">
      <c r="M5790" s="202"/>
    </row>
    <row r="5791" spans="13:13">
      <c r="M5791" s="202"/>
    </row>
    <row r="5792" spans="13:13">
      <c r="M5792" s="202"/>
    </row>
    <row r="5793" spans="13:13">
      <c r="M5793" s="202"/>
    </row>
    <row r="5794" spans="13:13">
      <c r="M5794" s="202"/>
    </row>
    <row r="5795" spans="13:13">
      <c r="M5795" s="202"/>
    </row>
    <row r="5796" spans="13:13">
      <c r="M5796" s="202"/>
    </row>
    <row r="5797" spans="13:13">
      <c r="M5797" s="202"/>
    </row>
    <row r="5798" spans="13:13">
      <c r="M5798" s="202"/>
    </row>
    <row r="5799" spans="13:13">
      <c r="M5799" s="202"/>
    </row>
    <row r="5800" spans="13:13">
      <c r="M5800" s="202"/>
    </row>
    <row r="5801" spans="13:13">
      <c r="M5801" s="202"/>
    </row>
    <row r="5802" spans="13:13">
      <c r="M5802" s="202"/>
    </row>
    <row r="5803" spans="13:13">
      <c r="M5803" s="202"/>
    </row>
    <row r="5804" spans="13:13">
      <c r="M5804" s="202"/>
    </row>
    <row r="5805" spans="13:13">
      <c r="M5805" s="202"/>
    </row>
    <row r="5806" spans="13:13">
      <c r="M5806" s="202"/>
    </row>
    <row r="5807" spans="13:13">
      <c r="M5807" s="202"/>
    </row>
    <row r="5808" spans="13:13">
      <c r="M5808" s="202"/>
    </row>
    <row r="5809" spans="13:13">
      <c r="M5809" s="202"/>
    </row>
    <row r="5810" spans="13:13">
      <c r="M5810" s="202"/>
    </row>
    <row r="5811" spans="13:13">
      <c r="M5811" s="202"/>
    </row>
    <row r="5812" spans="13:13">
      <c r="M5812" s="202"/>
    </row>
    <row r="5813" spans="13:13">
      <c r="M5813" s="202"/>
    </row>
    <row r="5814" spans="13:13">
      <c r="M5814" s="202"/>
    </row>
    <row r="5815" spans="13:13">
      <c r="M5815" s="202"/>
    </row>
    <row r="5816" spans="13:13">
      <c r="M5816" s="202"/>
    </row>
    <row r="5817" spans="13:13">
      <c r="M5817" s="202"/>
    </row>
    <row r="5818" spans="13:13">
      <c r="M5818" s="202"/>
    </row>
    <row r="5819" spans="13:13">
      <c r="M5819" s="202"/>
    </row>
    <row r="5820" spans="13:13">
      <c r="M5820" s="202"/>
    </row>
    <row r="5821" spans="13:13">
      <c r="M5821" s="202"/>
    </row>
    <row r="5822" spans="13:13">
      <c r="M5822" s="202"/>
    </row>
    <row r="5823" spans="13:13">
      <c r="M5823" s="202"/>
    </row>
    <row r="5824" spans="13:13">
      <c r="M5824" s="202"/>
    </row>
    <row r="5825" spans="13:13">
      <c r="M5825" s="202"/>
    </row>
    <row r="5826" spans="13:13">
      <c r="M5826" s="202"/>
    </row>
    <row r="5827" spans="13:13">
      <c r="M5827" s="202"/>
    </row>
    <row r="5828" spans="13:13">
      <c r="M5828" s="202"/>
    </row>
    <row r="5829" spans="13:13">
      <c r="M5829" s="202"/>
    </row>
    <row r="5830" spans="13:13">
      <c r="M5830" s="202"/>
    </row>
    <row r="5831" spans="13:13">
      <c r="M5831" s="202"/>
    </row>
    <row r="5832" spans="13:13">
      <c r="M5832" s="202"/>
    </row>
    <row r="5833" spans="13:13">
      <c r="M5833" s="202"/>
    </row>
    <row r="5834" spans="13:13">
      <c r="M5834" s="202"/>
    </row>
    <row r="5835" spans="13:13">
      <c r="M5835" s="202"/>
    </row>
    <row r="5836" spans="13:13">
      <c r="M5836" s="202"/>
    </row>
    <row r="5837" spans="13:13">
      <c r="M5837" s="202"/>
    </row>
    <row r="5838" spans="13:13">
      <c r="M5838" s="202"/>
    </row>
    <row r="5839" spans="13:13">
      <c r="M5839" s="202"/>
    </row>
    <row r="5840" spans="13:13">
      <c r="M5840" s="202"/>
    </row>
    <row r="5841" spans="13:13">
      <c r="M5841" s="202"/>
    </row>
    <row r="5842" spans="13:13">
      <c r="M5842" s="202"/>
    </row>
    <row r="5843" spans="13:13">
      <c r="M5843" s="202"/>
    </row>
    <row r="5844" spans="13:13">
      <c r="M5844" s="202"/>
    </row>
    <row r="5845" spans="13:13">
      <c r="M5845" s="202"/>
    </row>
    <row r="5846" spans="13:13">
      <c r="M5846" s="202"/>
    </row>
    <row r="5847" spans="13:13">
      <c r="M5847" s="202"/>
    </row>
    <row r="5848" spans="13:13">
      <c r="M5848" s="202"/>
    </row>
    <row r="5849" spans="13:13">
      <c r="M5849" s="202"/>
    </row>
    <row r="5850" spans="13:13">
      <c r="M5850" s="202"/>
    </row>
    <row r="5851" spans="13:13">
      <c r="M5851" s="202"/>
    </row>
    <row r="5852" spans="13:13">
      <c r="M5852" s="202"/>
    </row>
    <row r="5853" spans="13:13">
      <c r="M5853" s="202"/>
    </row>
    <row r="5854" spans="13:13">
      <c r="M5854" s="202"/>
    </row>
    <row r="5855" spans="13:13">
      <c r="M5855" s="202"/>
    </row>
    <row r="5856" spans="13:13">
      <c r="M5856" s="202"/>
    </row>
    <row r="5857" spans="13:13">
      <c r="M5857" s="202"/>
    </row>
    <row r="5858" spans="13:13">
      <c r="M5858" s="202"/>
    </row>
    <row r="5859" spans="13:13">
      <c r="M5859" s="202"/>
    </row>
    <row r="5860" spans="13:13">
      <c r="M5860" s="202"/>
    </row>
    <row r="5861" spans="13:13">
      <c r="M5861" s="202"/>
    </row>
    <row r="5862" spans="13:13">
      <c r="M5862" s="202"/>
    </row>
    <row r="5863" spans="13:13">
      <c r="M5863" s="202"/>
    </row>
    <row r="5864" spans="13:13">
      <c r="M5864" s="202"/>
    </row>
    <row r="5865" spans="13:13">
      <c r="M5865" s="202"/>
    </row>
    <row r="5866" spans="13:13">
      <c r="M5866" s="202"/>
    </row>
    <row r="5867" spans="13:13">
      <c r="M5867" s="202"/>
    </row>
    <row r="5868" spans="13:13">
      <c r="M5868" s="202"/>
    </row>
    <row r="5869" spans="13:13">
      <c r="M5869" s="202"/>
    </row>
    <row r="5870" spans="13:13">
      <c r="M5870" s="202"/>
    </row>
    <row r="5871" spans="13:13">
      <c r="M5871" s="202"/>
    </row>
    <row r="5872" spans="13:13">
      <c r="M5872" s="202"/>
    </row>
    <row r="5873" spans="13:13">
      <c r="M5873" s="202"/>
    </row>
    <row r="5874" spans="13:13">
      <c r="M5874" s="202"/>
    </row>
    <row r="5875" spans="13:13">
      <c r="M5875" s="202"/>
    </row>
    <row r="5876" spans="13:13">
      <c r="M5876" s="202"/>
    </row>
    <row r="5877" spans="13:13">
      <c r="M5877" s="202"/>
    </row>
    <row r="5878" spans="13:13">
      <c r="M5878" s="202"/>
    </row>
    <row r="5879" spans="13:13">
      <c r="M5879" s="202"/>
    </row>
    <row r="5880" spans="13:13">
      <c r="M5880" s="202"/>
    </row>
    <row r="5881" spans="13:13">
      <c r="M5881" s="202"/>
    </row>
    <row r="5882" spans="13:13">
      <c r="M5882" s="202"/>
    </row>
    <row r="5883" spans="13:13">
      <c r="M5883" s="202"/>
    </row>
    <row r="5884" spans="13:13">
      <c r="M5884" s="202"/>
    </row>
    <row r="5885" spans="13:13">
      <c r="M5885" s="202"/>
    </row>
    <row r="5886" spans="13:13">
      <c r="M5886" s="202"/>
    </row>
    <row r="5887" spans="13:13">
      <c r="M5887" s="202"/>
    </row>
    <row r="5888" spans="13:13">
      <c r="M5888" s="202"/>
    </row>
    <row r="5889" spans="13:13">
      <c r="M5889" s="202"/>
    </row>
    <row r="5890" spans="13:13">
      <c r="M5890" s="202"/>
    </row>
    <row r="5891" spans="13:13">
      <c r="M5891" s="202"/>
    </row>
    <row r="5892" spans="13:13">
      <c r="M5892" s="202"/>
    </row>
    <row r="5893" spans="13:13">
      <c r="M5893" s="202"/>
    </row>
    <row r="5894" spans="13:13">
      <c r="M5894" s="202"/>
    </row>
    <row r="5895" spans="13:13">
      <c r="M5895" s="202"/>
    </row>
    <row r="5896" spans="13:13">
      <c r="M5896" s="202"/>
    </row>
    <row r="5897" spans="13:13">
      <c r="M5897" s="202"/>
    </row>
    <row r="5898" spans="13:13">
      <c r="M5898" s="202"/>
    </row>
    <row r="5899" spans="13:13">
      <c r="M5899" s="202"/>
    </row>
    <row r="5900" spans="13:13">
      <c r="M5900" s="202"/>
    </row>
    <row r="5901" spans="13:13">
      <c r="M5901" s="202"/>
    </row>
    <row r="5902" spans="13:13">
      <c r="M5902" s="202"/>
    </row>
    <row r="5903" spans="13:13">
      <c r="M5903" s="202"/>
    </row>
    <row r="5904" spans="13:13">
      <c r="M5904" s="202"/>
    </row>
    <row r="5905" spans="13:13">
      <c r="M5905" s="202"/>
    </row>
    <row r="5906" spans="13:13">
      <c r="M5906" s="202"/>
    </row>
    <row r="5907" spans="13:13">
      <c r="M5907" s="202"/>
    </row>
    <row r="5908" spans="13:13">
      <c r="M5908" s="202"/>
    </row>
    <row r="5909" spans="13:13">
      <c r="M5909" s="202"/>
    </row>
    <row r="5910" spans="13:13">
      <c r="M5910" s="202"/>
    </row>
    <row r="5911" spans="13:13">
      <c r="M5911" s="202"/>
    </row>
    <row r="5912" spans="13:13">
      <c r="M5912" s="202"/>
    </row>
    <row r="5913" spans="13:13">
      <c r="M5913" s="202"/>
    </row>
    <row r="5914" spans="13:13">
      <c r="M5914" s="202"/>
    </row>
    <row r="5915" spans="13:13">
      <c r="M5915" s="202"/>
    </row>
    <row r="5916" spans="13:13">
      <c r="M5916" s="202"/>
    </row>
    <row r="5917" spans="13:13">
      <c r="M5917" s="202"/>
    </row>
    <row r="5918" spans="13:13">
      <c r="M5918" s="202"/>
    </row>
    <row r="5919" spans="13:13">
      <c r="M5919" s="202"/>
    </row>
    <row r="5920" spans="13:13">
      <c r="M5920" s="202"/>
    </row>
    <row r="5921" spans="13:13">
      <c r="M5921" s="202"/>
    </row>
    <row r="5922" spans="13:13">
      <c r="M5922" s="202"/>
    </row>
    <row r="5923" spans="13:13">
      <c r="M5923" s="202"/>
    </row>
    <row r="5924" spans="13:13">
      <c r="M5924" s="202"/>
    </row>
    <row r="5925" spans="13:13">
      <c r="M5925" s="202"/>
    </row>
    <row r="5926" spans="13:13">
      <c r="M5926" s="202"/>
    </row>
    <row r="5927" spans="13:13">
      <c r="M5927" s="202"/>
    </row>
    <row r="5928" spans="13:13">
      <c r="M5928" s="202"/>
    </row>
    <row r="5929" spans="13:13">
      <c r="M5929" s="202"/>
    </row>
    <row r="5930" spans="13:13">
      <c r="M5930" s="202"/>
    </row>
    <row r="5931" spans="13:13">
      <c r="M5931" s="202"/>
    </row>
    <row r="5932" spans="13:13">
      <c r="M5932" s="202"/>
    </row>
    <row r="5933" spans="13:13">
      <c r="M5933" s="202"/>
    </row>
    <row r="5934" spans="13:13">
      <c r="M5934" s="202"/>
    </row>
    <row r="5935" spans="13:13">
      <c r="M5935" s="202"/>
    </row>
    <row r="5936" spans="13:13">
      <c r="M5936" s="202"/>
    </row>
    <row r="5937" spans="13:13">
      <c r="M5937" s="202"/>
    </row>
    <row r="5938" spans="13:13">
      <c r="M5938" s="202"/>
    </row>
    <row r="5939" spans="13:13">
      <c r="M5939" s="202"/>
    </row>
    <row r="5940" spans="13:13">
      <c r="M5940" s="202"/>
    </row>
    <row r="5941" spans="13:13">
      <c r="M5941" s="202"/>
    </row>
    <row r="5942" spans="13:13">
      <c r="M5942" s="202"/>
    </row>
    <row r="5943" spans="13:13">
      <c r="M5943" s="202"/>
    </row>
    <row r="5944" spans="13:13">
      <c r="M5944" s="202"/>
    </row>
    <row r="5945" spans="13:13">
      <c r="M5945" s="202"/>
    </row>
    <row r="5946" spans="13:13">
      <c r="M5946" s="202"/>
    </row>
    <row r="5947" spans="13:13">
      <c r="M5947" s="202"/>
    </row>
    <row r="5948" spans="13:13">
      <c r="M5948" s="202"/>
    </row>
    <row r="5949" spans="13:13">
      <c r="M5949" s="202"/>
    </row>
    <row r="5950" spans="13:13">
      <c r="M5950" s="202"/>
    </row>
    <row r="5951" spans="13:13">
      <c r="M5951" s="202"/>
    </row>
    <row r="5952" spans="13:13">
      <c r="M5952" s="202"/>
    </row>
    <row r="5953" spans="13:13">
      <c r="M5953" s="202"/>
    </row>
    <row r="5954" spans="13:13">
      <c r="M5954" s="202"/>
    </row>
    <row r="5955" spans="13:13">
      <c r="M5955" s="202"/>
    </row>
    <row r="5956" spans="13:13">
      <c r="M5956" s="202"/>
    </row>
    <row r="5957" spans="13:13">
      <c r="M5957" s="202"/>
    </row>
    <row r="5958" spans="13:13">
      <c r="M5958" s="202"/>
    </row>
    <row r="5959" spans="13:13">
      <c r="M5959" s="202"/>
    </row>
    <row r="5960" spans="13:13">
      <c r="M5960" s="202"/>
    </row>
    <row r="5961" spans="13:13">
      <c r="M5961" s="202"/>
    </row>
    <row r="5962" spans="13:13">
      <c r="M5962" s="202"/>
    </row>
    <row r="5963" spans="13:13">
      <c r="M5963" s="202"/>
    </row>
    <row r="5964" spans="13:13">
      <c r="M5964" s="202"/>
    </row>
    <row r="5965" spans="13:13">
      <c r="M5965" s="202"/>
    </row>
    <row r="5966" spans="13:13">
      <c r="M5966" s="202"/>
    </row>
    <row r="5967" spans="13:13">
      <c r="M5967" s="202"/>
    </row>
    <row r="5968" spans="13:13">
      <c r="M5968" s="202"/>
    </row>
    <row r="5969" spans="13:13">
      <c r="M5969" s="202"/>
    </row>
    <row r="5970" spans="13:13">
      <c r="M5970" s="202"/>
    </row>
    <row r="5971" spans="13:13">
      <c r="M5971" s="202"/>
    </row>
    <row r="5972" spans="13:13">
      <c r="M5972" s="202"/>
    </row>
    <row r="5973" spans="13:13">
      <c r="M5973" s="202"/>
    </row>
    <row r="5974" spans="13:13">
      <c r="M5974" s="202"/>
    </row>
    <row r="5975" spans="13:13">
      <c r="M5975" s="202"/>
    </row>
    <row r="5976" spans="13:13">
      <c r="M5976" s="202"/>
    </row>
    <row r="5977" spans="13:13">
      <c r="M5977" s="202"/>
    </row>
    <row r="5978" spans="13:13">
      <c r="M5978" s="202"/>
    </row>
    <row r="5979" spans="13:13">
      <c r="M5979" s="202"/>
    </row>
    <row r="5980" spans="13:13">
      <c r="M5980" s="202"/>
    </row>
    <row r="5981" spans="13:13">
      <c r="M5981" s="202"/>
    </row>
    <row r="5982" spans="13:13">
      <c r="M5982" s="202"/>
    </row>
    <row r="5983" spans="13:13">
      <c r="M5983" s="202"/>
    </row>
    <row r="5984" spans="13:13">
      <c r="M5984" s="202"/>
    </row>
    <row r="5985" spans="13:13">
      <c r="M5985" s="202"/>
    </row>
    <row r="5986" spans="13:13">
      <c r="M5986" s="202"/>
    </row>
    <row r="5987" spans="13:13">
      <c r="M5987" s="202"/>
    </row>
    <row r="5988" spans="13:13">
      <c r="M5988" s="202"/>
    </row>
    <row r="5989" spans="13:13">
      <c r="M5989" s="202"/>
    </row>
    <row r="5990" spans="13:13">
      <c r="M5990" s="202"/>
    </row>
    <row r="5991" spans="13:13">
      <c r="M5991" s="202"/>
    </row>
    <row r="5992" spans="13:13">
      <c r="M5992" s="202"/>
    </row>
    <row r="5993" spans="13:13">
      <c r="M5993" s="202"/>
    </row>
    <row r="5994" spans="13:13">
      <c r="M5994" s="202"/>
    </row>
    <row r="5995" spans="13:13">
      <c r="M5995" s="202"/>
    </row>
    <row r="5996" spans="13:13">
      <c r="M5996" s="202"/>
    </row>
    <row r="5997" spans="13:13">
      <c r="M5997" s="202"/>
    </row>
    <row r="5998" spans="13:13">
      <c r="M5998" s="202"/>
    </row>
    <row r="5999" spans="13:13">
      <c r="M5999" s="202"/>
    </row>
    <row r="6000" spans="13:13">
      <c r="M6000" s="202"/>
    </row>
    <row r="6001" spans="13:13">
      <c r="M6001" s="202"/>
    </row>
    <row r="6002" spans="13:13">
      <c r="M6002" s="202"/>
    </row>
    <row r="6003" spans="13:13">
      <c r="M6003" s="202"/>
    </row>
    <row r="6004" spans="13:13">
      <c r="M6004" s="202"/>
    </row>
    <row r="6005" spans="13:13">
      <c r="M6005" s="202"/>
    </row>
    <row r="6006" spans="13:13">
      <c r="M6006" s="202"/>
    </row>
    <row r="6007" spans="13:13">
      <c r="M6007" s="202"/>
    </row>
    <row r="6008" spans="13:13">
      <c r="M6008" s="202"/>
    </row>
    <row r="6009" spans="13:13">
      <c r="M6009" s="202"/>
    </row>
    <row r="6010" spans="13:13">
      <c r="M6010" s="202"/>
    </row>
    <row r="6011" spans="13:13">
      <c r="M6011" s="202"/>
    </row>
    <row r="6012" spans="13:13">
      <c r="M6012" s="202"/>
    </row>
    <row r="6013" spans="13:13">
      <c r="M6013" s="202"/>
    </row>
    <row r="6014" spans="13:13">
      <c r="M6014" s="202"/>
    </row>
    <row r="6015" spans="13:13">
      <c r="M6015" s="202"/>
    </row>
    <row r="6016" spans="13:13">
      <c r="M6016" s="202"/>
    </row>
    <row r="6017" spans="13:13">
      <c r="M6017" s="202"/>
    </row>
    <row r="6018" spans="13:13">
      <c r="M6018" s="202"/>
    </row>
    <row r="6019" spans="13:13">
      <c r="M6019" s="202"/>
    </row>
    <row r="6020" spans="13:13">
      <c r="M6020" s="202"/>
    </row>
    <row r="6021" spans="13:13">
      <c r="M6021" s="202"/>
    </row>
    <row r="6022" spans="13:13">
      <c r="M6022" s="202"/>
    </row>
    <row r="6023" spans="13:13">
      <c r="M6023" s="202"/>
    </row>
    <row r="6024" spans="13:13">
      <c r="M6024" s="202"/>
    </row>
    <row r="6025" spans="13:13">
      <c r="M6025" s="202"/>
    </row>
    <row r="6026" spans="13:13">
      <c r="M6026" s="202"/>
    </row>
    <row r="6027" spans="13:13">
      <c r="M6027" s="202"/>
    </row>
    <row r="6028" spans="13:13">
      <c r="M6028" s="202"/>
    </row>
    <row r="6029" spans="13:13">
      <c r="M6029" s="202"/>
    </row>
    <row r="6030" spans="13:13">
      <c r="M6030" s="202"/>
    </row>
    <row r="6031" spans="13:13">
      <c r="M6031" s="202"/>
    </row>
    <row r="6032" spans="13:13">
      <c r="M6032" s="202"/>
    </row>
    <row r="6033" spans="13:13">
      <c r="M6033" s="202"/>
    </row>
    <row r="6034" spans="13:13">
      <c r="M6034" s="202"/>
    </row>
    <row r="6035" spans="13:13">
      <c r="M6035" s="202"/>
    </row>
    <row r="6036" spans="13:13">
      <c r="M6036" s="202"/>
    </row>
    <row r="6037" spans="13:13">
      <c r="M6037" s="202"/>
    </row>
    <row r="6038" spans="13:13">
      <c r="M6038" s="202"/>
    </row>
    <row r="6039" spans="13:13">
      <c r="M6039" s="202"/>
    </row>
    <row r="6040" spans="13:13">
      <c r="M6040" s="202"/>
    </row>
    <row r="6041" spans="13:13">
      <c r="M6041" s="202"/>
    </row>
    <row r="6042" spans="13:13">
      <c r="M6042" s="202"/>
    </row>
    <row r="6043" spans="13:13">
      <c r="M6043" s="202"/>
    </row>
    <row r="6044" spans="13:13">
      <c r="M6044" s="202"/>
    </row>
    <row r="6045" spans="13:13">
      <c r="M6045" s="202"/>
    </row>
    <row r="6046" spans="13:13">
      <c r="M6046" s="202"/>
    </row>
    <row r="6047" spans="13:13">
      <c r="M6047" s="202"/>
    </row>
    <row r="6048" spans="13:13">
      <c r="M6048" s="202"/>
    </row>
    <row r="6049" spans="13:13">
      <c r="M6049" s="202"/>
    </row>
    <row r="6050" spans="13:13">
      <c r="M6050" s="202"/>
    </row>
    <row r="6051" spans="13:13">
      <c r="M6051" s="202"/>
    </row>
    <row r="6052" spans="13:13">
      <c r="M6052" s="202"/>
    </row>
    <row r="6053" spans="13:13">
      <c r="M6053" s="202"/>
    </row>
    <row r="6054" spans="13:13">
      <c r="M6054" s="202"/>
    </row>
    <row r="6055" spans="13:13">
      <c r="M6055" s="202"/>
    </row>
    <row r="6056" spans="13:13">
      <c r="M6056" s="202"/>
    </row>
    <row r="6057" spans="13:13">
      <c r="M6057" s="202"/>
    </row>
    <row r="6058" spans="13:13">
      <c r="M6058" s="202"/>
    </row>
    <row r="6059" spans="13:13">
      <c r="M6059" s="202"/>
    </row>
    <row r="6060" spans="13:13">
      <c r="M6060" s="202"/>
    </row>
    <row r="6061" spans="13:13">
      <c r="M6061" s="202"/>
    </row>
    <row r="6062" spans="13:13">
      <c r="M6062" s="202"/>
    </row>
    <row r="6063" spans="13:13">
      <c r="M6063" s="202"/>
    </row>
    <row r="6064" spans="13:13">
      <c r="M6064" s="202"/>
    </row>
    <row r="6065" spans="13:13">
      <c r="M6065" s="202"/>
    </row>
    <row r="6066" spans="13:13">
      <c r="M6066" s="202"/>
    </row>
    <row r="6067" spans="13:13">
      <c r="M6067" s="202"/>
    </row>
    <row r="6068" spans="13:13">
      <c r="M6068" s="202"/>
    </row>
    <row r="6069" spans="13:13">
      <c r="M6069" s="202"/>
    </row>
    <row r="6070" spans="13:13">
      <c r="M6070" s="202"/>
    </row>
    <row r="6071" spans="13:13">
      <c r="M6071" s="202"/>
    </row>
    <row r="6072" spans="13:13">
      <c r="M6072" s="202"/>
    </row>
    <row r="6073" spans="13:13">
      <c r="M6073" s="202"/>
    </row>
    <row r="6074" spans="13:13">
      <c r="M6074" s="202"/>
    </row>
    <row r="6075" spans="13:13">
      <c r="M6075" s="202"/>
    </row>
    <row r="6076" spans="13:13">
      <c r="M6076" s="202"/>
    </row>
    <row r="6077" spans="13:13">
      <c r="M6077" s="202"/>
    </row>
    <row r="6078" spans="13:13">
      <c r="M6078" s="202"/>
    </row>
    <row r="6079" spans="13:13">
      <c r="M6079" s="202"/>
    </row>
    <row r="6080" spans="13:13">
      <c r="M6080" s="202"/>
    </row>
    <row r="6081" spans="13:13">
      <c r="M6081" s="202"/>
    </row>
    <row r="6082" spans="13:13">
      <c r="M6082" s="202"/>
    </row>
    <row r="6083" spans="13:13">
      <c r="M6083" s="202"/>
    </row>
    <row r="6084" spans="13:13">
      <c r="M6084" s="202"/>
    </row>
    <row r="6085" spans="13:13">
      <c r="M6085" s="202"/>
    </row>
    <row r="6086" spans="13:13">
      <c r="M6086" s="202"/>
    </row>
    <row r="6087" spans="13:13">
      <c r="M6087" s="202"/>
    </row>
    <row r="6088" spans="13:13">
      <c r="M6088" s="202"/>
    </row>
    <row r="6089" spans="13:13">
      <c r="M6089" s="202"/>
    </row>
    <row r="6090" spans="13:13">
      <c r="M6090" s="202"/>
    </row>
    <row r="6091" spans="13:13">
      <c r="M6091" s="202"/>
    </row>
    <row r="6092" spans="13:13">
      <c r="M6092" s="202"/>
    </row>
    <row r="6093" spans="13:13">
      <c r="M6093" s="202"/>
    </row>
    <row r="6094" spans="13:13">
      <c r="M6094" s="202"/>
    </row>
    <row r="6095" spans="13:13">
      <c r="M6095" s="202"/>
    </row>
    <row r="6096" spans="13:13">
      <c r="M6096" s="202"/>
    </row>
    <row r="6097" spans="13:13">
      <c r="M6097" s="202"/>
    </row>
    <row r="6098" spans="13:13">
      <c r="M6098" s="202"/>
    </row>
    <row r="6099" spans="13:13">
      <c r="M6099" s="202"/>
    </row>
    <row r="6100" spans="13:13">
      <c r="M6100" s="202"/>
    </row>
    <row r="6101" spans="13:13">
      <c r="M6101" s="202"/>
    </row>
    <row r="6102" spans="13:13">
      <c r="M6102" s="202"/>
    </row>
    <row r="6103" spans="13:13">
      <c r="M6103" s="202"/>
    </row>
    <row r="6104" spans="13:13">
      <c r="M6104" s="202"/>
    </row>
    <row r="6105" spans="13:13">
      <c r="M6105" s="202"/>
    </row>
    <row r="6106" spans="13:13">
      <c r="M6106" s="202"/>
    </row>
    <row r="6107" spans="13:13">
      <c r="M6107" s="202"/>
    </row>
    <row r="6108" spans="13:13">
      <c r="M6108" s="202"/>
    </row>
    <row r="6109" spans="13:13">
      <c r="M6109" s="202"/>
    </row>
    <row r="6110" spans="13:13">
      <c r="M6110" s="202"/>
    </row>
    <row r="6111" spans="13:13">
      <c r="M6111" s="202"/>
    </row>
    <row r="6112" spans="13:13">
      <c r="M6112" s="202"/>
    </row>
    <row r="6113" spans="13:13">
      <c r="M6113" s="202"/>
    </row>
    <row r="6114" spans="13:13">
      <c r="M6114" s="202"/>
    </row>
    <row r="6115" spans="13:13">
      <c r="M6115" s="202"/>
    </row>
    <row r="6116" spans="13:13">
      <c r="M6116" s="202"/>
    </row>
    <row r="6117" spans="13:13">
      <c r="M6117" s="202"/>
    </row>
    <row r="6118" spans="13:13">
      <c r="M6118" s="202"/>
    </row>
    <row r="6119" spans="13:13">
      <c r="M6119" s="202"/>
    </row>
    <row r="6120" spans="13:13">
      <c r="M6120" s="202"/>
    </row>
    <row r="6121" spans="13:13">
      <c r="M6121" s="202"/>
    </row>
    <row r="6122" spans="13:13">
      <c r="M6122" s="202"/>
    </row>
    <row r="6123" spans="13:13">
      <c r="M6123" s="202"/>
    </row>
    <row r="6124" spans="13:13">
      <c r="M6124" s="202"/>
    </row>
    <row r="6125" spans="13:13">
      <c r="M6125" s="202"/>
    </row>
    <row r="6126" spans="13:13">
      <c r="M6126" s="202"/>
    </row>
    <row r="6127" spans="13:13">
      <c r="M6127" s="202"/>
    </row>
    <row r="6128" spans="13:13">
      <c r="M6128" s="202"/>
    </row>
    <row r="6129" spans="13:13">
      <c r="M6129" s="202"/>
    </row>
    <row r="6130" spans="13:13">
      <c r="M6130" s="202"/>
    </row>
    <row r="6131" spans="13:13">
      <c r="M6131" s="202"/>
    </row>
    <row r="6132" spans="13:13">
      <c r="M6132" s="202"/>
    </row>
    <row r="6133" spans="13:13">
      <c r="M6133" s="202"/>
    </row>
    <row r="6134" spans="13:13">
      <c r="M6134" s="202"/>
    </row>
    <row r="6135" spans="13:13">
      <c r="M6135" s="202"/>
    </row>
    <row r="6136" spans="13:13">
      <c r="M6136" s="202"/>
    </row>
    <row r="6137" spans="13:13">
      <c r="M6137" s="202"/>
    </row>
    <row r="6138" spans="13:13">
      <c r="M6138" s="202"/>
    </row>
    <row r="6139" spans="13:13">
      <c r="M6139" s="202"/>
    </row>
    <row r="6140" spans="13:13">
      <c r="M6140" s="202"/>
    </row>
    <row r="6141" spans="13:13">
      <c r="M6141" s="202"/>
    </row>
    <row r="6142" spans="13:13">
      <c r="M6142" s="202"/>
    </row>
    <row r="6143" spans="13:13">
      <c r="M6143" s="202"/>
    </row>
    <row r="6144" spans="13:13">
      <c r="M6144" s="202"/>
    </row>
    <row r="6145" spans="13:13">
      <c r="M6145" s="202"/>
    </row>
    <row r="6146" spans="13:13">
      <c r="M6146" s="202"/>
    </row>
    <row r="6147" spans="13:13">
      <c r="M6147" s="202"/>
    </row>
    <row r="6148" spans="13:13">
      <c r="M6148" s="202"/>
    </row>
    <row r="6149" spans="13:13">
      <c r="M6149" s="202"/>
    </row>
    <row r="6150" spans="13:13">
      <c r="M6150" s="202"/>
    </row>
    <row r="6151" spans="13:13">
      <c r="M6151" s="202"/>
    </row>
    <row r="6152" spans="13:13">
      <c r="M6152" s="202"/>
    </row>
    <row r="6153" spans="13:13">
      <c r="M6153" s="202"/>
    </row>
    <row r="6154" spans="13:13">
      <c r="M6154" s="202"/>
    </row>
    <row r="6155" spans="13:13">
      <c r="M6155" s="202"/>
    </row>
    <row r="6156" spans="13:13">
      <c r="M6156" s="202"/>
    </row>
    <row r="6157" spans="13:13">
      <c r="M6157" s="202"/>
    </row>
    <row r="6158" spans="13:13">
      <c r="M6158" s="202"/>
    </row>
    <row r="6159" spans="13:13">
      <c r="M6159" s="202"/>
    </row>
    <row r="6160" spans="13:13">
      <c r="M6160" s="202"/>
    </row>
    <row r="6161" spans="13:13">
      <c r="M6161" s="202"/>
    </row>
    <row r="6162" spans="13:13">
      <c r="M6162" s="202"/>
    </row>
    <row r="6163" spans="13:13">
      <c r="M6163" s="202"/>
    </row>
    <row r="6164" spans="13:13">
      <c r="M6164" s="202"/>
    </row>
    <row r="6165" spans="13:13">
      <c r="M6165" s="202"/>
    </row>
    <row r="6166" spans="13:13">
      <c r="M6166" s="202"/>
    </row>
    <row r="6167" spans="13:13">
      <c r="M6167" s="202"/>
    </row>
    <row r="6168" spans="13:13">
      <c r="M6168" s="202"/>
    </row>
    <row r="6169" spans="13:13">
      <c r="M6169" s="202"/>
    </row>
    <row r="6170" spans="13:13">
      <c r="M6170" s="202"/>
    </row>
    <row r="6171" spans="13:13">
      <c r="M6171" s="202"/>
    </row>
    <row r="6172" spans="13:13">
      <c r="M6172" s="202"/>
    </row>
    <row r="6173" spans="13:13">
      <c r="M6173" s="202"/>
    </row>
    <row r="6174" spans="13:13">
      <c r="M6174" s="202"/>
    </row>
    <row r="6175" spans="13:13">
      <c r="M6175" s="202"/>
    </row>
    <row r="6176" spans="13:13">
      <c r="M6176" s="202"/>
    </row>
    <row r="6177" spans="13:13">
      <c r="M6177" s="202"/>
    </row>
    <row r="6178" spans="13:13">
      <c r="M6178" s="202"/>
    </row>
    <row r="6179" spans="13:13">
      <c r="M6179" s="202"/>
    </row>
    <row r="6180" spans="13:13">
      <c r="M6180" s="202"/>
    </row>
    <row r="6181" spans="13:13">
      <c r="M6181" s="202"/>
    </row>
    <row r="6182" spans="13:13">
      <c r="M6182" s="202"/>
    </row>
    <row r="6183" spans="13:13">
      <c r="M6183" s="202"/>
    </row>
    <row r="6184" spans="13:13">
      <c r="M6184" s="202"/>
    </row>
    <row r="6185" spans="13:13">
      <c r="M6185" s="202"/>
    </row>
    <row r="6186" spans="13:13">
      <c r="M6186" s="202"/>
    </row>
    <row r="6187" spans="13:13">
      <c r="M6187" s="202"/>
    </row>
    <row r="6188" spans="13:13">
      <c r="M6188" s="202"/>
    </row>
    <row r="6189" spans="13:13">
      <c r="M6189" s="202"/>
    </row>
    <row r="6190" spans="13:13">
      <c r="M6190" s="202"/>
    </row>
    <row r="6191" spans="13:13">
      <c r="M6191" s="202"/>
    </row>
    <row r="6192" spans="13:13">
      <c r="M6192" s="202"/>
    </row>
    <row r="6193" spans="13:13">
      <c r="M6193" s="202"/>
    </row>
    <row r="6194" spans="13:13">
      <c r="M6194" s="202"/>
    </row>
    <row r="6195" spans="13:13">
      <c r="M6195" s="202"/>
    </row>
    <row r="6196" spans="13:13">
      <c r="M6196" s="202"/>
    </row>
    <row r="6197" spans="13:13">
      <c r="M6197" s="202"/>
    </row>
    <row r="6198" spans="13:13">
      <c r="M6198" s="202"/>
    </row>
    <row r="6199" spans="13:13">
      <c r="M6199" s="202"/>
    </row>
    <row r="6200" spans="13:13">
      <c r="M6200" s="202"/>
    </row>
    <row r="6201" spans="13:13">
      <c r="M6201" s="202"/>
    </row>
    <row r="6202" spans="13:13">
      <c r="M6202" s="202"/>
    </row>
    <row r="6203" spans="13:13">
      <c r="M6203" s="202"/>
    </row>
    <row r="6204" spans="13:13">
      <c r="M6204" s="202"/>
    </row>
    <row r="6205" spans="13:13">
      <c r="M6205" s="202"/>
    </row>
    <row r="6206" spans="13:13">
      <c r="M6206" s="202"/>
    </row>
    <row r="6207" spans="13:13">
      <c r="M6207" s="202"/>
    </row>
    <row r="6208" spans="13:13">
      <c r="M6208" s="202"/>
    </row>
    <row r="6209" spans="13:13">
      <c r="M6209" s="202"/>
    </row>
    <row r="6210" spans="13:13">
      <c r="M6210" s="202"/>
    </row>
    <row r="6211" spans="13:13">
      <c r="M6211" s="202"/>
    </row>
    <row r="6212" spans="13:13">
      <c r="M6212" s="202"/>
    </row>
    <row r="6213" spans="13:13">
      <c r="M6213" s="202"/>
    </row>
    <row r="6214" spans="13:13">
      <c r="M6214" s="202"/>
    </row>
    <row r="6215" spans="13:13">
      <c r="M6215" s="202"/>
    </row>
    <row r="6216" spans="13:13">
      <c r="M6216" s="202"/>
    </row>
    <row r="6217" spans="13:13">
      <c r="M6217" s="202"/>
    </row>
    <row r="6218" spans="13:13">
      <c r="M6218" s="202"/>
    </row>
    <row r="6219" spans="13:13">
      <c r="M6219" s="202"/>
    </row>
    <row r="6220" spans="13:13">
      <c r="M6220" s="202"/>
    </row>
    <row r="6221" spans="13:13">
      <c r="M6221" s="202"/>
    </row>
    <row r="6222" spans="13:13">
      <c r="M6222" s="202"/>
    </row>
    <row r="6223" spans="13:13">
      <c r="M6223" s="202"/>
    </row>
    <row r="6224" spans="13:13">
      <c r="M6224" s="202"/>
    </row>
    <row r="6225" spans="13:13">
      <c r="M6225" s="202"/>
    </row>
    <row r="6226" spans="13:13">
      <c r="M6226" s="202"/>
    </row>
    <row r="6227" spans="13:13">
      <c r="M6227" s="202"/>
    </row>
    <row r="6228" spans="13:13">
      <c r="M6228" s="202"/>
    </row>
    <row r="6229" spans="13:13">
      <c r="M6229" s="202"/>
    </row>
    <row r="6230" spans="13:13">
      <c r="M6230" s="202"/>
    </row>
    <row r="6231" spans="13:13">
      <c r="M6231" s="202"/>
    </row>
    <row r="6232" spans="13:13">
      <c r="M6232" s="202"/>
    </row>
    <row r="6233" spans="13:13">
      <c r="M6233" s="202"/>
    </row>
    <row r="6234" spans="13:13">
      <c r="M6234" s="202"/>
    </row>
    <row r="6235" spans="13:13">
      <c r="M6235" s="202"/>
    </row>
    <row r="6236" spans="13:13">
      <c r="M6236" s="202"/>
    </row>
    <row r="6237" spans="13:13">
      <c r="M6237" s="202"/>
    </row>
    <row r="6238" spans="13:13">
      <c r="M6238" s="202"/>
    </row>
    <row r="6239" spans="13:13">
      <c r="M6239" s="202"/>
    </row>
    <row r="6240" spans="13:13">
      <c r="M6240" s="202"/>
    </row>
    <row r="6241" spans="13:13">
      <c r="M6241" s="202"/>
    </row>
    <row r="6242" spans="13:13">
      <c r="M6242" s="202"/>
    </row>
    <row r="6243" spans="13:13">
      <c r="M6243" s="202"/>
    </row>
    <row r="6244" spans="13:13">
      <c r="M6244" s="202"/>
    </row>
    <row r="6245" spans="13:13">
      <c r="M6245" s="202"/>
    </row>
    <row r="6246" spans="13:13">
      <c r="M6246" s="202"/>
    </row>
    <row r="6247" spans="13:13">
      <c r="M6247" s="202"/>
    </row>
    <row r="6248" spans="13:13">
      <c r="M6248" s="202"/>
    </row>
    <row r="6249" spans="13:13">
      <c r="M6249" s="202"/>
    </row>
    <row r="6250" spans="13:13">
      <c r="M6250" s="202"/>
    </row>
    <row r="6251" spans="13:13">
      <c r="M6251" s="202"/>
    </row>
    <row r="6252" spans="13:13">
      <c r="M6252" s="202"/>
    </row>
    <row r="6253" spans="13:13">
      <c r="M6253" s="202"/>
    </row>
    <row r="6254" spans="13:13">
      <c r="M6254" s="202"/>
    </row>
    <row r="6255" spans="13:13">
      <c r="M6255" s="202"/>
    </row>
    <row r="6256" spans="13:13">
      <c r="M6256" s="202"/>
    </row>
    <row r="6257" spans="13:13">
      <c r="M6257" s="202"/>
    </row>
    <row r="6258" spans="13:13">
      <c r="M6258" s="202"/>
    </row>
    <row r="6259" spans="13:13">
      <c r="M6259" s="202"/>
    </row>
    <row r="6260" spans="13:13">
      <c r="M6260" s="202"/>
    </row>
    <row r="6261" spans="13:13">
      <c r="M6261" s="202"/>
    </row>
    <row r="6262" spans="13:13">
      <c r="M6262" s="202"/>
    </row>
    <row r="6263" spans="13:13">
      <c r="M6263" s="202"/>
    </row>
    <row r="6264" spans="13:13">
      <c r="M6264" s="202"/>
    </row>
    <row r="6265" spans="13:13">
      <c r="M6265" s="202"/>
    </row>
    <row r="6266" spans="13:13">
      <c r="M6266" s="202"/>
    </row>
    <row r="6267" spans="13:13">
      <c r="M6267" s="202"/>
    </row>
    <row r="6268" spans="13:13">
      <c r="M6268" s="202"/>
    </row>
    <row r="6269" spans="13:13">
      <c r="M6269" s="202"/>
    </row>
    <row r="6270" spans="13:13">
      <c r="M6270" s="202"/>
    </row>
    <row r="6271" spans="13:13">
      <c r="M6271" s="202"/>
    </row>
    <row r="6272" spans="13:13">
      <c r="M6272" s="202"/>
    </row>
    <row r="6273" spans="13:13">
      <c r="M6273" s="202"/>
    </row>
    <row r="6274" spans="13:13">
      <c r="M6274" s="202"/>
    </row>
    <row r="6275" spans="13:13">
      <c r="M6275" s="202"/>
    </row>
    <row r="6276" spans="13:13">
      <c r="M6276" s="202"/>
    </row>
    <row r="6277" spans="13:13">
      <c r="M6277" s="202"/>
    </row>
    <row r="6278" spans="13:13">
      <c r="M6278" s="202"/>
    </row>
    <row r="6279" spans="13:13">
      <c r="M6279" s="202"/>
    </row>
    <row r="6280" spans="13:13">
      <c r="M6280" s="202"/>
    </row>
    <row r="6281" spans="13:13">
      <c r="M6281" s="202"/>
    </row>
    <row r="6282" spans="13:13">
      <c r="M6282" s="202"/>
    </row>
    <row r="6283" spans="13:13">
      <c r="M6283" s="202"/>
    </row>
    <row r="6284" spans="13:13">
      <c r="M6284" s="202"/>
    </row>
    <row r="6285" spans="13:13">
      <c r="M6285" s="202"/>
    </row>
    <row r="6286" spans="13:13">
      <c r="M6286" s="202"/>
    </row>
    <row r="6287" spans="13:13">
      <c r="M6287" s="202"/>
    </row>
    <row r="6288" spans="13:13">
      <c r="M6288" s="202"/>
    </row>
    <row r="6289" spans="13:13">
      <c r="M6289" s="202"/>
    </row>
    <row r="6290" spans="13:13">
      <c r="M6290" s="202"/>
    </row>
    <row r="6291" spans="13:13">
      <c r="M6291" s="202"/>
    </row>
    <row r="6292" spans="13:13">
      <c r="M6292" s="202"/>
    </row>
    <row r="6293" spans="13:13">
      <c r="M6293" s="202"/>
    </row>
    <row r="6294" spans="13:13">
      <c r="M6294" s="202"/>
    </row>
    <row r="6295" spans="13:13">
      <c r="M6295" s="202"/>
    </row>
    <row r="6296" spans="13:13">
      <c r="M6296" s="202"/>
    </row>
    <row r="6297" spans="13:13">
      <c r="M6297" s="202"/>
    </row>
    <row r="6298" spans="13:13">
      <c r="M6298" s="202"/>
    </row>
    <row r="6299" spans="13:13">
      <c r="M6299" s="202"/>
    </row>
    <row r="6300" spans="13:13">
      <c r="M6300" s="202"/>
    </row>
    <row r="6301" spans="13:13">
      <c r="M6301" s="202"/>
    </row>
    <row r="6302" spans="13:13">
      <c r="M6302" s="202"/>
    </row>
    <row r="6303" spans="13:13">
      <c r="M6303" s="202"/>
    </row>
    <row r="6304" spans="13:13">
      <c r="M6304" s="202"/>
    </row>
    <row r="6305" spans="13:13">
      <c r="M6305" s="202"/>
    </row>
    <row r="6306" spans="13:13">
      <c r="M6306" s="202"/>
    </row>
    <row r="6307" spans="13:13">
      <c r="M6307" s="202"/>
    </row>
    <row r="6308" spans="13:13">
      <c r="M6308" s="202"/>
    </row>
    <row r="6309" spans="13:13">
      <c r="M6309" s="202"/>
    </row>
    <row r="6310" spans="13:13">
      <c r="M6310" s="202"/>
    </row>
    <row r="6311" spans="13:13">
      <c r="M6311" s="202"/>
    </row>
    <row r="6312" spans="13:13">
      <c r="M6312" s="202"/>
    </row>
    <row r="6313" spans="13:13">
      <c r="M6313" s="202"/>
    </row>
    <row r="6314" spans="13:13">
      <c r="M6314" s="202"/>
    </row>
    <row r="6315" spans="13:13">
      <c r="M6315" s="202"/>
    </row>
    <row r="6316" spans="13:13">
      <c r="M6316" s="202"/>
    </row>
    <row r="6317" spans="13:13">
      <c r="M6317" s="202"/>
    </row>
    <row r="6318" spans="13:13">
      <c r="M6318" s="202"/>
    </row>
    <row r="6319" spans="13:13">
      <c r="M6319" s="202"/>
    </row>
    <row r="6320" spans="13:13">
      <c r="M6320" s="202"/>
    </row>
    <row r="6321" spans="13:13">
      <c r="M6321" s="202"/>
    </row>
    <row r="6322" spans="13:13">
      <c r="M6322" s="202"/>
    </row>
    <row r="6323" spans="13:13">
      <c r="M6323" s="202"/>
    </row>
    <row r="6324" spans="13:13">
      <c r="M6324" s="202"/>
    </row>
    <row r="6325" spans="13:13">
      <c r="M6325" s="202"/>
    </row>
    <row r="6326" spans="13:13">
      <c r="M6326" s="202"/>
    </row>
    <row r="6327" spans="13:13">
      <c r="M6327" s="202"/>
    </row>
    <row r="6328" spans="13:13">
      <c r="M6328" s="202"/>
    </row>
    <row r="6329" spans="13:13">
      <c r="M6329" s="202"/>
    </row>
    <row r="6330" spans="13:13">
      <c r="M6330" s="202"/>
    </row>
    <row r="6331" spans="13:13">
      <c r="M6331" s="202"/>
    </row>
    <row r="6332" spans="13:13">
      <c r="M6332" s="202"/>
    </row>
    <row r="6333" spans="13:13">
      <c r="M6333" s="202"/>
    </row>
    <row r="6334" spans="13:13">
      <c r="M6334" s="202"/>
    </row>
    <row r="6335" spans="13:13">
      <c r="M6335" s="202"/>
    </row>
    <row r="6336" spans="13:13">
      <c r="M6336" s="202"/>
    </row>
    <row r="6337" spans="13:13">
      <c r="M6337" s="202"/>
    </row>
    <row r="6338" spans="13:13">
      <c r="M6338" s="202"/>
    </row>
    <row r="6339" spans="13:13">
      <c r="M6339" s="202"/>
    </row>
    <row r="6340" spans="13:13">
      <c r="M6340" s="202"/>
    </row>
    <row r="6341" spans="13:13">
      <c r="M6341" s="202"/>
    </row>
    <row r="6342" spans="13:13">
      <c r="M6342" s="202"/>
    </row>
    <row r="6343" spans="13:13">
      <c r="M6343" s="202"/>
    </row>
    <row r="6344" spans="13:13">
      <c r="M6344" s="202"/>
    </row>
    <row r="6345" spans="13:13">
      <c r="M6345" s="202"/>
    </row>
    <row r="6346" spans="13:13">
      <c r="M6346" s="202"/>
    </row>
    <row r="6347" spans="13:13">
      <c r="M6347" s="202"/>
    </row>
    <row r="6348" spans="13:13">
      <c r="M6348" s="202"/>
    </row>
    <row r="6349" spans="13:13">
      <c r="M6349" s="202"/>
    </row>
    <row r="6350" spans="13:13">
      <c r="M6350" s="202"/>
    </row>
    <row r="6351" spans="13:13">
      <c r="M6351" s="202"/>
    </row>
    <row r="6352" spans="13:13">
      <c r="M6352" s="202"/>
    </row>
    <row r="6353" spans="13:13">
      <c r="M6353" s="202"/>
    </row>
    <row r="6354" spans="13:13">
      <c r="M6354" s="202"/>
    </row>
    <row r="6355" spans="13:13">
      <c r="M6355" s="202"/>
    </row>
    <row r="6356" spans="13:13">
      <c r="M6356" s="202"/>
    </row>
    <row r="6357" spans="13:13">
      <c r="M6357" s="202"/>
    </row>
    <row r="6358" spans="13:13">
      <c r="M6358" s="202"/>
    </row>
    <row r="6359" spans="13:13">
      <c r="M6359" s="202"/>
    </row>
    <row r="6360" spans="13:13">
      <c r="M6360" s="202"/>
    </row>
    <row r="6361" spans="13:13">
      <c r="M6361" s="202"/>
    </row>
    <row r="6362" spans="13:13">
      <c r="M6362" s="202"/>
    </row>
    <row r="6363" spans="13:13">
      <c r="M6363" s="202"/>
    </row>
    <row r="6364" spans="13:13">
      <c r="M6364" s="202"/>
    </row>
    <row r="6365" spans="13:13">
      <c r="M6365" s="202"/>
    </row>
    <row r="6366" spans="13:13">
      <c r="M6366" s="202"/>
    </row>
    <row r="6367" spans="13:13">
      <c r="M6367" s="202"/>
    </row>
    <row r="6368" spans="13:13">
      <c r="M6368" s="202"/>
    </row>
    <row r="6369" spans="13:13">
      <c r="M6369" s="202"/>
    </row>
    <row r="6370" spans="13:13">
      <c r="M6370" s="202"/>
    </row>
    <row r="6371" spans="13:13">
      <c r="M6371" s="202"/>
    </row>
    <row r="6372" spans="13:13">
      <c r="M6372" s="202"/>
    </row>
    <row r="6373" spans="13:13">
      <c r="M6373" s="202"/>
    </row>
    <row r="6374" spans="13:13">
      <c r="M6374" s="202"/>
    </row>
    <row r="6375" spans="13:13">
      <c r="M6375" s="202"/>
    </row>
    <row r="6376" spans="13:13">
      <c r="M6376" s="202"/>
    </row>
    <row r="6377" spans="13:13">
      <c r="M6377" s="202"/>
    </row>
    <row r="6378" spans="13:13">
      <c r="M6378" s="202"/>
    </row>
    <row r="6379" spans="13:13">
      <c r="M6379" s="202"/>
    </row>
    <row r="6380" spans="13:13">
      <c r="M6380" s="202"/>
    </row>
    <row r="6381" spans="13:13">
      <c r="M6381" s="202"/>
    </row>
    <row r="6382" spans="13:13">
      <c r="M6382" s="202"/>
    </row>
    <row r="6383" spans="13:13">
      <c r="M6383" s="202"/>
    </row>
    <row r="6384" spans="13:13">
      <c r="M6384" s="202"/>
    </row>
    <row r="6385" spans="13:13">
      <c r="M6385" s="202"/>
    </row>
    <row r="6386" spans="13:13">
      <c r="M6386" s="202"/>
    </row>
    <row r="6387" spans="13:13">
      <c r="M6387" s="202"/>
    </row>
    <row r="6388" spans="13:13">
      <c r="M6388" s="202"/>
    </row>
    <row r="6389" spans="13:13">
      <c r="M6389" s="202"/>
    </row>
    <row r="6390" spans="13:13">
      <c r="M6390" s="202"/>
    </row>
    <row r="6391" spans="13:13">
      <c r="M6391" s="202"/>
    </row>
    <row r="6392" spans="13:13">
      <c r="M6392" s="202"/>
    </row>
    <row r="6393" spans="13:13">
      <c r="M6393" s="202"/>
    </row>
    <row r="6394" spans="13:13">
      <c r="M6394" s="202"/>
    </row>
    <row r="6395" spans="13:13">
      <c r="M6395" s="202"/>
    </row>
    <row r="6396" spans="13:13">
      <c r="M6396" s="202"/>
    </row>
    <row r="6397" spans="13:13">
      <c r="M6397" s="202"/>
    </row>
    <row r="6398" spans="13:13">
      <c r="M6398" s="202"/>
    </row>
    <row r="6399" spans="13:13">
      <c r="M6399" s="202"/>
    </row>
    <row r="6400" spans="13:13">
      <c r="M6400" s="202"/>
    </row>
    <row r="6401" spans="13:13">
      <c r="M6401" s="202"/>
    </row>
    <row r="6402" spans="13:13">
      <c r="M6402" s="202"/>
    </row>
    <row r="6403" spans="13:13">
      <c r="M6403" s="202"/>
    </row>
    <row r="6404" spans="13:13">
      <c r="M6404" s="202"/>
    </row>
    <row r="6405" spans="13:13">
      <c r="M6405" s="202"/>
    </row>
    <row r="6406" spans="13:13">
      <c r="M6406" s="202"/>
    </row>
    <row r="6407" spans="13:13">
      <c r="M6407" s="202"/>
    </row>
    <row r="6408" spans="13:13">
      <c r="M6408" s="202"/>
    </row>
    <row r="6409" spans="13:13">
      <c r="M6409" s="202"/>
    </row>
    <row r="6410" spans="13:13">
      <c r="M6410" s="202"/>
    </row>
    <row r="6411" spans="13:13">
      <c r="M6411" s="202"/>
    </row>
    <row r="6412" spans="13:13">
      <c r="M6412" s="202"/>
    </row>
    <row r="6413" spans="13:13">
      <c r="M6413" s="202"/>
    </row>
    <row r="6414" spans="13:13">
      <c r="M6414" s="202"/>
    </row>
    <row r="6415" spans="13:13">
      <c r="M6415" s="202"/>
    </row>
    <row r="6416" spans="13:13">
      <c r="M6416" s="202"/>
    </row>
    <row r="6417" spans="13:13">
      <c r="M6417" s="202"/>
    </row>
    <row r="6418" spans="13:13">
      <c r="M6418" s="202"/>
    </row>
    <row r="6419" spans="13:13">
      <c r="M6419" s="202"/>
    </row>
    <row r="6420" spans="13:13">
      <c r="M6420" s="202"/>
    </row>
    <row r="6421" spans="13:13">
      <c r="M6421" s="202"/>
    </row>
    <row r="6422" spans="13:13">
      <c r="M6422" s="202"/>
    </row>
    <row r="6423" spans="13:13">
      <c r="M6423" s="202"/>
    </row>
    <row r="6424" spans="13:13">
      <c r="M6424" s="202"/>
    </row>
    <row r="6425" spans="13:13">
      <c r="M6425" s="202"/>
    </row>
    <row r="6426" spans="13:13">
      <c r="M6426" s="202"/>
    </row>
    <row r="6427" spans="13:13">
      <c r="M6427" s="202"/>
    </row>
    <row r="6428" spans="13:13">
      <c r="M6428" s="202"/>
    </row>
    <row r="6429" spans="13:13">
      <c r="M6429" s="202"/>
    </row>
    <row r="6430" spans="13:13">
      <c r="M6430" s="202"/>
    </row>
    <row r="6431" spans="13:13">
      <c r="M6431" s="202"/>
    </row>
    <row r="6432" spans="13:13">
      <c r="M6432" s="202"/>
    </row>
    <row r="6433" spans="13:13">
      <c r="M6433" s="202"/>
    </row>
    <row r="6434" spans="13:13">
      <c r="M6434" s="202"/>
    </row>
    <row r="6435" spans="13:13">
      <c r="M6435" s="202"/>
    </row>
    <row r="6436" spans="13:13">
      <c r="M6436" s="202"/>
    </row>
    <row r="6437" spans="13:13">
      <c r="M6437" s="202"/>
    </row>
    <row r="6438" spans="13:13">
      <c r="M6438" s="202"/>
    </row>
    <row r="6439" spans="13:13">
      <c r="M6439" s="202"/>
    </row>
    <row r="6440" spans="13:13">
      <c r="M6440" s="202"/>
    </row>
    <row r="6441" spans="13:13">
      <c r="M6441" s="202"/>
    </row>
    <row r="6442" spans="13:13">
      <c r="M6442" s="202"/>
    </row>
    <row r="6443" spans="13:13">
      <c r="M6443" s="202"/>
    </row>
    <row r="6444" spans="13:13">
      <c r="M6444" s="202"/>
    </row>
    <row r="6445" spans="13:13">
      <c r="M6445" s="202"/>
    </row>
    <row r="6446" spans="13:13">
      <c r="M6446" s="202"/>
    </row>
    <row r="6447" spans="13:13">
      <c r="M6447" s="202"/>
    </row>
    <row r="6448" spans="13:13">
      <c r="M6448" s="202"/>
    </row>
    <row r="6449" spans="13:13">
      <c r="M6449" s="202"/>
    </row>
    <row r="6450" spans="13:13">
      <c r="M6450" s="202"/>
    </row>
    <row r="6451" spans="13:13">
      <c r="M6451" s="202"/>
    </row>
    <row r="6452" spans="13:13">
      <c r="M6452" s="202"/>
    </row>
    <row r="6453" spans="13:13">
      <c r="M6453" s="202"/>
    </row>
    <row r="6454" spans="13:13">
      <c r="M6454" s="202"/>
    </row>
    <row r="6455" spans="13:13">
      <c r="M6455" s="202"/>
    </row>
    <row r="6456" spans="13:13">
      <c r="M6456" s="202"/>
    </row>
    <row r="6457" spans="13:13">
      <c r="M6457" s="202"/>
    </row>
    <row r="6458" spans="13:13">
      <c r="M6458" s="202"/>
    </row>
    <row r="6459" spans="13:13">
      <c r="M6459" s="202"/>
    </row>
    <row r="6460" spans="13:13">
      <c r="M6460" s="202"/>
    </row>
    <row r="6461" spans="13:13">
      <c r="M6461" s="202"/>
    </row>
    <row r="6462" spans="13:13">
      <c r="M6462" s="202"/>
    </row>
    <row r="6463" spans="13:13">
      <c r="M6463" s="202"/>
    </row>
    <row r="6464" spans="13:13">
      <c r="M6464" s="202"/>
    </row>
    <row r="6465" spans="13:13">
      <c r="M6465" s="202"/>
    </row>
    <row r="6466" spans="13:13">
      <c r="M6466" s="202"/>
    </row>
    <row r="6467" spans="13:13">
      <c r="M6467" s="202"/>
    </row>
    <row r="6468" spans="13:13">
      <c r="M6468" s="202"/>
    </row>
    <row r="6469" spans="13:13">
      <c r="M6469" s="202"/>
    </row>
    <row r="6470" spans="13:13">
      <c r="M6470" s="202"/>
    </row>
    <row r="6471" spans="13:13">
      <c r="M6471" s="202"/>
    </row>
    <row r="6472" spans="13:13">
      <c r="M6472" s="202"/>
    </row>
    <row r="6473" spans="13:13">
      <c r="M6473" s="202"/>
    </row>
    <row r="6474" spans="13:13">
      <c r="M6474" s="202"/>
    </row>
    <row r="6475" spans="13:13">
      <c r="M6475" s="202"/>
    </row>
    <row r="6476" spans="13:13">
      <c r="M6476" s="202"/>
    </row>
    <row r="6477" spans="13:13">
      <c r="M6477" s="202"/>
    </row>
    <row r="6478" spans="13:13">
      <c r="M6478" s="202"/>
    </row>
    <row r="6479" spans="13:13">
      <c r="M6479" s="202"/>
    </row>
    <row r="6480" spans="13:13">
      <c r="M6480" s="202"/>
    </row>
    <row r="6481" spans="13:13">
      <c r="M6481" s="202"/>
    </row>
    <row r="6482" spans="13:13">
      <c r="M6482" s="202"/>
    </row>
    <row r="6483" spans="13:13">
      <c r="M6483" s="202"/>
    </row>
    <row r="6484" spans="13:13">
      <c r="M6484" s="202"/>
    </row>
    <row r="6485" spans="13:13">
      <c r="M6485" s="202"/>
    </row>
    <row r="6486" spans="13:13">
      <c r="M6486" s="202"/>
    </row>
    <row r="6487" spans="13:13">
      <c r="M6487" s="202"/>
    </row>
    <row r="6488" spans="13:13">
      <c r="M6488" s="202"/>
    </row>
    <row r="6489" spans="13:13">
      <c r="M6489" s="202"/>
    </row>
    <row r="6490" spans="13:13">
      <c r="M6490" s="202"/>
    </row>
    <row r="6491" spans="13:13">
      <c r="M6491" s="202"/>
    </row>
    <row r="6492" spans="13:13">
      <c r="M6492" s="202"/>
    </row>
    <row r="6493" spans="13:13">
      <c r="M6493" s="202"/>
    </row>
    <row r="6494" spans="13:13">
      <c r="M6494" s="202"/>
    </row>
    <row r="6495" spans="13:13">
      <c r="M6495" s="202"/>
    </row>
    <row r="6496" spans="13:13">
      <c r="M6496" s="202"/>
    </row>
    <row r="6497" spans="13:13">
      <c r="M6497" s="202"/>
    </row>
    <row r="6498" spans="13:13">
      <c r="M6498" s="202"/>
    </row>
    <row r="6499" spans="13:13">
      <c r="M6499" s="202"/>
    </row>
    <row r="6500" spans="13:13">
      <c r="M6500" s="202"/>
    </row>
    <row r="6501" spans="13:13">
      <c r="M6501" s="202"/>
    </row>
    <row r="6502" spans="13:13">
      <c r="M6502" s="202"/>
    </row>
    <row r="6503" spans="13:13">
      <c r="M6503" s="202"/>
    </row>
    <row r="6504" spans="13:13">
      <c r="M6504" s="202"/>
    </row>
    <row r="6505" spans="13:13">
      <c r="M6505" s="202"/>
    </row>
    <row r="6506" spans="13:13">
      <c r="M6506" s="202"/>
    </row>
    <row r="6507" spans="13:13">
      <c r="M6507" s="202"/>
    </row>
    <row r="6508" spans="13:13">
      <c r="M6508" s="202"/>
    </row>
    <row r="6509" spans="13:13">
      <c r="M6509" s="202"/>
    </row>
    <row r="6510" spans="13:13">
      <c r="M6510" s="202"/>
    </row>
    <row r="6511" spans="13:13">
      <c r="M6511" s="202"/>
    </row>
    <row r="6512" spans="13:13">
      <c r="M6512" s="202"/>
    </row>
    <row r="6513" spans="13:13">
      <c r="M6513" s="202"/>
    </row>
    <row r="6514" spans="13:13">
      <c r="M6514" s="202"/>
    </row>
    <row r="6515" spans="13:13">
      <c r="M6515" s="202"/>
    </row>
    <row r="6516" spans="13:13">
      <c r="M6516" s="202"/>
    </row>
    <row r="6517" spans="13:13">
      <c r="M6517" s="202"/>
    </row>
    <row r="6518" spans="13:13">
      <c r="M6518" s="202"/>
    </row>
    <row r="6519" spans="13:13">
      <c r="M6519" s="202"/>
    </row>
    <row r="6520" spans="13:13">
      <c r="M6520" s="202"/>
    </row>
    <row r="6521" spans="13:13">
      <c r="M6521" s="202"/>
    </row>
    <row r="6522" spans="13:13">
      <c r="M6522" s="202"/>
    </row>
    <row r="6523" spans="13:13">
      <c r="M6523" s="202"/>
    </row>
    <row r="6524" spans="13:13">
      <c r="M6524" s="202"/>
    </row>
    <row r="6525" spans="13:13">
      <c r="M6525" s="202"/>
    </row>
    <row r="6526" spans="13:13">
      <c r="M6526" s="202"/>
    </row>
    <row r="6527" spans="13:13">
      <c r="M6527" s="202"/>
    </row>
    <row r="6528" spans="13:13">
      <c r="M6528" s="202"/>
    </row>
    <row r="6529" spans="13:13">
      <c r="M6529" s="202"/>
    </row>
    <row r="6530" spans="13:13">
      <c r="M6530" s="202"/>
    </row>
    <row r="6531" spans="13:13">
      <c r="M6531" s="202"/>
    </row>
    <row r="6532" spans="13:13">
      <c r="M6532" s="202"/>
    </row>
    <row r="6533" spans="13:13">
      <c r="M6533" s="202"/>
    </row>
    <row r="6534" spans="13:13">
      <c r="M6534" s="202"/>
    </row>
    <row r="6535" spans="13:13">
      <c r="M6535" s="202"/>
    </row>
    <row r="6536" spans="13:13">
      <c r="M6536" s="202"/>
    </row>
    <row r="6537" spans="13:13">
      <c r="M6537" s="202"/>
    </row>
    <row r="6538" spans="13:13">
      <c r="M6538" s="202"/>
    </row>
    <row r="6539" spans="13:13">
      <c r="M6539" s="202"/>
    </row>
    <row r="6540" spans="13:13">
      <c r="M6540" s="202"/>
    </row>
    <row r="6541" spans="13:13">
      <c r="M6541" s="202"/>
    </row>
    <row r="6542" spans="13:13">
      <c r="M6542" s="202"/>
    </row>
    <row r="6543" spans="13:13">
      <c r="M6543" s="202"/>
    </row>
    <row r="6544" spans="13:13">
      <c r="M6544" s="202"/>
    </row>
    <row r="6545" spans="13:13">
      <c r="M6545" s="202"/>
    </row>
    <row r="6546" spans="13:13">
      <c r="M6546" s="202"/>
    </row>
    <row r="6547" spans="13:13">
      <c r="M6547" s="202"/>
    </row>
    <row r="6548" spans="13:13">
      <c r="M6548" s="202"/>
    </row>
    <row r="6549" spans="13:13">
      <c r="M6549" s="202"/>
    </row>
    <row r="6550" spans="13:13">
      <c r="M6550" s="202"/>
    </row>
    <row r="6551" spans="13:13">
      <c r="M6551" s="202"/>
    </row>
    <row r="6552" spans="13:13">
      <c r="M6552" s="202"/>
    </row>
    <row r="6553" spans="13:13">
      <c r="M6553" s="202"/>
    </row>
    <row r="6554" spans="13:13">
      <c r="M6554" s="202"/>
    </row>
    <row r="6555" spans="13:13">
      <c r="M6555" s="202"/>
    </row>
    <row r="6556" spans="13:13">
      <c r="M6556" s="202"/>
    </row>
    <row r="6557" spans="13:13">
      <c r="M6557" s="202"/>
    </row>
    <row r="6558" spans="13:13">
      <c r="M6558" s="202"/>
    </row>
    <row r="6559" spans="13:13">
      <c r="M6559" s="202"/>
    </row>
    <row r="6560" spans="13:13">
      <c r="M6560" s="202"/>
    </row>
    <row r="6561" spans="13:13">
      <c r="M6561" s="202"/>
    </row>
    <row r="6562" spans="13:13">
      <c r="M6562" s="202"/>
    </row>
    <row r="6563" spans="13:13">
      <c r="M6563" s="202"/>
    </row>
    <row r="6564" spans="13:13">
      <c r="M6564" s="202"/>
    </row>
    <row r="6565" spans="13:13">
      <c r="M6565" s="202"/>
    </row>
    <row r="6566" spans="13:13">
      <c r="M6566" s="202"/>
    </row>
    <row r="6567" spans="13:13">
      <c r="M6567" s="202"/>
    </row>
    <row r="6568" spans="13:13">
      <c r="M6568" s="202"/>
    </row>
    <row r="6569" spans="13:13">
      <c r="M6569" s="202"/>
    </row>
    <row r="6570" spans="13:13">
      <c r="M6570" s="202"/>
    </row>
    <row r="6571" spans="13:13">
      <c r="M6571" s="202"/>
    </row>
    <row r="6572" spans="13:13">
      <c r="M6572" s="202"/>
    </row>
    <row r="6573" spans="13:13">
      <c r="M6573" s="202"/>
    </row>
    <row r="6574" spans="13:13">
      <c r="M6574" s="202"/>
    </row>
    <row r="6575" spans="13:13">
      <c r="M6575" s="202"/>
    </row>
    <row r="6576" spans="13:13">
      <c r="M6576" s="202"/>
    </row>
    <row r="6577" spans="13:13">
      <c r="M6577" s="202"/>
    </row>
    <row r="6578" spans="13:13">
      <c r="M6578" s="202"/>
    </row>
    <row r="6579" spans="13:13">
      <c r="M6579" s="202"/>
    </row>
    <row r="6580" spans="13:13">
      <c r="M6580" s="202"/>
    </row>
    <row r="6581" spans="13:13">
      <c r="M6581" s="202"/>
    </row>
    <row r="6582" spans="13:13">
      <c r="M6582" s="202"/>
    </row>
    <row r="6583" spans="13:13">
      <c r="M6583" s="202"/>
    </row>
    <row r="6584" spans="13:13">
      <c r="M6584" s="202"/>
    </row>
    <row r="6585" spans="13:13">
      <c r="M6585" s="202"/>
    </row>
    <row r="6586" spans="13:13">
      <c r="M6586" s="202"/>
    </row>
    <row r="6587" spans="13:13">
      <c r="M6587" s="202"/>
    </row>
    <row r="6588" spans="13:13">
      <c r="M6588" s="202"/>
    </row>
    <row r="6589" spans="13:13">
      <c r="M6589" s="202"/>
    </row>
    <row r="6590" spans="13:13">
      <c r="M6590" s="202"/>
    </row>
    <row r="6591" spans="13:13">
      <c r="M6591" s="202"/>
    </row>
    <row r="6592" spans="13:13">
      <c r="M6592" s="202"/>
    </row>
    <row r="6593" spans="13:13">
      <c r="M6593" s="202"/>
    </row>
    <row r="6594" spans="13:13">
      <c r="M6594" s="202"/>
    </row>
    <row r="6595" spans="13:13">
      <c r="M6595" s="202"/>
    </row>
    <row r="6596" spans="13:13">
      <c r="M6596" s="202"/>
    </row>
    <row r="6597" spans="13:13">
      <c r="M6597" s="202"/>
    </row>
    <row r="6598" spans="13:13">
      <c r="M6598" s="202"/>
    </row>
    <row r="6599" spans="13:13">
      <c r="M6599" s="202"/>
    </row>
    <row r="6600" spans="13:13">
      <c r="M6600" s="202"/>
    </row>
    <row r="6601" spans="13:13">
      <c r="M6601" s="202"/>
    </row>
    <row r="6602" spans="13:13">
      <c r="M6602" s="202"/>
    </row>
    <row r="6603" spans="13:13">
      <c r="M6603" s="202"/>
    </row>
    <row r="6604" spans="13:13">
      <c r="M6604" s="202"/>
    </row>
    <row r="6605" spans="13:13">
      <c r="M6605" s="202"/>
    </row>
    <row r="6606" spans="13:13">
      <c r="M6606" s="202"/>
    </row>
    <row r="6607" spans="13:13">
      <c r="M6607" s="202"/>
    </row>
    <row r="6608" spans="13:13">
      <c r="M6608" s="202"/>
    </row>
    <row r="6609" spans="13:13">
      <c r="M6609" s="202"/>
    </row>
    <row r="6610" spans="13:13">
      <c r="M6610" s="202"/>
    </row>
    <row r="6611" spans="13:13">
      <c r="M6611" s="202"/>
    </row>
    <row r="6612" spans="13:13">
      <c r="M6612" s="202"/>
    </row>
    <row r="6613" spans="13:13">
      <c r="M6613" s="202"/>
    </row>
    <row r="6614" spans="13:13">
      <c r="M6614" s="202"/>
    </row>
    <row r="6615" spans="13:13">
      <c r="M6615" s="202"/>
    </row>
    <row r="6616" spans="13:13">
      <c r="M6616" s="202"/>
    </row>
    <row r="6617" spans="13:13">
      <c r="M6617" s="202"/>
    </row>
    <row r="6618" spans="13:13">
      <c r="M6618" s="202"/>
    </row>
    <row r="6619" spans="13:13">
      <c r="M6619" s="202"/>
    </row>
    <row r="6620" spans="13:13">
      <c r="M6620" s="202"/>
    </row>
    <row r="6621" spans="13:13">
      <c r="M6621" s="202"/>
    </row>
    <row r="6622" spans="13:13">
      <c r="M6622" s="202"/>
    </row>
    <row r="6623" spans="13:13">
      <c r="M6623" s="202"/>
    </row>
    <row r="6624" spans="13:13">
      <c r="M6624" s="202"/>
    </row>
    <row r="6625" spans="13:13">
      <c r="M6625" s="202"/>
    </row>
    <row r="6626" spans="13:13">
      <c r="M6626" s="202"/>
    </row>
    <row r="6627" spans="13:13">
      <c r="M6627" s="202"/>
    </row>
    <row r="6628" spans="13:13">
      <c r="M6628" s="202"/>
    </row>
    <row r="6629" spans="13:13">
      <c r="M6629" s="202"/>
    </row>
    <row r="6630" spans="13:13">
      <c r="M6630" s="202"/>
    </row>
    <row r="6631" spans="13:13">
      <c r="M6631" s="202"/>
    </row>
    <row r="6632" spans="13:13">
      <c r="M6632" s="202"/>
    </row>
    <row r="6633" spans="13:13">
      <c r="M6633" s="202"/>
    </row>
    <row r="6634" spans="13:13">
      <c r="M6634" s="202"/>
    </row>
    <row r="6635" spans="13:13">
      <c r="M6635" s="202"/>
    </row>
    <row r="6636" spans="13:13">
      <c r="M6636" s="202"/>
    </row>
    <row r="6637" spans="13:13">
      <c r="M6637" s="202"/>
    </row>
    <row r="6638" spans="13:13">
      <c r="M6638" s="202"/>
    </row>
    <row r="6639" spans="13:13">
      <c r="M6639" s="202"/>
    </row>
    <row r="6640" spans="13:13">
      <c r="M6640" s="202"/>
    </row>
    <row r="6641" spans="13:13">
      <c r="M6641" s="202"/>
    </row>
    <row r="6642" spans="13:13">
      <c r="M6642" s="202"/>
    </row>
    <row r="6643" spans="13:13">
      <c r="M6643" s="202"/>
    </row>
    <row r="6644" spans="13:13">
      <c r="M6644" s="202"/>
    </row>
    <row r="6645" spans="13:13">
      <c r="M6645" s="202"/>
    </row>
    <row r="6646" spans="13:13">
      <c r="M6646" s="202"/>
    </row>
    <row r="6647" spans="13:13">
      <c r="M6647" s="202"/>
    </row>
    <row r="6648" spans="13:13">
      <c r="M6648" s="202"/>
    </row>
    <row r="6649" spans="13:13">
      <c r="M6649" s="202"/>
    </row>
    <row r="6650" spans="13:13">
      <c r="M6650" s="202"/>
    </row>
    <row r="6651" spans="13:13">
      <c r="M6651" s="202"/>
    </row>
    <row r="6652" spans="13:13">
      <c r="M6652" s="202"/>
    </row>
    <row r="6653" spans="13:13">
      <c r="M6653" s="202"/>
    </row>
    <row r="6654" spans="13:13">
      <c r="M6654" s="202"/>
    </row>
    <row r="6655" spans="13:13">
      <c r="M6655" s="202"/>
    </row>
    <row r="6656" spans="13:13">
      <c r="M6656" s="202"/>
    </row>
    <row r="6657" spans="13:13">
      <c r="M6657" s="202"/>
    </row>
    <row r="6658" spans="13:13">
      <c r="M6658" s="202"/>
    </row>
    <row r="6659" spans="13:13">
      <c r="M6659" s="202"/>
    </row>
    <row r="6660" spans="13:13">
      <c r="M6660" s="202"/>
    </row>
    <row r="6661" spans="13:13">
      <c r="M6661" s="202"/>
    </row>
    <row r="6662" spans="13:13">
      <c r="M6662" s="202"/>
    </row>
    <row r="6663" spans="13:13">
      <c r="M6663" s="202"/>
    </row>
    <row r="6664" spans="13:13">
      <c r="M6664" s="202"/>
    </row>
    <row r="6665" spans="13:13">
      <c r="M6665" s="202"/>
    </row>
    <row r="6666" spans="13:13">
      <c r="M6666" s="202"/>
    </row>
    <row r="6667" spans="13:13">
      <c r="M6667" s="202"/>
    </row>
    <row r="6668" spans="13:13">
      <c r="M6668" s="202"/>
    </row>
    <row r="6669" spans="13:13">
      <c r="M6669" s="202"/>
    </row>
    <row r="6670" spans="13:13">
      <c r="M6670" s="202"/>
    </row>
    <row r="6671" spans="13:13">
      <c r="M6671" s="202"/>
    </row>
    <row r="6672" spans="13:13">
      <c r="M6672" s="202"/>
    </row>
    <row r="6673" spans="13:13">
      <c r="M6673" s="202"/>
    </row>
    <row r="6674" spans="13:13">
      <c r="M6674" s="202"/>
    </row>
    <row r="6675" spans="13:13">
      <c r="M6675" s="202"/>
    </row>
    <row r="6676" spans="13:13">
      <c r="M6676" s="202"/>
    </row>
    <row r="6677" spans="13:13">
      <c r="M6677" s="202"/>
    </row>
    <row r="6678" spans="13:13">
      <c r="M6678" s="202"/>
    </row>
    <row r="6679" spans="13:13">
      <c r="M6679" s="202"/>
    </row>
    <row r="6680" spans="13:13">
      <c r="M6680" s="202"/>
    </row>
    <row r="6681" spans="13:13">
      <c r="M6681" s="202"/>
    </row>
    <row r="6682" spans="13:13">
      <c r="M6682" s="202"/>
    </row>
    <row r="6683" spans="13:13">
      <c r="M6683" s="202"/>
    </row>
    <row r="6684" spans="13:13">
      <c r="M6684" s="202"/>
    </row>
    <row r="6685" spans="13:13">
      <c r="M6685" s="202"/>
    </row>
    <row r="6686" spans="13:13">
      <c r="M6686" s="202"/>
    </row>
    <row r="6687" spans="13:13">
      <c r="M6687" s="202"/>
    </row>
    <row r="6688" spans="13:13">
      <c r="M6688" s="202"/>
    </row>
    <row r="6689" spans="13:13">
      <c r="M6689" s="202"/>
    </row>
    <row r="6690" spans="13:13">
      <c r="M6690" s="202"/>
    </row>
    <row r="6691" spans="13:13">
      <c r="M6691" s="202"/>
    </row>
    <row r="6692" spans="13:13">
      <c r="M6692" s="202"/>
    </row>
    <row r="6693" spans="13:13">
      <c r="M6693" s="202"/>
    </row>
    <row r="6694" spans="13:13">
      <c r="M6694" s="202"/>
    </row>
    <row r="6695" spans="13:13">
      <c r="M6695" s="202"/>
    </row>
    <row r="6696" spans="13:13">
      <c r="M6696" s="202"/>
    </row>
    <row r="6697" spans="13:13">
      <c r="M6697" s="202"/>
    </row>
    <row r="6698" spans="13:13">
      <c r="M6698" s="202"/>
    </row>
    <row r="6699" spans="13:13">
      <c r="M6699" s="202"/>
    </row>
    <row r="6700" spans="13:13">
      <c r="M6700" s="202"/>
    </row>
    <row r="6701" spans="13:13">
      <c r="M6701" s="202"/>
    </row>
    <row r="6702" spans="13:13">
      <c r="M6702" s="202"/>
    </row>
    <row r="6703" spans="13:13">
      <c r="M6703" s="202"/>
    </row>
    <row r="6704" spans="13:13">
      <c r="M6704" s="202"/>
    </row>
    <row r="6705" spans="13:13">
      <c r="M6705" s="202"/>
    </row>
    <row r="6706" spans="13:13">
      <c r="M6706" s="202"/>
    </row>
    <row r="6707" spans="13:13">
      <c r="M6707" s="202"/>
    </row>
    <row r="6708" spans="13:13">
      <c r="M6708" s="202"/>
    </row>
    <row r="6709" spans="13:13">
      <c r="M6709" s="202"/>
    </row>
    <row r="6710" spans="13:13">
      <c r="M6710" s="202"/>
    </row>
    <row r="6711" spans="13:13">
      <c r="M6711" s="202"/>
    </row>
    <row r="6712" spans="13:13">
      <c r="M6712" s="202"/>
    </row>
    <row r="6713" spans="13:13">
      <c r="M6713" s="202"/>
    </row>
    <row r="6714" spans="13:13">
      <c r="M6714" s="202"/>
    </row>
    <row r="6715" spans="13:13">
      <c r="M6715" s="202"/>
    </row>
    <row r="6716" spans="13:13">
      <c r="M6716" s="202"/>
    </row>
    <row r="6717" spans="13:13">
      <c r="M6717" s="202"/>
    </row>
    <row r="6718" spans="13:13">
      <c r="M6718" s="202"/>
    </row>
    <row r="6719" spans="13:13">
      <c r="M6719" s="202"/>
    </row>
    <row r="6720" spans="13:13">
      <c r="M6720" s="202"/>
    </row>
    <row r="6721" spans="13:13">
      <c r="M6721" s="202"/>
    </row>
    <row r="6722" spans="13:13">
      <c r="M6722" s="202"/>
    </row>
    <row r="6723" spans="13:13">
      <c r="M6723" s="202"/>
    </row>
    <row r="6724" spans="13:13">
      <c r="M6724" s="202"/>
    </row>
    <row r="6725" spans="13:13">
      <c r="M6725" s="202"/>
    </row>
    <row r="6726" spans="13:13">
      <c r="M6726" s="202"/>
    </row>
    <row r="6727" spans="13:13">
      <c r="M6727" s="202"/>
    </row>
    <row r="6728" spans="13:13">
      <c r="M6728" s="202"/>
    </row>
    <row r="6729" spans="13:13">
      <c r="M6729" s="202"/>
    </row>
    <row r="6730" spans="13:13">
      <c r="M6730" s="202"/>
    </row>
    <row r="6731" spans="13:13">
      <c r="M6731" s="202"/>
    </row>
    <row r="6732" spans="13:13">
      <c r="M6732" s="202"/>
    </row>
    <row r="6733" spans="13:13">
      <c r="M6733" s="202"/>
    </row>
    <row r="6734" spans="13:13">
      <c r="M6734" s="202"/>
    </row>
    <row r="6735" spans="13:13">
      <c r="M6735" s="202"/>
    </row>
    <row r="6736" spans="13:13">
      <c r="M6736" s="202"/>
    </row>
    <row r="6737" spans="13:13">
      <c r="M6737" s="202"/>
    </row>
    <row r="6738" spans="13:13">
      <c r="M6738" s="202"/>
    </row>
    <row r="6739" spans="13:13">
      <c r="M6739" s="202"/>
    </row>
    <row r="6740" spans="13:13">
      <c r="M6740" s="202"/>
    </row>
    <row r="6741" spans="13:13">
      <c r="M6741" s="202"/>
    </row>
    <row r="6742" spans="13:13">
      <c r="M6742" s="202"/>
    </row>
    <row r="6743" spans="13:13">
      <c r="M6743" s="202"/>
    </row>
    <row r="6744" spans="13:13">
      <c r="M6744" s="202"/>
    </row>
    <row r="6745" spans="13:13">
      <c r="M6745" s="202"/>
    </row>
    <row r="6746" spans="13:13">
      <c r="M6746" s="202"/>
    </row>
    <row r="6747" spans="13:13">
      <c r="M6747" s="202"/>
    </row>
    <row r="6748" spans="13:13">
      <c r="M6748" s="202"/>
    </row>
    <row r="6749" spans="13:13">
      <c r="M6749" s="202"/>
    </row>
    <row r="6750" spans="13:13">
      <c r="M6750" s="202"/>
    </row>
    <row r="6751" spans="13:13">
      <c r="M6751" s="202"/>
    </row>
    <row r="6752" spans="13:13">
      <c r="M6752" s="202"/>
    </row>
    <row r="6753" spans="13:13">
      <c r="M6753" s="202"/>
    </row>
    <row r="6754" spans="13:13">
      <c r="M6754" s="202"/>
    </row>
    <row r="6755" spans="13:13">
      <c r="M6755" s="202"/>
    </row>
    <row r="6756" spans="13:13">
      <c r="M6756" s="202"/>
    </row>
    <row r="6757" spans="13:13">
      <c r="M6757" s="202"/>
    </row>
    <row r="6758" spans="13:13">
      <c r="M6758" s="202"/>
    </row>
    <row r="6759" spans="13:13">
      <c r="M6759" s="202"/>
    </row>
    <row r="6760" spans="13:13">
      <c r="M6760" s="202"/>
    </row>
    <row r="6761" spans="13:13">
      <c r="M6761" s="202"/>
    </row>
    <row r="6762" spans="13:13">
      <c r="M6762" s="202"/>
    </row>
    <row r="6763" spans="13:13">
      <c r="M6763" s="202"/>
    </row>
    <row r="6764" spans="13:13">
      <c r="M6764" s="202"/>
    </row>
    <row r="6765" spans="13:13">
      <c r="M6765" s="202"/>
    </row>
    <row r="6766" spans="13:13">
      <c r="M6766" s="202"/>
    </row>
    <row r="6767" spans="13:13">
      <c r="M6767" s="202"/>
    </row>
    <row r="6768" spans="13:13">
      <c r="M6768" s="202"/>
    </row>
    <row r="6769" spans="13:13">
      <c r="M6769" s="202"/>
    </row>
    <row r="6770" spans="13:13">
      <c r="M6770" s="202"/>
    </row>
    <row r="6771" spans="13:13">
      <c r="M6771" s="202"/>
    </row>
    <row r="6772" spans="13:13">
      <c r="M6772" s="202"/>
    </row>
    <row r="6773" spans="13:13">
      <c r="M6773" s="202"/>
    </row>
    <row r="6774" spans="13:13">
      <c r="M6774" s="202"/>
    </row>
    <row r="6775" spans="13:13">
      <c r="M6775" s="202"/>
    </row>
    <row r="6776" spans="13:13">
      <c r="M6776" s="202"/>
    </row>
    <row r="6777" spans="13:13">
      <c r="M6777" s="202"/>
    </row>
    <row r="6778" spans="13:13">
      <c r="M6778" s="202"/>
    </row>
    <row r="6779" spans="13:13">
      <c r="M6779" s="202"/>
    </row>
    <row r="6780" spans="13:13">
      <c r="M6780" s="202"/>
    </row>
    <row r="6781" spans="13:13">
      <c r="M6781" s="202"/>
    </row>
    <row r="6782" spans="13:13">
      <c r="M6782" s="202"/>
    </row>
    <row r="6783" spans="13:13">
      <c r="M6783" s="202"/>
    </row>
    <row r="6784" spans="13:13">
      <c r="M6784" s="202"/>
    </row>
    <row r="6785" spans="13:13">
      <c r="M6785" s="202"/>
    </row>
    <row r="6786" spans="13:13">
      <c r="M6786" s="202"/>
    </row>
    <row r="6787" spans="13:13">
      <c r="M6787" s="202"/>
    </row>
    <row r="6788" spans="13:13">
      <c r="M6788" s="202"/>
    </row>
    <row r="6789" spans="13:13">
      <c r="M6789" s="202"/>
    </row>
    <row r="6790" spans="13:13">
      <c r="M6790" s="202"/>
    </row>
    <row r="6791" spans="13:13">
      <c r="M6791" s="202"/>
    </row>
    <row r="6792" spans="13:13">
      <c r="M6792" s="202"/>
    </row>
    <row r="6793" spans="13:13">
      <c r="M6793" s="202"/>
    </row>
    <row r="6794" spans="13:13">
      <c r="M6794" s="202"/>
    </row>
    <row r="6795" spans="13:13">
      <c r="M6795" s="202"/>
    </row>
    <row r="6796" spans="13:13">
      <c r="M6796" s="202"/>
    </row>
    <row r="6797" spans="13:13">
      <c r="M6797" s="202"/>
    </row>
    <row r="6798" spans="13:13">
      <c r="M6798" s="202"/>
    </row>
    <row r="6799" spans="13:13">
      <c r="M6799" s="202"/>
    </row>
    <row r="6800" spans="13:13">
      <c r="M6800" s="202"/>
    </row>
    <row r="6801" spans="13:13">
      <c r="M6801" s="202"/>
    </row>
    <row r="6802" spans="13:13">
      <c r="M6802" s="202"/>
    </row>
    <row r="6803" spans="13:13">
      <c r="M6803" s="202"/>
    </row>
    <row r="6804" spans="13:13">
      <c r="M6804" s="202"/>
    </row>
    <row r="6805" spans="13:13">
      <c r="M6805" s="202"/>
    </row>
    <row r="6806" spans="13:13">
      <c r="M6806" s="202"/>
    </row>
    <row r="6807" spans="13:13">
      <c r="M6807" s="202"/>
    </row>
    <row r="6808" spans="13:13">
      <c r="M6808" s="202"/>
    </row>
    <row r="6809" spans="13:13">
      <c r="M6809" s="202"/>
    </row>
    <row r="6810" spans="13:13">
      <c r="M6810" s="202"/>
    </row>
    <row r="6811" spans="13:13">
      <c r="M6811" s="202"/>
    </row>
    <row r="6812" spans="13:13">
      <c r="M6812" s="202"/>
    </row>
    <row r="6813" spans="13:13">
      <c r="M6813" s="202"/>
    </row>
    <row r="6814" spans="13:13">
      <c r="M6814" s="202"/>
    </row>
    <row r="6815" spans="13:13">
      <c r="M6815" s="202"/>
    </row>
    <row r="6816" spans="13:13">
      <c r="M6816" s="202"/>
    </row>
    <row r="6817" spans="13:13">
      <c r="M6817" s="202"/>
    </row>
    <row r="6818" spans="13:13">
      <c r="M6818" s="202"/>
    </row>
    <row r="6819" spans="13:13">
      <c r="M6819" s="202"/>
    </row>
    <row r="6820" spans="13:13">
      <c r="M6820" s="202"/>
    </row>
    <row r="6821" spans="13:13">
      <c r="M6821" s="202"/>
    </row>
    <row r="6822" spans="13:13">
      <c r="M6822" s="202"/>
    </row>
    <row r="6823" spans="13:13">
      <c r="M6823" s="202"/>
    </row>
    <row r="6824" spans="13:13">
      <c r="M6824" s="202"/>
    </row>
    <row r="6825" spans="13:13">
      <c r="M6825" s="202"/>
    </row>
    <row r="6826" spans="13:13">
      <c r="M6826" s="202"/>
    </row>
    <row r="6827" spans="13:13">
      <c r="M6827" s="202"/>
    </row>
    <row r="6828" spans="13:13">
      <c r="M6828" s="202"/>
    </row>
    <row r="6829" spans="13:13">
      <c r="M6829" s="202"/>
    </row>
    <row r="6830" spans="13:13">
      <c r="M6830" s="202"/>
    </row>
    <row r="6831" spans="13:13">
      <c r="M6831" s="202"/>
    </row>
    <row r="6832" spans="13:13">
      <c r="M6832" s="202"/>
    </row>
    <row r="6833" spans="13:13">
      <c r="M6833" s="202"/>
    </row>
    <row r="6834" spans="13:13">
      <c r="M6834" s="202"/>
    </row>
    <row r="6835" spans="13:13">
      <c r="M6835" s="202"/>
    </row>
    <row r="6836" spans="13:13">
      <c r="M6836" s="202"/>
    </row>
    <row r="6837" spans="13:13">
      <c r="M6837" s="202"/>
    </row>
    <row r="6838" spans="13:13">
      <c r="M6838" s="202"/>
    </row>
    <row r="6839" spans="13:13">
      <c r="M6839" s="202"/>
    </row>
    <row r="6840" spans="13:13">
      <c r="M6840" s="202"/>
    </row>
    <row r="6841" spans="13:13">
      <c r="M6841" s="202"/>
    </row>
    <row r="6842" spans="13:13">
      <c r="M6842" s="202"/>
    </row>
    <row r="6843" spans="13:13">
      <c r="M6843" s="202"/>
    </row>
    <row r="6844" spans="13:13">
      <c r="M6844" s="202"/>
    </row>
    <row r="6845" spans="13:13">
      <c r="M6845" s="202"/>
    </row>
    <row r="6846" spans="13:13">
      <c r="M6846" s="202"/>
    </row>
    <row r="6847" spans="13:13">
      <c r="M6847" s="202"/>
    </row>
    <row r="6848" spans="13:13">
      <c r="M6848" s="202"/>
    </row>
    <row r="6849" spans="13:13">
      <c r="M6849" s="202"/>
    </row>
    <row r="6850" spans="13:13">
      <c r="M6850" s="202"/>
    </row>
    <row r="6851" spans="13:13">
      <c r="M6851" s="202"/>
    </row>
    <row r="6852" spans="13:13">
      <c r="M6852" s="202"/>
    </row>
    <row r="6853" spans="13:13">
      <c r="M6853" s="202"/>
    </row>
    <row r="6854" spans="13:13">
      <c r="M6854" s="202"/>
    </row>
    <row r="6855" spans="13:13">
      <c r="M6855" s="202"/>
    </row>
    <row r="6856" spans="13:13">
      <c r="M6856" s="202"/>
    </row>
    <row r="6857" spans="13:13">
      <c r="M6857" s="202"/>
    </row>
    <row r="6858" spans="13:13">
      <c r="M6858" s="202"/>
    </row>
    <row r="6859" spans="13:13">
      <c r="M6859" s="202"/>
    </row>
    <row r="6860" spans="13:13">
      <c r="M6860" s="202"/>
    </row>
    <row r="6861" spans="13:13">
      <c r="M6861" s="202"/>
    </row>
    <row r="6862" spans="13:13">
      <c r="M6862" s="202"/>
    </row>
    <row r="6863" spans="13:13">
      <c r="M6863" s="202"/>
    </row>
    <row r="6864" spans="13:13">
      <c r="M6864" s="202"/>
    </row>
    <row r="6865" spans="13:13">
      <c r="M6865" s="202"/>
    </row>
    <row r="6866" spans="13:13">
      <c r="M6866" s="202"/>
    </row>
    <row r="6867" spans="13:13">
      <c r="M6867" s="202"/>
    </row>
    <row r="6868" spans="13:13">
      <c r="M6868" s="202"/>
    </row>
    <row r="6869" spans="13:13">
      <c r="M6869" s="202"/>
    </row>
    <row r="6870" spans="13:13">
      <c r="M6870" s="202"/>
    </row>
    <row r="6871" spans="13:13">
      <c r="M6871" s="202"/>
    </row>
    <row r="6872" spans="13:13">
      <c r="M6872" s="202"/>
    </row>
    <row r="6873" spans="13:13">
      <c r="M6873" s="202"/>
    </row>
    <row r="6874" spans="13:13">
      <c r="M6874" s="202"/>
    </row>
    <row r="6875" spans="13:13">
      <c r="M6875" s="202"/>
    </row>
    <row r="6876" spans="13:13">
      <c r="M6876" s="202"/>
    </row>
    <row r="6877" spans="13:13">
      <c r="M6877" s="202"/>
    </row>
    <row r="6878" spans="13:13">
      <c r="M6878" s="202"/>
    </row>
    <row r="6879" spans="13:13">
      <c r="M6879" s="202"/>
    </row>
    <row r="6880" spans="13:13">
      <c r="M6880" s="202"/>
    </row>
    <row r="6881" spans="13:13">
      <c r="M6881" s="202"/>
    </row>
    <row r="6882" spans="13:13">
      <c r="M6882" s="202"/>
    </row>
    <row r="6883" spans="13:13">
      <c r="M6883" s="202"/>
    </row>
    <row r="6884" spans="13:13">
      <c r="M6884" s="202"/>
    </row>
    <row r="6885" spans="13:13">
      <c r="M6885" s="202"/>
    </row>
    <row r="6886" spans="13:13">
      <c r="M6886" s="202"/>
    </row>
    <row r="6887" spans="13:13">
      <c r="M6887" s="202"/>
    </row>
    <row r="6888" spans="13:13">
      <c r="M6888" s="202"/>
    </row>
    <row r="6889" spans="13:13">
      <c r="M6889" s="202"/>
    </row>
    <row r="6890" spans="13:13">
      <c r="M6890" s="202"/>
    </row>
    <row r="6891" spans="13:13">
      <c r="M6891" s="202"/>
    </row>
    <row r="6892" spans="13:13">
      <c r="M6892" s="202"/>
    </row>
    <row r="6893" spans="13:13">
      <c r="M6893" s="202"/>
    </row>
    <row r="6894" spans="13:13">
      <c r="M6894" s="202"/>
    </row>
    <row r="6895" spans="13:13">
      <c r="M6895" s="202"/>
    </row>
    <row r="6896" spans="13:13">
      <c r="M6896" s="202"/>
    </row>
    <row r="6897" spans="13:13">
      <c r="M6897" s="202"/>
    </row>
    <row r="6898" spans="13:13">
      <c r="M6898" s="202"/>
    </row>
    <row r="6899" spans="13:13">
      <c r="M6899" s="202"/>
    </row>
    <row r="6900" spans="13:13">
      <c r="M6900" s="202"/>
    </row>
    <row r="6901" spans="13:13">
      <c r="M6901" s="202"/>
    </row>
    <row r="6902" spans="13:13">
      <c r="M6902" s="202"/>
    </row>
    <row r="6903" spans="13:13">
      <c r="M6903" s="202"/>
    </row>
    <row r="6904" spans="13:13">
      <c r="M6904" s="202"/>
    </row>
    <row r="6905" spans="13:13">
      <c r="M6905" s="202"/>
    </row>
    <row r="6906" spans="13:13">
      <c r="M6906" s="202"/>
    </row>
    <row r="6907" spans="13:13">
      <c r="M6907" s="202"/>
    </row>
    <row r="6908" spans="13:13">
      <c r="M6908" s="202"/>
    </row>
    <row r="6909" spans="13:13">
      <c r="M6909" s="202"/>
    </row>
    <row r="6910" spans="13:13">
      <c r="M6910" s="202"/>
    </row>
    <row r="6911" spans="13:13">
      <c r="M6911" s="202"/>
    </row>
    <row r="6912" spans="13:13">
      <c r="M6912" s="202"/>
    </row>
    <row r="6913" spans="13:13">
      <c r="M6913" s="202"/>
    </row>
    <row r="6914" spans="13:13">
      <c r="M6914" s="202"/>
    </row>
    <row r="6915" spans="13:13">
      <c r="M6915" s="202"/>
    </row>
    <row r="6916" spans="13:13">
      <c r="M6916" s="202"/>
    </row>
    <row r="6917" spans="13:13">
      <c r="M6917" s="202"/>
    </row>
    <row r="6918" spans="13:13">
      <c r="M6918" s="202"/>
    </row>
    <row r="6919" spans="13:13">
      <c r="M6919" s="202"/>
    </row>
    <row r="6920" spans="13:13">
      <c r="M6920" s="202"/>
    </row>
    <row r="6921" spans="13:13">
      <c r="M6921" s="202"/>
    </row>
    <row r="6922" spans="13:13">
      <c r="M6922" s="202"/>
    </row>
    <row r="6923" spans="13:13">
      <c r="M6923" s="202"/>
    </row>
    <row r="6924" spans="13:13">
      <c r="M6924" s="202"/>
    </row>
    <row r="6925" spans="13:13">
      <c r="M6925" s="202"/>
    </row>
    <row r="6926" spans="13:13">
      <c r="M6926" s="202"/>
    </row>
    <row r="6927" spans="13:13">
      <c r="M6927" s="202"/>
    </row>
    <row r="6928" spans="13:13">
      <c r="M6928" s="202"/>
    </row>
    <row r="6929" spans="13:13">
      <c r="M6929" s="202"/>
    </row>
    <row r="6930" spans="13:13">
      <c r="M6930" s="202"/>
    </row>
    <row r="6931" spans="13:13">
      <c r="M6931" s="202"/>
    </row>
    <row r="6932" spans="13:13">
      <c r="M6932" s="202"/>
    </row>
    <row r="6933" spans="13:13">
      <c r="M6933" s="202"/>
    </row>
    <row r="6934" spans="13:13">
      <c r="M6934" s="202"/>
    </row>
    <row r="6935" spans="13:13">
      <c r="M6935" s="202"/>
    </row>
    <row r="6936" spans="13:13">
      <c r="M6936" s="202"/>
    </row>
    <row r="6937" spans="13:13">
      <c r="M6937" s="202"/>
    </row>
    <row r="6938" spans="13:13">
      <c r="M6938" s="202"/>
    </row>
    <row r="6939" spans="13:13">
      <c r="M6939" s="202"/>
    </row>
    <row r="6940" spans="13:13">
      <c r="M6940" s="202"/>
    </row>
    <row r="6941" spans="13:13">
      <c r="M6941" s="202"/>
    </row>
    <row r="6942" spans="13:13">
      <c r="M6942" s="202"/>
    </row>
    <row r="6943" spans="13:13">
      <c r="M6943" s="202"/>
    </row>
    <row r="6944" spans="13:13">
      <c r="M6944" s="202"/>
    </row>
    <row r="6945" spans="13:13">
      <c r="M6945" s="202"/>
    </row>
    <row r="6946" spans="13:13">
      <c r="M6946" s="202"/>
    </row>
    <row r="6947" spans="13:13">
      <c r="M6947" s="202"/>
    </row>
    <row r="6948" spans="13:13">
      <c r="M6948" s="202"/>
    </row>
    <row r="6949" spans="13:13">
      <c r="M6949" s="202"/>
    </row>
    <row r="6950" spans="13:13">
      <c r="M6950" s="202"/>
    </row>
    <row r="6951" spans="13:13">
      <c r="M6951" s="202"/>
    </row>
    <row r="6952" spans="13:13">
      <c r="M6952" s="202"/>
    </row>
    <row r="6953" spans="13:13">
      <c r="M6953" s="202"/>
    </row>
    <row r="6954" spans="13:13">
      <c r="M6954" s="202"/>
    </row>
    <row r="6955" spans="13:13">
      <c r="M6955" s="202"/>
    </row>
    <row r="6956" spans="13:13">
      <c r="M6956" s="202"/>
    </row>
    <row r="6957" spans="13:13">
      <c r="M6957" s="202"/>
    </row>
    <row r="6958" spans="13:13">
      <c r="M6958" s="202"/>
    </row>
    <row r="6959" spans="13:13">
      <c r="M6959" s="202"/>
    </row>
    <row r="6960" spans="13:13">
      <c r="M6960" s="202"/>
    </row>
    <row r="6961" spans="13:13">
      <c r="M6961" s="202"/>
    </row>
    <row r="6962" spans="13:13">
      <c r="M6962" s="202"/>
    </row>
    <row r="6963" spans="13:13">
      <c r="M6963" s="202"/>
    </row>
    <row r="6964" spans="13:13">
      <c r="M6964" s="202"/>
    </row>
    <row r="6965" spans="13:13">
      <c r="M6965" s="202"/>
    </row>
    <row r="6966" spans="13:13">
      <c r="M6966" s="202"/>
    </row>
    <row r="6967" spans="13:13">
      <c r="M6967" s="202"/>
    </row>
    <row r="6968" spans="13:13">
      <c r="M6968" s="202"/>
    </row>
    <row r="6969" spans="13:13">
      <c r="M6969" s="202"/>
    </row>
    <row r="6970" spans="13:13">
      <c r="M6970" s="202"/>
    </row>
    <row r="6971" spans="13:13">
      <c r="M6971" s="202"/>
    </row>
    <row r="6972" spans="13:13">
      <c r="M6972" s="202"/>
    </row>
    <row r="6973" spans="13:13">
      <c r="M6973" s="202"/>
    </row>
    <row r="6974" spans="13:13">
      <c r="M6974" s="202"/>
    </row>
    <row r="6975" spans="13:13">
      <c r="M6975" s="202"/>
    </row>
    <row r="6976" spans="13:13">
      <c r="M6976" s="202"/>
    </row>
    <row r="6977" spans="13:13">
      <c r="M6977" s="202"/>
    </row>
    <row r="6978" spans="13:13">
      <c r="M6978" s="202"/>
    </row>
    <row r="6979" spans="13:13">
      <c r="M6979" s="202"/>
    </row>
    <row r="6980" spans="13:13">
      <c r="M6980" s="202"/>
    </row>
    <row r="6981" spans="13:13">
      <c r="M6981" s="202"/>
    </row>
    <row r="6982" spans="13:13">
      <c r="M6982" s="202"/>
    </row>
    <row r="6983" spans="13:13">
      <c r="M6983" s="202"/>
    </row>
    <row r="6984" spans="13:13">
      <c r="M6984" s="202"/>
    </row>
    <row r="6985" spans="13:13">
      <c r="M6985" s="202"/>
    </row>
    <row r="6986" spans="13:13">
      <c r="M6986" s="202"/>
    </row>
    <row r="6987" spans="13:13">
      <c r="M6987" s="202"/>
    </row>
    <row r="6988" spans="13:13">
      <c r="M6988" s="202"/>
    </row>
    <row r="6989" spans="13:13">
      <c r="M6989" s="202"/>
    </row>
    <row r="6990" spans="13:13">
      <c r="M6990" s="202"/>
    </row>
    <row r="6991" spans="13:13">
      <c r="M6991" s="202"/>
    </row>
    <row r="6992" spans="13:13">
      <c r="M6992" s="202"/>
    </row>
    <row r="6993" spans="13:13">
      <c r="M6993" s="202"/>
    </row>
    <row r="6994" spans="13:13">
      <c r="M6994" s="202"/>
    </row>
    <row r="6995" spans="13:13">
      <c r="M6995" s="202"/>
    </row>
    <row r="6996" spans="13:13">
      <c r="M6996" s="202"/>
    </row>
    <row r="6997" spans="13:13">
      <c r="M6997" s="202"/>
    </row>
    <row r="6998" spans="13:13">
      <c r="M6998" s="202"/>
    </row>
    <row r="6999" spans="13:13">
      <c r="M6999" s="202"/>
    </row>
    <row r="7000" spans="13:13">
      <c r="M7000" s="202"/>
    </row>
    <row r="7001" spans="13:13">
      <c r="M7001" s="202"/>
    </row>
    <row r="7002" spans="13:13">
      <c r="M7002" s="202"/>
    </row>
    <row r="7003" spans="13:13">
      <c r="M7003" s="202"/>
    </row>
    <row r="7004" spans="13:13">
      <c r="M7004" s="202"/>
    </row>
    <row r="7005" spans="13:13">
      <c r="M7005" s="202"/>
    </row>
    <row r="7006" spans="13:13">
      <c r="M7006" s="202"/>
    </row>
    <row r="7007" spans="13:13">
      <c r="M7007" s="202"/>
    </row>
    <row r="7008" spans="13:13">
      <c r="M7008" s="202"/>
    </row>
    <row r="7009" spans="13:13">
      <c r="M7009" s="202"/>
    </row>
    <row r="7010" spans="13:13">
      <c r="M7010" s="202"/>
    </row>
    <row r="7011" spans="13:13">
      <c r="M7011" s="202"/>
    </row>
    <row r="7012" spans="13:13">
      <c r="M7012" s="202"/>
    </row>
    <row r="7013" spans="13:13">
      <c r="M7013" s="202"/>
    </row>
    <row r="7014" spans="13:13">
      <c r="M7014" s="202"/>
    </row>
    <row r="7015" spans="13:13">
      <c r="M7015" s="202"/>
    </row>
    <row r="7016" spans="13:13">
      <c r="M7016" s="202"/>
    </row>
    <row r="7017" spans="13:13">
      <c r="M7017" s="202"/>
    </row>
    <row r="7018" spans="13:13">
      <c r="M7018" s="202"/>
    </row>
    <row r="7019" spans="13:13">
      <c r="M7019" s="202"/>
    </row>
    <row r="7020" spans="13:13">
      <c r="M7020" s="202"/>
    </row>
    <row r="7021" spans="13:13">
      <c r="M7021" s="202"/>
    </row>
    <row r="7022" spans="13:13">
      <c r="M7022" s="202"/>
    </row>
    <row r="7023" spans="13:13">
      <c r="M7023" s="202"/>
    </row>
    <row r="7024" spans="13:13">
      <c r="M7024" s="202"/>
    </row>
    <row r="7025" spans="13:13">
      <c r="M7025" s="202"/>
    </row>
    <row r="7026" spans="13:13">
      <c r="M7026" s="202"/>
    </row>
    <row r="7027" spans="13:13">
      <c r="M7027" s="202"/>
    </row>
    <row r="7028" spans="13:13">
      <c r="M7028" s="202"/>
    </row>
    <row r="7029" spans="13:13">
      <c r="M7029" s="202"/>
    </row>
    <row r="7030" spans="13:13">
      <c r="M7030" s="202"/>
    </row>
    <row r="7031" spans="13:13">
      <c r="M7031" s="202"/>
    </row>
    <row r="7032" spans="13:13">
      <c r="M7032" s="202"/>
    </row>
    <row r="7033" spans="13:13">
      <c r="M7033" s="202"/>
    </row>
    <row r="7034" spans="13:13">
      <c r="M7034" s="202"/>
    </row>
    <row r="7035" spans="13:13">
      <c r="M7035" s="202"/>
    </row>
    <row r="7036" spans="13:13">
      <c r="M7036" s="202"/>
    </row>
    <row r="7037" spans="13:13">
      <c r="M7037" s="202"/>
    </row>
    <row r="7038" spans="13:13">
      <c r="M7038" s="202"/>
    </row>
    <row r="7039" spans="13:13">
      <c r="M7039" s="202"/>
    </row>
    <row r="7040" spans="13:13">
      <c r="M7040" s="202"/>
    </row>
    <row r="7041" spans="13:13">
      <c r="M7041" s="202"/>
    </row>
    <row r="7042" spans="13:13">
      <c r="M7042" s="202"/>
    </row>
    <row r="7043" spans="13:13">
      <c r="M7043" s="202"/>
    </row>
    <row r="7044" spans="13:13">
      <c r="M7044" s="202"/>
    </row>
    <row r="7045" spans="13:13">
      <c r="M7045" s="202"/>
    </row>
    <row r="7046" spans="13:13">
      <c r="M7046" s="202"/>
    </row>
    <row r="7047" spans="13:13">
      <c r="M7047" s="202"/>
    </row>
    <row r="7048" spans="13:13">
      <c r="M7048" s="202"/>
    </row>
    <row r="7049" spans="13:13">
      <c r="M7049" s="202"/>
    </row>
    <row r="7050" spans="13:13">
      <c r="M7050" s="202"/>
    </row>
    <row r="7051" spans="13:13">
      <c r="M7051" s="202"/>
    </row>
    <row r="7052" spans="13:13">
      <c r="M7052" s="202"/>
    </row>
    <row r="7053" spans="13:13">
      <c r="M7053" s="202"/>
    </row>
    <row r="7054" spans="13:13">
      <c r="M7054" s="202"/>
    </row>
    <row r="7055" spans="13:13">
      <c r="M7055" s="202"/>
    </row>
    <row r="7056" spans="13:13">
      <c r="M7056" s="202"/>
    </row>
    <row r="7057" spans="13:13">
      <c r="M7057" s="202"/>
    </row>
    <row r="7058" spans="13:13">
      <c r="M7058" s="202"/>
    </row>
    <row r="7059" spans="13:13">
      <c r="M7059" s="202"/>
    </row>
    <row r="7060" spans="13:13">
      <c r="M7060" s="202"/>
    </row>
    <row r="7061" spans="13:13">
      <c r="M7061" s="202"/>
    </row>
    <row r="7062" spans="13:13">
      <c r="M7062" s="202"/>
    </row>
    <row r="7063" spans="13:13">
      <c r="M7063" s="202"/>
    </row>
    <row r="7064" spans="13:13">
      <c r="M7064" s="202"/>
    </row>
    <row r="7065" spans="13:13">
      <c r="M7065" s="202"/>
    </row>
    <row r="7066" spans="13:13">
      <c r="M7066" s="202"/>
    </row>
    <row r="7067" spans="13:13">
      <c r="M7067" s="202"/>
    </row>
    <row r="7068" spans="13:13">
      <c r="M7068" s="202"/>
    </row>
    <row r="7069" spans="13:13">
      <c r="M7069" s="202"/>
    </row>
    <row r="7070" spans="13:13">
      <c r="M7070" s="202"/>
    </row>
    <row r="7071" spans="13:13">
      <c r="M7071" s="202"/>
    </row>
    <row r="7072" spans="13:13">
      <c r="M7072" s="202"/>
    </row>
    <row r="7073" spans="13:13">
      <c r="M7073" s="202"/>
    </row>
    <row r="7074" spans="13:13">
      <c r="M7074" s="202"/>
    </row>
    <row r="7075" spans="13:13">
      <c r="M7075" s="202"/>
    </row>
    <row r="7076" spans="13:13">
      <c r="M7076" s="202"/>
    </row>
    <row r="7077" spans="13:13">
      <c r="M7077" s="202"/>
    </row>
    <row r="7078" spans="13:13">
      <c r="M7078" s="202"/>
    </row>
    <row r="7079" spans="13:13">
      <c r="M7079" s="202"/>
    </row>
    <row r="7080" spans="13:13">
      <c r="M7080" s="202"/>
    </row>
    <row r="7081" spans="13:13">
      <c r="M7081" s="202"/>
    </row>
    <row r="7082" spans="13:13">
      <c r="M7082" s="202"/>
    </row>
    <row r="7083" spans="13:13">
      <c r="M7083" s="202"/>
    </row>
    <row r="7084" spans="13:13">
      <c r="M7084" s="202"/>
    </row>
    <row r="7085" spans="13:13">
      <c r="M7085" s="202"/>
    </row>
    <row r="7086" spans="13:13">
      <c r="M7086" s="202"/>
    </row>
    <row r="7087" spans="13:13">
      <c r="M7087" s="202"/>
    </row>
    <row r="7088" spans="13:13">
      <c r="M7088" s="202"/>
    </row>
    <row r="7089" spans="13:13">
      <c r="M7089" s="202"/>
    </row>
    <row r="7090" spans="13:13">
      <c r="M7090" s="202"/>
    </row>
    <row r="7091" spans="13:13">
      <c r="M7091" s="202"/>
    </row>
    <row r="7092" spans="13:13">
      <c r="M7092" s="202"/>
    </row>
    <row r="7093" spans="13:13">
      <c r="M7093" s="202"/>
    </row>
    <row r="7094" spans="13:13">
      <c r="M7094" s="202"/>
    </row>
    <row r="7095" spans="13:13">
      <c r="M7095" s="202"/>
    </row>
    <row r="7096" spans="13:13">
      <c r="M7096" s="202"/>
    </row>
    <row r="7097" spans="13:13">
      <c r="M7097" s="202"/>
    </row>
    <row r="7098" spans="13:13">
      <c r="M7098" s="202"/>
    </row>
    <row r="7099" spans="13:13">
      <c r="M7099" s="202"/>
    </row>
    <row r="7100" spans="13:13">
      <c r="M7100" s="202"/>
    </row>
    <row r="7101" spans="13:13">
      <c r="M7101" s="202"/>
    </row>
    <row r="7102" spans="13:13">
      <c r="M7102" s="202"/>
    </row>
    <row r="7103" spans="13:13">
      <c r="M7103" s="202"/>
    </row>
    <row r="7104" spans="13:13">
      <c r="M7104" s="202"/>
    </row>
    <row r="7105" spans="13:13">
      <c r="M7105" s="202"/>
    </row>
    <row r="7106" spans="13:13">
      <c r="M7106" s="202"/>
    </row>
    <row r="7107" spans="13:13">
      <c r="M7107" s="202"/>
    </row>
    <row r="7108" spans="13:13">
      <c r="M7108" s="202"/>
    </row>
    <row r="7109" spans="13:13">
      <c r="M7109" s="202"/>
    </row>
    <row r="7110" spans="13:13">
      <c r="M7110" s="202"/>
    </row>
    <row r="7111" spans="13:13">
      <c r="M7111" s="202"/>
    </row>
    <row r="7112" spans="13:13">
      <c r="M7112" s="202"/>
    </row>
    <row r="7113" spans="13:13">
      <c r="M7113" s="202"/>
    </row>
    <row r="7114" spans="13:13">
      <c r="M7114" s="202"/>
    </row>
    <row r="7115" spans="13:13">
      <c r="M7115" s="202"/>
    </row>
    <row r="7116" spans="13:13">
      <c r="M7116" s="202"/>
    </row>
    <row r="7117" spans="13:13">
      <c r="M7117" s="202"/>
    </row>
    <row r="7118" spans="13:13">
      <c r="M7118" s="202"/>
    </row>
    <row r="7119" spans="13:13">
      <c r="M7119" s="202"/>
    </row>
    <row r="7120" spans="13:13">
      <c r="M7120" s="202"/>
    </row>
    <row r="7121" spans="13:13">
      <c r="M7121" s="202"/>
    </row>
    <row r="7122" spans="13:13">
      <c r="M7122" s="202"/>
    </row>
    <row r="7123" spans="13:13">
      <c r="M7123" s="202"/>
    </row>
    <row r="7124" spans="13:13">
      <c r="M7124" s="202"/>
    </row>
    <row r="7125" spans="13:13">
      <c r="M7125" s="202"/>
    </row>
    <row r="7126" spans="13:13">
      <c r="M7126" s="202"/>
    </row>
    <row r="7127" spans="13:13">
      <c r="M7127" s="202"/>
    </row>
    <row r="7128" spans="13:13">
      <c r="M7128" s="202"/>
    </row>
    <row r="7129" spans="13:13">
      <c r="M7129" s="202"/>
    </row>
    <row r="7130" spans="13:13">
      <c r="M7130" s="202"/>
    </row>
    <row r="7131" spans="13:13">
      <c r="M7131" s="202"/>
    </row>
    <row r="7132" spans="13:13">
      <c r="M7132" s="202"/>
    </row>
    <row r="7133" spans="13:13">
      <c r="M7133" s="202"/>
    </row>
    <row r="7134" spans="13:13">
      <c r="M7134" s="202"/>
    </row>
    <row r="7135" spans="13:13">
      <c r="M7135" s="202"/>
    </row>
    <row r="7136" spans="13:13">
      <c r="M7136" s="202"/>
    </row>
    <row r="7137" spans="13:13">
      <c r="M7137" s="202"/>
    </row>
    <row r="7138" spans="13:13">
      <c r="M7138" s="202"/>
    </row>
    <row r="7139" spans="13:13">
      <c r="M7139" s="202"/>
    </row>
    <row r="7140" spans="13:13">
      <c r="M7140" s="202"/>
    </row>
    <row r="7141" spans="13:13">
      <c r="M7141" s="202"/>
    </row>
    <row r="7142" spans="13:13">
      <c r="M7142" s="202"/>
    </row>
    <row r="7143" spans="13:13">
      <c r="M7143" s="202"/>
    </row>
    <row r="7144" spans="13:13">
      <c r="M7144" s="202"/>
    </row>
    <row r="7145" spans="13:13">
      <c r="M7145" s="202"/>
    </row>
    <row r="7146" spans="13:13">
      <c r="M7146" s="202"/>
    </row>
    <row r="7147" spans="13:13">
      <c r="M7147" s="202"/>
    </row>
    <row r="7148" spans="13:13">
      <c r="M7148" s="202"/>
    </row>
    <row r="7149" spans="13:13">
      <c r="M7149" s="202"/>
    </row>
    <row r="7150" spans="13:13">
      <c r="M7150" s="202"/>
    </row>
    <row r="7151" spans="13:13">
      <c r="M7151" s="202"/>
    </row>
    <row r="7152" spans="13:13">
      <c r="M7152" s="202"/>
    </row>
    <row r="7153" spans="13:13">
      <c r="M7153" s="202"/>
    </row>
    <row r="7154" spans="13:13">
      <c r="M7154" s="202"/>
    </row>
    <row r="7155" spans="13:13">
      <c r="M7155" s="202"/>
    </row>
    <row r="7156" spans="13:13">
      <c r="M7156" s="202"/>
    </row>
    <row r="7157" spans="13:13">
      <c r="M7157" s="202"/>
    </row>
    <row r="7158" spans="13:13">
      <c r="M7158" s="202"/>
    </row>
    <row r="7159" spans="13:13">
      <c r="M7159" s="202"/>
    </row>
    <row r="7160" spans="13:13">
      <c r="M7160" s="202"/>
    </row>
    <row r="7161" spans="13:13">
      <c r="M7161" s="202"/>
    </row>
    <row r="7162" spans="13:13">
      <c r="M7162" s="202"/>
    </row>
    <row r="7163" spans="13:13">
      <c r="M7163" s="202"/>
    </row>
    <row r="7164" spans="13:13">
      <c r="M7164" s="202"/>
    </row>
    <row r="7165" spans="13:13">
      <c r="M7165" s="202"/>
    </row>
    <row r="7166" spans="13:13">
      <c r="M7166" s="202"/>
    </row>
    <row r="7167" spans="13:13">
      <c r="M7167" s="202"/>
    </row>
    <row r="7168" spans="13:13">
      <c r="M7168" s="202"/>
    </row>
    <row r="7169" spans="13:13">
      <c r="M7169" s="202"/>
    </row>
    <row r="7170" spans="13:13">
      <c r="M7170" s="202"/>
    </row>
    <row r="7171" spans="13:13">
      <c r="M7171" s="202"/>
    </row>
    <row r="7172" spans="13:13">
      <c r="M7172" s="202"/>
    </row>
    <row r="7173" spans="13:13">
      <c r="M7173" s="202"/>
    </row>
    <row r="7174" spans="13:13">
      <c r="M7174" s="202"/>
    </row>
    <row r="7175" spans="13:13">
      <c r="M7175" s="202"/>
    </row>
    <row r="7176" spans="13:13">
      <c r="M7176" s="202"/>
    </row>
    <row r="7177" spans="13:13">
      <c r="M7177" s="202"/>
    </row>
    <row r="7178" spans="13:13">
      <c r="M7178" s="202"/>
    </row>
    <row r="7179" spans="13:13">
      <c r="M7179" s="202"/>
    </row>
    <row r="7180" spans="13:13">
      <c r="M7180" s="202"/>
    </row>
    <row r="7181" spans="13:13">
      <c r="M7181" s="202"/>
    </row>
    <row r="7182" spans="13:13">
      <c r="M7182" s="202"/>
    </row>
    <row r="7183" spans="13:13">
      <c r="M7183" s="202"/>
    </row>
    <row r="7184" spans="13:13">
      <c r="M7184" s="202"/>
    </row>
    <row r="7185" spans="13:13">
      <c r="M7185" s="202"/>
    </row>
    <row r="7186" spans="13:13">
      <c r="M7186" s="202"/>
    </row>
    <row r="7187" spans="13:13">
      <c r="M7187" s="202"/>
    </row>
    <row r="7188" spans="13:13">
      <c r="M7188" s="202"/>
    </row>
    <row r="7189" spans="13:13">
      <c r="M7189" s="202"/>
    </row>
    <row r="7190" spans="13:13">
      <c r="M7190" s="202"/>
    </row>
    <row r="7191" spans="13:13">
      <c r="M7191" s="202"/>
    </row>
    <row r="7192" spans="13:13">
      <c r="M7192" s="202"/>
    </row>
    <row r="7193" spans="13:13">
      <c r="M7193" s="202"/>
    </row>
    <row r="7194" spans="13:13">
      <c r="M7194" s="202"/>
    </row>
    <row r="7195" spans="13:13">
      <c r="M7195" s="202"/>
    </row>
    <row r="7196" spans="13:13">
      <c r="M7196" s="202"/>
    </row>
    <row r="7197" spans="13:13">
      <c r="M7197" s="202"/>
    </row>
    <row r="7198" spans="13:13">
      <c r="M7198" s="202"/>
    </row>
    <row r="7199" spans="13:13">
      <c r="M7199" s="202"/>
    </row>
    <row r="7200" spans="13:13">
      <c r="M7200" s="202"/>
    </row>
    <row r="7201" spans="13:13">
      <c r="M7201" s="202"/>
    </row>
    <row r="7202" spans="13:13">
      <c r="M7202" s="202"/>
    </row>
    <row r="7203" spans="13:13">
      <c r="M7203" s="202"/>
    </row>
    <row r="7204" spans="13:13">
      <c r="M7204" s="202"/>
    </row>
    <row r="7205" spans="13:13">
      <c r="M7205" s="202"/>
    </row>
    <row r="7206" spans="13:13">
      <c r="M7206" s="202"/>
    </row>
    <row r="7207" spans="13:13">
      <c r="M7207" s="202"/>
    </row>
    <row r="7208" spans="13:13">
      <c r="M7208" s="202"/>
    </row>
    <row r="7209" spans="13:13">
      <c r="M7209" s="202"/>
    </row>
    <row r="7210" spans="13:13">
      <c r="M7210" s="202"/>
    </row>
    <row r="7211" spans="13:13">
      <c r="M7211" s="202"/>
    </row>
    <row r="7212" spans="13:13">
      <c r="M7212" s="202"/>
    </row>
    <row r="7213" spans="13:13">
      <c r="M7213" s="202"/>
    </row>
    <row r="7214" spans="13:13">
      <c r="M7214" s="202"/>
    </row>
    <row r="7215" spans="13:13">
      <c r="M7215" s="202"/>
    </row>
    <row r="7216" spans="13:13">
      <c r="M7216" s="202"/>
    </row>
    <row r="7217" spans="13:13">
      <c r="M7217" s="202"/>
    </row>
    <row r="7218" spans="13:13">
      <c r="M7218" s="202"/>
    </row>
    <row r="7219" spans="13:13">
      <c r="M7219" s="202"/>
    </row>
    <row r="7220" spans="13:13">
      <c r="M7220" s="202"/>
    </row>
    <row r="7221" spans="13:13">
      <c r="M7221" s="202"/>
    </row>
    <row r="7222" spans="13:13">
      <c r="M7222" s="202"/>
    </row>
    <row r="7223" spans="13:13">
      <c r="M7223" s="202"/>
    </row>
    <row r="7224" spans="13:13">
      <c r="M7224" s="202"/>
    </row>
    <row r="7225" spans="13:13">
      <c r="M7225" s="202"/>
    </row>
    <row r="7226" spans="13:13">
      <c r="M7226" s="202"/>
    </row>
    <row r="7227" spans="13:13">
      <c r="M7227" s="202"/>
    </row>
    <row r="7228" spans="13:13">
      <c r="M7228" s="202"/>
    </row>
    <row r="7229" spans="13:13">
      <c r="M7229" s="202"/>
    </row>
    <row r="7230" spans="13:13">
      <c r="M7230" s="202"/>
    </row>
    <row r="7231" spans="13:13">
      <c r="M7231" s="202"/>
    </row>
    <row r="7232" spans="13:13">
      <c r="M7232" s="202"/>
    </row>
    <row r="7233" spans="13:13">
      <c r="M7233" s="202"/>
    </row>
    <row r="7234" spans="13:13">
      <c r="M7234" s="202"/>
    </row>
    <row r="7235" spans="13:13">
      <c r="M7235" s="202"/>
    </row>
    <row r="7236" spans="13:13">
      <c r="M7236" s="202"/>
    </row>
    <row r="7237" spans="13:13">
      <c r="M7237" s="202"/>
    </row>
    <row r="7238" spans="13:13">
      <c r="M7238" s="202"/>
    </row>
    <row r="7239" spans="13:13">
      <c r="M7239" s="202"/>
    </row>
    <row r="7240" spans="13:13">
      <c r="M7240" s="202"/>
    </row>
    <row r="7241" spans="13:13">
      <c r="M7241" s="202"/>
    </row>
    <row r="7242" spans="13:13">
      <c r="M7242" s="202"/>
    </row>
    <row r="7243" spans="13:13">
      <c r="M7243" s="202"/>
    </row>
    <row r="7244" spans="13:13">
      <c r="M7244" s="202"/>
    </row>
    <row r="7245" spans="13:13">
      <c r="M7245" s="202"/>
    </row>
    <row r="7246" spans="13:13">
      <c r="M7246" s="202"/>
    </row>
    <row r="7247" spans="13:13">
      <c r="M7247" s="202"/>
    </row>
    <row r="7248" spans="13:13">
      <c r="M7248" s="202"/>
    </row>
    <row r="7249" spans="13:13">
      <c r="M7249" s="202"/>
    </row>
    <row r="7250" spans="13:13">
      <c r="M7250" s="202"/>
    </row>
    <row r="7251" spans="13:13">
      <c r="M7251" s="202"/>
    </row>
    <row r="7252" spans="13:13">
      <c r="M7252" s="202"/>
    </row>
    <row r="7253" spans="13:13">
      <c r="M7253" s="202"/>
    </row>
    <row r="7254" spans="13:13">
      <c r="M7254" s="202"/>
    </row>
    <row r="7255" spans="13:13">
      <c r="M7255" s="202"/>
    </row>
    <row r="7256" spans="13:13">
      <c r="M7256" s="202"/>
    </row>
    <row r="7257" spans="13:13">
      <c r="M7257" s="202"/>
    </row>
    <row r="7258" spans="13:13">
      <c r="M7258" s="202"/>
    </row>
    <row r="7259" spans="13:13">
      <c r="M7259" s="202"/>
    </row>
    <row r="7260" spans="13:13">
      <c r="M7260" s="202"/>
    </row>
    <row r="7261" spans="13:13">
      <c r="M7261" s="202"/>
    </row>
    <row r="7262" spans="13:13">
      <c r="M7262" s="202"/>
    </row>
    <row r="7263" spans="13:13">
      <c r="M7263" s="202"/>
    </row>
    <row r="7264" spans="13:13">
      <c r="M7264" s="202"/>
    </row>
    <row r="7265" spans="13:13">
      <c r="M7265" s="202"/>
    </row>
    <row r="7266" spans="13:13">
      <c r="M7266" s="202"/>
    </row>
    <row r="7267" spans="13:13">
      <c r="M7267" s="202"/>
    </row>
    <row r="7268" spans="13:13">
      <c r="M7268" s="202"/>
    </row>
    <row r="7269" spans="13:13">
      <c r="M7269" s="202"/>
    </row>
    <row r="7270" spans="13:13">
      <c r="M7270" s="202"/>
    </row>
    <row r="7271" spans="13:13">
      <c r="M7271" s="202"/>
    </row>
    <row r="7272" spans="13:13">
      <c r="M7272" s="202"/>
    </row>
    <row r="7273" spans="13:13">
      <c r="M7273" s="202"/>
    </row>
    <row r="7274" spans="13:13">
      <c r="M7274" s="202"/>
    </row>
    <row r="7275" spans="13:13">
      <c r="M7275" s="202"/>
    </row>
    <row r="7276" spans="13:13">
      <c r="M7276" s="202"/>
    </row>
    <row r="7277" spans="13:13">
      <c r="M7277" s="202"/>
    </row>
    <row r="7278" spans="13:13">
      <c r="M7278" s="202"/>
    </row>
    <row r="7279" spans="13:13">
      <c r="M7279" s="202"/>
    </row>
    <row r="7280" spans="13:13">
      <c r="M7280" s="202"/>
    </row>
    <row r="7281" spans="13:13">
      <c r="M7281" s="202"/>
    </row>
    <row r="7282" spans="13:13">
      <c r="M7282" s="202"/>
    </row>
    <row r="7283" spans="13:13">
      <c r="M7283" s="202"/>
    </row>
    <row r="7284" spans="13:13">
      <c r="M7284" s="202"/>
    </row>
    <row r="7285" spans="13:13">
      <c r="M7285" s="202"/>
    </row>
    <row r="7286" spans="13:13">
      <c r="M7286" s="202"/>
    </row>
    <row r="7287" spans="13:13">
      <c r="M7287" s="202"/>
    </row>
    <row r="7288" spans="13:13">
      <c r="M7288" s="202"/>
    </row>
    <row r="7289" spans="13:13">
      <c r="M7289" s="202"/>
    </row>
    <row r="7290" spans="13:13">
      <c r="M7290" s="202"/>
    </row>
    <row r="7291" spans="13:13">
      <c r="M7291" s="202"/>
    </row>
    <row r="7292" spans="13:13">
      <c r="M7292" s="202"/>
    </row>
    <row r="7293" spans="13:13">
      <c r="M7293" s="202"/>
    </row>
    <row r="7294" spans="13:13">
      <c r="M7294" s="202"/>
    </row>
    <row r="7295" spans="13:13">
      <c r="M7295" s="202"/>
    </row>
    <row r="7296" spans="13:13">
      <c r="M7296" s="202"/>
    </row>
    <row r="7297" spans="13:13">
      <c r="M7297" s="202"/>
    </row>
    <row r="7298" spans="13:13">
      <c r="M7298" s="202"/>
    </row>
    <row r="7299" spans="13:13">
      <c r="M7299" s="202"/>
    </row>
    <row r="7300" spans="13:13">
      <c r="M7300" s="202"/>
    </row>
    <row r="7301" spans="13:13">
      <c r="M7301" s="202"/>
    </row>
    <row r="7302" spans="13:13">
      <c r="M7302" s="202"/>
    </row>
    <row r="7303" spans="13:13">
      <c r="M7303" s="202"/>
    </row>
    <row r="7304" spans="13:13">
      <c r="M7304" s="202"/>
    </row>
    <row r="7305" spans="13:13">
      <c r="M7305" s="202"/>
    </row>
    <row r="7306" spans="13:13">
      <c r="M7306" s="202"/>
    </row>
    <row r="7307" spans="13:13">
      <c r="M7307" s="202"/>
    </row>
    <row r="7308" spans="13:13">
      <c r="M7308" s="202"/>
    </row>
    <row r="7309" spans="13:13">
      <c r="M7309" s="202"/>
    </row>
    <row r="7310" spans="13:13">
      <c r="M7310" s="202"/>
    </row>
    <row r="7311" spans="13:13">
      <c r="M7311" s="202"/>
    </row>
    <row r="7312" spans="13:13">
      <c r="M7312" s="202"/>
    </row>
    <row r="7313" spans="13:13">
      <c r="M7313" s="202"/>
    </row>
    <row r="7314" spans="13:13">
      <c r="M7314" s="202"/>
    </row>
    <row r="7315" spans="13:13">
      <c r="M7315" s="202"/>
    </row>
    <row r="7316" spans="13:13">
      <c r="M7316" s="202"/>
    </row>
    <row r="7317" spans="13:13">
      <c r="M7317" s="202"/>
    </row>
    <row r="7318" spans="13:13">
      <c r="M7318" s="202"/>
    </row>
    <row r="7319" spans="13:13">
      <c r="M7319" s="202"/>
    </row>
    <row r="7320" spans="13:13">
      <c r="M7320" s="202"/>
    </row>
    <row r="7321" spans="13:13">
      <c r="M7321" s="202"/>
    </row>
    <row r="7322" spans="13:13">
      <c r="M7322" s="202"/>
    </row>
    <row r="7323" spans="13:13">
      <c r="M7323" s="202"/>
    </row>
    <row r="7324" spans="13:13">
      <c r="M7324" s="202"/>
    </row>
    <row r="7325" spans="13:13">
      <c r="M7325" s="202"/>
    </row>
    <row r="7326" spans="13:13">
      <c r="M7326" s="202"/>
    </row>
    <row r="7327" spans="13:13">
      <c r="M7327" s="202"/>
    </row>
    <row r="7328" spans="13:13">
      <c r="M7328" s="202"/>
    </row>
    <row r="7329" spans="13:13">
      <c r="M7329" s="202"/>
    </row>
    <row r="7330" spans="13:13">
      <c r="M7330" s="202"/>
    </row>
    <row r="7331" spans="13:13">
      <c r="M7331" s="202"/>
    </row>
    <row r="7332" spans="13:13">
      <c r="M7332" s="202"/>
    </row>
    <row r="7333" spans="13:13">
      <c r="M7333" s="202"/>
    </row>
    <row r="7334" spans="13:13">
      <c r="M7334" s="202"/>
    </row>
    <row r="7335" spans="13:13">
      <c r="M7335" s="202"/>
    </row>
    <row r="7336" spans="13:13">
      <c r="M7336" s="202"/>
    </row>
    <row r="7337" spans="13:13">
      <c r="M7337" s="202"/>
    </row>
    <row r="7338" spans="13:13">
      <c r="M7338" s="202"/>
    </row>
    <row r="7339" spans="13:13">
      <c r="M7339" s="202"/>
    </row>
    <row r="7340" spans="13:13">
      <c r="M7340" s="202"/>
    </row>
    <row r="7341" spans="13:13">
      <c r="M7341" s="202"/>
    </row>
    <row r="7342" spans="13:13">
      <c r="M7342" s="202"/>
    </row>
    <row r="7343" spans="13:13">
      <c r="M7343" s="202"/>
    </row>
    <row r="7344" spans="13:13">
      <c r="M7344" s="202"/>
    </row>
    <row r="7345" spans="13:13">
      <c r="M7345" s="202"/>
    </row>
    <row r="7346" spans="13:13">
      <c r="M7346" s="202"/>
    </row>
    <row r="7347" spans="13:13">
      <c r="M7347" s="202"/>
    </row>
    <row r="7348" spans="13:13">
      <c r="M7348" s="202"/>
    </row>
    <row r="7349" spans="13:13">
      <c r="M7349" s="202"/>
    </row>
    <row r="7350" spans="13:13">
      <c r="M7350" s="202"/>
    </row>
    <row r="7351" spans="13:13">
      <c r="M7351" s="202"/>
    </row>
    <row r="7352" spans="13:13">
      <c r="M7352" s="202"/>
    </row>
    <row r="7353" spans="13:13">
      <c r="M7353" s="202"/>
    </row>
    <row r="7354" spans="13:13">
      <c r="M7354" s="202"/>
    </row>
    <row r="7355" spans="13:13">
      <c r="M7355" s="202"/>
    </row>
    <row r="7356" spans="13:13">
      <c r="M7356" s="202"/>
    </row>
    <row r="7357" spans="13:13">
      <c r="M7357" s="202"/>
    </row>
    <row r="7358" spans="13:13">
      <c r="M7358" s="202"/>
    </row>
    <row r="7359" spans="13:13">
      <c r="M7359" s="202"/>
    </row>
    <row r="7360" spans="13:13">
      <c r="M7360" s="202"/>
    </row>
    <row r="7361" spans="13:13">
      <c r="M7361" s="202"/>
    </row>
    <row r="7362" spans="13:13">
      <c r="M7362" s="202"/>
    </row>
    <row r="7363" spans="13:13">
      <c r="M7363" s="202"/>
    </row>
    <row r="7364" spans="13:13">
      <c r="M7364" s="202"/>
    </row>
    <row r="7365" spans="13:13">
      <c r="M7365" s="202"/>
    </row>
    <row r="7366" spans="13:13">
      <c r="M7366" s="202"/>
    </row>
    <row r="7367" spans="13:13">
      <c r="M7367" s="202"/>
    </row>
    <row r="7368" spans="13:13">
      <c r="M7368" s="202"/>
    </row>
    <row r="7369" spans="13:13">
      <c r="M7369" s="202"/>
    </row>
    <row r="7370" spans="13:13">
      <c r="M7370" s="202"/>
    </row>
    <row r="7371" spans="13:13">
      <c r="M7371" s="202"/>
    </row>
    <row r="7372" spans="13:13">
      <c r="M7372" s="202"/>
    </row>
    <row r="7373" spans="13:13">
      <c r="M7373" s="202"/>
    </row>
    <row r="7374" spans="13:13">
      <c r="M7374" s="202"/>
    </row>
    <row r="7375" spans="13:13">
      <c r="M7375" s="202"/>
    </row>
    <row r="7376" spans="13:13">
      <c r="M7376" s="202"/>
    </row>
    <row r="7377" spans="13:13">
      <c r="M7377" s="202"/>
    </row>
    <row r="7378" spans="13:13">
      <c r="M7378" s="202"/>
    </row>
    <row r="7379" spans="13:13">
      <c r="M7379" s="202"/>
    </row>
    <row r="7380" spans="13:13">
      <c r="M7380" s="202"/>
    </row>
    <row r="7381" spans="13:13">
      <c r="M7381" s="202"/>
    </row>
    <row r="7382" spans="13:13">
      <c r="M7382" s="202"/>
    </row>
    <row r="7383" spans="13:13">
      <c r="M7383" s="202"/>
    </row>
    <row r="7384" spans="13:13">
      <c r="M7384" s="202"/>
    </row>
    <row r="7385" spans="13:13">
      <c r="M7385" s="202"/>
    </row>
    <row r="7386" spans="13:13">
      <c r="M7386" s="202"/>
    </row>
    <row r="7387" spans="13:13">
      <c r="M7387" s="202"/>
    </row>
    <row r="7388" spans="13:13">
      <c r="M7388" s="202"/>
    </row>
    <row r="7389" spans="13:13">
      <c r="M7389" s="202"/>
    </row>
    <row r="7390" spans="13:13">
      <c r="M7390" s="202"/>
    </row>
    <row r="7391" spans="13:13">
      <c r="M7391" s="202"/>
    </row>
    <row r="7392" spans="13:13">
      <c r="M7392" s="202"/>
    </row>
    <row r="7393" spans="13:13">
      <c r="M7393" s="202"/>
    </row>
    <row r="7394" spans="13:13">
      <c r="M7394" s="202"/>
    </row>
    <row r="7395" spans="13:13">
      <c r="M7395" s="202"/>
    </row>
    <row r="7396" spans="13:13">
      <c r="M7396" s="202"/>
    </row>
    <row r="7397" spans="13:13">
      <c r="M7397" s="202"/>
    </row>
    <row r="7398" spans="13:13">
      <c r="M7398" s="202"/>
    </row>
    <row r="7399" spans="13:13">
      <c r="M7399" s="202"/>
    </row>
    <row r="7400" spans="13:13">
      <c r="M7400" s="202"/>
    </row>
    <row r="7401" spans="13:13">
      <c r="M7401" s="202"/>
    </row>
    <row r="7402" spans="13:13">
      <c r="M7402" s="202"/>
    </row>
    <row r="7403" spans="13:13">
      <c r="M7403" s="202"/>
    </row>
    <row r="7404" spans="13:13">
      <c r="M7404" s="202"/>
    </row>
    <row r="7405" spans="13:13">
      <c r="M7405" s="202"/>
    </row>
    <row r="7406" spans="13:13">
      <c r="M7406" s="202"/>
    </row>
    <row r="7407" spans="13:13">
      <c r="M7407" s="202"/>
    </row>
    <row r="7408" spans="13:13">
      <c r="M7408" s="202"/>
    </row>
    <row r="7409" spans="13:13">
      <c r="M7409" s="202"/>
    </row>
    <row r="7410" spans="13:13">
      <c r="M7410" s="202"/>
    </row>
    <row r="7411" spans="13:13">
      <c r="M7411" s="202"/>
    </row>
    <row r="7412" spans="13:13">
      <c r="M7412" s="202"/>
    </row>
    <row r="7413" spans="13:13">
      <c r="M7413" s="202"/>
    </row>
    <row r="7414" spans="13:13">
      <c r="M7414" s="202"/>
    </row>
    <row r="7415" spans="13:13">
      <c r="M7415" s="202"/>
    </row>
    <row r="7416" spans="13:13">
      <c r="M7416" s="202"/>
    </row>
    <row r="7417" spans="13:13">
      <c r="M7417" s="202"/>
    </row>
    <row r="7418" spans="13:13">
      <c r="M7418" s="202"/>
    </row>
    <row r="7419" spans="13:13">
      <c r="M7419" s="202"/>
    </row>
    <row r="7420" spans="13:13">
      <c r="M7420" s="202"/>
    </row>
    <row r="7421" spans="13:13">
      <c r="M7421" s="202"/>
    </row>
    <row r="7422" spans="13:13">
      <c r="M7422" s="202"/>
    </row>
    <row r="7423" spans="13:13">
      <c r="M7423" s="202"/>
    </row>
    <row r="7424" spans="13:13">
      <c r="M7424" s="202"/>
    </row>
    <row r="7425" spans="13:13">
      <c r="M7425" s="202"/>
    </row>
    <row r="7426" spans="13:13">
      <c r="M7426" s="202"/>
    </row>
    <row r="7427" spans="13:13">
      <c r="M7427" s="202"/>
    </row>
    <row r="7428" spans="13:13">
      <c r="M7428" s="202"/>
    </row>
    <row r="7429" spans="13:13">
      <c r="M7429" s="202"/>
    </row>
    <row r="7430" spans="13:13">
      <c r="M7430" s="202"/>
    </row>
    <row r="7431" spans="13:13">
      <c r="M7431" s="202"/>
    </row>
    <row r="7432" spans="13:13">
      <c r="M7432" s="202"/>
    </row>
    <row r="7433" spans="13:13">
      <c r="M7433" s="202"/>
    </row>
    <row r="7434" spans="13:13">
      <c r="M7434" s="202"/>
    </row>
    <row r="7435" spans="13:13">
      <c r="M7435" s="202"/>
    </row>
    <row r="7436" spans="13:13">
      <c r="M7436" s="202"/>
    </row>
    <row r="7437" spans="13:13">
      <c r="M7437" s="202"/>
    </row>
    <row r="7438" spans="13:13">
      <c r="M7438" s="202"/>
    </row>
    <row r="7439" spans="13:13">
      <c r="M7439" s="202"/>
    </row>
    <row r="7440" spans="13:13">
      <c r="M7440" s="202"/>
    </row>
    <row r="7441" spans="13:13">
      <c r="M7441" s="202"/>
    </row>
    <row r="7442" spans="13:13">
      <c r="M7442" s="202"/>
    </row>
    <row r="7443" spans="13:13">
      <c r="M7443" s="202"/>
    </row>
    <row r="7444" spans="13:13">
      <c r="M7444" s="202"/>
    </row>
    <row r="7445" spans="13:13">
      <c r="M7445" s="202"/>
    </row>
    <row r="7446" spans="13:13">
      <c r="M7446" s="202"/>
    </row>
    <row r="7447" spans="13:13">
      <c r="M7447" s="202"/>
    </row>
    <row r="7448" spans="13:13">
      <c r="M7448" s="202"/>
    </row>
    <row r="7449" spans="13:13">
      <c r="M7449" s="202"/>
    </row>
    <row r="7450" spans="13:13">
      <c r="M7450" s="202"/>
    </row>
    <row r="7451" spans="13:13">
      <c r="M7451" s="202"/>
    </row>
    <row r="7452" spans="13:13">
      <c r="M7452" s="202"/>
    </row>
    <row r="7453" spans="13:13">
      <c r="M7453" s="202"/>
    </row>
    <row r="7454" spans="13:13">
      <c r="M7454" s="202"/>
    </row>
    <row r="7455" spans="13:13">
      <c r="M7455" s="202"/>
    </row>
    <row r="7456" spans="13:13">
      <c r="M7456" s="202"/>
    </row>
    <row r="7457" spans="13:13">
      <c r="M7457" s="202"/>
    </row>
    <row r="7458" spans="13:13">
      <c r="M7458" s="202"/>
    </row>
    <row r="7459" spans="13:13">
      <c r="M7459" s="202"/>
    </row>
    <row r="7460" spans="13:13">
      <c r="M7460" s="202"/>
    </row>
    <row r="7461" spans="13:13">
      <c r="M7461" s="202"/>
    </row>
    <row r="7462" spans="13:13">
      <c r="M7462" s="202"/>
    </row>
    <row r="7463" spans="13:13">
      <c r="M7463" s="202"/>
    </row>
    <row r="7464" spans="13:13">
      <c r="M7464" s="202"/>
    </row>
    <row r="7465" spans="13:13">
      <c r="M7465" s="202"/>
    </row>
    <row r="7466" spans="13:13">
      <c r="M7466" s="202"/>
    </row>
    <row r="7467" spans="13:13">
      <c r="M7467" s="202"/>
    </row>
    <row r="7468" spans="13:13">
      <c r="M7468" s="202"/>
    </row>
    <row r="7469" spans="13:13">
      <c r="M7469" s="202"/>
    </row>
    <row r="7470" spans="13:13">
      <c r="M7470" s="202"/>
    </row>
    <row r="7471" spans="13:13">
      <c r="M7471" s="202"/>
    </row>
    <row r="7472" spans="13:13">
      <c r="M7472" s="202"/>
    </row>
    <row r="7473" spans="13:13">
      <c r="M7473" s="202"/>
    </row>
    <row r="7474" spans="13:13">
      <c r="M7474" s="202"/>
    </row>
    <row r="7475" spans="13:13">
      <c r="M7475" s="202"/>
    </row>
    <row r="7476" spans="13:13">
      <c r="M7476" s="202"/>
    </row>
    <row r="7477" spans="13:13">
      <c r="M7477" s="202"/>
    </row>
    <row r="7478" spans="13:13">
      <c r="M7478" s="202"/>
    </row>
    <row r="7479" spans="13:13">
      <c r="M7479" s="202"/>
    </row>
    <row r="7480" spans="13:13">
      <c r="M7480" s="202"/>
    </row>
    <row r="7481" spans="13:13">
      <c r="M7481" s="202"/>
    </row>
    <row r="7482" spans="13:13">
      <c r="M7482" s="202"/>
    </row>
    <row r="7483" spans="13:13">
      <c r="M7483" s="202"/>
    </row>
    <row r="7484" spans="13:13">
      <c r="M7484" s="202"/>
    </row>
    <row r="7485" spans="13:13">
      <c r="M7485" s="202"/>
    </row>
    <row r="7486" spans="13:13">
      <c r="M7486" s="202"/>
    </row>
    <row r="7487" spans="13:13">
      <c r="M7487" s="202"/>
    </row>
    <row r="7488" spans="13:13">
      <c r="M7488" s="202"/>
    </row>
    <row r="7489" spans="13:13">
      <c r="M7489" s="202"/>
    </row>
    <row r="7490" spans="13:13">
      <c r="M7490" s="202"/>
    </row>
    <row r="7491" spans="13:13">
      <c r="M7491" s="202"/>
    </row>
    <row r="7492" spans="13:13">
      <c r="M7492" s="202"/>
    </row>
    <row r="7493" spans="13:13">
      <c r="M7493" s="202"/>
    </row>
    <row r="7494" spans="13:13">
      <c r="M7494" s="202"/>
    </row>
    <row r="7495" spans="13:13">
      <c r="M7495" s="202"/>
    </row>
    <row r="7496" spans="13:13">
      <c r="M7496" s="202"/>
    </row>
    <row r="7497" spans="13:13">
      <c r="M7497" s="202"/>
    </row>
    <row r="7498" spans="13:13">
      <c r="M7498" s="202"/>
    </row>
    <row r="7499" spans="13:13">
      <c r="M7499" s="202"/>
    </row>
    <row r="7500" spans="13:13">
      <c r="M7500" s="202"/>
    </row>
    <row r="7501" spans="13:13">
      <c r="M7501" s="202"/>
    </row>
    <row r="7502" spans="13:13">
      <c r="M7502" s="202"/>
    </row>
    <row r="7503" spans="13:13">
      <c r="M7503" s="202"/>
    </row>
    <row r="7504" spans="13:13">
      <c r="M7504" s="202"/>
    </row>
    <row r="7505" spans="13:13">
      <c r="M7505" s="202"/>
    </row>
    <row r="7506" spans="13:13">
      <c r="M7506" s="202"/>
    </row>
    <row r="7507" spans="13:13">
      <c r="M7507" s="202"/>
    </row>
    <row r="7508" spans="13:13">
      <c r="M7508" s="202"/>
    </row>
    <row r="7509" spans="13:13">
      <c r="M7509" s="202"/>
    </row>
    <row r="7510" spans="13:13">
      <c r="M7510" s="202"/>
    </row>
    <row r="7511" spans="13:13">
      <c r="M7511" s="202"/>
    </row>
    <row r="7512" spans="13:13">
      <c r="M7512" s="202"/>
    </row>
    <row r="7513" spans="13:13">
      <c r="M7513" s="202"/>
    </row>
    <row r="7514" spans="13:13">
      <c r="M7514" s="202"/>
    </row>
    <row r="7515" spans="13:13">
      <c r="M7515" s="202"/>
    </row>
    <row r="7516" spans="13:13">
      <c r="M7516" s="202"/>
    </row>
    <row r="7517" spans="13:13">
      <c r="M7517" s="202"/>
    </row>
    <row r="7518" spans="13:13">
      <c r="M7518" s="202"/>
    </row>
    <row r="7519" spans="13:13">
      <c r="M7519" s="202"/>
    </row>
    <row r="7520" spans="13:13">
      <c r="M7520" s="202"/>
    </row>
    <row r="7521" spans="13:13">
      <c r="M7521" s="202"/>
    </row>
    <row r="7522" spans="13:13">
      <c r="M7522" s="202"/>
    </row>
    <row r="7523" spans="13:13">
      <c r="M7523" s="202"/>
    </row>
    <row r="7524" spans="13:13">
      <c r="M7524" s="202"/>
    </row>
    <row r="7525" spans="13:13">
      <c r="M7525" s="202"/>
    </row>
    <row r="7526" spans="13:13">
      <c r="M7526" s="202"/>
    </row>
    <row r="7527" spans="13:13">
      <c r="M7527" s="202"/>
    </row>
    <row r="7528" spans="13:13">
      <c r="M7528" s="202"/>
    </row>
    <row r="7529" spans="13:13">
      <c r="M7529" s="202"/>
    </row>
    <row r="7530" spans="13:13">
      <c r="M7530" s="202"/>
    </row>
    <row r="7531" spans="13:13">
      <c r="M7531" s="202"/>
    </row>
    <row r="7532" spans="13:13">
      <c r="M7532" s="202"/>
    </row>
    <row r="7533" spans="13:13">
      <c r="M7533" s="202"/>
    </row>
    <row r="7534" spans="13:13">
      <c r="M7534" s="202"/>
    </row>
    <row r="7535" spans="13:13">
      <c r="M7535" s="202"/>
    </row>
    <row r="7536" spans="13:13">
      <c r="M7536" s="202"/>
    </row>
    <row r="7537" spans="13:13">
      <c r="M7537" s="202"/>
    </row>
    <row r="7538" spans="13:13">
      <c r="M7538" s="202"/>
    </row>
    <row r="7539" spans="13:13">
      <c r="M7539" s="202"/>
    </row>
    <row r="7540" spans="13:13">
      <c r="M7540" s="202"/>
    </row>
    <row r="7541" spans="13:13">
      <c r="M7541" s="202"/>
    </row>
    <row r="7542" spans="13:13">
      <c r="M7542" s="202"/>
    </row>
    <row r="7543" spans="13:13">
      <c r="M7543" s="202"/>
    </row>
    <row r="7544" spans="13:13">
      <c r="M7544" s="202"/>
    </row>
    <row r="7545" spans="13:13">
      <c r="M7545" s="202"/>
    </row>
    <row r="7546" spans="13:13">
      <c r="M7546" s="202"/>
    </row>
    <row r="7547" spans="13:13">
      <c r="M7547" s="202"/>
    </row>
    <row r="7548" spans="13:13">
      <c r="M7548" s="202"/>
    </row>
    <row r="7549" spans="13:13">
      <c r="M7549" s="202"/>
    </row>
    <row r="7550" spans="13:13">
      <c r="M7550" s="202"/>
    </row>
    <row r="7551" spans="13:13">
      <c r="M7551" s="202"/>
    </row>
    <row r="7552" spans="13:13">
      <c r="M7552" s="202"/>
    </row>
    <row r="7553" spans="13:13">
      <c r="M7553" s="202"/>
    </row>
    <row r="7554" spans="13:13">
      <c r="M7554" s="202"/>
    </row>
    <row r="7555" spans="13:13">
      <c r="M7555" s="202"/>
    </row>
    <row r="7556" spans="13:13">
      <c r="M7556" s="202"/>
    </row>
    <row r="7557" spans="13:13">
      <c r="M7557" s="202"/>
    </row>
    <row r="7558" spans="13:13">
      <c r="M7558" s="202"/>
    </row>
    <row r="7559" spans="13:13">
      <c r="M7559" s="202"/>
    </row>
    <row r="7560" spans="13:13">
      <c r="M7560" s="202"/>
    </row>
    <row r="7561" spans="13:13">
      <c r="M7561" s="202"/>
    </row>
    <row r="7562" spans="13:13">
      <c r="M7562" s="202"/>
    </row>
    <row r="7563" spans="13:13">
      <c r="M7563" s="202"/>
    </row>
    <row r="7564" spans="13:13">
      <c r="M7564" s="202"/>
    </row>
    <row r="7565" spans="13:13">
      <c r="M7565" s="202"/>
    </row>
    <row r="7566" spans="13:13">
      <c r="M7566" s="202"/>
    </row>
    <row r="7567" spans="13:13">
      <c r="M7567" s="202"/>
    </row>
    <row r="7568" spans="13:13">
      <c r="M7568" s="202"/>
    </row>
    <row r="7569" spans="13:13">
      <c r="M7569" s="202"/>
    </row>
    <row r="7570" spans="13:13">
      <c r="M7570" s="202"/>
    </row>
    <row r="7571" spans="13:13">
      <c r="M7571" s="202"/>
    </row>
    <row r="7572" spans="13:13">
      <c r="M7572" s="202"/>
    </row>
    <row r="7573" spans="13:13">
      <c r="M7573" s="202"/>
    </row>
    <row r="7574" spans="13:13">
      <c r="M7574" s="202"/>
    </row>
    <row r="7575" spans="13:13">
      <c r="M7575" s="202"/>
    </row>
    <row r="7576" spans="13:13">
      <c r="M7576" s="202"/>
    </row>
    <row r="7577" spans="13:13">
      <c r="M7577" s="202"/>
    </row>
    <row r="7578" spans="13:13">
      <c r="M7578" s="202"/>
    </row>
    <row r="7579" spans="13:13">
      <c r="M7579" s="202"/>
    </row>
    <row r="7580" spans="13:13">
      <c r="M7580" s="202"/>
    </row>
    <row r="7581" spans="13:13">
      <c r="M7581" s="202"/>
    </row>
    <row r="7582" spans="13:13">
      <c r="M7582" s="202"/>
    </row>
    <row r="7583" spans="13:13">
      <c r="M7583" s="202"/>
    </row>
    <row r="7584" spans="13:13">
      <c r="M7584" s="202"/>
    </row>
    <row r="7585" spans="13:13">
      <c r="M7585" s="202"/>
    </row>
    <row r="7586" spans="13:13">
      <c r="M7586" s="202"/>
    </row>
    <row r="7587" spans="13:13">
      <c r="M7587" s="202"/>
    </row>
    <row r="7588" spans="13:13">
      <c r="M7588" s="202"/>
    </row>
    <row r="7589" spans="13:13">
      <c r="M7589" s="202"/>
    </row>
    <row r="7590" spans="13:13">
      <c r="M7590" s="202"/>
    </row>
    <row r="7591" spans="13:13">
      <c r="M7591" s="202"/>
    </row>
    <row r="7592" spans="13:13">
      <c r="M7592" s="202"/>
    </row>
    <row r="7593" spans="13:13">
      <c r="M7593" s="202"/>
    </row>
    <row r="7594" spans="13:13">
      <c r="M7594" s="202"/>
    </row>
    <row r="7595" spans="13:13">
      <c r="M7595" s="202"/>
    </row>
    <row r="7596" spans="13:13">
      <c r="M7596" s="202"/>
    </row>
    <row r="7597" spans="13:13">
      <c r="M7597" s="202"/>
    </row>
    <row r="7598" spans="13:13">
      <c r="M7598" s="202"/>
    </row>
    <row r="7599" spans="13:13">
      <c r="M7599" s="202"/>
    </row>
    <row r="7600" spans="13:13">
      <c r="M7600" s="202"/>
    </row>
    <row r="7601" spans="13:13">
      <c r="M7601" s="202"/>
    </row>
    <row r="7602" spans="13:13">
      <c r="M7602" s="202"/>
    </row>
    <row r="7603" spans="13:13">
      <c r="M7603" s="202"/>
    </row>
    <row r="7604" spans="13:13">
      <c r="M7604" s="202"/>
    </row>
    <row r="7605" spans="13:13">
      <c r="M7605" s="202"/>
    </row>
    <row r="7606" spans="13:13">
      <c r="M7606" s="202"/>
    </row>
    <row r="7607" spans="13:13">
      <c r="M7607" s="202"/>
    </row>
    <row r="7608" spans="13:13">
      <c r="M7608" s="202"/>
    </row>
    <row r="7609" spans="13:13">
      <c r="M7609" s="202"/>
    </row>
    <row r="7610" spans="13:13">
      <c r="M7610" s="202"/>
    </row>
    <row r="7611" spans="13:13">
      <c r="M7611" s="202"/>
    </row>
    <row r="7612" spans="13:13">
      <c r="M7612" s="202"/>
    </row>
    <row r="7613" spans="13:13">
      <c r="M7613" s="202"/>
    </row>
    <row r="7614" spans="13:13">
      <c r="M7614" s="202"/>
    </row>
    <row r="7615" spans="13:13">
      <c r="M7615" s="202"/>
    </row>
    <row r="7616" spans="13:13">
      <c r="M7616" s="202"/>
    </row>
    <row r="7617" spans="13:13">
      <c r="M7617" s="202"/>
    </row>
    <row r="7618" spans="13:13">
      <c r="M7618" s="202"/>
    </row>
    <row r="7619" spans="13:13">
      <c r="M7619" s="202"/>
    </row>
    <row r="7620" spans="13:13">
      <c r="M7620" s="202"/>
    </row>
    <row r="7621" spans="13:13">
      <c r="M7621" s="202"/>
    </row>
    <row r="7622" spans="13:13">
      <c r="M7622" s="202"/>
    </row>
    <row r="7623" spans="13:13">
      <c r="M7623" s="202"/>
    </row>
    <row r="7624" spans="13:13">
      <c r="M7624" s="202"/>
    </row>
    <row r="7625" spans="13:13">
      <c r="M7625" s="202"/>
    </row>
    <row r="7626" spans="13:13">
      <c r="M7626" s="202"/>
    </row>
    <row r="7627" spans="13:13">
      <c r="M7627" s="202"/>
    </row>
    <row r="7628" spans="13:13">
      <c r="M7628" s="202"/>
    </row>
    <row r="7629" spans="13:13">
      <c r="M7629" s="202"/>
    </row>
    <row r="7630" spans="13:13">
      <c r="M7630" s="202"/>
    </row>
    <row r="7631" spans="13:13">
      <c r="M7631" s="202"/>
    </row>
    <row r="7632" spans="13:13">
      <c r="M7632" s="202"/>
    </row>
    <row r="7633" spans="13:13">
      <c r="M7633" s="202"/>
    </row>
    <row r="7634" spans="13:13">
      <c r="M7634" s="202"/>
    </row>
    <row r="7635" spans="13:13">
      <c r="M7635" s="202"/>
    </row>
    <row r="7636" spans="13:13">
      <c r="M7636" s="202"/>
    </row>
    <row r="7637" spans="13:13">
      <c r="M7637" s="202"/>
    </row>
    <row r="7638" spans="13:13">
      <c r="M7638" s="202"/>
    </row>
    <row r="7639" spans="13:13">
      <c r="M7639" s="202"/>
    </row>
    <row r="7640" spans="13:13">
      <c r="M7640" s="202"/>
    </row>
    <row r="7641" spans="13:13">
      <c r="M7641" s="202"/>
    </row>
    <row r="7642" spans="13:13">
      <c r="M7642" s="202"/>
    </row>
    <row r="7643" spans="13:13">
      <c r="M7643" s="202"/>
    </row>
    <row r="7644" spans="13:13">
      <c r="M7644" s="202"/>
    </row>
    <row r="7645" spans="13:13">
      <c r="M7645" s="202"/>
    </row>
    <row r="7646" spans="13:13">
      <c r="M7646" s="202"/>
    </row>
    <row r="7647" spans="13:13">
      <c r="M7647" s="202"/>
    </row>
    <row r="7648" spans="13:13">
      <c r="M7648" s="202"/>
    </row>
    <row r="7649" spans="13:13">
      <c r="M7649" s="202"/>
    </row>
    <row r="7650" spans="13:13">
      <c r="M7650" s="202"/>
    </row>
    <row r="7651" spans="13:13">
      <c r="M7651" s="202"/>
    </row>
    <row r="7652" spans="13:13">
      <c r="M7652" s="202"/>
    </row>
    <row r="7653" spans="13:13">
      <c r="M7653" s="202"/>
    </row>
    <row r="7654" spans="13:13">
      <c r="M7654" s="202"/>
    </row>
    <row r="7655" spans="13:13">
      <c r="M7655" s="202"/>
    </row>
    <row r="7656" spans="13:13">
      <c r="M7656" s="202"/>
    </row>
    <row r="7657" spans="13:13">
      <c r="M7657" s="202"/>
    </row>
    <row r="7658" spans="13:13">
      <c r="M7658" s="202"/>
    </row>
    <row r="7659" spans="13:13">
      <c r="M7659" s="202"/>
    </row>
    <row r="7660" spans="13:13">
      <c r="M7660" s="202"/>
    </row>
    <row r="7661" spans="13:13">
      <c r="M7661" s="202"/>
    </row>
    <row r="7662" spans="13:13">
      <c r="M7662" s="202"/>
    </row>
    <row r="7663" spans="13:13">
      <c r="M7663" s="202"/>
    </row>
    <row r="7664" spans="13:13">
      <c r="M7664" s="202"/>
    </row>
    <row r="7665" spans="13:13">
      <c r="M7665" s="202"/>
    </row>
    <row r="7666" spans="13:13">
      <c r="M7666" s="202"/>
    </row>
    <row r="7667" spans="13:13">
      <c r="M7667" s="202"/>
    </row>
    <row r="7668" spans="13:13">
      <c r="M7668" s="202"/>
    </row>
    <row r="7669" spans="13:13">
      <c r="M7669" s="202"/>
    </row>
    <row r="7670" spans="13:13">
      <c r="M7670" s="202"/>
    </row>
    <row r="7671" spans="13:13">
      <c r="M7671" s="202"/>
    </row>
    <row r="7672" spans="13:13">
      <c r="M7672" s="202"/>
    </row>
    <row r="7673" spans="13:13">
      <c r="M7673" s="202"/>
    </row>
    <row r="7674" spans="13:13">
      <c r="M7674" s="202"/>
    </row>
    <row r="7675" spans="13:13">
      <c r="M7675" s="202"/>
    </row>
    <row r="7676" spans="13:13">
      <c r="M7676" s="202"/>
    </row>
    <row r="7677" spans="13:13">
      <c r="M7677" s="202"/>
    </row>
    <row r="7678" spans="13:13">
      <c r="M7678" s="202"/>
    </row>
    <row r="7679" spans="13:13">
      <c r="M7679" s="202"/>
    </row>
    <row r="7680" spans="13:13">
      <c r="M7680" s="202"/>
    </row>
    <row r="7681" spans="13:13">
      <c r="M7681" s="202"/>
    </row>
    <row r="7682" spans="13:13">
      <c r="M7682" s="202"/>
    </row>
    <row r="7683" spans="13:13">
      <c r="M7683" s="202"/>
    </row>
    <row r="7684" spans="13:13">
      <c r="M7684" s="202"/>
    </row>
    <row r="7685" spans="13:13">
      <c r="M7685" s="202"/>
    </row>
    <row r="7686" spans="13:13">
      <c r="M7686" s="202"/>
    </row>
    <row r="7687" spans="13:13">
      <c r="M7687" s="202"/>
    </row>
    <row r="7688" spans="13:13">
      <c r="M7688" s="202"/>
    </row>
    <row r="7689" spans="13:13">
      <c r="M7689" s="202"/>
    </row>
    <row r="7690" spans="13:13">
      <c r="M7690" s="202"/>
    </row>
    <row r="7691" spans="13:13">
      <c r="M7691" s="202"/>
    </row>
    <row r="7692" spans="13:13">
      <c r="M7692" s="202"/>
    </row>
    <row r="7693" spans="13:13">
      <c r="M7693" s="202"/>
    </row>
    <row r="7694" spans="13:13">
      <c r="M7694" s="202"/>
    </row>
    <row r="7695" spans="13:13">
      <c r="M7695" s="202"/>
    </row>
    <row r="7696" spans="13:13">
      <c r="M7696" s="202"/>
    </row>
    <row r="7697" spans="13:13">
      <c r="M7697" s="202"/>
    </row>
    <row r="7698" spans="13:13">
      <c r="M7698" s="202"/>
    </row>
    <row r="7699" spans="13:13">
      <c r="M7699" s="202"/>
    </row>
    <row r="7700" spans="13:13">
      <c r="M7700" s="202"/>
    </row>
    <row r="7701" spans="13:13">
      <c r="M7701" s="202"/>
    </row>
    <row r="7702" spans="13:13">
      <c r="M7702" s="202"/>
    </row>
    <row r="7703" spans="13:13">
      <c r="M7703" s="202"/>
    </row>
    <row r="7704" spans="13:13">
      <c r="M7704" s="202"/>
    </row>
    <row r="7705" spans="13:13">
      <c r="M7705" s="202"/>
    </row>
    <row r="7706" spans="13:13">
      <c r="M7706" s="202"/>
    </row>
    <row r="7707" spans="13:13">
      <c r="M7707" s="202"/>
    </row>
    <row r="7708" spans="13:13">
      <c r="M7708" s="202"/>
    </row>
    <row r="7709" spans="13:13">
      <c r="M7709" s="202"/>
    </row>
    <row r="7710" spans="13:13">
      <c r="M7710" s="202"/>
    </row>
    <row r="7711" spans="13:13">
      <c r="M7711" s="202"/>
    </row>
    <row r="7712" spans="13:13">
      <c r="M7712" s="202"/>
    </row>
    <row r="7713" spans="13:13">
      <c r="M7713" s="202"/>
    </row>
    <row r="7714" spans="13:13">
      <c r="M7714" s="202"/>
    </row>
    <row r="7715" spans="13:13">
      <c r="M7715" s="202"/>
    </row>
    <row r="7716" spans="13:13">
      <c r="M7716" s="202"/>
    </row>
    <row r="7717" spans="13:13">
      <c r="M7717" s="202"/>
    </row>
    <row r="7718" spans="13:13">
      <c r="M7718" s="202"/>
    </row>
    <row r="7719" spans="13:13">
      <c r="M7719" s="202"/>
    </row>
    <row r="7720" spans="13:13">
      <c r="M7720" s="202"/>
    </row>
    <row r="7721" spans="13:13">
      <c r="M7721" s="202"/>
    </row>
    <row r="7722" spans="13:13">
      <c r="M7722" s="202"/>
    </row>
    <row r="7723" spans="13:13">
      <c r="M7723" s="202"/>
    </row>
    <row r="7724" spans="13:13">
      <c r="M7724" s="202"/>
    </row>
    <row r="7725" spans="13:13">
      <c r="M7725" s="202"/>
    </row>
    <row r="7726" spans="13:13">
      <c r="M7726" s="202"/>
    </row>
    <row r="7727" spans="13:13">
      <c r="M7727" s="202"/>
    </row>
    <row r="7728" spans="13:13">
      <c r="M7728" s="202"/>
    </row>
    <row r="7729" spans="13:13">
      <c r="M7729" s="202"/>
    </row>
    <row r="7730" spans="13:13">
      <c r="M7730" s="202"/>
    </row>
    <row r="7731" spans="13:13">
      <c r="M7731" s="202"/>
    </row>
    <row r="7732" spans="13:13">
      <c r="M7732" s="202"/>
    </row>
    <row r="7733" spans="13:13">
      <c r="M7733" s="202"/>
    </row>
    <row r="7734" spans="13:13">
      <c r="M7734" s="202"/>
    </row>
    <row r="7735" spans="13:13">
      <c r="M7735" s="202"/>
    </row>
    <row r="7736" spans="13:13">
      <c r="M7736" s="202"/>
    </row>
    <row r="7737" spans="13:13">
      <c r="M7737" s="202"/>
    </row>
    <row r="7738" spans="13:13">
      <c r="M7738" s="202"/>
    </row>
    <row r="7739" spans="13:13">
      <c r="M7739" s="202"/>
    </row>
    <row r="7740" spans="13:13">
      <c r="M7740" s="202"/>
    </row>
    <row r="7741" spans="13:13">
      <c r="M7741" s="202"/>
    </row>
    <row r="7742" spans="13:13">
      <c r="M7742" s="202"/>
    </row>
    <row r="7743" spans="13:13">
      <c r="M7743" s="202"/>
    </row>
    <row r="7744" spans="13:13">
      <c r="M7744" s="202"/>
    </row>
    <row r="7745" spans="13:13">
      <c r="M7745" s="202"/>
    </row>
    <row r="7746" spans="13:13">
      <c r="M7746" s="202"/>
    </row>
    <row r="7747" spans="13:13">
      <c r="M7747" s="202"/>
    </row>
    <row r="7748" spans="13:13">
      <c r="M7748" s="202"/>
    </row>
    <row r="7749" spans="13:13">
      <c r="M7749" s="202"/>
    </row>
    <row r="7750" spans="13:13">
      <c r="M7750" s="202"/>
    </row>
    <row r="7751" spans="13:13">
      <c r="M7751" s="202"/>
    </row>
    <row r="7752" spans="13:13">
      <c r="M7752" s="202"/>
    </row>
    <row r="7753" spans="13:13">
      <c r="M7753" s="202"/>
    </row>
    <row r="7754" spans="13:13">
      <c r="M7754" s="202"/>
    </row>
    <row r="7755" spans="13:13">
      <c r="M7755" s="202"/>
    </row>
    <row r="7756" spans="13:13">
      <c r="M7756" s="202"/>
    </row>
    <row r="7757" spans="13:13">
      <c r="M7757" s="202"/>
    </row>
    <row r="7758" spans="13:13">
      <c r="M7758" s="202"/>
    </row>
    <row r="7759" spans="13:13">
      <c r="M7759" s="202"/>
    </row>
    <row r="7760" spans="13:13">
      <c r="M7760" s="202"/>
    </row>
    <row r="7761" spans="13:13">
      <c r="M7761" s="202"/>
    </row>
    <row r="7762" spans="13:13">
      <c r="M7762" s="202"/>
    </row>
    <row r="7763" spans="13:13">
      <c r="M7763" s="202"/>
    </row>
    <row r="7764" spans="13:13">
      <c r="M7764" s="202"/>
    </row>
    <row r="7765" spans="13:13">
      <c r="M7765" s="202"/>
    </row>
    <row r="7766" spans="13:13">
      <c r="M7766" s="202"/>
    </row>
    <row r="7767" spans="13:13">
      <c r="M7767" s="202"/>
    </row>
    <row r="7768" spans="13:13">
      <c r="M7768" s="202"/>
    </row>
    <row r="7769" spans="13:13">
      <c r="M7769" s="202"/>
    </row>
    <row r="7770" spans="13:13">
      <c r="M7770" s="202"/>
    </row>
    <row r="7771" spans="13:13">
      <c r="M7771" s="202"/>
    </row>
    <row r="7772" spans="13:13">
      <c r="M7772" s="202"/>
    </row>
    <row r="7773" spans="13:13">
      <c r="M7773" s="202"/>
    </row>
    <row r="7774" spans="13:13">
      <c r="M7774" s="202"/>
    </row>
    <row r="7775" spans="13:13">
      <c r="M7775" s="202"/>
    </row>
    <row r="7776" spans="13:13">
      <c r="M7776" s="202"/>
    </row>
    <row r="7777" spans="13:13">
      <c r="M7777" s="202"/>
    </row>
    <row r="7778" spans="13:13">
      <c r="M7778" s="202"/>
    </row>
    <row r="7779" spans="13:13">
      <c r="M7779" s="202"/>
    </row>
    <row r="7780" spans="13:13">
      <c r="M7780" s="202"/>
    </row>
    <row r="7781" spans="13:13">
      <c r="M7781" s="202"/>
    </row>
    <row r="7782" spans="13:13">
      <c r="M7782" s="202"/>
    </row>
    <row r="7783" spans="13:13">
      <c r="M7783" s="202"/>
    </row>
    <row r="7784" spans="13:13">
      <c r="M7784" s="202"/>
    </row>
    <row r="7785" spans="13:13">
      <c r="M7785" s="202"/>
    </row>
    <row r="7786" spans="13:13">
      <c r="M7786" s="202"/>
    </row>
    <row r="7787" spans="13:13">
      <c r="M7787" s="202"/>
    </row>
    <row r="7788" spans="13:13">
      <c r="M7788" s="202"/>
    </row>
    <row r="7789" spans="13:13">
      <c r="M7789" s="202"/>
    </row>
    <row r="7790" spans="13:13">
      <c r="M7790" s="202"/>
    </row>
    <row r="7791" spans="13:13">
      <c r="M7791" s="202"/>
    </row>
    <row r="7792" spans="13:13">
      <c r="M7792" s="202"/>
    </row>
    <row r="7793" spans="13:13">
      <c r="M7793" s="202"/>
    </row>
    <row r="7794" spans="13:13">
      <c r="M7794" s="202"/>
    </row>
    <row r="7795" spans="13:13">
      <c r="M7795" s="202"/>
    </row>
    <row r="7796" spans="13:13">
      <c r="M7796" s="202"/>
    </row>
    <row r="7797" spans="13:13">
      <c r="M7797" s="202"/>
    </row>
    <row r="7798" spans="13:13">
      <c r="M7798" s="202"/>
    </row>
    <row r="7799" spans="13:13">
      <c r="M7799" s="202"/>
    </row>
    <row r="7800" spans="13:13">
      <c r="M7800" s="202"/>
    </row>
    <row r="7801" spans="13:13">
      <c r="M7801" s="202"/>
    </row>
    <row r="7802" spans="13:13">
      <c r="M7802" s="202"/>
    </row>
    <row r="7803" spans="13:13">
      <c r="M7803" s="202"/>
    </row>
    <row r="7804" spans="13:13">
      <c r="M7804" s="202"/>
    </row>
    <row r="7805" spans="13:13">
      <c r="M7805" s="202"/>
    </row>
    <row r="7806" spans="13:13">
      <c r="M7806" s="202"/>
    </row>
    <row r="7807" spans="13:13">
      <c r="M7807" s="202"/>
    </row>
    <row r="7808" spans="13:13">
      <c r="M7808" s="202"/>
    </row>
    <row r="7809" spans="13:13">
      <c r="M7809" s="202"/>
    </row>
    <row r="7810" spans="13:13">
      <c r="M7810" s="202"/>
    </row>
    <row r="7811" spans="13:13">
      <c r="M7811" s="202"/>
    </row>
    <row r="7812" spans="13:13">
      <c r="M7812" s="202"/>
    </row>
    <row r="7813" spans="13:13">
      <c r="M7813" s="202"/>
    </row>
    <row r="7814" spans="13:13">
      <c r="M7814" s="202"/>
    </row>
    <row r="7815" spans="13:13">
      <c r="M7815" s="202"/>
    </row>
    <row r="7816" spans="13:13">
      <c r="M7816" s="202"/>
    </row>
    <row r="7817" spans="13:13">
      <c r="M7817" s="202"/>
    </row>
    <row r="7818" spans="13:13">
      <c r="M7818" s="202"/>
    </row>
    <row r="7819" spans="13:13">
      <c r="M7819" s="202"/>
    </row>
    <row r="7820" spans="13:13">
      <c r="M7820" s="202"/>
    </row>
    <row r="7821" spans="13:13">
      <c r="M7821" s="202"/>
    </row>
    <row r="7822" spans="13:13">
      <c r="M7822" s="202"/>
    </row>
    <row r="7823" spans="13:13">
      <c r="M7823" s="202"/>
    </row>
    <row r="7824" spans="13:13">
      <c r="M7824" s="202"/>
    </row>
    <row r="7825" spans="13:13">
      <c r="M7825" s="202"/>
    </row>
    <row r="7826" spans="13:13">
      <c r="M7826" s="202"/>
    </row>
    <row r="7827" spans="13:13">
      <c r="M7827" s="202"/>
    </row>
    <row r="7828" spans="13:13">
      <c r="M7828" s="202"/>
    </row>
    <row r="7829" spans="13:13">
      <c r="M7829" s="202"/>
    </row>
    <row r="7830" spans="13:13">
      <c r="M7830" s="202"/>
    </row>
    <row r="7831" spans="13:13">
      <c r="M7831" s="202"/>
    </row>
    <row r="7832" spans="13:13">
      <c r="M7832" s="202"/>
    </row>
    <row r="7833" spans="13:13">
      <c r="M7833" s="202"/>
    </row>
    <row r="7834" spans="13:13">
      <c r="M7834" s="202"/>
    </row>
    <row r="7835" spans="13:13">
      <c r="M7835" s="202"/>
    </row>
    <row r="7836" spans="13:13">
      <c r="M7836" s="202"/>
    </row>
    <row r="7837" spans="13:13">
      <c r="M7837" s="202"/>
    </row>
    <row r="7838" spans="13:13">
      <c r="M7838" s="202"/>
    </row>
    <row r="7839" spans="13:13">
      <c r="M7839" s="202"/>
    </row>
    <row r="7840" spans="13:13">
      <c r="M7840" s="202"/>
    </row>
    <row r="7841" spans="13:13">
      <c r="M7841" s="202"/>
    </row>
    <row r="7842" spans="13:13">
      <c r="M7842" s="202"/>
    </row>
    <row r="7843" spans="13:13">
      <c r="M7843" s="202"/>
    </row>
    <row r="7844" spans="13:13">
      <c r="M7844" s="202"/>
    </row>
    <row r="7845" spans="13:13">
      <c r="M7845" s="202"/>
    </row>
    <row r="7846" spans="13:13">
      <c r="M7846" s="202"/>
    </row>
    <row r="7847" spans="13:13">
      <c r="M7847" s="202"/>
    </row>
    <row r="7848" spans="13:13">
      <c r="M7848" s="202"/>
    </row>
    <row r="7849" spans="13:13">
      <c r="M7849" s="202"/>
    </row>
    <row r="7850" spans="13:13">
      <c r="M7850" s="202"/>
    </row>
    <row r="7851" spans="13:13">
      <c r="M7851" s="202"/>
    </row>
    <row r="7852" spans="13:13">
      <c r="M7852" s="202"/>
    </row>
    <row r="7853" spans="13:13">
      <c r="M7853" s="202"/>
    </row>
    <row r="7854" spans="13:13">
      <c r="M7854" s="202"/>
    </row>
    <row r="7855" spans="13:13">
      <c r="M7855" s="202"/>
    </row>
    <row r="7856" spans="13:13">
      <c r="M7856" s="202"/>
    </row>
    <row r="7857" spans="13:13">
      <c r="M7857" s="202"/>
    </row>
    <row r="7858" spans="13:13">
      <c r="M7858" s="202"/>
    </row>
    <row r="7859" spans="13:13">
      <c r="M7859" s="202"/>
    </row>
    <row r="7860" spans="13:13">
      <c r="M7860" s="202"/>
    </row>
    <row r="7861" spans="13:13">
      <c r="M7861" s="202"/>
    </row>
    <row r="7862" spans="13:13">
      <c r="M7862" s="202"/>
    </row>
    <row r="7863" spans="13:13">
      <c r="M7863" s="202"/>
    </row>
    <row r="7864" spans="13:13">
      <c r="M7864" s="202"/>
    </row>
    <row r="7865" spans="13:13">
      <c r="M7865" s="202"/>
    </row>
    <row r="7866" spans="13:13">
      <c r="M7866" s="202"/>
    </row>
    <row r="7867" spans="13:13">
      <c r="M7867" s="202"/>
    </row>
    <row r="7868" spans="13:13">
      <c r="M7868" s="202"/>
    </row>
    <row r="7869" spans="13:13">
      <c r="M7869" s="202"/>
    </row>
    <row r="7870" spans="13:13">
      <c r="M7870" s="202"/>
    </row>
    <row r="7871" spans="13:13">
      <c r="M7871" s="202"/>
    </row>
    <row r="7872" spans="13:13">
      <c r="M7872" s="202"/>
    </row>
    <row r="7873" spans="13:13">
      <c r="M7873" s="202"/>
    </row>
    <row r="7874" spans="13:13">
      <c r="M7874" s="202"/>
    </row>
    <row r="7875" spans="13:13">
      <c r="M7875" s="202"/>
    </row>
    <row r="7876" spans="13:13">
      <c r="M7876" s="202"/>
    </row>
    <row r="7877" spans="13:13">
      <c r="M7877" s="202"/>
    </row>
    <row r="7878" spans="13:13">
      <c r="M7878" s="202"/>
    </row>
    <row r="7879" spans="13:13">
      <c r="M7879" s="202"/>
    </row>
    <row r="7880" spans="13:13">
      <c r="M7880" s="202"/>
    </row>
    <row r="7881" spans="13:13">
      <c r="M7881" s="202"/>
    </row>
    <row r="7882" spans="13:13">
      <c r="M7882" s="202"/>
    </row>
    <row r="7883" spans="13:13">
      <c r="M7883" s="202"/>
    </row>
    <row r="7884" spans="13:13">
      <c r="M7884" s="202"/>
    </row>
    <row r="7885" spans="13:13">
      <c r="M7885" s="202"/>
    </row>
    <row r="7886" spans="13:13">
      <c r="M7886" s="202"/>
    </row>
    <row r="7887" spans="13:13">
      <c r="M7887" s="202"/>
    </row>
    <row r="7888" spans="13:13">
      <c r="M7888" s="202"/>
    </row>
    <row r="7889" spans="13:13">
      <c r="M7889" s="202"/>
    </row>
    <row r="7890" spans="13:13">
      <c r="M7890" s="202"/>
    </row>
    <row r="7891" spans="13:13">
      <c r="M7891" s="202"/>
    </row>
    <row r="7892" spans="13:13">
      <c r="M7892" s="202"/>
    </row>
    <row r="7893" spans="13:13">
      <c r="M7893" s="202"/>
    </row>
    <row r="7894" spans="13:13">
      <c r="M7894" s="202"/>
    </row>
    <row r="7895" spans="13:13">
      <c r="M7895" s="202"/>
    </row>
    <row r="7896" spans="13:13">
      <c r="M7896" s="202"/>
    </row>
    <row r="7897" spans="13:13">
      <c r="M7897" s="202"/>
    </row>
    <row r="7898" spans="13:13">
      <c r="M7898" s="202"/>
    </row>
    <row r="7899" spans="13:13">
      <c r="M7899" s="202"/>
    </row>
    <row r="7900" spans="13:13">
      <c r="M7900" s="202"/>
    </row>
    <row r="7901" spans="13:13">
      <c r="M7901" s="202"/>
    </row>
    <row r="7902" spans="13:13">
      <c r="M7902" s="202"/>
    </row>
    <row r="7903" spans="13:13">
      <c r="M7903" s="202"/>
    </row>
    <row r="7904" spans="13:13">
      <c r="M7904" s="202"/>
    </row>
    <row r="7905" spans="13:13">
      <c r="M7905" s="202"/>
    </row>
    <row r="7906" spans="13:13">
      <c r="M7906" s="202"/>
    </row>
    <row r="7907" spans="13:13">
      <c r="M7907" s="202"/>
    </row>
    <row r="7908" spans="13:13">
      <c r="M7908" s="202"/>
    </row>
    <row r="7909" spans="13:13">
      <c r="M7909" s="202"/>
    </row>
    <row r="7910" spans="13:13">
      <c r="M7910" s="202"/>
    </row>
    <row r="7911" spans="13:13">
      <c r="M7911" s="202"/>
    </row>
    <row r="7912" spans="13:13">
      <c r="M7912" s="202"/>
    </row>
    <row r="7913" spans="13:13">
      <c r="M7913" s="202"/>
    </row>
    <row r="7914" spans="13:13">
      <c r="M7914" s="202"/>
    </row>
    <row r="7915" spans="13:13">
      <c r="M7915" s="202"/>
    </row>
    <row r="7916" spans="13:13">
      <c r="M7916" s="202"/>
    </row>
    <row r="7917" spans="13:13">
      <c r="M7917" s="202"/>
    </row>
    <row r="7918" spans="13:13">
      <c r="M7918" s="202"/>
    </row>
    <row r="7919" spans="13:13">
      <c r="M7919" s="202"/>
    </row>
    <row r="7920" spans="13:13">
      <c r="M7920" s="202"/>
    </row>
    <row r="7921" spans="13:13">
      <c r="M7921" s="202"/>
    </row>
    <row r="7922" spans="13:13">
      <c r="M7922" s="202"/>
    </row>
    <row r="7923" spans="13:13">
      <c r="M7923" s="202"/>
    </row>
    <row r="7924" spans="13:13">
      <c r="M7924" s="202"/>
    </row>
    <row r="7925" spans="13:13">
      <c r="M7925" s="202"/>
    </row>
    <row r="7926" spans="13:13">
      <c r="M7926" s="202"/>
    </row>
    <row r="7927" spans="13:13">
      <c r="M7927" s="202"/>
    </row>
    <row r="7928" spans="13:13">
      <c r="M7928" s="202"/>
    </row>
    <row r="7929" spans="13:13">
      <c r="M7929" s="202"/>
    </row>
    <row r="7930" spans="13:13">
      <c r="M7930" s="202"/>
    </row>
    <row r="7931" spans="13:13">
      <c r="M7931" s="202"/>
    </row>
    <row r="7932" spans="13:13">
      <c r="M7932" s="202"/>
    </row>
    <row r="7933" spans="13:13">
      <c r="M7933" s="202"/>
    </row>
    <row r="7934" spans="13:13">
      <c r="M7934" s="202"/>
    </row>
    <row r="7935" spans="13:13">
      <c r="M7935" s="202"/>
    </row>
    <row r="7936" spans="13:13">
      <c r="M7936" s="202"/>
    </row>
    <row r="7937" spans="13:13">
      <c r="M7937" s="202"/>
    </row>
    <row r="7938" spans="13:13">
      <c r="M7938" s="202"/>
    </row>
    <row r="7939" spans="13:13">
      <c r="M7939" s="202"/>
    </row>
    <row r="7940" spans="13:13">
      <c r="M7940" s="202"/>
    </row>
    <row r="7941" spans="13:13">
      <c r="M7941" s="202"/>
    </row>
    <row r="7942" spans="13:13">
      <c r="M7942" s="202"/>
    </row>
    <row r="7943" spans="13:13">
      <c r="M7943" s="202"/>
    </row>
    <row r="7944" spans="13:13">
      <c r="M7944" s="202"/>
    </row>
    <row r="7945" spans="13:13">
      <c r="M7945" s="202"/>
    </row>
    <row r="7946" spans="13:13">
      <c r="M7946" s="202"/>
    </row>
    <row r="7947" spans="13:13">
      <c r="M7947" s="202"/>
    </row>
    <row r="7948" spans="13:13">
      <c r="M7948" s="202"/>
    </row>
    <row r="7949" spans="13:13">
      <c r="M7949" s="202"/>
    </row>
    <row r="7950" spans="13:13">
      <c r="M7950" s="202"/>
    </row>
    <row r="7951" spans="13:13">
      <c r="M7951" s="202"/>
    </row>
    <row r="7952" spans="13:13">
      <c r="M7952" s="202"/>
    </row>
    <row r="7953" spans="13:13">
      <c r="M7953" s="202"/>
    </row>
    <row r="7954" spans="13:13">
      <c r="M7954" s="202"/>
    </row>
    <row r="7955" spans="13:13">
      <c r="M7955" s="202"/>
    </row>
    <row r="7956" spans="13:13">
      <c r="M7956" s="202"/>
    </row>
    <row r="7957" spans="13:13">
      <c r="M7957" s="202"/>
    </row>
    <row r="7958" spans="13:13">
      <c r="M7958" s="202"/>
    </row>
    <row r="7959" spans="13:13">
      <c r="M7959" s="202"/>
    </row>
    <row r="7960" spans="13:13">
      <c r="M7960" s="202"/>
    </row>
    <row r="7961" spans="13:13">
      <c r="M7961" s="202"/>
    </row>
    <row r="7962" spans="13:13">
      <c r="M7962" s="202"/>
    </row>
    <row r="7963" spans="13:13">
      <c r="M7963" s="202"/>
    </row>
    <row r="7964" spans="13:13">
      <c r="M7964" s="202"/>
    </row>
    <row r="7965" spans="13:13">
      <c r="M7965" s="202"/>
    </row>
    <row r="7966" spans="13:13">
      <c r="M7966" s="202"/>
    </row>
    <row r="7967" spans="13:13">
      <c r="M7967" s="202"/>
    </row>
    <row r="7968" spans="13:13">
      <c r="M7968" s="202"/>
    </row>
    <row r="7969" spans="13:13">
      <c r="M7969" s="202"/>
    </row>
    <row r="7970" spans="13:13">
      <c r="M7970" s="202"/>
    </row>
    <row r="7971" spans="13:13">
      <c r="M7971" s="202"/>
    </row>
    <row r="7972" spans="13:13">
      <c r="M7972" s="202"/>
    </row>
    <row r="7973" spans="13:13">
      <c r="M7973" s="202"/>
    </row>
    <row r="7974" spans="13:13">
      <c r="M7974" s="202"/>
    </row>
    <row r="7975" spans="13:13">
      <c r="M7975" s="202"/>
    </row>
    <row r="7976" spans="13:13">
      <c r="M7976" s="202"/>
    </row>
    <row r="7977" spans="13:13">
      <c r="M7977" s="202"/>
    </row>
    <row r="7978" spans="13:13">
      <c r="M7978" s="202"/>
    </row>
    <row r="7979" spans="13:13">
      <c r="M7979" s="202"/>
    </row>
    <row r="7980" spans="13:13">
      <c r="M7980" s="202"/>
    </row>
    <row r="7981" spans="13:13">
      <c r="M7981" s="202"/>
    </row>
    <row r="7982" spans="13:13">
      <c r="M7982" s="202"/>
    </row>
    <row r="7983" spans="13:13">
      <c r="M7983" s="202"/>
    </row>
    <row r="7984" spans="13:13">
      <c r="M7984" s="202"/>
    </row>
    <row r="7985" spans="13:13">
      <c r="M7985" s="202"/>
    </row>
    <row r="7986" spans="13:13">
      <c r="M7986" s="202"/>
    </row>
    <row r="7987" spans="13:13">
      <c r="M7987" s="202"/>
    </row>
    <row r="7988" spans="13:13">
      <c r="M7988" s="202"/>
    </row>
    <row r="7989" spans="13:13">
      <c r="M7989" s="202"/>
    </row>
    <row r="7990" spans="13:13">
      <c r="M7990" s="202"/>
    </row>
    <row r="7991" spans="13:13">
      <c r="M7991" s="202"/>
    </row>
    <row r="7992" spans="13:13">
      <c r="M7992" s="202"/>
    </row>
    <row r="7993" spans="13:13">
      <c r="M7993" s="202"/>
    </row>
    <row r="7994" spans="13:13">
      <c r="M7994" s="202"/>
    </row>
    <row r="7995" spans="13:13">
      <c r="M7995" s="202"/>
    </row>
    <row r="7996" spans="13:13">
      <c r="M7996" s="202"/>
    </row>
    <row r="7997" spans="13:13">
      <c r="M7997" s="202"/>
    </row>
    <row r="7998" spans="13:13">
      <c r="M7998" s="202"/>
    </row>
    <row r="7999" spans="13:13">
      <c r="M7999" s="202"/>
    </row>
    <row r="8000" spans="13:13">
      <c r="M8000" s="202"/>
    </row>
    <row r="8001" spans="13:13">
      <c r="M8001" s="202"/>
    </row>
    <row r="8002" spans="13:13">
      <c r="M8002" s="202"/>
    </row>
    <row r="8003" spans="13:13">
      <c r="M8003" s="202"/>
    </row>
    <row r="8004" spans="13:13">
      <c r="M8004" s="202"/>
    </row>
    <row r="8005" spans="13:13">
      <c r="M8005" s="202"/>
    </row>
    <row r="8006" spans="13:13">
      <c r="M8006" s="202"/>
    </row>
    <row r="8007" spans="13:13">
      <c r="M8007" s="202"/>
    </row>
    <row r="8008" spans="13:13">
      <c r="M8008" s="202"/>
    </row>
    <row r="8009" spans="13:13">
      <c r="M8009" s="202"/>
    </row>
    <row r="8010" spans="13:13">
      <c r="M8010" s="202"/>
    </row>
    <row r="8011" spans="13:13">
      <c r="M8011" s="202"/>
    </row>
    <row r="8012" spans="13:13">
      <c r="M8012" s="202"/>
    </row>
    <row r="8013" spans="13:13">
      <c r="M8013" s="202"/>
    </row>
    <row r="8014" spans="13:13">
      <c r="M8014" s="202"/>
    </row>
    <row r="8015" spans="13:13">
      <c r="M8015" s="202"/>
    </row>
    <row r="8016" spans="13:13">
      <c r="M8016" s="202"/>
    </row>
    <row r="8017" spans="13:13">
      <c r="M8017" s="202"/>
    </row>
    <row r="8018" spans="13:13">
      <c r="M8018" s="202"/>
    </row>
    <row r="8019" spans="13:13">
      <c r="M8019" s="202"/>
    </row>
    <row r="8020" spans="13:13">
      <c r="M8020" s="202"/>
    </row>
    <row r="8021" spans="13:13">
      <c r="M8021" s="202"/>
    </row>
    <row r="8022" spans="13:13">
      <c r="M8022" s="202"/>
    </row>
    <row r="8023" spans="13:13">
      <c r="M8023" s="202"/>
    </row>
    <row r="8024" spans="13:13">
      <c r="M8024" s="202"/>
    </row>
    <row r="8025" spans="13:13">
      <c r="M8025" s="202"/>
    </row>
    <row r="8026" spans="13:13">
      <c r="M8026" s="202"/>
    </row>
    <row r="8027" spans="13:13">
      <c r="M8027" s="202"/>
    </row>
    <row r="8028" spans="13:13">
      <c r="M8028" s="202"/>
    </row>
    <row r="8029" spans="13:13">
      <c r="M8029" s="202"/>
    </row>
    <row r="8030" spans="13:13">
      <c r="M8030" s="202"/>
    </row>
    <row r="8031" spans="13:13">
      <c r="M8031" s="202"/>
    </row>
    <row r="8032" spans="13:13">
      <c r="M8032" s="202"/>
    </row>
    <row r="8033" spans="13:13">
      <c r="M8033" s="202"/>
    </row>
    <row r="8034" spans="13:13">
      <c r="M8034" s="202"/>
    </row>
    <row r="8035" spans="13:13">
      <c r="M8035" s="202"/>
    </row>
    <row r="8036" spans="13:13">
      <c r="M8036" s="202"/>
    </row>
    <row r="8037" spans="13:13">
      <c r="M8037" s="202"/>
    </row>
    <row r="8038" spans="13:13">
      <c r="M8038" s="202"/>
    </row>
    <row r="8039" spans="13:13">
      <c r="M8039" s="202"/>
    </row>
    <row r="8040" spans="13:13">
      <c r="M8040" s="202"/>
    </row>
    <row r="8041" spans="13:13">
      <c r="M8041" s="202"/>
    </row>
    <row r="8042" spans="13:13">
      <c r="M8042" s="202"/>
    </row>
    <row r="8043" spans="13:13">
      <c r="M8043" s="202"/>
    </row>
    <row r="8044" spans="13:13">
      <c r="M8044" s="202"/>
    </row>
    <row r="8045" spans="13:13">
      <c r="M8045" s="202"/>
    </row>
    <row r="8046" spans="13:13">
      <c r="M8046" s="202"/>
    </row>
    <row r="8047" spans="13:13">
      <c r="M8047" s="202"/>
    </row>
    <row r="8048" spans="13:13">
      <c r="M8048" s="202"/>
    </row>
    <row r="8049" spans="13:13">
      <c r="M8049" s="202"/>
    </row>
    <row r="8050" spans="13:13">
      <c r="M8050" s="202"/>
    </row>
    <row r="8051" spans="13:13">
      <c r="M8051" s="202"/>
    </row>
    <row r="8052" spans="13:13">
      <c r="M8052" s="202"/>
    </row>
    <row r="8053" spans="13:13">
      <c r="M8053" s="202"/>
    </row>
    <row r="8054" spans="13:13">
      <c r="M8054" s="202"/>
    </row>
    <row r="8055" spans="13:13">
      <c r="M8055" s="202"/>
    </row>
    <row r="8056" spans="13:13">
      <c r="M8056" s="202"/>
    </row>
    <row r="8057" spans="13:13">
      <c r="M8057" s="202"/>
    </row>
    <row r="8058" spans="13:13">
      <c r="M8058" s="202"/>
    </row>
    <row r="8059" spans="13:13">
      <c r="M8059" s="202"/>
    </row>
    <row r="8060" spans="13:13">
      <c r="M8060" s="202"/>
    </row>
    <row r="8061" spans="13:13">
      <c r="M8061" s="202"/>
    </row>
    <row r="8062" spans="13:13">
      <c r="M8062" s="202"/>
    </row>
    <row r="8063" spans="13:13">
      <c r="M8063" s="202"/>
    </row>
    <row r="8064" spans="13:13">
      <c r="M8064" s="202"/>
    </row>
    <row r="8065" spans="13:13">
      <c r="M8065" s="202"/>
    </row>
    <row r="8066" spans="13:13">
      <c r="M8066" s="202"/>
    </row>
    <row r="8067" spans="13:13">
      <c r="M8067" s="202"/>
    </row>
    <row r="8068" spans="13:13">
      <c r="M8068" s="202"/>
    </row>
    <row r="8069" spans="13:13">
      <c r="M8069" s="202"/>
    </row>
    <row r="8070" spans="13:13">
      <c r="M8070" s="202"/>
    </row>
    <row r="8071" spans="13:13">
      <c r="M8071" s="202"/>
    </row>
    <row r="8072" spans="13:13">
      <c r="M8072" s="202"/>
    </row>
    <row r="8073" spans="13:13">
      <c r="M8073" s="202"/>
    </row>
    <row r="8074" spans="13:13">
      <c r="M8074" s="202"/>
    </row>
    <row r="8075" spans="13:13">
      <c r="M8075" s="202"/>
    </row>
    <row r="8076" spans="13:13">
      <c r="M8076" s="202"/>
    </row>
    <row r="8077" spans="13:13">
      <c r="M8077" s="202"/>
    </row>
    <row r="8078" spans="13:13">
      <c r="M8078" s="202"/>
    </row>
    <row r="8079" spans="13:13">
      <c r="M8079" s="202"/>
    </row>
    <row r="8080" spans="13:13">
      <c r="M8080" s="202"/>
    </row>
    <row r="8081" spans="13:13">
      <c r="M8081" s="202"/>
    </row>
    <row r="8082" spans="13:13">
      <c r="M8082" s="202"/>
    </row>
    <row r="8083" spans="13:13">
      <c r="M8083" s="202"/>
    </row>
    <row r="8084" spans="13:13">
      <c r="M8084" s="202"/>
    </row>
    <row r="8085" spans="13:13">
      <c r="M8085" s="202"/>
    </row>
    <row r="8086" spans="13:13">
      <c r="M8086" s="202"/>
    </row>
    <row r="8087" spans="13:13">
      <c r="M8087" s="202"/>
    </row>
    <row r="8088" spans="13:13">
      <c r="M8088" s="202"/>
    </row>
    <row r="8089" spans="13:13">
      <c r="M8089" s="202"/>
    </row>
    <row r="8090" spans="13:13">
      <c r="M8090" s="202"/>
    </row>
    <row r="8091" spans="13:13">
      <c r="M8091" s="202"/>
    </row>
    <row r="8092" spans="13:13">
      <c r="M8092" s="202"/>
    </row>
    <row r="8093" spans="13:13">
      <c r="M8093" s="202"/>
    </row>
    <row r="8094" spans="13:13">
      <c r="M8094" s="202"/>
    </row>
    <row r="8095" spans="13:13">
      <c r="M8095" s="202"/>
    </row>
    <row r="8096" spans="13:13">
      <c r="M8096" s="202"/>
    </row>
    <row r="8097" spans="13:13">
      <c r="M8097" s="202"/>
    </row>
    <row r="8098" spans="13:13">
      <c r="M8098" s="202"/>
    </row>
    <row r="8099" spans="13:13">
      <c r="M8099" s="202"/>
    </row>
    <row r="8100" spans="13:13">
      <c r="M8100" s="202"/>
    </row>
    <row r="8101" spans="13:13">
      <c r="M8101" s="202"/>
    </row>
    <row r="8102" spans="13:13">
      <c r="M8102" s="202"/>
    </row>
    <row r="8103" spans="13:13">
      <c r="M8103" s="202"/>
    </row>
    <row r="8104" spans="13:13">
      <c r="M8104" s="202"/>
    </row>
    <row r="8105" spans="13:13">
      <c r="M8105" s="202"/>
    </row>
    <row r="8106" spans="13:13">
      <c r="M8106" s="202"/>
    </row>
    <row r="8107" spans="13:13">
      <c r="M8107" s="202"/>
    </row>
    <row r="8108" spans="13:13">
      <c r="M8108" s="202"/>
    </row>
    <row r="8109" spans="13:13">
      <c r="M8109" s="202"/>
    </row>
    <row r="8110" spans="13:13">
      <c r="M8110" s="202"/>
    </row>
    <row r="8111" spans="13:13">
      <c r="M8111" s="202"/>
    </row>
    <row r="8112" spans="13:13">
      <c r="M8112" s="202"/>
    </row>
    <row r="8113" spans="13:13">
      <c r="M8113" s="202"/>
    </row>
    <row r="8114" spans="13:13">
      <c r="M8114" s="202"/>
    </row>
    <row r="8115" spans="13:13">
      <c r="M8115" s="202"/>
    </row>
    <row r="8116" spans="13:13">
      <c r="M8116" s="202"/>
    </row>
    <row r="8117" spans="13:13">
      <c r="M8117" s="202"/>
    </row>
    <row r="8118" spans="13:13">
      <c r="M8118" s="202"/>
    </row>
    <row r="8119" spans="13:13">
      <c r="M8119" s="202"/>
    </row>
    <row r="8120" spans="13:13">
      <c r="M8120" s="202"/>
    </row>
    <row r="8121" spans="13:13">
      <c r="M8121" s="202"/>
    </row>
    <row r="8122" spans="13:13">
      <c r="M8122" s="202"/>
    </row>
    <row r="8123" spans="13:13">
      <c r="M8123" s="202"/>
    </row>
    <row r="8124" spans="13:13">
      <c r="M8124" s="202"/>
    </row>
    <row r="8125" spans="13:13">
      <c r="M8125" s="202"/>
    </row>
    <row r="8126" spans="13:13">
      <c r="M8126" s="202"/>
    </row>
    <row r="8127" spans="13:13">
      <c r="M8127" s="202"/>
    </row>
    <row r="8128" spans="13:13">
      <c r="M8128" s="202"/>
    </row>
    <row r="8129" spans="13:13">
      <c r="M8129" s="202"/>
    </row>
    <row r="8130" spans="13:13">
      <c r="M8130" s="202"/>
    </row>
    <row r="8131" spans="13:13">
      <c r="M8131" s="202"/>
    </row>
    <row r="8132" spans="13:13">
      <c r="M8132" s="202"/>
    </row>
    <row r="8133" spans="13:13">
      <c r="M8133" s="202"/>
    </row>
    <row r="8134" spans="13:13">
      <c r="M8134" s="202"/>
    </row>
    <row r="8135" spans="13:13">
      <c r="M8135" s="202"/>
    </row>
    <row r="8136" spans="13:13">
      <c r="M8136" s="202"/>
    </row>
    <row r="8137" spans="13:13">
      <c r="M8137" s="202"/>
    </row>
    <row r="8138" spans="13:13">
      <c r="M8138" s="202"/>
    </row>
    <row r="8139" spans="13:13">
      <c r="M8139" s="202"/>
    </row>
    <row r="8140" spans="13:13">
      <c r="M8140" s="202"/>
    </row>
    <row r="8141" spans="13:13">
      <c r="M8141" s="202"/>
    </row>
    <row r="8142" spans="13:13">
      <c r="M8142" s="202"/>
    </row>
    <row r="8143" spans="13:13">
      <c r="M8143" s="202"/>
    </row>
    <row r="8144" spans="13:13">
      <c r="M8144" s="202"/>
    </row>
    <row r="8145" spans="13:13">
      <c r="M8145" s="202"/>
    </row>
    <row r="8146" spans="13:13">
      <c r="M8146" s="202"/>
    </row>
    <row r="8147" spans="13:13">
      <c r="M8147" s="202"/>
    </row>
    <row r="8148" spans="13:13">
      <c r="M8148" s="202"/>
    </row>
    <row r="8149" spans="13:13">
      <c r="M8149" s="202"/>
    </row>
    <row r="8150" spans="13:13">
      <c r="M8150" s="202"/>
    </row>
    <row r="8151" spans="13:13">
      <c r="M8151" s="202"/>
    </row>
    <row r="8152" spans="13:13">
      <c r="M8152" s="202"/>
    </row>
    <row r="8153" spans="13:13">
      <c r="M8153" s="202"/>
    </row>
    <row r="8154" spans="13:13">
      <c r="M8154" s="202"/>
    </row>
    <row r="8155" spans="13:13">
      <c r="M8155" s="202"/>
    </row>
    <row r="8156" spans="13:13">
      <c r="M8156" s="202"/>
    </row>
    <row r="8157" spans="13:13">
      <c r="M8157" s="202"/>
    </row>
    <row r="8158" spans="13:13">
      <c r="M8158" s="202"/>
    </row>
    <row r="8159" spans="13:13">
      <c r="M8159" s="202"/>
    </row>
    <row r="8160" spans="13:13">
      <c r="M8160" s="202"/>
    </row>
    <row r="8161" spans="13:13">
      <c r="M8161" s="202"/>
    </row>
    <row r="8162" spans="13:13">
      <c r="M8162" s="202"/>
    </row>
    <row r="8163" spans="13:13">
      <c r="M8163" s="202"/>
    </row>
    <row r="8164" spans="13:13">
      <c r="M8164" s="202"/>
    </row>
    <row r="8165" spans="13:13">
      <c r="M8165" s="202"/>
    </row>
    <row r="8166" spans="13:13">
      <c r="M8166" s="202"/>
    </row>
    <row r="8167" spans="13:13">
      <c r="M8167" s="202"/>
    </row>
    <row r="8168" spans="13:13">
      <c r="M8168" s="202"/>
    </row>
    <row r="8169" spans="13:13">
      <c r="M8169" s="202"/>
    </row>
    <row r="8170" spans="13:13">
      <c r="M8170" s="202"/>
    </row>
    <row r="8171" spans="13:13">
      <c r="M8171" s="202"/>
    </row>
    <row r="8172" spans="13:13">
      <c r="M8172" s="202"/>
    </row>
    <row r="8173" spans="13:13">
      <c r="M8173" s="202"/>
    </row>
    <row r="8174" spans="13:13">
      <c r="M8174" s="202"/>
    </row>
    <row r="8175" spans="13:13">
      <c r="M8175" s="202"/>
    </row>
    <row r="8176" spans="13:13">
      <c r="M8176" s="202"/>
    </row>
    <row r="8177" spans="13:13">
      <c r="M8177" s="202"/>
    </row>
    <row r="8178" spans="13:13">
      <c r="M8178" s="202"/>
    </row>
    <row r="8179" spans="13:13">
      <c r="M8179" s="202"/>
    </row>
    <row r="8180" spans="13:13">
      <c r="M8180" s="202"/>
    </row>
    <row r="8181" spans="13:13">
      <c r="M8181" s="202"/>
    </row>
    <row r="8182" spans="13:13">
      <c r="M8182" s="202"/>
    </row>
    <row r="8183" spans="13:13">
      <c r="M8183" s="202"/>
    </row>
    <row r="8184" spans="13:13">
      <c r="M8184" s="202"/>
    </row>
    <row r="8185" spans="13:13">
      <c r="M8185" s="202"/>
    </row>
    <row r="8186" spans="13:13">
      <c r="M8186" s="202"/>
    </row>
    <row r="8187" spans="13:13">
      <c r="M8187" s="202"/>
    </row>
    <row r="8188" spans="13:13">
      <c r="M8188" s="202"/>
    </row>
    <row r="8189" spans="13:13">
      <c r="M8189" s="202"/>
    </row>
    <row r="8190" spans="13:13">
      <c r="M8190" s="202"/>
    </row>
    <row r="8191" spans="13:13">
      <c r="M8191" s="202"/>
    </row>
    <row r="8192" spans="13:13">
      <c r="M8192" s="202"/>
    </row>
    <row r="8193" spans="13:13">
      <c r="M8193" s="202"/>
    </row>
    <row r="8194" spans="13:13">
      <c r="M8194" s="202"/>
    </row>
    <row r="8195" spans="13:13">
      <c r="M8195" s="202"/>
    </row>
    <row r="8196" spans="13:13">
      <c r="M8196" s="202"/>
    </row>
    <row r="8197" spans="13:13">
      <c r="M8197" s="202"/>
    </row>
    <row r="8198" spans="13:13">
      <c r="M8198" s="202"/>
    </row>
    <row r="8199" spans="13:13">
      <c r="M8199" s="202"/>
    </row>
    <row r="8200" spans="13:13">
      <c r="M8200" s="202"/>
    </row>
    <row r="8201" spans="13:13">
      <c r="M8201" s="202"/>
    </row>
    <row r="8202" spans="13:13">
      <c r="M8202" s="202"/>
    </row>
    <row r="8203" spans="13:13">
      <c r="M8203" s="202"/>
    </row>
    <row r="8204" spans="13:13">
      <c r="M8204" s="202"/>
    </row>
    <row r="8205" spans="13:13">
      <c r="M8205" s="202"/>
    </row>
    <row r="8206" spans="13:13">
      <c r="M8206" s="202"/>
    </row>
    <row r="8207" spans="13:13">
      <c r="M8207" s="202"/>
    </row>
    <row r="8208" spans="13:13">
      <c r="M8208" s="202"/>
    </row>
    <row r="8209" spans="13:13">
      <c r="M8209" s="202"/>
    </row>
    <row r="8210" spans="13:13">
      <c r="M8210" s="202"/>
    </row>
    <row r="8211" spans="13:13">
      <c r="M8211" s="202"/>
    </row>
    <row r="8212" spans="13:13">
      <c r="M8212" s="202"/>
    </row>
    <row r="8213" spans="13:13">
      <c r="M8213" s="202"/>
    </row>
    <row r="8214" spans="13:13">
      <c r="M8214" s="202"/>
    </row>
    <row r="8215" spans="13:13">
      <c r="M8215" s="202"/>
    </row>
    <row r="8216" spans="13:13">
      <c r="M8216" s="202"/>
    </row>
    <row r="8217" spans="13:13">
      <c r="M8217" s="202"/>
    </row>
    <row r="8218" spans="13:13">
      <c r="M8218" s="202"/>
    </row>
    <row r="8219" spans="13:13">
      <c r="M8219" s="202"/>
    </row>
    <row r="8220" spans="13:13">
      <c r="M8220" s="202"/>
    </row>
    <row r="8221" spans="13:13">
      <c r="M8221" s="202"/>
    </row>
    <row r="8222" spans="13:13">
      <c r="M8222" s="202"/>
    </row>
    <row r="8223" spans="13:13">
      <c r="M8223" s="202"/>
    </row>
    <row r="8224" spans="13:13">
      <c r="M8224" s="202"/>
    </row>
    <row r="8225" spans="13:13">
      <c r="M8225" s="202"/>
    </row>
    <row r="8226" spans="13:13">
      <c r="M8226" s="202"/>
    </row>
    <row r="8227" spans="13:13">
      <c r="M8227" s="202"/>
    </row>
    <row r="8228" spans="13:13">
      <c r="M8228" s="202"/>
    </row>
    <row r="8229" spans="13:13">
      <c r="M8229" s="202"/>
    </row>
    <row r="8230" spans="13:13">
      <c r="M8230" s="202"/>
    </row>
    <row r="8231" spans="13:13">
      <c r="M8231" s="202"/>
    </row>
    <row r="8232" spans="13:13">
      <c r="M8232" s="202"/>
    </row>
    <row r="8233" spans="13:13">
      <c r="M8233" s="202"/>
    </row>
    <row r="8234" spans="13:13">
      <c r="M8234" s="202"/>
    </row>
    <row r="8235" spans="13:13">
      <c r="M8235" s="202"/>
    </row>
    <row r="8236" spans="13:13">
      <c r="M8236" s="202"/>
    </row>
    <row r="8237" spans="13:13">
      <c r="M8237" s="202"/>
    </row>
    <row r="8238" spans="13:13">
      <c r="M8238" s="202"/>
    </row>
    <row r="8239" spans="13:13">
      <c r="M8239" s="202"/>
    </row>
    <row r="8240" spans="13:13">
      <c r="M8240" s="202"/>
    </row>
    <row r="8241" spans="13:13">
      <c r="M8241" s="202"/>
    </row>
    <row r="8242" spans="13:13">
      <c r="M8242" s="202"/>
    </row>
    <row r="8243" spans="13:13">
      <c r="M8243" s="202"/>
    </row>
    <row r="8244" spans="13:13">
      <c r="M8244" s="202"/>
    </row>
    <row r="8245" spans="13:13">
      <c r="M8245" s="202"/>
    </row>
    <row r="8246" spans="13:13">
      <c r="M8246" s="202"/>
    </row>
    <row r="8247" spans="13:13">
      <c r="M8247" s="202"/>
    </row>
    <row r="8248" spans="13:13">
      <c r="M8248" s="202"/>
    </row>
    <row r="8249" spans="13:13">
      <c r="M8249" s="202"/>
    </row>
    <row r="8250" spans="13:13">
      <c r="M8250" s="202"/>
    </row>
    <row r="8251" spans="13:13">
      <c r="M8251" s="202"/>
    </row>
    <row r="8252" spans="13:13">
      <c r="M8252" s="202"/>
    </row>
    <row r="8253" spans="13:13">
      <c r="M8253" s="202"/>
    </row>
    <row r="8254" spans="13:13">
      <c r="M8254" s="202"/>
    </row>
    <row r="8255" spans="13:13">
      <c r="M8255" s="202"/>
    </row>
    <row r="8256" spans="13:13">
      <c r="M8256" s="202"/>
    </row>
    <row r="8257" spans="13:13">
      <c r="M8257" s="202"/>
    </row>
    <row r="8258" spans="13:13">
      <c r="M8258" s="202"/>
    </row>
    <row r="8259" spans="13:13">
      <c r="M8259" s="202"/>
    </row>
    <row r="8260" spans="13:13">
      <c r="M8260" s="202"/>
    </row>
    <row r="8261" spans="13:13">
      <c r="M8261" s="202"/>
    </row>
    <row r="8262" spans="13:13">
      <c r="M8262" s="202"/>
    </row>
    <row r="8263" spans="13:13">
      <c r="M8263" s="202"/>
    </row>
    <row r="8264" spans="13:13">
      <c r="M8264" s="202"/>
    </row>
    <row r="8265" spans="13:13">
      <c r="M8265" s="202"/>
    </row>
    <row r="8266" spans="13:13">
      <c r="M8266" s="202"/>
    </row>
    <row r="8267" spans="13:13">
      <c r="M8267" s="202"/>
    </row>
    <row r="8268" spans="13:13">
      <c r="M8268" s="202"/>
    </row>
    <row r="8269" spans="13:13">
      <c r="M8269" s="202"/>
    </row>
    <row r="8270" spans="13:13">
      <c r="M8270" s="202"/>
    </row>
    <row r="8271" spans="13:13">
      <c r="M8271" s="202"/>
    </row>
    <row r="8272" spans="13:13">
      <c r="M8272" s="202"/>
    </row>
    <row r="8273" spans="13:13">
      <c r="M8273" s="202"/>
    </row>
    <row r="8274" spans="13:13">
      <c r="M8274" s="202"/>
    </row>
    <row r="8275" spans="13:13">
      <c r="M8275" s="202"/>
    </row>
    <row r="8276" spans="13:13">
      <c r="M8276" s="202"/>
    </row>
    <row r="8277" spans="13:13">
      <c r="M8277" s="202"/>
    </row>
    <row r="8278" spans="13:13">
      <c r="M8278" s="202"/>
    </row>
    <row r="8279" spans="13:13">
      <c r="M8279" s="202"/>
    </row>
    <row r="8280" spans="13:13">
      <c r="M8280" s="202"/>
    </row>
    <row r="8281" spans="13:13">
      <c r="M8281" s="202"/>
    </row>
    <row r="8282" spans="13:13">
      <c r="M8282" s="202"/>
    </row>
    <row r="8283" spans="13:13">
      <c r="M8283" s="202"/>
    </row>
    <row r="8284" spans="13:13">
      <c r="M8284" s="202"/>
    </row>
    <row r="8285" spans="13:13">
      <c r="M8285" s="202"/>
    </row>
    <row r="8286" spans="13:13">
      <c r="M8286" s="202"/>
    </row>
    <row r="8287" spans="13:13">
      <c r="M8287" s="202"/>
    </row>
    <row r="8288" spans="13:13">
      <c r="M8288" s="202"/>
    </row>
    <row r="8289" spans="13:13">
      <c r="M8289" s="202"/>
    </row>
    <row r="8290" spans="13:13">
      <c r="M8290" s="202"/>
    </row>
    <row r="8291" spans="13:13">
      <c r="M8291" s="202"/>
    </row>
    <row r="8292" spans="13:13">
      <c r="M8292" s="202"/>
    </row>
    <row r="8293" spans="13:13">
      <c r="M8293" s="202"/>
    </row>
    <row r="8294" spans="13:13">
      <c r="M8294" s="202"/>
    </row>
    <row r="8295" spans="13:13">
      <c r="M8295" s="202"/>
    </row>
    <row r="8296" spans="13:13">
      <c r="M8296" s="202"/>
    </row>
    <row r="8297" spans="13:13">
      <c r="M8297" s="202"/>
    </row>
    <row r="8298" spans="13:13">
      <c r="M8298" s="202"/>
    </row>
    <row r="8299" spans="13:13">
      <c r="M8299" s="202"/>
    </row>
    <row r="8300" spans="13:13">
      <c r="M8300" s="202"/>
    </row>
    <row r="8301" spans="13:13">
      <c r="M8301" s="202"/>
    </row>
    <row r="8302" spans="13:13">
      <c r="M8302" s="202"/>
    </row>
    <row r="8303" spans="13:13">
      <c r="M8303" s="202"/>
    </row>
    <row r="8304" spans="13:13">
      <c r="M8304" s="202"/>
    </row>
    <row r="8305" spans="13:13">
      <c r="M8305" s="202"/>
    </row>
    <row r="8306" spans="13:13">
      <c r="M8306" s="202"/>
    </row>
    <row r="8307" spans="13:13">
      <c r="M8307" s="202"/>
    </row>
    <row r="8308" spans="13:13">
      <c r="M8308" s="202"/>
    </row>
    <row r="8309" spans="13:13">
      <c r="M8309" s="202"/>
    </row>
    <row r="8310" spans="13:13">
      <c r="M8310" s="202"/>
    </row>
    <row r="8311" spans="13:13">
      <c r="M8311" s="202"/>
    </row>
    <row r="8312" spans="13:13">
      <c r="M8312" s="202"/>
    </row>
    <row r="8313" spans="13:13">
      <c r="M8313" s="202"/>
    </row>
    <row r="8314" spans="13:13">
      <c r="M8314" s="202"/>
    </row>
    <row r="8315" spans="13:13">
      <c r="M8315" s="202"/>
    </row>
    <row r="8316" spans="13:13">
      <c r="M8316" s="202"/>
    </row>
    <row r="8317" spans="13:13">
      <c r="M8317" s="202"/>
    </row>
    <row r="8318" spans="13:13">
      <c r="M8318" s="202"/>
    </row>
    <row r="8319" spans="13:13">
      <c r="M8319" s="202"/>
    </row>
    <row r="8320" spans="13:13">
      <c r="M8320" s="202"/>
    </row>
    <row r="8321" spans="13:13">
      <c r="M8321" s="202"/>
    </row>
    <row r="8322" spans="13:13">
      <c r="M8322" s="202"/>
    </row>
    <row r="8323" spans="13:13">
      <c r="M8323" s="202"/>
    </row>
    <row r="8324" spans="13:13">
      <c r="M8324" s="202"/>
    </row>
    <row r="8325" spans="13:13">
      <c r="M8325" s="202"/>
    </row>
    <row r="8326" spans="13:13">
      <c r="M8326" s="202"/>
    </row>
    <row r="8327" spans="13:13">
      <c r="M8327" s="202"/>
    </row>
    <row r="8328" spans="13:13">
      <c r="M8328" s="202"/>
    </row>
    <row r="8329" spans="13:13">
      <c r="M8329" s="202"/>
    </row>
    <row r="8330" spans="13:13">
      <c r="M8330" s="202"/>
    </row>
    <row r="8331" spans="13:13">
      <c r="M8331" s="202"/>
    </row>
    <row r="8332" spans="13:13">
      <c r="M8332" s="202"/>
    </row>
    <row r="8333" spans="13:13">
      <c r="M8333" s="202"/>
    </row>
    <row r="8334" spans="13:13">
      <c r="M8334" s="202"/>
    </row>
    <row r="8335" spans="13:13">
      <c r="M8335" s="202"/>
    </row>
    <row r="8336" spans="13:13">
      <c r="M8336" s="202"/>
    </row>
    <row r="8337" spans="13:13">
      <c r="M8337" s="202"/>
    </row>
    <row r="8338" spans="13:13">
      <c r="M8338" s="202"/>
    </row>
    <row r="8339" spans="13:13">
      <c r="M8339" s="202"/>
    </row>
    <row r="8340" spans="13:13">
      <c r="M8340" s="202"/>
    </row>
    <row r="8341" spans="13:13">
      <c r="M8341" s="202"/>
    </row>
    <row r="8342" spans="13:13">
      <c r="M8342" s="202"/>
    </row>
    <row r="8343" spans="13:13">
      <c r="M8343" s="202"/>
    </row>
    <row r="8344" spans="13:13">
      <c r="M8344" s="202"/>
    </row>
    <row r="8345" spans="13:13">
      <c r="M8345" s="202"/>
    </row>
    <row r="8346" spans="13:13">
      <c r="M8346" s="202"/>
    </row>
    <row r="8347" spans="13:13">
      <c r="M8347" s="202"/>
    </row>
    <row r="8348" spans="13:13">
      <c r="M8348" s="202"/>
    </row>
    <row r="8349" spans="13:13">
      <c r="M8349" s="202"/>
    </row>
    <row r="8350" spans="13:13">
      <c r="M8350" s="202"/>
    </row>
    <row r="8351" spans="13:13">
      <c r="M8351" s="202"/>
    </row>
    <row r="8352" spans="13:13">
      <c r="M8352" s="202"/>
    </row>
    <row r="8353" spans="13:13">
      <c r="M8353" s="202"/>
    </row>
    <row r="8354" spans="13:13">
      <c r="M8354" s="202"/>
    </row>
    <row r="8355" spans="13:13">
      <c r="M8355" s="202"/>
    </row>
    <row r="8356" spans="13:13">
      <c r="M8356" s="202"/>
    </row>
    <row r="8357" spans="13:13">
      <c r="M8357" s="202"/>
    </row>
    <row r="8358" spans="13:13">
      <c r="M8358" s="202"/>
    </row>
    <row r="8359" spans="13:13">
      <c r="M8359" s="202"/>
    </row>
    <row r="8360" spans="13:13">
      <c r="M8360" s="202"/>
    </row>
    <row r="8361" spans="13:13">
      <c r="M8361" s="202"/>
    </row>
    <row r="8362" spans="13:13">
      <c r="M8362" s="202"/>
    </row>
    <row r="8363" spans="13:13">
      <c r="M8363" s="202"/>
    </row>
    <row r="8364" spans="13:13">
      <c r="M8364" s="202"/>
    </row>
    <row r="8365" spans="13:13">
      <c r="M8365" s="202"/>
    </row>
    <row r="8366" spans="13:13">
      <c r="M8366" s="202"/>
    </row>
    <row r="8367" spans="13:13">
      <c r="M8367" s="202"/>
    </row>
    <row r="8368" spans="13:13">
      <c r="M8368" s="202"/>
    </row>
    <row r="8369" spans="13:13">
      <c r="M8369" s="202"/>
    </row>
    <row r="8370" spans="13:13">
      <c r="M8370" s="202"/>
    </row>
    <row r="8371" spans="13:13">
      <c r="M8371" s="202"/>
    </row>
    <row r="8372" spans="13:13">
      <c r="M8372" s="202"/>
    </row>
    <row r="8373" spans="13:13">
      <c r="M8373" s="202"/>
    </row>
    <row r="8374" spans="13:13">
      <c r="M8374" s="202"/>
    </row>
    <row r="8375" spans="13:13">
      <c r="M8375" s="202"/>
    </row>
    <row r="8376" spans="13:13">
      <c r="M8376" s="202"/>
    </row>
    <row r="8377" spans="13:13">
      <c r="M8377" s="202"/>
    </row>
    <row r="8378" spans="13:13">
      <c r="M8378" s="202"/>
    </row>
    <row r="8379" spans="13:13">
      <c r="M8379" s="202"/>
    </row>
    <row r="8380" spans="13:13">
      <c r="M8380" s="202"/>
    </row>
    <row r="8381" spans="13:13">
      <c r="M8381" s="202"/>
    </row>
    <row r="8382" spans="13:13">
      <c r="M8382" s="202"/>
    </row>
    <row r="8383" spans="13:13">
      <c r="M8383" s="202"/>
    </row>
    <row r="8384" spans="13:13">
      <c r="M8384" s="202"/>
    </row>
    <row r="8385" spans="13:13">
      <c r="M8385" s="202"/>
    </row>
    <row r="8386" spans="13:13">
      <c r="M8386" s="202"/>
    </row>
    <row r="8387" spans="13:13">
      <c r="M8387" s="202"/>
    </row>
    <row r="8388" spans="13:13">
      <c r="M8388" s="202"/>
    </row>
    <row r="8389" spans="13:13">
      <c r="M8389" s="202"/>
    </row>
    <row r="8390" spans="13:13">
      <c r="M8390" s="202"/>
    </row>
    <row r="8391" spans="13:13">
      <c r="M8391" s="202"/>
    </row>
    <row r="8392" spans="13:13">
      <c r="M8392" s="202"/>
    </row>
    <row r="8393" spans="13:13">
      <c r="M8393" s="202"/>
    </row>
    <row r="8394" spans="13:13">
      <c r="M8394" s="202"/>
    </row>
    <row r="8395" spans="13:13">
      <c r="M8395" s="202"/>
    </row>
    <row r="8396" spans="13:13">
      <c r="M8396" s="202"/>
    </row>
    <row r="8397" spans="13:13">
      <c r="M8397" s="202"/>
    </row>
    <row r="8398" spans="13:13">
      <c r="M8398" s="202"/>
    </row>
    <row r="8399" spans="13:13">
      <c r="M8399" s="202"/>
    </row>
    <row r="8400" spans="13:13">
      <c r="M8400" s="202"/>
    </row>
    <row r="8401" spans="13:13">
      <c r="M8401" s="202"/>
    </row>
    <row r="8402" spans="13:13">
      <c r="M8402" s="202"/>
    </row>
    <row r="8403" spans="13:13">
      <c r="M8403" s="202"/>
    </row>
    <row r="8404" spans="13:13">
      <c r="M8404" s="202"/>
    </row>
    <row r="8405" spans="13:13">
      <c r="M8405" s="202"/>
    </row>
    <row r="8406" spans="13:13">
      <c r="M8406" s="202"/>
    </row>
    <row r="8407" spans="13:13">
      <c r="M8407" s="202"/>
    </row>
    <row r="8408" spans="13:13">
      <c r="M8408" s="202"/>
    </row>
    <row r="8409" spans="13:13">
      <c r="M8409" s="202"/>
    </row>
    <row r="8410" spans="13:13">
      <c r="M8410" s="202"/>
    </row>
    <row r="8411" spans="13:13">
      <c r="M8411" s="202"/>
    </row>
    <row r="8412" spans="13:13">
      <c r="M8412" s="202"/>
    </row>
    <row r="8413" spans="13:13">
      <c r="M8413" s="202"/>
    </row>
    <row r="8414" spans="13:13">
      <c r="M8414" s="202"/>
    </row>
    <row r="8415" spans="13:13">
      <c r="M8415" s="202"/>
    </row>
    <row r="8416" spans="13:13">
      <c r="M8416" s="202"/>
    </row>
    <row r="8417" spans="13:13">
      <c r="M8417" s="202"/>
    </row>
    <row r="8418" spans="13:13">
      <c r="M8418" s="202"/>
    </row>
    <row r="8419" spans="13:13">
      <c r="M8419" s="202"/>
    </row>
    <row r="8420" spans="13:13">
      <c r="M8420" s="202"/>
    </row>
    <row r="8421" spans="13:13">
      <c r="M8421" s="202"/>
    </row>
    <row r="8422" spans="13:13">
      <c r="M8422" s="202"/>
    </row>
    <row r="8423" spans="13:13">
      <c r="M8423" s="202"/>
    </row>
    <row r="8424" spans="13:13">
      <c r="M8424" s="202"/>
    </row>
    <row r="8425" spans="13:13">
      <c r="M8425" s="202"/>
    </row>
    <row r="8426" spans="13:13">
      <c r="M8426" s="202"/>
    </row>
    <row r="8427" spans="13:13">
      <c r="M8427" s="202"/>
    </row>
    <row r="8428" spans="13:13">
      <c r="M8428" s="202"/>
    </row>
    <row r="8429" spans="13:13">
      <c r="M8429" s="202"/>
    </row>
    <row r="8430" spans="13:13">
      <c r="M8430" s="202"/>
    </row>
    <row r="8431" spans="13:13">
      <c r="M8431" s="202"/>
    </row>
    <row r="8432" spans="13:13">
      <c r="M8432" s="202"/>
    </row>
    <row r="8433" spans="13:13">
      <c r="M8433" s="202"/>
    </row>
    <row r="8434" spans="13:13">
      <c r="M8434" s="202"/>
    </row>
    <row r="8435" spans="13:13">
      <c r="M8435" s="202"/>
    </row>
    <row r="8436" spans="13:13">
      <c r="M8436" s="202"/>
    </row>
    <row r="8437" spans="13:13">
      <c r="M8437" s="202"/>
    </row>
    <row r="8438" spans="13:13">
      <c r="M8438" s="202"/>
    </row>
    <row r="8439" spans="13:13">
      <c r="M8439" s="202"/>
    </row>
    <row r="8440" spans="13:13">
      <c r="M8440" s="202"/>
    </row>
    <row r="8441" spans="13:13">
      <c r="M8441" s="202"/>
    </row>
    <row r="8442" spans="13:13">
      <c r="M8442" s="202"/>
    </row>
    <row r="8443" spans="13:13">
      <c r="M8443" s="202"/>
    </row>
    <row r="8444" spans="13:13">
      <c r="M8444" s="202"/>
    </row>
    <row r="8445" spans="13:13">
      <c r="M8445" s="202"/>
    </row>
    <row r="8446" spans="13:13">
      <c r="M8446" s="202"/>
    </row>
    <row r="8447" spans="13:13">
      <c r="M8447" s="202"/>
    </row>
    <row r="8448" spans="13:13">
      <c r="M8448" s="202"/>
    </row>
    <row r="8449" spans="13:13">
      <c r="M8449" s="202"/>
    </row>
    <row r="8450" spans="13:13">
      <c r="M8450" s="202"/>
    </row>
    <row r="8451" spans="13:13">
      <c r="M8451" s="202"/>
    </row>
    <row r="8452" spans="13:13">
      <c r="M8452" s="202"/>
    </row>
    <row r="8453" spans="13:13">
      <c r="M8453" s="202"/>
    </row>
    <row r="8454" spans="13:13">
      <c r="M8454" s="202"/>
    </row>
    <row r="8455" spans="13:13">
      <c r="M8455" s="202"/>
    </row>
    <row r="8456" spans="13:13">
      <c r="M8456" s="202"/>
    </row>
    <row r="8457" spans="13:13">
      <c r="M8457" s="202"/>
    </row>
    <row r="8458" spans="13:13">
      <c r="M8458" s="202"/>
    </row>
    <row r="8459" spans="13:13">
      <c r="M8459" s="202"/>
    </row>
    <row r="8460" spans="13:13">
      <c r="M8460" s="202"/>
    </row>
    <row r="8461" spans="13:13">
      <c r="M8461" s="202"/>
    </row>
    <row r="8462" spans="13:13">
      <c r="M8462" s="202"/>
    </row>
    <row r="8463" spans="13:13">
      <c r="M8463" s="202"/>
    </row>
    <row r="8464" spans="13:13">
      <c r="M8464" s="202"/>
    </row>
    <row r="8465" spans="13:13">
      <c r="M8465" s="202"/>
    </row>
    <row r="8466" spans="13:13">
      <c r="M8466" s="202"/>
    </row>
    <row r="8467" spans="13:13">
      <c r="M8467" s="202"/>
    </row>
    <row r="8468" spans="13:13">
      <c r="M8468" s="202"/>
    </row>
    <row r="8469" spans="13:13">
      <c r="M8469" s="202"/>
    </row>
    <row r="8470" spans="13:13">
      <c r="M8470" s="202"/>
    </row>
    <row r="8471" spans="13:13">
      <c r="M8471" s="202"/>
    </row>
    <row r="8472" spans="13:13">
      <c r="M8472" s="202"/>
    </row>
    <row r="8473" spans="13:13">
      <c r="M8473" s="202"/>
    </row>
    <row r="8474" spans="13:13">
      <c r="M8474" s="202"/>
    </row>
    <row r="8475" spans="13:13">
      <c r="M8475" s="202"/>
    </row>
    <row r="8476" spans="13:13">
      <c r="M8476" s="202"/>
    </row>
    <row r="8477" spans="13:13">
      <c r="M8477" s="202"/>
    </row>
    <row r="8478" spans="13:13">
      <c r="M8478" s="202"/>
    </row>
    <row r="8479" spans="13:13">
      <c r="M8479" s="202"/>
    </row>
    <row r="8480" spans="13:13">
      <c r="M8480" s="202"/>
    </row>
    <row r="8481" spans="13:13">
      <c r="M8481" s="202"/>
    </row>
    <row r="8482" spans="13:13">
      <c r="M8482" s="202"/>
    </row>
    <row r="8483" spans="13:13">
      <c r="M8483" s="202"/>
    </row>
    <row r="8484" spans="13:13">
      <c r="M8484" s="202"/>
    </row>
    <row r="8485" spans="13:13">
      <c r="M8485" s="202"/>
    </row>
    <row r="8486" spans="13:13">
      <c r="M8486" s="202"/>
    </row>
    <row r="8487" spans="13:13">
      <c r="M8487" s="202"/>
    </row>
    <row r="8488" spans="13:13">
      <c r="M8488" s="202"/>
    </row>
    <row r="8489" spans="13:13">
      <c r="M8489" s="202"/>
    </row>
    <row r="8490" spans="13:13">
      <c r="M8490" s="202"/>
    </row>
    <row r="8491" spans="13:13">
      <c r="M8491" s="202"/>
    </row>
    <row r="8492" spans="13:13">
      <c r="M8492" s="202"/>
    </row>
    <row r="8493" spans="13:13">
      <c r="M8493" s="202"/>
    </row>
    <row r="8494" spans="13:13">
      <c r="M8494" s="202"/>
    </row>
    <row r="8495" spans="13:13">
      <c r="M8495" s="202"/>
    </row>
    <row r="8496" spans="13:13">
      <c r="M8496" s="202"/>
    </row>
    <row r="8497" spans="13:13">
      <c r="M8497" s="202"/>
    </row>
    <row r="8498" spans="13:13">
      <c r="M8498" s="202"/>
    </row>
    <row r="8499" spans="13:13">
      <c r="M8499" s="202"/>
    </row>
    <row r="8500" spans="13:13">
      <c r="M8500" s="202"/>
    </row>
    <row r="8501" spans="13:13">
      <c r="M8501" s="202"/>
    </row>
    <row r="8502" spans="13:13">
      <c r="M8502" s="202"/>
    </row>
    <row r="8503" spans="13:13">
      <c r="M8503" s="202"/>
    </row>
    <row r="8504" spans="13:13">
      <c r="M8504" s="202"/>
    </row>
    <row r="8505" spans="13:13">
      <c r="M8505" s="202"/>
    </row>
    <row r="8506" spans="13:13">
      <c r="M8506" s="202"/>
    </row>
    <row r="8507" spans="13:13">
      <c r="M8507" s="202"/>
    </row>
    <row r="8508" spans="13:13">
      <c r="M8508" s="202"/>
    </row>
    <row r="8509" spans="13:13">
      <c r="M8509" s="202"/>
    </row>
    <row r="8510" spans="13:13">
      <c r="M8510" s="202"/>
    </row>
    <row r="8511" spans="13:13">
      <c r="M8511" s="202"/>
    </row>
    <row r="8512" spans="13:13">
      <c r="M8512" s="202"/>
    </row>
    <row r="8513" spans="13:13">
      <c r="M8513" s="202"/>
    </row>
    <row r="8514" spans="13:13">
      <c r="M8514" s="202"/>
    </row>
    <row r="8515" spans="13:13">
      <c r="M8515" s="202"/>
    </row>
    <row r="8516" spans="13:13">
      <c r="M8516" s="202"/>
    </row>
    <row r="8517" spans="13:13">
      <c r="M8517" s="202"/>
    </row>
    <row r="8518" spans="13:13">
      <c r="M8518" s="202"/>
    </row>
    <row r="8519" spans="13:13">
      <c r="M8519" s="202"/>
    </row>
    <row r="8520" spans="13:13">
      <c r="M8520" s="202"/>
    </row>
    <row r="8521" spans="13:13">
      <c r="M8521" s="202"/>
    </row>
    <row r="8522" spans="13:13">
      <c r="M8522" s="202"/>
    </row>
    <row r="8523" spans="13:13">
      <c r="M8523" s="202"/>
    </row>
    <row r="8524" spans="13:13">
      <c r="M8524" s="202"/>
    </row>
    <row r="8525" spans="13:13">
      <c r="M8525" s="202"/>
    </row>
    <row r="8526" spans="13:13">
      <c r="M8526" s="202"/>
    </row>
    <row r="8527" spans="13:13">
      <c r="M8527" s="202"/>
    </row>
    <row r="8528" spans="13:13">
      <c r="M8528" s="202"/>
    </row>
    <row r="8529" spans="13:13">
      <c r="M8529" s="202"/>
    </row>
    <row r="8530" spans="13:13">
      <c r="M8530" s="202"/>
    </row>
    <row r="8531" spans="13:13">
      <c r="M8531" s="202"/>
    </row>
    <row r="8532" spans="13:13">
      <c r="M8532" s="202"/>
    </row>
    <row r="8533" spans="13:13">
      <c r="M8533" s="202"/>
    </row>
    <row r="8534" spans="13:13">
      <c r="M8534" s="202"/>
    </row>
    <row r="8535" spans="13:13">
      <c r="M8535" s="202"/>
    </row>
    <row r="8536" spans="13:13">
      <c r="M8536" s="202"/>
    </row>
    <row r="8537" spans="13:13">
      <c r="M8537" s="202"/>
    </row>
    <row r="8538" spans="13:13">
      <c r="M8538" s="202"/>
    </row>
    <row r="8539" spans="13:13">
      <c r="M8539" s="202"/>
    </row>
    <row r="8540" spans="13:13">
      <c r="M8540" s="202"/>
    </row>
    <row r="8541" spans="13:13">
      <c r="M8541" s="202"/>
    </row>
    <row r="8542" spans="13:13">
      <c r="M8542" s="202"/>
    </row>
    <row r="8543" spans="13:13">
      <c r="M8543" s="202"/>
    </row>
    <row r="8544" spans="13:13">
      <c r="M8544" s="202"/>
    </row>
    <row r="8545" spans="13:13">
      <c r="M8545" s="202"/>
    </row>
    <row r="8546" spans="13:13">
      <c r="M8546" s="202"/>
    </row>
    <row r="8547" spans="13:13">
      <c r="M8547" s="202"/>
    </row>
    <row r="8548" spans="13:13">
      <c r="M8548" s="202"/>
    </row>
    <row r="8549" spans="13:13">
      <c r="M8549" s="202"/>
    </row>
    <row r="8550" spans="13:13">
      <c r="M8550" s="202"/>
    </row>
    <row r="8551" spans="13:13">
      <c r="M8551" s="202"/>
    </row>
    <row r="8552" spans="13:13">
      <c r="M8552" s="202"/>
    </row>
    <row r="8553" spans="13:13">
      <c r="M8553" s="202"/>
    </row>
    <row r="8554" spans="13:13">
      <c r="M8554" s="202"/>
    </row>
    <row r="8555" spans="13:13">
      <c r="M8555" s="202"/>
    </row>
    <row r="8556" spans="13:13">
      <c r="M8556" s="202"/>
    </row>
    <row r="8557" spans="13:13">
      <c r="M8557" s="202"/>
    </row>
    <row r="8558" spans="13:13">
      <c r="M8558" s="202"/>
    </row>
    <row r="8559" spans="13:13">
      <c r="M8559" s="202"/>
    </row>
    <row r="8560" spans="13:13">
      <c r="M8560" s="202"/>
    </row>
    <row r="8561" spans="13:13">
      <c r="M8561" s="202"/>
    </row>
    <row r="8562" spans="13:13">
      <c r="M8562" s="202"/>
    </row>
    <row r="8563" spans="13:13">
      <c r="M8563" s="202"/>
    </row>
    <row r="8564" spans="13:13">
      <c r="M8564" s="202"/>
    </row>
    <row r="8565" spans="13:13">
      <c r="M8565" s="202"/>
    </row>
    <row r="8566" spans="13:13">
      <c r="M8566" s="202"/>
    </row>
    <row r="8567" spans="13:13">
      <c r="M8567" s="202"/>
    </row>
    <row r="8568" spans="13:13">
      <c r="M8568" s="202"/>
    </row>
    <row r="8569" spans="13:13">
      <c r="M8569" s="202"/>
    </row>
    <row r="8570" spans="13:13">
      <c r="M8570" s="202"/>
    </row>
    <row r="8571" spans="13:13">
      <c r="M8571" s="202"/>
    </row>
    <row r="8572" spans="13:13">
      <c r="M8572" s="202"/>
    </row>
    <row r="8573" spans="13:13">
      <c r="M8573" s="202"/>
    </row>
    <row r="8574" spans="13:13">
      <c r="M8574" s="202"/>
    </row>
    <row r="8575" spans="13:13">
      <c r="M8575" s="202"/>
    </row>
    <row r="8576" spans="13:13">
      <c r="M8576" s="202"/>
    </row>
    <row r="8577" spans="13:13">
      <c r="M8577" s="202"/>
    </row>
    <row r="8578" spans="13:13">
      <c r="M8578" s="202"/>
    </row>
    <row r="8579" spans="13:13">
      <c r="M8579" s="202"/>
    </row>
    <row r="8580" spans="13:13">
      <c r="M8580" s="202"/>
    </row>
    <row r="8581" spans="13:13">
      <c r="M8581" s="202"/>
    </row>
    <row r="8582" spans="13:13">
      <c r="M8582" s="202"/>
    </row>
    <row r="8583" spans="13:13">
      <c r="M8583" s="202"/>
    </row>
    <row r="8584" spans="13:13">
      <c r="M8584" s="202"/>
    </row>
    <row r="8585" spans="13:13">
      <c r="M8585" s="202"/>
    </row>
    <row r="8586" spans="13:13">
      <c r="M8586" s="202"/>
    </row>
    <row r="8587" spans="13:13">
      <c r="M8587" s="202"/>
    </row>
    <row r="8588" spans="13:13">
      <c r="M8588" s="202"/>
    </row>
    <row r="8589" spans="13:13">
      <c r="M8589" s="202"/>
    </row>
    <row r="8590" spans="13:13">
      <c r="M8590" s="202"/>
    </row>
    <row r="8591" spans="13:13">
      <c r="M8591" s="202"/>
    </row>
    <row r="8592" spans="13:13">
      <c r="M8592" s="202"/>
    </row>
    <row r="8593" spans="13:13">
      <c r="M8593" s="202"/>
    </row>
    <row r="8594" spans="13:13">
      <c r="M8594" s="202"/>
    </row>
    <row r="8595" spans="13:13">
      <c r="M8595" s="202"/>
    </row>
    <row r="8596" spans="13:13">
      <c r="M8596" s="202"/>
    </row>
    <row r="8597" spans="13:13">
      <c r="M8597" s="202"/>
    </row>
    <row r="8598" spans="13:13">
      <c r="M8598" s="202"/>
    </row>
    <row r="8599" spans="13:13">
      <c r="M8599" s="202"/>
    </row>
    <row r="8600" spans="13:13">
      <c r="M8600" s="202"/>
    </row>
    <row r="8601" spans="13:13">
      <c r="M8601" s="202"/>
    </row>
    <row r="8602" spans="13:13">
      <c r="M8602" s="202"/>
    </row>
    <row r="8603" spans="13:13">
      <c r="M8603" s="202"/>
    </row>
    <row r="8604" spans="13:13">
      <c r="M8604" s="202"/>
    </row>
    <row r="8605" spans="13:13">
      <c r="M8605" s="202"/>
    </row>
    <row r="8606" spans="13:13">
      <c r="M8606" s="202"/>
    </row>
    <row r="8607" spans="13:13">
      <c r="M8607" s="202"/>
    </row>
    <row r="8608" spans="13:13">
      <c r="M8608" s="202"/>
    </row>
    <row r="8609" spans="13:13">
      <c r="M8609" s="202"/>
    </row>
    <row r="8610" spans="13:13">
      <c r="M8610" s="202"/>
    </row>
    <row r="8611" spans="13:13">
      <c r="M8611" s="202"/>
    </row>
    <row r="8612" spans="13:13">
      <c r="M8612" s="202"/>
    </row>
    <row r="8613" spans="13:13">
      <c r="M8613" s="202"/>
    </row>
    <row r="8614" spans="13:13">
      <c r="M8614" s="202"/>
    </row>
    <row r="8615" spans="13:13">
      <c r="M8615" s="202"/>
    </row>
    <row r="8616" spans="13:13">
      <c r="M8616" s="202"/>
    </row>
    <row r="8617" spans="13:13">
      <c r="M8617" s="202"/>
    </row>
    <row r="8618" spans="13:13">
      <c r="M8618" s="202"/>
    </row>
    <row r="8619" spans="13:13">
      <c r="M8619" s="202"/>
    </row>
    <row r="8620" spans="13:13">
      <c r="M8620" s="202"/>
    </row>
    <row r="8621" spans="13:13">
      <c r="M8621" s="202"/>
    </row>
    <row r="8622" spans="13:13">
      <c r="M8622" s="202"/>
    </row>
    <row r="8623" spans="13:13">
      <c r="M8623" s="202"/>
    </row>
    <row r="8624" spans="13:13">
      <c r="M8624" s="202"/>
    </row>
    <row r="8625" spans="13:13">
      <c r="M8625" s="202"/>
    </row>
    <row r="8626" spans="13:13">
      <c r="M8626" s="202"/>
    </row>
    <row r="8627" spans="13:13">
      <c r="M8627" s="202"/>
    </row>
    <row r="8628" spans="13:13">
      <c r="M8628" s="202"/>
    </row>
    <row r="8629" spans="13:13">
      <c r="M8629" s="202"/>
    </row>
    <row r="8630" spans="13:13">
      <c r="M8630" s="202"/>
    </row>
    <row r="8631" spans="13:13">
      <c r="M8631" s="202"/>
    </row>
    <row r="8632" spans="13:13">
      <c r="M8632" s="202"/>
    </row>
    <row r="8633" spans="13:13">
      <c r="M8633" s="202"/>
    </row>
    <row r="8634" spans="13:13">
      <c r="M8634" s="202"/>
    </row>
    <row r="8635" spans="13:13">
      <c r="M8635" s="202"/>
    </row>
    <row r="8636" spans="13:13">
      <c r="M8636" s="202"/>
    </row>
    <row r="8637" spans="13:13">
      <c r="M8637" s="202"/>
    </row>
    <row r="8638" spans="13:13">
      <c r="M8638" s="202"/>
    </row>
    <row r="8639" spans="13:13">
      <c r="M8639" s="202"/>
    </row>
    <row r="8640" spans="13:13">
      <c r="M8640" s="202"/>
    </row>
    <row r="8641" spans="13:13">
      <c r="M8641" s="202"/>
    </row>
    <row r="8642" spans="13:13">
      <c r="M8642" s="202"/>
    </row>
    <row r="8643" spans="13:13">
      <c r="M8643" s="202"/>
    </row>
    <row r="8644" spans="13:13">
      <c r="M8644" s="202"/>
    </row>
    <row r="8645" spans="13:13">
      <c r="M8645" s="202"/>
    </row>
    <row r="8646" spans="13:13">
      <c r="M8646" s="202"/>
    </row>
    <row r="8647" spans="13:13">
      <c r="M8647" s="202"/>
    </row>
    <row r="8648" spans="13:13">
      <c r="M8648" s="202"/>
    </row>
    <row r="8649" spans="13:13">
      <c r="M8649" s="202"/>
    </row>
    <row r="8650" spans="13:13">
      <c r="M8650" s="202"/>
    </row>
    <row r="8651" spans="13:13">
      <c r="M8651" s="202"/>
    </row>
    <row r="8652" spans="13:13">
      <c r="M8652" s="202"/>
    </row>
    <row r="8653" spans="13:13">
      <c r="M8653" s="202"/>
    </row>
    <row r="8654" spans="13:13">
      <c r="M8654" s="202"/>
    </row>
    <row r="8655" spans="13:13">
      <c r="M8655" s="202"/>
    </row>
    <row r="8656" spans="13:13">
      <c r="M8656" s="202"/>
    </row>
    <row r="8657" spans="13:13">
      <c r="M8657" s="202"/>
    </row>
    <row r="8658" spans="13:13">
      <c r="M8658" s="202"/>
    </row>
    <row r="8659" spans="13:13">
      <c r="M8659" s="202"/>
    </row>
    <row r="8660" spans="13:13">
      <c r="M8660" s="202"/>
    </row>
    <row r="8661" spans="13:13">
      <c r="M8661" s="202"/>
    </row>
    <row r="8662" spans="13:13">
      <c r="M8662" s="202"/>
    </row>
    <row r="8663" spans="13:13">
      <c r="M8663" s="202"/>
    </row>
    <row r="8664" spans="13:13">
      <c r="M8664" s="202"/>
    </row>
    <row r="8665" spans="13:13">
      <c r="M8665" s="202"/>
    </row>
    <row r="8666" spans="13:13">
      <c r="M8666" s="202"/>
    </row>
    <row r="8667" spans="13:13">
      <c r="M8667" s="202"/>
    </row>
    <row r="8668" spans="13:13">
      <c r="M8668" s="202"/>
    </row>
    <row r="8669" spans="13:13">
      <c r="M8669" s="202"/>
    </row>
    <row r="8670" spans="13:13">
      <c r="M8670" s="202"/>
    </row>
    <row r="8671" spans="13:13">
      <c r="M8671" s="202"/>
    </row>
    <row r="8672" spans="13:13">
      <c r="M8672" s="202"/>
    </row>
    <row r="8673" spans="13:13">
      <c r="M8673" s="202"/>
    </row>
    <row r="8674" spans="13:13">
      <c r="M8674" s="202"/>
    </row>
    <row r="8675" spans="13:13">
      <c r="M8675" s="202"/>
    </row>
    <row r="8676" spans="13:13">
      <c r="M8676" s="202"/>
    </row>
    <row r="8677" spans="13:13">
      <c r="M8677" s="202"/>
    </row>
    <row r="8678" spans="13:13">
      <c r="M8678" s="202"/>
    </row>
    <row r="8679" spans="13:13">
      <c r="M8679" s="202"/>
    </row>
    <row r="8680" spans="13:13">
      <c r="M8680" s="202"/>
    </row>
    <row r="8681" spans="13:13">
      <c r="M8681" s="202"/>
    </row>
    <row r="8682" spans="13:13">
      <c r="M8682" s="202"/>
    </row>
    <row r="8683" spans="13:13">
      <c r="M8683" s="202"/>
    </row>
    <row r="8684" spans="13:13">
      <c r="M8684" s="202"/>
    </row>
    <row r="8685" spans="13:13">
      <c r="M8685" s="202"/>
    </row>
    <row r="8686" spans="13:13">
      <c r="M8686" s="202"/>
    </row>
    <row r="8687" spans="13:13">
      <c r="M8687" s="202"/>
    </row>
    <row r="8688" spans="13:13">
      <c r="M8688" s="202"/>
    </row>
    <row r="8689" spans="13:13">
      <c r="M8689" s="202"/>
    </row>
    <row r="8690" spans="13:13">
      <c r="M8690" s="202"/>
    </row>
    <row r="8691" spans="13:13">
      <c r="M8691" s="202"/>
    </row>
    <row r="8692" spans="13:13">
      <c r="M8692" s="202"/>
    </row>
    <row r="8693" spans="13:13">
      <c r="M8693" s="202"/>
    </row>
    <row r="8694" spans="13:13">
      <c r="M8694" s="202"/>
    </row>
    <row r="8695" spans="13:13">
      <c r="M8695" s="202"/>
    </row>
    <row r="8696" spans="13:13">
      <c r="M8696" s="202"/>
    </row>
    <row r="8697" spans="13:13">
      <c r="M8697" s="202"/>
    </row>
    <row r="8698" spans="13:13">
      <c r="M8698" s="202"/>
    </row>
    <row r="8699" spans="13:13">
      <c r="M8699" s="202"/>
    </row>
    <row r="8700" spans="13:13">
      <c r="M8700" s="202"/>
    </row>
    <row r="8701" spans="13:13">
      <c r="M8701" s="202"/>
    </row>
    <row r="8702" spans="13:13">
      <c r="M8702" s="202"/>
    </row>
    <row r="8703" spans="13:13">
      <c r="M8703" s="202"/>
    </row>
    <row r="8704" spans="13:13">
      <c r="M8704" s="202"/>
    </row>
    <row r="8705" spans="13:13">
      <c r="M8705" s="202"/>
    </row>
    <row r="8706" spans="13:13">
      <c r="M8706" s="202"/>
    </row>
    <row r="8707" spans="13:13">
      <c r="M8707" s="202"/>
    </row>
    <row r="8708" spans="13:13">
      <c r="M8708" s="202"/>
    </row>
    <row r="8709" spans="13:13">
      <c r="M8709" s="202"/>
    </row>
    <row r="8710" spans="13:13">
      <c r="M8710" s="202"/>
    </row>
    <row r="8711" spans="13:13">
      <c r="M8711" s="202"/>
    </row>
    <row r="8712" spans="13:13">
      <c r="M8712" s="202"/>
    </row>
    <row r="8713" spans="13:13">
      <c r="M8713" s="202"/>
    </row>
    <row r="8714" spans="13:13">
      <c r="M8714" s="202"/>
    </row>
    <row r="8715" spans="13:13">
      <c r="M8715" s="202"/>
    </row>
    <row r="8716" spans="13:13">
      <c r="M8716" s="202"/>
    </row>
    <row r="8717" spans="13:13">
      <c r="M8717" s="202"/>
    </row>
    <row r="8718" spans="13:13">
      <c r="M8718" s="202"/>
    </row>
    <row r="8719" spans="13:13">
      <c r="M8719" s="202"/>
    </row>
    <row r="8720" spans="13:13">
      <c r="M8720" s="202"/>
    </row>
    <row r="8721" spans="13:13">
      <c r="M8721" s="202"/>
    </row>
    <row r="8722" spans="13:13">
      <c r="M8722" s="202"/>
    </row>
    <row r="8723" spans="13:13">
      <c r="M8723" s="202"/>
    </row>
    <row r="8724" spans="13:13">
      <c r="M8724" s="202"/>
    </row>
    <row r="8725" spans="13:13">
      <c r="M8725" s="202"/>
    </row>
    <row r="8726" spans="13:13">
      <c r="M8726" s="202"/>
    </row>
    <row r="8727" spans="13:13">
      <c r="M8727" s="202"/>
    </row>
    <row r="8728" spans="13:13">
      <c r="M8728" s="202"/>
    </row>
    <row r="8729" spans="13:13">
      <c r="M8729" s="202"/>
    </row>
    <row r="8730" spans="13:13">
      <c r="M8730" s="202"/>
    </row>
    <row r="8731" spans="13:13">
      <c r="M8731" s="202"/>
    </row>
    <row r="8732" spans="13:13">
      <c r="M8732" s="202"/>
    </row>
    <row r="8733" spans="13:13">
      <c r="M8733" s="202"/>
    </row>
    <row r="8734" spans="13:13">
      <c r="M8734" s="202"/>
    </row>
    <row r="8735" spans="13:13">
      <c r="M8735" s="202"/>
    </row>
    <row r="8736" spans="13:13">
      <c r="M8736" s="202"/>
    </row>
    <row r="8737" spans="13:13">
      <c r="M8737" s="202"/>
    </row>
    <row r="8738" spans="13:13">
      <c r="M8738" s="202"/>
    </row>
    <row r="8739" spans="13:13">
      <c r="M8739" s="202"/>
    </row>
    <row r="8740" spans="13:13">
      <c r="M8740" s="202"/>
    </row>
    <row r="8741" spans="13:13">
      <c r="M8741" s="202"/>
    </row>
    <row r="8742" spans="13:13">
      <c r="M8742" s="202"/>
    </row>
    <row r="8743" spans="13:13">
      <c r="M8743" s="202"/>
    </row>
    <row r="8744" spans="13:13">
      <c r="M8744" s="202"/>
    </row>
    <row r="8745" spans="13:13">
      <c r="M8745" s="202"/>
    </row>
    <row r="8746" spans="13:13">
      <c r="M8746" s="202"/>
    </row>
    <row r="8747" spans="13:13">
      <c r="M8747" s="202"/>
    </row>
    <row r="8748" spans="13:13">
      <c r="M8748" s="202"/>
    </row>
    <row r="8749" spans="13:13">
      <c r="M8749" s="202"/>
    </row>
    <row r="8750" spans="13:13">
      <c r="M8750" s="202"/>
    </row>
    <row r="8751" spans="13:13">
      <c r="M8751" s="202"/>
    </row>
    <row r="8752" spans="13:13">
      <c r="M8752" s="202"/>
    </row>
    <row r="8753" spans="13:13">
      <c r="M8753" s="202"/>
    </row>
    <row r="8754" spans="13:13">
      <c r="M8754" s="202"/>
    </row>
    <row r="8755" spans="13:13">
      <c r="M8755" s="202"/>
    </row>
    <row r="8756" spans="13:13">
      <c r="M8756" s="202"/>
    </row>
    <row r="8757" spans="13:13">
      <c r="M8757" s="202"/>
    </row>
    <row r="8758" spans="13:13">
      <c r="M8758" s="202"/>
    </row>
    <row r="8759" spans="13:13">
      <c r="M8759" s="202"/>
    </row>
    <row r="8760" spans="13:13">
      <c r="M8760" s="202"/>
    </row>
    <row r="8761" spans="13:13">
      <c r="M8761" s="202"/>
    </row>
    <row r="8762" spans="13:13">
      <c r="M8762" s="202"/>
    </row>
    <row r="8763" spans="13:13">
      <c r="M8763" s="202"/>
    </row>
    <row r="8764" spans="13:13">
      <c r="M8764" s="202"/>
    </row>
    <row r="8765" spans="13:13">
      <c r="M8765" s="202"/>
    </row>
    <row r="8766" spans="13:13">
      <c r="M8766" s="202"/>
    </row>
    <row r="8767" spans="13:13">
      <c r="M8767" s="202"/>
    </row>
    <row r="8768" spans="13:13">
      <c r="M8768" s="202"/>
    </row>
    <row r="8769" spans="13:13">
      <c r="M8769" s="202"/>
    </row>
    <row r="8770" spans="13:13">
      <c r="M8770" s="202"/>
    </row>
    <row r="8771" spans="13:13">
      <c r="M8771" s="202"/>
    </row>
    <row r="8772" spans="13:13">
      <c r="M8772" s="202"/>
    </row>
    <row r="8773" spans="13:13">
      <c r="M8773" s="202"/>
    </row>
    <row r="8774" spans="13:13">
      <c r="M8774" s="202"/>
    </row>
    <row r="8775" spans="13:13">
      <c r="M8775" s="202"/>
    </row>
    <row r="8776" spans="13:13">
      <c r="M8776" s="202"/>
    </row>
    <row r="8777" spans="13:13">
      <c r="M8777" s="202"/>
    </row>
    <row r="8778" spans="13:13">
      <c r="M8778" s="202"/>
    </row>
    <row r="8779" spans="13:13">
      <c r="M8779" s="202"/>
    </row>
    <row r="8780" spans="13:13">
      <c r="M8780" s="202"/>
    </row>
    <row r="8781" spans="13:13">
      <c r="M8781" s="202"/>
    </row>
    <row r="8782" spans="13:13">
      <c r="M8782" s="202"/>
    </row>
    <row r="8783" spans="13:13">
      <c r="M8783" s="202"/>
    </row>
    <row r="8784" spans="13:13">
      <c r="M8784" s="202"/>
    </row>
    <row r="8785" spans="13:13">
      <c r="M8785" s="202"/>
    </row>
    <row r="8786" spans="13:13">
      <c r="M8786" s="202"/>
    </row>
    <row r="8787" spans="13:13">
      <c r="M8787" s="202"/>
    </row>
    <row r="8788" spans="13:13">
      <c r="M8788" s="202"/>
    </row>
    <row r="8789" spans="13:13">
      <c r="M8789" s="202"/>
    </row>
    <row r="8790" spans="13:13">
      <c r="M8790" s="202"/>
    </row>
    <row r="8791" spans="13:13">
      <c r="M8791" s="202"/>
    </row>
    <row r="8792" spans="13:13">
      <c r="M8792" s="202"/>
    </row>
    <row r="8793" spans="13:13">
      <c r="M8793" s="202"/>
    </row>
    <row r="8794" spans="13:13">
      <c r="M8794" s="202"/>
    </row>
    <row r="8795" spans="13:13">
      <c r="M8795" s="202"/>
    </row>
    <row r="8796" spans="13:13">
      <c r="M8796" s="202"/>
    </row>
    <row r="8797" spans="13:13">
      <c r="M8797" s="202"/>
    </row>
    <row r="8798" spans="13:13">
      <c r="M8798" s="202"/>
    </row>
    <row r="8799" spans="13:13">
      <c r="M8799" s="202"/>
    </row>
    <row r="8800" spans="13:13">
      <c r="M8800" s="202"/>
    </row>
    <row r="8801" spans="13:13">
      <c r="M8801" s="202"/>
    </row>
    <row r="8802" spans="13:13">
      <c r="M8802" s="202"/>
    </row>
    <row r="8803" spans="13:13">
      <c r="M8803" s="202"/>
    </row>
    <row r="8804" spans="13:13">
      <c r="M8804" s="202"/>
    </row>
    <row r="8805" spans="13:13">
      <c r="M8805" s="202"/>
    </row>
    <row r="8806" spans="13:13">
      <c r="M8806" s="202"/>
    </row>
    <row r="8807" spans="13:13">
      <c r="M8807" s="202"/>
    </row>
    <row r="8808" spans="13:13">
      <c r="M8808" s="202"/>
    </row>
    <row r="8809" spans="13:13">
      <c r="M8809" s="202"/>
    </row>
    <row r="8810" spans="13:13">
      <c r="M8810" s="202"/>
    </row>
    <row r="8811" spans="13:13">
      <c r="M8811" s="202"/>
    </row>
    <row r="8812" spans="13:13">
      <c r="M8812" s="202"/>
    </row>
    <row r="8813" spans="13:13">
      <c r="M8813" s="202"/>
    </row>
    <row r="8814" spans="13:13">
      <c r="M8814" s="202"/>
    </row>
    <row r="8815" spans="13:13">
      <c r="M8815" s="202"/>
    </row>
    <row r="8816" spans="13:13">
      <c r="M8816" s="202"/>
    </row>
    <row r="8817" spans="13:13">
      <c r="M8817" s="202"/>
    </row>
    <row r="8818" spans="13:13">
      <c r="M8818" s="202"/>
    </row>
    <row r="8819" spans="13:13">
      <c r="M8819" s="202"/>
    </row>
    <row r="8820" spans="13:13">
      <c r="M8820" s="202"/>
    </row>
    <row r="8821" spans="13:13">
      <c r="M8821" s="202"/>
    </row>
    <row r="8822" spans="13:13">
      <c r="M8822" s="202"/>
    </row>
    <row r="8823" spans="13:13">
      <c r="M8823" s="202"/>
    </row>
    <row r="8824" spans="13:13">
      <c r="M8824" s="202"/>
    </row>
    <row r="8825" spans="13:13">
      <c r="M8825" s="202"/>
    </row>
    <row r="8826" spans="13:13">
      <c r="M8826" s="202"/>
    </row>
    <row r="8827" spans="13:13">
      <c r="M8827" s="202"/>
    </row>
    <row r="8828" spans="13:13">
      <c r="M8828" s="202"/>
    </row>
    <row r="8829" spans="13:13">
      <c r="M8829" s="202"/>
    </row>
    <row r="8830" spans="13:13">
      <c r="M8830" s="202"/>
    </row>
    <row r="8831" spans="13:13">
      <c r="M8831" s="202"/>
    </row>
    <row r="8832" spans="13:13">
      <c r="M8832" s="202"/>
    </row>
    <row r="8833" spans="13:13">
      <c r="M8833" s="202"/>
    </row>
    <row r="8834" spans="13:13">
      <c r="M8834" s="202"/>
    </row>
    <row r="8835" spans="13:13">
      <c r="M8835" s="202"/>
    </row>
    <row r="8836" spans="13:13">
      <c r="M8836" s="202"/>
    </row>
    <row r="8837" spans="13:13">
      <c r="M8837" s="202"/>
    </row>
    <row r="8838" spans="13:13">
      <c r="M8838" s="202"/>
    </row>
    <row r="8839" spans="13:13">
      <c r="M8839" s="202"/>
    </row>
    <row r="8840" spans="13:13">
      <c r="M8840" s="202"/>
    </row>
    <row r="8841" spans="13:13">
      <c r="M8841" s="202"/>
    </row>
    <row r="8842" spans="13:13">
      <c r="M8842" s="202"/>
    </row>
    <row r="8843" spans="13:13">
      <c r="M8843" s="202"/>
    </row>
    <row r="8844" spans="13:13">
      <c r="M8844" s="202"/>
    </row>
    <row r="8845" spans="13:13">
      <c r="M8845" s="202"/>
    </row>
    <row r="8846" spans="13:13">
      <c r="M8846" s="202"/>
    </row>
    <row r="8847" spans="13:13">
      <c r="M8847" s="202"/>
    </row>
    <row r="8848" spans="13:13">
      <c r="M8848" s="202"/>
    </row>
    <row r="8849" spans="13:13">
      <c r="M8849" s="202"/>
    </row>
    <row r="8850" spans="13:13">
      <c r="M8850" s="202"/>
    </row>
    <row r="8851" spans="13:13">
      <c r="M8851" s="202"/>
    </row>
    <row r="8852" spans="13:13">
      <c r="M8852" s="202"/>
    </row>
    <row r="8853" spans="13:13">
      <c r="M8853" s="202"/>
    </row>
    <row r="8854" spans="13:13">
      <c r="M8854" s="202"/>
    </row>
    <row r="8855" spans="13:13">
      <c r="M8855" s="202"/>
    </row>
    <row r="8856" spans="13:13">
      <c r="M8856" s="202"/>
    </row>
    <row r="8857" spans="13:13">
      <c r="M8857" s="202"/>
    </row>
    <row r="8858" spans="13:13">
      <c r="M8858" s="202"/>
    </row>
    <row r="8859" spans="13:13">
      <c r="M8859" s="202"/>
    </row>
    <row r="8860" spans="13:13">
      <c r="M8860" s="202"/>
    </row>
    <row r="8861" spans="13:13">
      <c r="M8861" s="202"/>
    </row>
    <row r="8862" spans="13:13">
      <c r="M8862" s="202"/>
    </row>
    <row r="8863" spans="13:13">
      <c r="M8863" s="202"/>
    </row>
    <row r="8864" spans="13:13">
      <c r="M8864" s="202"/>
    </row>
    <row r="8865" spans="13:13">
      <c r="M8865" s="202"/>
    </row>
    <row r="8866" spans="13:13">
      <c r="M8866" s="202"/>
    </row>
    <row r="8867" spans="13:13">
      <c r="M8867" s="202"/>
    </row>
    <row r="8868" spans="13:13">
      <c r="M8868" s="202"/>
    </row>
    <row r="8869" spans="13:13">
      <c r="M8869" s="202"/>
    </row>
    <row r="8870" spans="13:13">
      <c r="M8870" s="202"/>
    </row>
    <row r="8871" spans="13:13">
      <c r="M8871" s="202"/>
    </row>
    <row r="8872" spans="13:13">
      <c r="M8872" s="202"/>
    </row>
    <row r="8873" spans="13:13">
      <c r="M8873" s="202"/>
    </row>
    <row r="8874" spans="13:13">
      <c r="M8874" s="202"/>
    </row>
    <row r="8875" spans="13:13">
      <c r="M8875" s="202"/>
    </row>
    <row r="8876" spans="13:13">
      <c r="M8876" s="202"/>
    </row>
    <row r="8877" spans="13:13">
      <c r="M8877" s="202"/>
    </row>
    <row r="8878" spans="13:13">
      <c r="M8878" s="202"/>
    </row>
    <row r="8879" spans="13:13">
      <c r="M8879" s="202"/>
    </row>
    <row r="8880" spans="13:13">
      <c r="M8880" s="202"/>
    </row>
    <row r="8881" spans="13:13">
      <c r="M8881" s="202"/>
    </row>
    <row r="8882" spans="13:13">
      <c r="M8882" s="202"/>
    </row>
    <row r="8883" spans="13:13">
      <c r="M8883" s="202"/>
    </row>
    <row r="8884" spans="13:13">
      <c r="M8884" s="202"/>
    </row>
    <row r="8885" spans="13:13">
      <c r="M8885" s="202"/>
    </row>
    <row r="8886" spans="13:13">
      <c r="M8886" s="202"/>
    </row>
    <row r="8887" spans="13:13">
      <c r="M8887" s="202"/>
    </row>
    <row r="8888" spans="13:13">
      <c r="M8888" s="202"/>
    </row>
    <row r="8889" spans="13:13">
      <c r="M8889" s="202"/>
    </row>
    <row r="8890" spans="13:13">
      <c r="M8890" s="202"/>
    </row>
    <row r="8891" spans="13:13">
      <c r="M8891" s="202"/>
    </row>
    <row r="8892" spans="13:13">
      <c r="M8892" s="202"/>
    </row>
    <row r="8893" spans="13:13">
      <c r="M8893" s="202"/>
    </row>
    <row r="8894" spans="13:13">
      <c r="M8894" s="202"/>
    </row>
    <row r="8895" spans="13:13">
      <c r="M8895" s="202"/>
    </row>
    <row r="8896" spans="13:13">
      <c r="M8896" s="202"/>
    </row>
    <row r="8897" spans="13:13">
      <c r="M8897" s="202"/>
    </row>
    <row r="8898" spans="13:13">
      <c r="M8898" s="202"/>
    </row>
    <row r="8899" spans="13:13">
      <c r="M8899" s="202"/>
    </row>
    <row r="8900" spans="13:13">
      <c r="M8900" s="202"/>
    </row>
    <row r="8901" spans="13:13">
      <c r="M8901" s="202"/>
    </row>
    <row r="8902" spans="13:13">
      <c r="M8902" s="202"/>
    </row>
    <row r="8903" spans="13:13">
      <c r="M8903" s="202"/>
    </row>
    <row r="8904" spans="13:13">
      <c r="M8904" s="202"/>
    </row>
    <row r="8905" spans="13:13">
      <c r="M8905" s="202"/>
    </row>
    <row r="8906" spans="13:13">
      <c r="M8906" s="202"/>
    </row>
    <row r="8907" spans="13:13">
      <c r="M8907" s="202"/>
    </row>
    <row r="8908" spans="13:13">
      <c r="M8908" s="202"/>
    </row>
    <row r="8909" spans="13:13">
      <c r="M8909" s="202"/>
    </row>
    <row r="8910" spans="13:13">
      <c r="M8910" s="202"/>
    </row>
    <row r="8911" spans="13:13">
      <c r="M8911" s="202"/>
    </row>
    <row r="8912" spans="13:13">
      <c r="M8912" s="202"/>
    </row>
    <row r="8913" spans="13:13">
      <c r="M8913" s="202"/>
    </row>
    <row r="8914" spans="13:13">
      <c r="M8914" s="202"/>
    </row>
    <row r="8915" spans="13:13">
      <c r="M8915" s="202"/>
    </row>
    <row r="8916" spans="13:13">
      <c r="M8916" s="202"/>
    </row>
    <row r="8917" spans="13:13">
      <c r="M8917" s="202"/>
    </row>
    <row r="8918" spans="13:13">
      <c r="M8918" s="202"/>
    </row>
    <row r="8919" spans="13:13">
      <c r="M8919" s="202"/>
    </row>
    <row r="8920" spans="13:13">
      <c r="M8920" s="202"/>
    </row>
    <row r="8921" spans="13:13">
      <c r="M8921" s="202"/>
    </row>
    <row r="8922" spans="13:13">
      <c r="M8922" s="202"/>
    </row>
    <row r="8923" spans="13:13">
      <c r="M8923" s="202"/>
    </row>
    <row r="8924" spans="13:13">
      <c r="M8924" s="202"/>
    </row>
    <row r="8925" spans="13:13">
      <c r="M8925" s="202"/>
    </row>
    <row r="8926" spans="13:13">
      <c r="M8926" s="202"/>
    </row>
    <row r="8927" spans="13:13">
      <c r="M8927" s="202"/>
    </row>
    <row r="8928" spans="13:13">
      <c r="M8928" s="202"/>
    </row>
    <row r="8929" spans="13:13">
      <c r="M8929" s="202"/>
    </row>
    <row r="8930" spans="13:13">
      <c r="M8930" s="202"/>
    </row>
    <row r="8931" spans="13:13">
      <c r="M8931" s="202"/>
    </row>
    <row r="8932" spans="13:13">
      <c r="M8932" s="202"/>
    </row>
    <row r="8933" spans="13:13">
      <c r="M8933" s="202"/>
    </row>
    <row r="8934" spans="13:13">
      <c r="M8934" s="202"/>
    </row>
    <row r="8935" spans="13:13">
      <c r="M8935" s="202"/>
    </row>
    <row r="8936" spans="13:13">
      <c r="M8936" s="202"/>
    </row>
    <row r="8937" spans="13:13">
      <c r="M8937" s="202"/>
    </row>
    <row r="8938" spans="13:13">
      <c r="M8938" s="202"/>
    </row>
    <row r="8939" spans="13:13">
      <c r="M8939" s="202"/>
    </row>
    <row r="8940" spans="13:13">
      <c r="M8940" s="202"/>
    </row>
    <row r="8941" spans="13:13">
      <c r="M8941" s="202"/>
    </row>
    <row r="8942" spans="13:13">
      <c r="M8942" s="202"/>
    </row>
    <row r="8943" spans="13:13">
      <c r="M8943" s="202"/>
    </row>
    <row r="8944" spans="13:13">
      <c r="M8944" s="202"/>
    </row>
    <row r="8945" spans="13:13">
      <c r="M8945" s="202"/>
    </row>
    <row r="8946" spans="13:13">
      <c r="M8946" s="202"/>
    </row>
    <row r="8947" spans="13:13">
      <c r="M8947" s="202"/>
    </row>
    <row r="8948" spans="13:13">
      <c r="M8948" s="202"/>
    </row>
    <row r="8949" spans="13:13">
      <c r="M8949" s="202"/>
    </row>
    <row r="8950" spans="13:13">
      <c r="M8950" s="202"/>
    </row>
    <row r="8951" spans="13:13">
      <c r="M8951" s="202"/>
    </row>
    <row r="8952" spans="13:13">
      <c r="M8952" s="202"/>
    </row>
    <row r="8953" spans="13:13">
      <c r="M8953" s="202"/>
    </row>
    <row r="8954" spans="13:13">
      <c r="M8954" s="202"/>
    </row>
    <row r="8955" spans="13:13">
      <c r="M8955" s="202"/>
    </row>
    <row r="8956" spans="13:13">
      <c r="M8956" s="202"/>
    </row>
    <row r="8957" spans="13:13">
      <c r="M8957" s="202"/>
    </row>
    <row r="8958" spans="13:13">
      <c r="M8958" s="202"/>
    </row>
    <row r="8959" spans="13:13">
      <c r="M8959" s="202"/>
    </row>
    <row r="8960" spans="13:13">
      <c r="M8960" s="202"/>
    </row>
    <row r="8961" spans="13:13">
      <c r="M8961" s="202"/>
    </row>
    <row r="8962" spans="13:13">
      <c r="M8962" s="202"/>
    </row>
    <row r="8963" spans="13:13">
      <c r="M8963" s="202"/>
    </row>
    <row r="8964" spans="13:13">
      <c r="M8964" s="202"/>
    </row>
    <row r="8965" spans="13:13">
      <c r="M8965" s="202"/>
    </row>
    <row r="8966" spans="13:13">
      <c r="M8966" s="202"/>
    </row>
    <row r="8967" spans="13:13">
      <c r="M8967" s="202"/>
    </row>
    <row r="8968" spans="13:13">
      <c r="M8968" s="202"/>
    </row>
    <row r="8969" spans="13:13">
      <c r="M8969" s="202"/>
    </row>
    <row r="8970" spans="13:13">
      <c r="M8970" s="202"/>
    </row>
    <row r="8971" spans="13:13">
      <c r="M8971" s="202"/>
    </row>
    <row r="8972" spans="13:13">
      <c r="M8972" s="202"/>
    </row>
    <row r="8973" spans="13:13">
      <c r="M8973" s="202"/>
    </row>
    <row r="8974" spans="13:13">
      <c r="M8974" s="202"/>
    </row>
    <row r="8975" spans="13:13">
      <c r="M8975" s="202"/>
    </row>
    <row r="8976" spans="13:13">
      <c r="M8976" s="202"/>
    </row>
    <row r="8977" spans="13:13">
      <c r="M8977" s="202"/>
    </row>
    <row r="8978" spans="13:13">
      <c r="M8978" s="202"/>
    </row>
    <row r="8979" spans="13:13">
      <c r="M8979" s="202"/>
    </row>
    <row r="8980" spans="13:13">
      <c r="M8980" s="202"/>
    </row>
    <row r="8981" spans="13:13">
      <c r="M8981" s="202"/>
    </row>
    <row r="8982" spans="13:13">
      <c r="M8982" s="202"/>
    </row>
    <row r="8983" spans="13:13">
      <c r="M8983" s="202"/>
    </row>
    <row r="8984" spans="13:13">
      <c r="M8984" s="202"/>
    </row>
    <row r="8985" spans="13:13">
      <c r="M8985" s="202"/>
    </row>
    <row r="8986" spans="13:13">
      <c r="M8986" s="202"/>
    </row>
    <row r="8987" spans="13:13">
      <c r="M8987" s="202"/>
    </row>
    <row r="8988" spans="13:13">
      <c r="M8988" s="202"/>
    </row>
    <row r="8989" spans="13:13">
      <c r="M8989" s="202"/>
    </row>
    <row r="8990" spans="13:13">
      <c r="M8990" s="202"/>
    </row>
    <row r="8991" spans="13:13">
      <c r="M8991" s="202"/>
    </row>
    <row r="8992" spans="13:13">
      <c r="M8992" s="202"/>
    </row>
    <row r="8993" spans="13:13">
      <c r="M8993" s="202"/>
    </row>
    <row r="8994" spans="13:13">
      <c r="M8994" s="202"/>
    </row>
    <row r="8995" spans="13:13">
      <c r="M8995" s="202"/>
    </row>
    <row r="8996" spans="13:13">
      <c r="M8996" s="202"/>
    </row>
    <row r="8997" spans="13:13">
      <c r="M8997" s="202"/>
    </row>
    <row r="8998" spans="13:13">
      <c r="M8998" s="202"/>
    </row>
    <row r="8999" spans="13:13">
      <c r="M8999" s="202"/>
    </row>
    <row r="9000" spans="13:13">
      <c r="M9000" s="202"/>
    </row>
    <row r="9001" spans="13:13">
      <c r="M9001" s="202"/>
    </row>
    <row r="9002" spans="13:13">
      <c r="M9002" s="202"/>
    </row>
    <row r="9003" spans="13:13">
      <c r="M9003" s="202"/>
    </row>
    <row r="9004" spans="13:13">
      <c r="M9004" s="202"/>
    </row>
    <row r="9005" spans="13:13">
      <c r="M9005" s="202"/>
    </row>
    <row r="9006" spans="13:13">
      <c r="M9006" s="202"/>
    </row>
    <row r="9007" spans="13:13">
      <c r="M9007" s="202"/>
    </row>
    <row r="9008" spans="13:13">
      <c r="M9008" s="202"/>
    </row>
    <row r="9009" spans="13:13">
      <c r="M9009" s="202"/>
    </row>
    <row r="9010" spans="13:13">
      <c r="M9010" s="202"/>
    </row>
    <row r="9011" spans="13:13">
      <c r="M9011" s="202"/>
    </row>
    <row r="9012" spans="13:13">
      <c r="M9012" s="202"/>
    </row>
    <row r="9013" spans="13:13">
      <c r="M9013" s="202"/>
    </row>
    <row r="9014" spans="13:13">
      <c r="M9014" s="202"/>
    </row>
    <row r="9015" spans="13:13">
      <c r="M9015" s="202"/>
    </row>
    <row r="9016" spans="13:13">
      <c r="M9016" s="202"/>
    </row>
    <row r="9017" spans="13:13">
      <c r="M9017" s="202"/>
    </row>
    <row r="9018" spans="13:13">
      <c r="M9018" s="202"/>
    </row>
    <row r="9019" spans="13:13">
      <c r="M9019" s="202"/>
    </row>
    <row r="9020" spans="13:13">
      <c r="M9020" s="202"/>
    </row>
    <row r="9021" spans="13:13">
      <c r="M9021" s="202"/>
    </row>
    <row r="9022" spans="13:13">
      <c r="M9022" s="202"/>
    </row>
    <row r="9023" spans="13:13">
      <c r="M9023" s="202"/>
    </row>
    <row r="9024" spans="13:13">
      <c r="M9024" s="202"/>
    </row>
    <row r="9025" spans="13:13">
      <c r="M9025" s="202"/>
    </row>
    <row r="9026" spans="13:13">
      <c r="M9026" s="202"/>
    </row>
    <row r="9027" spans="13:13">
      <c r="M9027" s="202"/>
    </row>
    <row r="9028" spans="13:13">
      <c r="M9028" s="202"/>
    </row>
    <row r="9029" spans="13:13">
      <c r="M9029" s="202"/>
    </row>
    <row r="9030" spans="13:13">
      <c r="M9030" s="202"/>
    </row>
    <row r="9031" spans="13:13">
      <c r="M9031" s="202"/>
    </row>
    <row r="9032" spans="13:13">
      <c r="M9032" s="202"/>
    </row>
    <row r="9033" spans="13:13">
      <c r="M9033" s="202"/>
    </row>
    <row r="9034" spans="13:13">
      <c r="M9034" s="202"/>
    </row>
    <row r="9035" spans="13:13">
      <c r="M9035" s="202"/>
    </row>
    <row r="9036" spans="13:13">
      <c r="M9036" s="202"/>
    </row>
    <row r="9037" spans="13:13">
      <c r="M9037" s="202"/>
    </row>
    <row r="9038" spans="13:13">
      <c r="M9038" s="202"/>
    </row>
    <row r="9039" spans="13:13">
      <c r="M9039" s="202"/>
    </row>
    <row r="9040" spans="13:13">
      <c r="M9040" s="202"/>
    </row>
    <row r="9041" spans="13:13">
      <c r="M9041" s="202"/>
    </row>
    <row r="9042" spans="13:13">
      <c r="M9042" s="202"/>
    </row>
    <row r="9043" spans="13:13">
      <c r="M9043" s="202"/>
    </row>
    <row r="9044" spans="13:13">
      <c r="M9044" s="202"/>
    </row>
    <row r="9045" spans="13:13">
      <c r="M9045" s="202"/>
    </row>
    <row r="9046" spans="13:13">
      <c r="M9046" s="202"/>
    </row>
    <row r="9047" spans="13:13">
      <c r="M9047" s="202"/>
    </row>
    <row r="9048" spans="13:13">
      <c r="M9048" s="202"/>
    </row>
    <row r="9049" spans="13:13">
      <c r="M9049" s="202"/>
    </row>
    <row r="9050" spans="13:13">
      <c r="M9050" s="202"/>
    </row>
    <row r="9051" spans="13:13">
      <c r="M9051" s="202"/>
    </row>
    <row r="9052" spans="13:13">
      <c r="M9052" s="202"/>
    </row>
    <row r="9053" spans="13:13">
      <c r="M9053" s="202"/>
    </row>
    <row r="9054" spans="13:13">
      <c r="M9054" s="202"/>
    </row>
    <row r="9055" spans="13:13">
      <c r="M9055" s="202"/>
    </row>
    <row r="9056" spans="13:13">
      <c r="M9056" s="202"/>
    </row>
    <row r="9057" spans="13:13">
      <c r="M9057" s="202"/>
    </row>
    <row r="9058" spans="13:13">
      <c r="M9058" s="202"/>
    </row>
    <row r="9059" spans="13:13">
      <c r="M9059" s="202"/>
    </row>
    <row r="9060" spans="13:13">
      <c r="M9060" s="202"/>
    </row>
    <row r="9061" spans="13:13">
      <c r="M9061" s="202"/>
    </row>
    <row r="9062" spans="13:13">
      <c r="M9062" s="202"/>
    </row>
    <row r="9063" spans="13:13">
      <c r="M9063" s="202"/>
    </row>
    <row r="9064" spans="13:13">
      <c r="M9064" s="202"/>
    </row>
    <row r="9065" spans="13:13">
      <c r="M9065" s="202"/>
    </row>
    <row r="9066" spans="13:13">
      <c r="M9066" s="202"/>
    </row>
    <row r="9067" spans="13:13">
      <c r="M9067" s="202"/>
    </row>
    <row r="9068" spans="13:13">
      <c r="M9068" s="202"/>
    </row>
    <row r="9069" spans="13:13">
      <c r="M9069" s="202"/>
    </row>
    <row r="9070" spans="13:13">
      <c r="M9070" s="202"/>
    </row>
    <row r="9071" spans="13:13">
      <c r="M9071" s="202"/>
    </row>
    <row r="9072" spans="13:13">
      <c r="M9072" s="202"/>
    </row>
    <row r="9073" spans="13:13">
      <c r="M9073" s="202"/>
    </row>
    <row r="9074" spans="13:13">
      <c r="M9074" s="202"/>
    </row>
    <row r="9075" spans="13:13">
      <c r="M9075" s="202"/>
    </row>
    <row r="9076" spans="13:13">
      <c r="M9076" s="202"/>
    </row>
    <row r="9077" spans="13:13">
      <c r="M9077" s="202"/>
    </row>
    <row r="9078" spans="13:13">
      <c r="M9078" s="202"/>
    </row>
    <row r="9079" spans="13:13">
      <c r="M9079" s="202"/>
    </row>
    <row r="9080" spans="13:13">
      <c r="M9080" s="202"/>
    </row>
    <row r="9081" spans="13:13">
      <c r="M9081" s="202"/>
    </row>
    <row r="9082" spans="13:13">
      <c r="M9082" s="202"/>
    </row>
    <row r="9083" spans="13:13">
      <c r="M9083" s="202"/>
    </row>
    <row r="9084" spans="13:13">
      <c r="M9084" s="202"/>
    </row>
    <row r="9085" spans="13:13">
      <c r="M9085" s="202"/>
    </row>
    <row r="9086" spans="13:13">
      <c r="M9086" s="202"/>
    </row>
    <row r="9087" spans="13:13">
      <c r="M9087" s="202"/>
    </row>
    <row r="9088" spans="13:13">
      <c r="M9088" s="202"/>
    </row>
    <row r="9089" spans="13:13">
      <c r="M9089" s="202"/>
    </row>
    <row r="9090" spans="13:13">
      <c r="M9090" s="202"/>
    </row>
    <row r="9091" spans="13:13">
      <c r="M9091" s="202"/>
    </row>
    <row r="9092" spans="13:13">
      <c r="M9092" s="202"/>
    </row>
    <row r="9093" spans="13:13">
      <c r="M9093" s="202"/>
    </row>
    <row r="9094" spans="13:13">
      <c r="M9094" s="202"/>
    </row>
    <row r="9095" spans="13:13">
      <c r="M9095" s="202"/>
    </row>
    <row r="9096" spans="13:13">
      <c r="M9096" s="202"/>
    </row>
    <row r="9097" spans="13:13">
      <c r="M9097" s="202"/>
    </row>
    <row r="9098" spans="13:13">
      <c r="M9098" s="202"/>
    </row>
    <row r="9099" spans="13:13">
      <c r="M9099" s="202"/>
    </row>
    <row r="9100" spans="13:13">
      <c r="M9100" s="202"/>
    </row>
    <row r="9101" spans="13:13">
      <c r="M9101" s="202"/>
    </row>
    <row r="9102" spans="13:13">
      <c r="M9102" s="202"/>
    </row>
    <row r="9103" spans="13:13">
      <c r="M9103" s="202"/>
    </row>
    <row r="9104" spans="13:13">
      <c r="M9104" s="202"/>
    </row>
    <row r="9105" spans="13:13">
      <c r="M9105" s="202"/>
    </row>
    <row r="9106" spans="13:13">
      <c r="M9106" s="202"/>
    </row>
    <row r="9107" spans="13:13">
      <c r="M9107" s="202"/>
    </row>
    <row r="9108" spans="13:13">
      <c r="M9108" s="202"/>
    </row>
    <row r="9109" spans="13:13">
      <c r="M9109" s="202"/>
    </row>
    <row r="9110" spans="13:13">
      <c r="M9110" s="202"/>
    </row>
    <row r="9111" spans="13:13">
      <c r="M9111" s="202"/>
    </row>
    <row r="9112" spans="13:13">
      <c r="M9112" s="202"/>
    </row>
    <row r="9113" spans="13:13">
      <c r="M9113" s="202"/>
    </row>
    <row r="9114" spans="13:13">
      <c r="M9114" s="202"/>
    </row>
    <row r="9115" spans="13:13">
      <c r="M9115" s="202"/>
    </row>
    <row r="9116" spans="13:13">
      <c r="M9116" s="202"/>
    </row>
    <row r="9117" spans="13:13">
      <c r="M9117" s="202"/>
    </row>
    <row r="9118" spans="13:13">
      <c r="M9118" s="202"/>
    </row>
    <row r="9119" spans="13:13">
      <c r="M9119" s="202"/>
    </row>
    <row r="9120" spans="13:13">
      <c r="M9120" s="202"/>
    </row>
    <row r="9121" spans="13:13">
      <c r="M9121" s="202"/>
    </row>
    <row r="9122" spans="13:13">
      <c r="M9122" s="202"/>
    </row>
    <row r="9123" spans="13:13">
      <c r="M9123" s="202"/>
    </row>
    <row r="9124" spans="13:13">
      <c r="M9124" s="202"/>
    </row>
    <row r="9125" spans="13:13">
      <c r="M9125" s="202"/>
    </row>
    <row r="9126" spans="13:13">
      <c r="M9126" s="202"/>
    </row>
    <row r="9127" spans="13:13">
      <c r="M9127" s="202"/>
    </row>
    <row r="9128" spans="13:13">
      <c r="M9128" s="202"/>
    </row>
    <row r="9129" spans="13:13">
      <c r="M9129" s="202"/>
    </row>
    <row r="9130" spans="13:13">
      <c r="M9130" s="202"/>
    </row>
    <row r="9131" spans="13:13">
      <c r="M9131" s="202"/>
    </row>
    <row r="9132" spans="13:13">
      <c r="M9132" s="202"/>
    </row>
    <row r="9133" spans="13:13">
      <c r="M9133" s="202"/>
    </row>
    <row r="9134" spans="13:13">
      <c r="M9134" s="202"/>
    </row>
    <row r="9135" spans="13:13">
      <c r="M9135" s="202"/>
    </row>
    <row r="9136" spans="13:13">
      <c r="M9136" s="202"/>
    </row>
    <row r="9137" spans="13:13">
      <c r="M9137" s="202"/>
    </row>
    <row r="9138" spans="13:13">
      <c r="M9138" s="202"/>
    </row>
    <row r="9139" spans="13:13">
      <c r="M9139" s="202"/>
    </row>
    <row r="9140" spans="13:13">
      <c r="M9140" s="202"/>
    </row>
    <row r="9141" spans="13:13">
      <c r="M9141" s="202"/>
    </row>
    <row r="9142" spans="13:13">
      <c r="M9142" s="202"/>
    </row>
    <row r="9143" spans="13:13">
      <c r="M9143" s="202"/>
    </row>
    <row r="9144" spans="13:13">
      <c r="M9144" s="202"/>
    </row>
    <row r="9145" spans="13:13">
      <c r="M9145" s="202"/>
    </row>
    <row r="9146" spans="13:13">
      <c r="M9146" s="202"/>
    </row>
    <row r="9147" spans="13:13">
      <c r="M9147" s="202"/>
    </row>
    <row r="9148" spans="13:13">
      <c r="M9148" s="202"/>
    </row>
    <row r="9149" spans="13:13">
      <c r="M9149" s="202"/>
    </row>
    <row r="9150" spans="13:13">
      <c r="M9150" s="202"/>
    </row>
    <row r="9151" spans="13:13">
      <c r="M9151" s="202"/>
    </row>
    <row r="9152" spans="13:13">
      <c r="M9152" s="202"/>
    </row>
    <row r="9153" spans="13:13">
      <c r="M9153" s="202"/>
    </row>
    <row r="9154" spans="13:13">
      <c r="M9154" s="202"/>
    </row>
    <row r="9155" spans="13:13">
      <c r="M9155" s="202"/>
    </row>
    <row r="9156" spans="13:13">
      <c r="M9156" s="202"/>
    </row>
    <row r="9157" spans="13:13">
      <c r="M9157" s="202"/>
    </row>
    <row r="9158" spans="13:13">
      <c r="M9158" s="202"/>
    </row>
    <row r="9159" spans="13:13">
      <c r="M9159" s="202"/>
    </row>
    <row r="9160" spans="13:13">
      <c r="M9160" s="202"/>
    </row>
    <row r="9161" spans="13:13">
      <c r="M9161" s="202"/>
    </row>
    <row r="9162" spans="13:13">
      <c r="M9162" s="202"/>
    </row>
    <row r="9163" spans="13:13">
      <c r="M9163" s="202"/>
    </row>
    <row r="9164" spans="13:13">
      <c r="M9164" s="202"/>
    </row>
    <row r="9165" spans="13:13">
      <c r="M9165" s="202"/>
    </row>
    <row r="9166" spans="13:13">
      <c r="M9166" s="202"/>
    </row>
    <row r="9167" spans="13:13">
      <c r="M9167" s="202"/>
    </row>
    <row r="9168" spans="13:13">
      <c r="M9168" s="202"/>
    </row>
    <row r="9169" spans="13:13">
      <c r="M9169" s="202"/>
    </row>
    <row r="9170" spans="13:13">
      <c r="M9170" s="202"/>
    </row>
    <row r="9171" spans="13:13">
      <c r="M9171" s="202"/>
    </row>
    <row r="9172" spans="13:13">
      <c r="M9172" s="202"/>
    </row>
    <row r="9173" spans="13:13">
      <c r="M9173" s="202"/>
    </row>
    <row r="9174" spans="13:13">
      <c r="M9174" s="202"/>
    </row>
    <row r="9175" spans="13:13">
      <c r="M9175" s="202"/>
    </row>
    <row r="9176" spans="13:13">
      <c r="M9176" s="202"/>
    </row>
    <row r="9177" spans="13:13">
      <c r="M9177" s="202"/>
    </row>
    <row r="9178" spans="13:13">
      <c r="M9178" s="202"/>
    </row>
    <row r="9179" spans="13:13">
      <c r="M9179" s="202"/>
    </row>
    <row r="9180" spans="13:13">
      <c r="M9180" s="202"/>
    </row>
    <row r="9181" spans="13:13">
      <c r="M9181" s="202"/>
    </row>
    <row r="9182" spans="13:13">
      <c r="M9182" s="202"/>
    </row>
    <row r="9183" spans="13:13">
      <c r="M9183" s="202"/>
    </row>
    <row r="9184" spans="13:13">
      <c r="M9184" s="202"/>
    </row>
    <row r="9185" spans="13:13">
      <c r="M9185" s="202"/>
    </row>
    <row r="9186" spans="13:13">
      <c r="M9186" s="202"/>
    </row>
    <row r="9187" spans="13:13">
      <c r="M9187" s="202"/>
    </row>
    <row r="9188" spans="13:13">
      <c r="M9188" s="202"/>
    </row>
    <row r="9189" spans="13:13">
      <c r="M9189" s="202"/>
    </row>
    <row r="9190" spans="13:13">
      <c r="M9190" s="202"/>
    </row>
    <row r="9191" spans="13:13">
      <c r="M9191" s="202"/>
    </row>
    <row r="9192" spans="13:13">
      <c r="M9192" s="202"/>
    </row>
    <row r="9193" spans="13:13">
      <c r="M9193" s="202"/>
    </row>
    <row r="9194" spans="13:13">
      <c r="M9194" s="202"/>
    </row>
    <row r="9195" spans="13:13">
      <c r="M9195" s="202"/>
    </row>
    <row r="9196" spans="13:13">
      <c r="M9196" s="202"/>
    </row>
    <row r="9197" spans="13:13">
      <c r="M9197" s="202"/>
    </row>
    <row r="9198" spans="13:13">
      <c r="M9198" s="202"/>
    </row>
    <row r="9199" spans="13:13">
      <c r="M9199" s="202"/>
    </row>
    <row r="9200" spans="13:13">
      <c r="M9200" s="202"/>
    </row>
    <row r="9201" spans="13:13">
      <c r="M9201" s="202"/>
    </row>
    <row r="9202" spans="13:13">
      <c r="M9202" s="202"/>
    </row>
    <row r="9203" spans="13:13">
      <c r="M9203" s="202"/>
    </row>
    <row r="9204" spans="13:13">
      <c r="M9204" s="202"/>
    </row>
    <row r="9205" spans="13:13">
      <c r="M9205" s="202"/>
    </row>
    <row r="9206" spans="13:13">
      <c r="M9206" s="202"/>
    </row>
    <row r="9207" spans="13:13">
      <c r="M9207" s="202"/>
    </row>
    <row r="9208" spans="13:13">
      <c r="M9208" s="202"/>
    </row>
    <row r="9209" spans="13:13">
      <c r="M9209" s="202"/>
    </row>
    <row r="9210" spans="13:13">
      <c r="M9210" s="202"/>
    </row>
    <row r="9211" spans="13:13">
      <c r="M9211" s="202"/>
    </row>
    <row r="9212" spans="13:13">
      <c r="M9212" s="202"/>
    </row>
    <row r="9213" spans="13:13">
      <c r="M9213" s="202"/>
    </row>
    <row r="9214" spans="13:13">
      <c r="M9214" s="202"/>
    </row>
    <row r="9215" spans="13:13">
      <c r="M9215" s="202"/>
    </row>
    <row r="9216" spans="13:13">
      <c r="M9216" s="202"/>
    </row>
    <row r="9217" spans="13:13">
      <c r="M9217" s="202"/>
    </row>
    <row r="9218" spans="13:13">
      <c r="M9218" s="202"/>
    </row>
    <row r="9219" spans="13:13">
      <c r="M9219" s="202"/>
    </row>
    <row r="9220" spans="13:13">
      <c r="M9220" s="202"/>
    </row>
    <row r="9221" spans="13:13">
      <c r="M9221" s="202"/>
    </row>
    <row r="9222" spans="13:13">
      <c r="M9222" s="202"/>
    </row>
    <row r="9223" spans="13:13">
      <c r="M9223" s="202"/>
    </row>
    <row r="9224" spans="13:13">
      <c r="M9224" s="202"/>
    </row>
    <row r="9225" spans="13:13">
      <c r="M9225" s="202"/>
    </row>
    <row r="9226" spans="13:13">
      <c r="M9226" s="202"/>
    </row>
    <row r="9227" spans="13:13">
      <c r="M9227" s="202"/>
    </row>
    <row r="9228" spans="13:13">
      <c r="M9228" s="202"/>
    </row>
    <row r="9229" spans="13:13">
      <c r="M9229" s="202"/>
    </row>
    <row r="9230" spans="13:13">
      <c r="M9230" s="202"/>
    </row>
    <row r="9231" spans="13:13">
      <c r="M9231" s="202"/>
    </row>
    <row r="9232" spans="13:13">
      <c r="M9232" s="202"/>
    </row>
    <row r="9233" spans="13:13">
      <c r="M9233" s="202"/>
    </row>
    <row r="9234" spans="13:13">
      <c r="M9234" s="202"/>
    </row>
    <row r="9235" spans="13:13">
      <c r="M9235" s="202"/>
    </row>
    <row r="9236" spans="13:13">
      <c r="M9236" s="202"/>
    </row>
    <row r="9237" spans="13:13">
      <c r="M9237" s="202"/>
    </row>
    <row r="9238" spans="13:13">
      <c r="M9238" s="202"/>
    </row>
    <row r="9239" spans="13:13">
      <c r="M9239" s="202"/>
    </row>
    <row r="9240" spans="13:13">
      <c r="M9240" s="202"/>
    </row>
    <row r="9241" spans="13:13">
      <c r="M9241" s="202"/>
    </row>
    <row r="9242" spans="13:13">
      <c r="M9242" s="202"/>
    </row>
    <row r="9243" spans="13:13">
      <c r="M9243" s="202"/>
    </row>
    <row r="9244" spans="13:13">
      <c r="M9244" s="202"/>
    </row>
    <row r="9245" spans="13:13">
      <c r="M9245" s="202"/>
    </row>
    <row r="9246" spans="13:13">
      <c r="M9246" s="202"/>
    </row>
    <row r="9247" spans="13:13">
      <c r="M9247" s="202"/>
    </row>
    <row r="9248" spans="13:13">
      <c r="M9248" s="202"/>
    </row>
    <row r="9249" spans="13:13">
      <c r="M9249" s="202"/>
    </row>
    <row r="9250" spans="13:13">
      <c r="M9250" s="202"/>
    </row>
    <row r="9251" spans="13:13">
      <c r="M9251" s="202"/>
    </row>
    <row r="9252" spans="13:13">
      <c r="M9252" s="202"/>
    </row>
    <row r="9253" spans="13:13">
      <c r="M9253" s="202"/>
    </row>
    <row r="9254" spans="13:13">
      <c r="M9254" s="202"/>
    </row>
    <row r="9255" spans="13:13">
      <c r="M9255" s="202"/>
    </row>
    <row r="9256" spans="13:13">
      <c r="M9256" s="202"/>
    </row>
    <row r="9257" spans="13:13">
      <c r="M9257" s="202"/>
    </row>
    <row r="9258" spans="13:13">
      <c r="M9258" s="202"/>
    </row>
    <row r="9259" spans="13:13">
      <c r="M9259" s="202"/>
    </row>
    <row r="9260" spans="13:13">
      <c r="M9260" s="202"/>
    </row>
    <row r="9261" spans="13:13">
      <c r="M9261" s="202"/>
    </row>
    <row r="9262" spans="13:13">
      <c r="M9262" s="202"/>
    </row>
    <row r="9263" spans="13:13">
      <c r="M9263" s="202"/>
    </row>
    <row r="9264" spans="13:13">
      <c r="M9264" s="202"/>
    </row>
    <row r="9265" spans="13:13">
      <c r="M9265" s="202"/>
    </row>
    <row r="9266" spans="13:13">
      <c r="M9266" s="202"/>
    </row>
    <row r="9267" spans="13:13">
      <c r="M9267" s="202"/>
    </row>
    <row r="9268" spans="13:13">
      <c r="M9268" s="202"/>
    </row>
    <row r="9269" spans="13:13">
      <c r="M9269" s="202"/>
    </row>
    <row r="9270" spans="13:13">
      <c r="M9270" s="202"/>
    </row>
    <row r="9271" spans="13:13">
      <c r="M9271" s="202"/>
    </row>
    <row r="9272" spans="13:13">
      <c r="M9272" s="202"/>
    </row>
    <row r="9273" spans="13:13">
      <c r="M9273" s="202"/>
    </row>
    <row r="9274" spans="13:13">
      <c r="M9274" s="202"/>
    </row>
    <row r="9275" spans="13:13">
      <c r="M9275" s="202"/>
    </row>
    <row r="9276" spans="13:13">
      <c r="M9276" s="202"/>
    </row>
    <row r="9277" spans="13:13">
      <c r="M9277" s="202"/>
    </row>
    <row r="9278" spans="13:13">
      <c r="M9278" s="202"/>
    </row>
    <row r="9279" spans="13:13">
      <c r="M9279" s="202"/>
    </row>
    <row r="9280" spans="13:13">
      <c r="M9280" s="202"/>
    </row>
    <row r="9281" spans="13:13">
      <c r="M9281" s="202"/>
    </row>
    <row r="9282" spans="13:13">
      <c r="M9282" s="202"/>
    </row>
    <row r="9283" spans="13:13">
      <c r="M9283" s="202"/>
    </row>
    <row r="9284" spans="13:13">
      <c r="M9284" s="202"/>
    </row>
    <row r="9285" spans="13:13">
      <c r="M9285" s="202"/>
    </row>
    <row r="9286" spans="13:13">
      <c r="M9286" s="202"/>
    </row>
    <row r="9287" spans="13:13">
      <c r="M9287" s="202"/>
    </row>
    <row r="9288" spans="13:13">
      <c r="M9288" s="202"/>
    </row>
    <row r="9289" spans="13:13">
      <c r="M9289" s="202"/>
    </row>
    <row r="9290" spans="13:13">
      <c r="M9290" s="202"/>
    </row>
    <row r="9291" spans="13:13">
      <c r="M9291" s="202"/>
    </row>
    <row r="9292" spans="13:13">
      <c r="M9292" s="202"/>
    </row>
    <row r="9293" spans="13:13">
      <c r="M9293" s="202"/>
    </row>
    <row r="9294" spans="13:13">
      <c r="M9294" s="202"/>
    </row>
    <row r="9295" spans="13:13">
      <c r="M9295" s="202"/>
    </row>
    <row r="9296" spans="13:13">
      <c r="M9296" s="202"/>
    </row>
    <row r="9297" spans="13:13">
      <c r="M9297" s="202"/>
    </row>
    <row r="9298" spans="13:13">
      <c r="M9298" s="202"/>
    </row>
    <row r="9299" spans="13:13">
      <c r="M9299" s="202"/>
    </row>
    <row r="9300" spans="13:13">
      <c r="M9300" s="202"/>
    </row>
    <row r="9301" spans="13:13">
      <c r="M9301" s="202"/>
    </row>
    <row r="9302" spans="13:13">
      <c r="M9302" s="202"/>
    </row>
    <row r="9303" spans="13:13">
      <c r="M9303" s="202"/>
    </row>
    <row r="9304" spans="13:13">
      <c r="M9304" s="202"/>
    </row>
    <row r="9305" spans="13:13">
      <c r="M9305" s="202"/>
    </row>
    <row r="9306" spans="13:13">
      <c r="M9306" s="202"/>
    </row>
    <row r="9307" spans="13:13">
      <c r="M9307" s="202"/>
    </row>
    <row r="9308" spans="13:13">
      <c r="M9308" s="202"/>
    </row>
    <row r="9309" spans="13:13">
      <c r="M9309" s="202"/>
    </row>
    <row r="9310" spans="13:13">
      <c r="M9310" s="202"/>
    </row>
    <row r="9311" spans="13:13">
      <c r="M9311" s="202"/>
    </row>
    <row r="9312" spans="13:13">
      <c r="M9312" s="202"/>
    </row>
    <row r="9313" spans="13:13">
      <c r="M9313" s="202"/>
    </row>
    <row r="9314" spans="13:13">
      <c r="M9314" s="202"/>
    </row>
    <row r="9315" spans="13:13">
      <c r="M9315" s="202"/>
    </row>
    <row r="9316" spans="13:13">
      <c r="M9316" s="202"/>
    </row>
    <row r="9317" spans="13:13">
      <c r="M9317" s="202"/>
    </row>
    <row r="9318" spans="13:13">
      <c r="M9318" s="202"/>
    </row>
    <row r="9319" spans="13:13">
      <c r="M9319" s="202"/>
    </row>
    <row r="9320" spans="13:13">
      <c r="M9320" s="202"/>
    </row>
    <row r="9321" spans="13:13">
      <c r="M9321" s="202"/>
    </row>
    <row r="9322" spans="13:13">
      <c r="M9322" s="202"/>
    </row>
    <row r="9323" spans="13:13">
      <c r="M9323" s="202"/>
    </row>
    <row r="9324" spans="13:13">
      <c r="M9324" s="202"/>
    </row>
    <row r="9325" spans="13:13">
      <c r="M9325" s="202"/>
    </row>
    <row r="9326" spans="13:13">
      <c r="M9326" s="202"/>
    </row>
    <row r="9327" spans="13:13">
      <c r="M9327" s="202"/>
    </row>
    <row r="9328" spans="13:13">
      <c r="M9328" s="202"/>
    </row>
    <row r="9329" spans="13:13">
      <c r="M9329" s="202"/>
    </row>
    <row r="9330" spans="13:13">
      <c r="M9330" s="202"/>
    </row>
    <row r="9331" spans="13:13">
      <c r="M9331" s="202"/>
    </row>
    <row r="9332" spans="13:13">
      <c r="M9332" s="202"/>
    </row>
    <row r="9333" spans="13:13">
      <c r="M9333" s="202"/>
    </row>
    <row r="9334" spans="13:13">
      <c r="M9334" s="202"/>
    </row>
    <row r="9335" spans="13:13">
      <c r="M9335" s="202"/>
    </row>
    <row r="9336" spans="13:13">
      <c r="M9336" s="202"/>
    </row>
    <row r="9337" spans="13:13">
      <c r="M9337" s="202"/>
    </row>
    <row r="9338" spans="13:13">
      <c r="M9338" s="202"/>
    </row>
    <row r="9339" spans="13:13">
      <c r="M9339" s="202"/>
    </row>
    <row r="9340" spans="13:13">
      <c r="M9340" s="202"/>
    </row>
    <row r="9341" spans="13:13">
      <c r="M9341" s="202"/>
    </row>
    <row r="9342" spans="13:13">
      <c r="M9342" s="202"/>
    </row>
    <row r="9343" spans="13:13">
      <c r="M9343" s="202"/>
    </row>
    <row r="9344" spans="13:13">
      <c r="M9344" s="202"/>
    </row>
    <row r="9345" spans="13:13">
      <c r="M9345" s="202"/>
    </row>
    <row r="9346" spans="13:13">
      <c r="M9346" s="202"/>
    </row>
    <row r="9347" spans="13:13">
      <c r="M9347" s="202"/>
    </row>
    <row r="9348" spans="13:13">
      <c r="M9348" s="202"/>
    </row>
    <row r="9349" spans="13:13">
      <c r="M9349" s="202"/>
    </row>
    <row r="9350" spans="13:13">
      <c r="M9350" s="202"/>
    </row>
    <row r="9351" spans="13:13">
      <c r="M9351" s="202"/>
    </row>
    <row r="9352" spans="13:13">
      <c r="M9352" s="202"/>
    </row>
    <row r="9353" spans="13:13">
      <c r="M9353" s="202"/>
    </row>
    <row r="9354" spans="13:13">
      <c r="M9354" s="202"/>
    </row>
    <row r="9355" spans="13:13">
      <c r="M9355" s="202"/>
    </row>
    <row r="9356" spans="13:13">
      <c r="M9356" s="202"/>
    </row>
    <row r="9357" spans="13:13">
      <c r="M9357" s="202"/>
    </row>
    <row r="9358" spans="13:13">
      <c r="M9358" s="202"/>
    </row>
    <row r="9359" spans="13:13">
      <c r="M9359" s="202"/>
    </row>
    <row r="9360" spans="13:13">
      <c r="M9360" s="202"/>
    </row>
    <row r="9361" spans="13:13">
      <c r="M9361" s="202"/>
    </row>
    <row r="9362" spans="13:13">
      <c r="M9362" s="202"/>
    </row>
    <row r="9363" spans="13:13">
      <c r="M9363" s="202"/>
    </row>
    <row r="9364" spans="13:13">
      <c r="M9364" s="202"/>
    </row>
    <row r="9365" spans="13:13">
      <c r="M9365" s="202"/>
    </row>
    <row r="9366" spans="13:13">
      <c r="M9366" s="202"/>
    </row>
    <row r="9367" spans="13:13">
      <c r="M9367" s="202"/>
    </row>
    <row r="9368" spans="13:13">
      <c r="M9368" s="202"/>
    </row>
    <row r="9369" spans="13:13">
      <c r="M9369" s="202"/>
    </row>
    <row r="9370" spans="13:13">
      <c r="M9370" s="202"/>
    </row>
    <row r="9371" spans="13:13">
      <c r="M9371" s="202"/>
    </row>
    <row r="9372" spans="13:13">
      <c r="M9372" s="202"/>
    </row>
    <row r="9373" spans="13:13">
      <c r="M9373" s="202"/>
    </row>
    <row r="9374" spans="13:13">
      <c r="M9374" s="202"/>
    </row>
    <row r="9375" spans="13:13">
      <c r="M9375" s="202"/>
    </row>
    <row r="9376" spans="13:13">
      <c r="M9376" s="202"/>
    </row>
    <row r="9377" spans="13:13">
      <c r="M9377" s="202"/>
    </row>
    <row r="9378" spans="13:13">
      <c r="M9378" s="202"/>
    </row>
    <row r="9379" spans="13:13">
      <c r="M9379" s="202"/>
    </row>
    <row r="9380" spans="13:13">
      <c r="M9380" s="202"/>
    </row>
    <row r="9381" spans="13:13">
      <c r="M9381" s="202"/>
    </row>
    <row r="9382" spans="13:13">
      <c r="M9382" s="202"/>
    </row>
    <row r="9383" spans="13:13">
      <c r="M9383" s="202"/>
    </row>
    <row r="9384" spans="13:13">
      <c r="M9384" s="202"/>
    </row>
    <row r="9385" spans="13:13">
      <c r="M9385" s="202"/>
    </row>
    <row r="9386" spans="13:13">
      <c r="M9386" s="202"/>
    </row>
    <row r="9387" spans="13:13">
      <c r="M9387" s="202"/>
    </row>
    <row r="9388" spans="13:13">
      <c r="M9388" s="202"/>
    </row>
    <row r="9389" spans="13:13">
      <c r="M9389" s="202"/>
    </row>
    <row r="9390" spans="13:13">
      <c r="M9390" s="202"/>
    </row>
    <row r="9391" spans="13:13">
      <c r="M9391" s="202"/>
    </row>
    <row r="9392" spans="13:13">
      <c r="M9392" s="202"/>
    </row>
    <row r="9393" spans="13:13">
      <c r="M9393" s="202"/>
    </row>
    <row r="9394" spans="13:13">
      <c r="M9394" s="202"/>
    </row>
    <row r="9395" spans="13:13">
      <c r="M9395" s="202"/>
    </row>
    <row r="9396" spans="13:13">
      <c r="M9396" s="202"/>
    </row>
    <row r="9397" spans="13:13">
      <c r="M9397" s="202"/>
    </row>
    <row r="9398" spans="13:13">
      <c r="M9398" s="202"/>
    </row>
    <row r="9399" spans="13:13">
      <c r="M9399" s="202"/>
    </row>
    <row r="9400" spans="13:13">
      <c r="M9400" s="202"/>
    </row>
    <row r="9401" spans="13:13">
      <c r="M9401" s="202"/>
    </row>
    <row r="9402" spans="13:13">
      <c r="M9402" s="202"/>
    </row>
    <row r="9403" spans="13:13">
      <c r="M9403" s="202"/>
    </row>
    <row r="9404" spans="13:13">
      <c r="M9404" s="202"/>
    </row>
    <row r="9405" spans="13:13">
      <c r="M9405" s="202"/>
    </row>
    <row r="9406" spans="13:13">
      <c r="M9406" s="202"/>
    </row>
    <row r="9407" spans="13:13">
      <c r="M9407" s="202"/>
    </row>
    <row r="9408" spans="13:13">
      <c r="M9408" s="202"/>
    </row>
    <row r="9409" spans="13:13">
      <c r="M9409" s="202"/>
    </row>
    <row r="9410" spans="13:13">
      <c r="M9410" s="202"/>
    </row>
    <row r="9411" spans="13:13">
      <c r="M9411" s="202"/>
    </row>
    <row r="9412" spans="13:13">
      <c r="M9412" s="202"/>
    </row>
    <row r="9413" spans="13:13">
      <c r="M9413" s="202"/>
    </row>
    <row r="9414" spans="13:13">
      <c r="M9414" s="202"/>
    </row>
    <row r="9415" spans="13:13">
      <c r="M9415" s="202"/>
    </row>
    <row r="9416" spans="13:13">
      <c r="M9416" s="202"/>
    </row>
    <row r="9417" spans="13:13">
      <c r="M9417" s="202"/>
    </row>
    <row r="9418" spans="13:13">
      <c r="M9418" s="202"/>
    </row>
    <row r="9419" spans="13:13">
      <c r="M9419" s="202"/>
    </row>
    <row r="9420" spans="13:13">
      <c r="M9420" s="202"/>
    </row>
    <row r="9421" spans="13:13">
      <c r="M9421" s="202"/>
    </row>
    <row r="9422" spans="13:13">
      <c r="M9422" s="202"/>
    </row>
    <row r="9423" spans="13:13">
      <c r="M9423" s="202"/>
    </row>
    <row r="9424" spans="13:13">
      <c r="M9424" s="202"/>
    </row>
    <row r="9425" spans="13:13">
      <c r="M9425" s="202"/>
    </row>
    <row r="9426" spans="13:13">
      <c r="M9426" s="202"/>
    </row>
    <row r="9427" spans="13:13">
      <c r="M9427" s="202"/>
    </row>
    <row r="9428" spans="13:13">
      <c r="M9428" s="202"/>
    </row>
    <row r="9429" spans="13:13">
      <c r="M9429" s="202"/>
    </row>
    <row r="9430" spans="13:13">
      <c r="M9430" s="202"/>
    </row>
    <row r="9431" spans="13:13">
      <c r="M9431" s="202"/>
    </row>
    <row r="9432" spans="13:13">
      <c r="M9432" s="202"/>
    </row>
    <row r="9433" spans="13:13">
      <c r="M9433" s="202"/>
    </row>
    <row r="9434" spans="13:13">
      <c r="M9434" s="202"/>
    </row>
    <row r="9435" spans="13:13">
      <c r="M9435" s="202"/>
    </row>
    <row r="9436" spans="13:13">
      <c r="M9436" s="202"/>
    </row>
    <row r="9437" spans="13:13">
      <c r="M9437" s="202"/>
    </row>
    <row r="9438" spans="13:13">
      <c r="M9438" s="202"/>
    </row>
    <row r="9439" spans="13:13">
      <c r="M9439" s="202"/>
    </row>
    <row r="9440" spans="13:13">
      <c r="M9440" s="202"/>
    </row>
    <row r="9441" spans="13:13">
      <c r="M9441" s="202"/>
    </row>
    <row r="9442" spans="13:13">
      <c r="M9442" s="202"/>
    </row>
    <row r="9443" spans="13:13">
      <c r="M9443" s="202"/>
    </row>
    <row r="9444" spans="13:13">
      <c r="M9444" s="202"/>
    </row>
    <row r="9445" spans="13:13">
      <c r="M9445" s="202"/>
    </row>
    <row r="9446" spans="13:13">
      <c r="M9446" s="202"/>
    </row>
    <row r="9447" spans="13:13">
      <c r="M9447" s="202"/>
    </row>
    <row r="9448" spans="13:13">
      <c r="M9448" s="202"/>
    </row>
    <row r="9449" spans="13:13">
      <c r="M9449" s="202"/>
    </row>
    <row r="9450" spans="13:13">
      <c r="M9450" s="202"/>
    </row>
    <row r="9451" spans="13:13">
      <c r="M9451" s="202"/>
    </row>
    <row r="9452" spans="13:13">
      <c r="M9452" s="202"/>
    </row>
    <row r="9453" spans="13:13">
      <c r="M9453" s="202"/>
    </row>
    <row r="9454" spans="13:13">
      <c r="M9454" s="202"/>
    </row>
    <row r="9455" spans="13:13">
      <c r="M9455" s="202"/>
    </row>
    <row r="9456" spans="13:13">
      <c r="M9456" s="202"/>
    </row>
    <row r="9457" spans="13:13">
      <c r="M9457" s="202"/>
    </row>
    <row r="9458" spans="13:13">
      <c r="M9458" s="202"/>
    </row>
    <row r="9459" spans="13:13">
      <c r="M9459" s="202"/>
    </row>
    <row r="9460" spans="13:13">
      <c r="M9460" s="202"/>
    </row>
    <row r="9461" spans="13:13">
      <c r="M9461" s="202"/>
    </row>
    <row r="9462" spans="13:13">
      <c r="M9462" s="202"/>
    </row>
    <row r="9463" spans="13:13">
      <c r="M9463" s="202"/>
    </row>
    <row r="9464" spans="13:13">
      <c r="M9464" s="202"/>
    </row>
    <row r="9465" spans="13:13">
      <c r="M9465" s="202"/>
    </row>
    <row r="9466" spans="13:13">
      <c r="M9466" s="202"/>
    </row>
    <row r="9467" spans="13:13">
      <c r="M9467" s="202"/>
    </row>
    <row r="9468" spans="13:13">
      <c r="M9468" s="202"/>
    </row>
    <row r="9469" spans="13:13">
      <c r="M9469" s="202"/>
    </row>
    <row r="9470" spans="13:13">
      <c r="M9470" s="202"/>
    </row>
    <row r="9471" spans="13:13">
      <c r="M9471" s="202"/>
    </row>
    <row r="9472" spans="13:13">
      <c r="M9472" s="202"/>
    </row>
    <row r="9473" spans="13:13">
      <c r="M9473" s="202"/>
    </row>
    <row r="9474" spans="13:13">
      <c r="M9474" s="202"/>
    </row>
    <row r="9475" spans="13:13">
      <c r="M9475" s="202"/>
    </row>
    <row r="9476" spans="13:13">
      <c r="M9476" s="202"/>
    </row>
    <row r="9477" spans="13:13">
      <c r="M9477" s="202"/>
    </row>
    <row r="9478" spans="13:13">
      <c r="M9478" s="202"/>
    </row>
    <row r="9479" spans="13:13">
      <c r="M9479" s="202"/>
    </row>
    <row r="9480" spans="13:13">
      <c r="M9480" s="202"/>
    </row>
    <row r="9481" spans="13:13">
      <c r="M9481" s="202"/>
    </row>
    <row r="9482" spans="13:13">
      <c r="M9482" s="202"/>
    </row>
    <row r="9483" spans="13:13">
      <c r="M9483" s="202"/>
    </row>
    <row r="9484" spans="13:13">
      <c r="M9484" s="202"/>
    </row>
    <row r="9485" spans="13:13">
      <c r="M9485" s="202"/>
    </row>
    <row r="9486" spans="13:13">
      <c r="M9486" s="202"/>
    </row>
    <row r="9487" spans="13:13">
      <c r="M9487" s="202"/>
    </row>
    <row r="9488" spans="13:13">
      <c r="M9488" s="202"/>
    </row>
    <row r="9489" spans="13:13">
      <c r="M9489" s="202"/>
    </row>
    <row r="9490" spans="13:13">
      <c r="M9490" s="202"/>
    </row>
    <row r="9491" spans="13:13">
      <c r="M9491" s="202"/>
    </row>
    <row r="9492" spans="13:13">
      <c r="M9492" s="202"/>
    </row>
    <row r="9493" spans="13:13">
      <c r="M9493" s="202"/>
    </row>
    <row r="9494" spans="13:13">
      <c r="M9494" s="202"/>
    </row>
    <row r="9495" spans="13:13">
      <c r="M9495" s="202"/>
    </row>
    <row r="9496" spans="13:13">
      <c r="M9496" s="202"/>
    </row>
    <row r="9497" spans="13:13">
      <c r="M9497" s="202"/>
    </row>
    <row r="9498" spans="13:13">
      <c r="M9498" s="202"/>
    </row>
    <row r="9499" spans="13:13">
      <c r="M9499" s="202"/>
    </row>
    <row r="9500" spans="13:13">
      <c r="M9500" s="202"/>
    </row>
    <row r="9501" spans="13:13">
      <c r="M9501" s="202"/>
    </row>
    <row r="9502" spans="13:13">
      <c r="M9502" s="202"/>
    </row>
    <row r="9503" spans="13:13">
      <c r="M9503" s="202"/>
    </row>
    <row r="9504" spans="13:13">
      <c r="M9504" s="202"/>
    </row>
    <row r="9505" spans="13:13">
      <c r="M9505" s="202"/>
    </row>
    <row r="9506" spans="13:13">
      <c r="M9506" s="202"/>
    </row>
    <row r="9507" spans="13:13">
      <c r="M9507" s="202"/>
    </row>
    <row r="9508" spans="13:13">
      <c r="M9508" s="202"/>
    </row>
    <row r="9509" spans="13:13">
      <c r="M9509" s="202"/>
    </row>
    <row r="9510" spans="13:13">
      <c r="M9510" s="202"/>
    </row>
    <row r="9511" spans="13:13">
      <c r="M9511" s="202"/>
    </row>
    <row r="9512" spans="13:13">
      <c r="M9512" s="202"/>
    </row>
    <row r="9513" spans="13:13">
      <c r="M9513" s="202"/>
    </row>
    <row r="9514" spans="13:13">
      <c r="M9514" s="202"/>
    </row>
    <row r="9515" spans="13:13">
      <c r="M9515" s="202"/>
    </row>
    <row r="9516" spans="13:13">
      <c r="M9516" s="202"/>
    </row>
    <row r="9517" spans="13:13">
      <c r="M9517" s="202"/>
    </row>
    <row r="9518" spans="13:13">
      <c r="M9518" s="202"/>
    </row>
    <row r="9519" spans="13:13">
      <c r="M9519" s="202"/>
    </row>
    <row r="9520" spans="13:13">
      <c r="M9520" s="202"/>
    </row>
    <row r="9521" spans="13:13">
      <c r="M9521" s="202"/>
    </row>
    <row r="9522" spans="13:13">
      <c r="M9522" s="202"/>
    </row>
    <row r="9523" spans="13:13">
      <c r="M9523" s="202"/>
    </row>
    <row r="9524" spans="13:13">
      <c r="M9524" s="202"/>
    </row>
    <row r="9525" spans="13:13">
      <c r="M9525" s="202"/>
    </row>
    <row r="9526" spans="13:13">
      <c r="M9526" s="202"/>
    </row>
    <row r="9527" spans="13:13">
      <c r="M9527" s="202"/>
    </row>
    <row r="9528" spans="13:13">
      <c r="M9528" s="202"/>
    </row>
    <row r="9529" spans="13:13">
      <c r="M9529" s="202"/>
    </row>
    <row r="9530" spans="13:13">
      <c r="M9530" s="202"/>
    </row>
    <row r="9531" spans="13:13">
      <c r="M9531" s="202"/>
    </row>
    <row r="9532" spans="13:13">
      <c r="M9532" s="202"/>
    </row>
    <row r="9533" spans="13:13">
      <c r="M9533" s="202"/>
    </row>
    <row r="9534" spans="13:13">
      <c r="M9534" s="202"/>
    </row>
    <row r="9535" spans="13:13">
      <c r="M9535" s="202"/>
    </row>
    <row r="9536" spans="13:13">
      <c r="M9536" s="202"/>
    </row>
    <row r="9537" spans="13:13">
      <c r="M9537" s="202"/>
    </row>
    <row r="9538" spans="13:13">
      <c r="M9538" s="202"/>
    </row>
    <row r="9539" spans="13:13">
      <c r="M9539" s="202"/>
    </row>
    <row r="9540" spans="13:13">
      <c r="M9540" s="202"/>
    </row>
    <row r="9541" spans="13:13">
      <c r="M9541" s="202"/>
    </row>
    <row r="9542" spans="13:13">
      <c r="M9542" s="202"/>
    </row>
    <row r="9543" spans="13:13">
      <c r="M9543" s="202"/>
    </row>
    <row r="9544" spans="13:13">
      <c r="M9544" s="202"/>
    </row>
    <row r="9545" spans="13:13">
      <c r="M9545" s="202"/>
    </row>
    <row r="9546" spans="13:13">
      <c r="M9546" s="202"/>
    </row>
    <row r="9547" spans="13:13">
      <c r="M9547" s="202"/>
    </row>
    <row r="9548" spans="13:13">
      <c r="M9548" s="202"/>
    </row>
    <row r="9549" spans="13:13">
      <c r="M9549" s="202"/>
    </row>
    <row r="9550" spans="13:13">
      <c r="M9550" s="202"/>
    </row>
    <row r="9551" spans="13:13">
      <c r="M9551" s="202"/>
    </row>
    <row r="9552" spans="13:13">
      <c r="M9552" s="202"/>
    </row>
    <row r="9553" spans="13:13">
      <c r="M9553" s="202"/>
    </row>
    <row r="9554" spans="13:13">
      <c r="M9554" s="202"/>
    </row>
    <row r="9555" spans="13:13">
      <c r="M9555" s="202"/>
    </row>
    <row r="9556" spans="13:13">
      <c r="M9556" s="202"/>
    </row>
    <row r="9557" spans="13:13">
      <c r="M9557" s="202"/>
    </row>
    <row r="9558" spans="13:13">
      <c r="M9558" s="202"/>
    </row>
    <row r="9559" spans="13:13">
      <c r="M9559" s="202"/>
    </row>
    <row r="9560" spans="13:13">
      <c r="M9560" s="202"/>
    </row>
    <row r="9561" spans="13:13">
      <c r="M9561" s="202"/>
    </row>
    <row r="9562" spans="13:13">
      <c r="M9562" s="202"/>
    </row>
    <row r="9563" spans="13:13">
      <c r="M9563" s="202"/>
    </row>
    <row r="9564" spans="13:13">
      <c r="M9564" s="202"/>
    </row>
    <row r="9565" spans="13:13">
      <c r="M9565" s="202"/>
    </row>
    <row r="9566" spans="13:13">
      <c r="M9566" s="202"/>
    </row>
    <row r="9567" spans="13:13">
      <c r="M9567" s="202"/>
    </row>
    <row r="9568" spans="13:13">
      <c r="M9568" s="202"/>
    </row>
    <row r="9569" spans="13:13">
      <c r="M9569" s="202"/>
    </row>
    <row r="9570" spans="13:13">
      <c r="M9570" s="202"/>
    </row>
    <row r="9571" spans="13:13">
      <c r="M9571" s="202"/>
    </row>
    <row r="9572" spans="13:13">
      <c r="M9572" s="202"/>
    </row>
    <row r="9573" spans="13:13">
      <c r="M9573" s="202"/>
    </row>
    <row r="9574" spans="13:13">
      <c r="M9574" s="202"/>
    </row>
    <row r="9575" spans="13:13">
      <c r="M9575" s="202"/>
    </row>
    <row r="9576" spans="13:13">
      <c r="M9576" s="202"/>
    </row>
    <row r="9577" spans="13:13">
      <c r="M9577" s="202"/>
    </row>
    <row r="9578" spans="13:13">
      <c r="M9578" s="202"/>
    </row>
    <row r="9579" spans="13:13">
      <c r="M9579" s="202"/>
    </row>
    <row r="9580" spans="13:13">
      <c r="M9580" s="202"/>
    </row>
    <row r="9581" spans="13:13">
      <c r="M9581" s="202"/>
    </row>
    <row r="9582" spans="13:13">
      <c r="M9582" s="202"/>
    </row>
    <row r="9583" spans="13:13">
      <c r="M9583" s="202"/>
    </row>
    <row r="9584" spans="13:13">
      <c r="M9584" s="202"/>
    </row>
    <row r="9585" spans="13:13">
      <c r="M9585" s="202"/>
    </row>
    <row r="9586" spans="13:13">
      <c r="M9586" s="202"/>
    </row>
    <row r="9587" spans="13:13">
      <c r="M9587" s="202"/>
    </row>
    <row r="9588" spans="13:13">
      <c r="M9588" s="202"/>
    </row>
    <row r="9589" spans="13:13">
      <c r="M9589" s="202"/>
    </row>
    <row r="9590" spans="13:13">
      <c r="M9590" s="202"/>
    </row>
    <row r="9591" spans="13:13">
      <c r="M9591" s="202"/>
    </row>
    <row r="9592" spans="13:13">
      <c r="M9592" s="202"/>
    </row>
    <row r="9593" spans="13:13">
      <c r="M9593" s="202"/>
    </row>
    <row r="9594" spans="13:13">
      <c r="M9594" s="202"/>
    </row>
    <row r="9595" spans="13:13">
      <c r="M9595" s="202"/>
    </row>
    <row r="9596" spans="13:13">
      <c r="M9596" s="202"/>
    </row>
    <row r="9597" spans="13:13">
      <c r="M9597" s="202"/>
    </row>
    <row r="9598" spans="13:13">
      <c r="M9598" s="202"/>
    </row>
    <row r="9599" spans="13:13">
      <c r="M9599" s="202"/>
    </row>
    <row r="9600" spans="13:13">
      <c r="M9600" s="202"/>
    </row>
    <row r="9601" spans="13:13">
      <c r="M9601" s="202"/>
    </row>
    <row r="9602" spans="13:13">
      <c r="M9602" s="202"/>
    </row>
    <row r="9603" spans="13:13">
      <c r="M9603" s="202"/>
    </row>
    <row r="9604" spans="13:13">
      <c r="M9604" s="202"/>
    </row>
    <row r="9605" spans="13:13">
      <c r="M9605" s="202"/>
    </row>
    <row r="9606" spans="13:13">
      <c r="M9606" s="202"/>
    </row>
    <row r="9607" spans="13:13">
      <c r="M9607" s="202"/>
    </row>
    <row r="9608" spans="13:13">
      <c r="M9608" s="202"/>
    </row>
    <row r="9609" spans="13:13">
      <c r="M9609" s="202"/>
    </row>
    <row r="9610" spans="13:13">
      <c r="M9610" s="202"/>
    </row>
    <row r="9611" spans="13:13">
      <c r="M9611" s="202"/>
    </row>
    <row r="9612" spans="13:13">
      <c r="M9612" s="202"/>
    </row>
    <row r="9613" spans="13:13">
      <c r="M9613" s="202"/>
    </row>
    <row r="9614" spans="13:13">
      <c r="M9614" s="202"/>
    </row>
    <row r="9615" spans="13:13">
      <c r="M9615" s="202"/>
    </row>
    <row r="9616" spans="13:13">
      <c r="M9616" s="202"/>
    </row>
    <row r="9617" spans="13:13">
      <c r="M9617" s="202"/>
    </row>
    <row r="9618" spans="13:13">
      <c r="M9618" s="202"/>
    </row>
    <row r="9619" spans="13:13">
      <c r="M9619" s="202"/>
    </row>
    <row r="9620" spans="13:13">
      <c r="M9620" s="202"/>
    </row>
    <row r="9621" spans="13:13">
      <c r="M9621" s="202"/>
    </row>
    <row r="9622" spans="13:13">
      <c r="M9622" s="202"/>
    </row>
    <row r="9623" spans="13:13">
      <c r="M9623" s="202"/>
    </row>
    <row r="9624" spans="13:13">
      <c r="M9624" s="202"/>
    </row>
    <row r="9625" spans="13:13">
      <c r="M9625" s="202"/>
    </row>
    <row r="9626" spans="13:13">
      <c r="M9626" s="202"/>
    </row>
    <row r="9627" spans="13:13">
      <c r="M9627" s="202"/>
    </row>
    <row r="9628" spans="13:13">
      <c r="M9628" s="202"/>
    </row>
    <row r="9629" spans="13:13">
      <c r="M9629" s="202"/>
    </row>
    <row r="9630" spans="13:13">
      <c r="M9630" s="202"/>
    </row>
    <row r="9631" spans="13:13">
      <c r="M9631" s="202"/>
    </row>
    <row r="9632" spans="13:13">
      <c r="M9632" s="202"/>
    </row>
    <row r="9633" spans="13:13">
      <c r="M9633" s="202"/>
    </row>
    <row r="9634" spans="13:13">
      <c r="M9634" s="202"/>
    </row>
    <row r="9635" spans="13:13">
      <c r="M9635" s="202"/>
    </row>
    <row r="9636" spans="13:13">
      <c r="M9636" s="202"/>
    </row>
    <row r="9637" spans="13:13">
      <c r="M9637" s="202"/>
    </row>
    <row r="9638" spans="13:13">
      <c r="M9638" s="202"/>
    </row>
    <row r="9639" spans="13:13">
      <c r="M9639" s="202"/>
    </row>
    <row r="9640" spans="13:13">
      <c r="M9640" s="202"/>
    </row>
    <row r="9641" spans="13:13">
      <c r="M9641" s="202"/>
    </row>
    <row r="9642" spans="13:13">
      <c r="M9642" s="202"/>
    </row>
    <row r="9643" spans="13:13">
      <c r="M9643" s="202"/>
    </row>
    <row r="9644" spans="13:13">
      <c r="M9644" s="202"/>
    </row>
    <row r="9645" spans="13:13">
      <c r="M9645" s="202"/>
    </row>
    <row r="9646" spans="13:13">
      <c r="M9646" s="202"/>
    </row>
    <row r="9647" spans="13:13">
      <c r="M9647" s="202"/>
    </row>
    <row r="9648" spans="13:13">
      <c r="M9648" s="202"/>
    </row>
    <row r="9649" spans="13:13">
      <c r="M9649" s="202"/>
    </row>
    <row r="9650" spans="13:13">
      <c r="M9650" s="202"/>
    </row>
    <row r="9651" spans="13:13">
      <c r="M9651" s="202"/>
    </row>
    <row r="9652" spans="13:13">
      <c r="M9652" s="202"/>
    </row>
    <row r="9653" spans="13:13">
      <c r="M9653" s="202"/>
    </row>
    <row r="9654" spans="13:13">
      <c r="M9654" s="202"/>
    </row>
    <row r="9655" spans="13:13">
      <c r="M9655" s="202"/>
    </row>
    <row r="9656" spans="13:13">
      <c r="M9656" s="202"/>
    </row>
    <row r="9657" spans="13:13">
      <c r="M9657" s="202"/>
    </row>
    <row r="9658" spans="13:13">
      <c r="M9658" s="202"/>
    </row>
    <row r="9659" spans="13:13">
      <c r="M9659" s="202"/>
    </row>
    <row r="9660" spans="13:13">
      <c r="M9660" s="202"/>
    </row>
    <row r="9661" spans="13:13">
      <c r="M9661" s="202"/>
    </row>
    <row r="9662" spans="13:13">
      <c r="M9662" s="202"/>
    </row>
    <row r="9663" spans="13:13">
      <c r="M9663" s="202"/>
    </row>
    <row r="9664" spans="13:13">
      <c r="M9664" s="202"/>
    </row>
    <row r="9665" spans="13:13">
      <c r="M9665" s="202"/>
    </row>
    <row r="9666" spans="13:13">
      <c r="M9666" s="202"/>
    </row>
    <row r="9667" spans="13:13">
      <c r="M9667" s="202"/>
    </row>
    <row r="9668" spans="13:13">
      <c r="M9668" s="202"/>
    </row>
    <row r="9669" spans="13:13">
      <c r="M9669" s="202"/>
    </row>
    <row r="9670" spans="13:13">
      <c r="M9670" s="202"/>
    </row>
    <row r="9671" spans="13:13">
      <c r="M9671" s="202"/>
    </row>
    <row r="9672" spans="13:13">
      <c r="M9672" s="202"/>
    </row>
    <row r="9673" spans="13:13">
      <c r="M9673" s="202"/>
    </row>
    <row r="9674" spans="13:13">
      <c r="M9674" s="202"/>
    </row>
    <row r="9675" spans="13:13">
      <c r="M9675" s="202"/>
    </row>
    <row r="9676" spans="13:13">
      <c r="M9676" s="202"/>
    </row>
    <row r="9677" spans="13:13">
      <c r="M9677" s="202"/>
    </row>
    <row r="9678" spans="13:13">
      <c r="M9678" s="202"/>
    </row>
    <row r="9679" spans="13:13">
      <c r="M9679" s="202"/>
    </row>
    <row r="9680" spans="13:13">
      <c r="M9680" s="202"/>
    </row>
    <row r="9681" spans="13:13">
      <c r="M9681" s="202"/>
    </row>
    <row r="9682" spans="13:13">
      <c r="M9682" s="202"/>
    </row>
    <row r="9683" spans="13:13">
      <c r="M9683" s="202"/>
    </row>
    <row r="9684" spans="13:13">
      <c r="M9684" s="202"/>
    </row>
    <row r="9685" spans="13:13">
      <c r="M9685" s="202"/>
    </row>
    <row r="9686" spans="13:13">
      <c r="M9686" s="202"/>
    </row>
    <row r="9687" spans="13:13">
      <c r="M9687" s="202"/>
    </row>
    <row r="9688" spans="13:13">
      <c r="M9688" s="202"/>
    </row>
    <row r="9689" spans="13:13">
      <c r="M9689" s="202"/>
    </row>
    <row r="9690" spans="13:13">
      <c r="M9690" s="202"/>
    </row>
    <row r="9691" spans="13:13">
      <c r="M9691" s="202"/>
    </row>
    <row r="9692" spans="13:13">
      <c r="M9692" s="202"/>
    </row>
    <row r="9693" spans="13:13">
      <c r="M9693" s="202"/>
    </row>
    <row r="9694" spans="13:13">
      <c r="M9694" s="202"/>
    </row>
    <row r="9695" spans="13:13">
      <c r="M9695" s="202"/>
    </row>
    <row r="9696" spans="13:13">
      <c r="M9696" s="202"/>
    </row>
    <row r="9697" spans="13:13">
      <c r="M9697" s="202"/>
    </row>
    <row r="9698" spans="13:13">
      <c r="M9698" s="202"/>
    </row>
    <row r="9699" spans="13:13">
      <c r="M9699" s="202"/>
    </row>
    <row r="9700" spans="13:13">
      <c r="M9700" s="202"/>
    </row>
    <row r="9701" spans="13:13">
      <c r="M9701" s="202"/>
    </row>
    <row r="9702" spans="13:13">
      <c r="M9702" s="202"/>
    </row>
    <row r="9703" spans="13:13">
      <c r="M9703" s="202"/>
    </row>
    <row r="9704" spans="13:13">
      <c r="M9704" s="202"/>
    </row>
    <row r="9705" spans="13:13">
      <c r="M9705" s="202"/>
    </row>
    <row r="9706" spans="13:13">
      <c r="M9706" s="202"/>
    </row>
    <row r="9707" spans="13:13">
      <c r="M9707" s="202"/>
    </row>
    <row r="9708" spans="13:13">
      <c r="M9708" s="202"/>
    </row>
    <row r="9709" spans="13:13">
      <c r="M9709" s="202"/>
    </row>
    <row r="9710" spans="13:13">
      <c r="M9710" s="202"/>
    </row>
    <row r="9711" spans="13:13">
      <c r="M9711" s="202"/>
    </row>
    <row r="9712" spans="13:13">
      <c r="M9712" s="202"/>
    </row>
    <row r="9713" spans="13:13">
      <c r="M9713" s="202"/>
    </row>
    <row r="9714" spans="13:13">
      <c r="M9714" s="202"/>
    </row>
    <row r="9715" spans="13:13">
      <c r="M9715" s="202"/>
    </row>
    <row r="9716" spans="13:13">
      <c r="M9716" s="202"/>
    </row>
    <row r="9717" spans="13:13">
      <c r="M9717" s="202"/>
    </row>
    <row r="9718" spans="13:13">
      <c r="M9718" s="202"/>
    </row>
    <row r="9719" spans="13:13">
      <c r="M9719" s="202"/>
    </row>
    <row r="9720" spans="13:13">
      <c r="M9720" s="202"/>
    </row>
    <row r="9721" spans="13:13">
      <c r="M9721" s="202"/>
    </row>
    <row r="9722" spans="13:13">
      <c r="M9722" s="202"/>
    </row>
    <row r="9723" spans="13:13">
      <c r="M9723" s="202"/>
    </row>
    <row r="9724" spans="13:13">
      <c r="M9724" s="202"/>
    </row>
    <row r="9725" spans="13:13">
      <c r="M9725" s="202"/>
    </row>
    <row r="9726" spans="13:13">
      <c r="M9726" s="202"/>
    </row>
    <row r="9727" spans="13:13">
      <c r="M9727" s="202"/>
    </row>
    <row r="9728" spans="13:13">
      <c r="M9728" s="202"/>
    </row>
    <row r="9729" spans="13:13">
      <c r="M9729" s="202"/>
    </row>
    <row r="9730" spans="13:13">
      <c r="M9730" s="202"/>
    </row>
    <row r="9731" spans="13:13">
      <c r="M9731" s="202"/>
    </row>
    <row r="9732" spans="13:13">
      <c r="M9732" s="202"/>
    </row>
    <row r="9733" spans="13:13">
      <c r="M9733" s="202"/>
    </row>
    <row r="9734" spans="13:13">
      <c r="M9734" s="202"/>
    </row>
    <row r="9735" spans="13:13">
      <c r="M9735" s="202"/>
    </row>
    <row r="9736" spans="13:13">
      <c r="M9736" s="202"/>
    </row>
    <row r="9737" spans="13:13">
      <c r="M9737" s="202"/>
    </row>
    <row r="9738" spans="13:13">
      <c r="M9738" s="202"/>
    </row>
    <row r="9739" spans="13:13">
      <c r="M9739" s="202"/>
    </row>
    <row r="9740" spans="13:13">
      <c r="M9740" s="202"/>
    </row>
    <row r="9741" spans="13:13">
      <c r="M9741" s="202"/>
    </row>
    <row r="9742" spans="13:13">
      <c r="M9742" s="202"/>
    </row>
    <row r="9743" spans="13:13">
      <c r="M9743" s="202"/>
    </row>
    <row r="9744" spans="13:13">
      <c r="M9744" s="202"/>
    </row>
    <row r="9745" spans="13:13">
      <c r="M9745" s="202"/>
    </row>
    <row r="9746" spans="13:13">
      <c r="M9746" s="202"/>
    </row>
    <row r="9747" spans="13:13">
      <c r="M9747" s="202"/>
    </row>
    <row r="9748" spans="13:13">
      <c r="M9748" s="202"/>
    </row>
    <row r="9749" spans="13:13">
      <c r="M9749" s="202"/>
    </row>
    <row r="9750" spans="13:13">
      <c r="M9750" s="202"/>
    </row>
    <row r="9751" spans="13:13">
      <c r="M9751" s="202"/>
    </row>
    <row r="9752" spans="13:13">
      <c r="M9752" s="202"/>
    </row>
    <row r="9753" spans="13:13">
      <c r="M9753" s="202"/>
    </row>
    <row r="9754" spans="13:13">
      <c r="M9754" s="202"/>
    </row>
    <row r="9755" spans="13:13">
      <c r="M9755" s="202"/>
    </row>
    <row r="9756" spans="13:13">
      <c r="M9756" s="202"/>
    </row>
    <row r="9757" spans="13:13">
      <c r="M9757" s="202"/>
    </row>
    <row r="9758" spans="13:13">
      <c r="M9758" s="202"/>
    </row>
    <row r="9759" spans="13:13">
      <c r="M9759" s="202"/>
    </row>
    <row r="9760" spans="13:13">
      <c r="M9760" s="202"/>
    </row>
    <row r="9761" spans="13:13">
      <c r="M9761" s="202"/>
    </row>
    <row r="9762" spans="13:13">
      <c r="M9762" s="202"/>
    </row>
    <row r="9763" spans="13:13">
      <c r="M9763" s="202"/>
    </row>
    <row r="9764" spans="13:13">
      <c r="M9764" s="202"/>
    </row>
    <row r="9765" spans="13:13">
      <c r="M9765" s="202"/>
    </row>
    <row r="9766" spans="13:13">
      <c r="M9766" s="202"/>
    </row>
    <row r="9767" spans="13:13">
      <c r="M9767" s="202"/>
    </row>
    <row r="9768" spans="13:13">
      <c r="M9768" s="202"/>
    </row>
    <row r="9769" spans="13:13">
      <c r="M9769" s="202"/>
    </row>
    <row r="9770" spans="13:13">
      <c r="M9770" s="202"/>
    </row>
    <row r="9771" spans="13:13">
      <c r="M9771" s="202"/>
    </row>
    <row r="9772" spans="13:13">
      <c r="M9772" s="202"/>
    </row>
    <row r="9773" spans="13:13">
      <c r="M9773" s="202"/>
    </row>
    <row r="9774" spans="13:13">
      <c r="M9774" s="202"/>
    </row>
    <row r="9775" spans="13:13">
      <c r="M9775" s="202"/>
    </row>
    <row r="9776" spans="13:13">
      <c r="M9776" s="202"/>
    </row>
    <row r="9777" spans="13:13">
      <c r="M9777" s="202"/>
    </row>
    <row r="9778" spans="13:13">
      <c r="M9778" s="202"/>
    </row>
    <row r="9779" spans="13:13">
      <c r="M9779" s="202"/>
    </row>
    <row r="9780" spans="13:13">
      <c r="M9780" s="202"/>
    </row>
    <row r="9781" spans="13:13">
      <c r="M9781" s="202"/>
    </row>
    <row r="9782" spans="13:13">
      <c r="M9782" s="202"/>
    </row>
    <row r="9783" spans="13:13">
      <c r="M9783" s="202"/>
    </row>
    <row r="9784" spans="13:13">
      <c r="M9784" s="202"/>
    </row>
    <row r="9785" spans="13:13">
      <c r="M9785" s="202"/>
    </row>
    <row r="9786" spans="13:13">
      <c r="M9786" s="202"/>
    </row>
    <row r="9787" spans="13:13">
      <c r="M9787" s="202"/>
    </row>
    <row r="9788" spans="13:13">
      <c r="M9788" s="202"/>
    </row>
    <row r="9789" spans="13:13">
      <c r="M9789" s="202"/>
    </row>
    <row r="9790" spans="13:13">
      <c r="M9790" s="202"/>
    </row>
    <row r="9791" spans="13:13">
      <c r="M9791" s="202"/>
    </row>
    <row r="9792" spans="13:13">
      <c r="M9792" s="202"/>
    </row>
    <row r="9793" spans="13:13">
      <c r="M9793" s="202"/>
    </row>
    <row r="9794" spans="13:13">
      <c r="M9794" s="202"/>
    </row>
    <row r="9795" spans="13:13">
      <c r="M9795" s="202"/>
    </row>
    <row r="9796" spans="13:13">
      <c r="M9796" s="202"/>
    </row>
    <row r="9797" spans="13:13">
      <c r="M9797" s="202"/>
    </row>
    <row r="9798" spans="13:13">
      <c r="M9798" s="202"/>
    </row>
    <row r="9799" spans="13:13">
      <c r="M9799" s="202"/>
    </row>
    <row r="9800" spans="13:13">
      <c r="M9800" s="202"/>
    </row>
    <row r="9801" spans="13:13">
      <c r="M9801" s="202"/>
    </row>
    <row r="9802" spans="13:13">
      <c r="M9802" s="202"/>
    </row>
    <row r="9803" spans="13:13">
      <c r="M9803" s="202"/>
    </row>
    <row r="9804" spans="13:13">
      <c r="M9804" s="202"/>
    </row>
    <row r="9805" spans="13:13">
      <c r="M9805" s="202"/>
    </row>
    <row r="9806" spans="13:13">
      <c r="M9806" s="202"/>
    </row>
    <row r="9807" spans="13:13">
      <c r="M9807" s="202"/>
    </row>
    <row r="9808" spans="13:13">
      <c r="M9808" s="202"/>
    </row>
    <row r="9809" spans="13:13">
      <c r="M9809" s="202"/>
    </row>
    <row r="9810" spans="13:13">
      <c r="M9810" s="202"/>
    </row>
    <row r="9811" spans="13:13">
      <c r="M9811" s="202"/>
    </row>
    <row r="9812" spans="13:13">
      <c r="M9812" s="202"/>
    </row>
    <row r="9813" spans="13:13">
      <c r="M9813" s="202"/>
    </row>
    <row r="9814" spans="13:13">
      <c r="M9814" s="202"/>
    </row>
    <row r="9815" spans="13:13">
      <c r="M9815" s="202"/>
    </row>
    <row r="9816" spans="13:13">
      <c r="M9816" s="202"/>
    </row>
    <row r="9817" spans="13:13">
      <c r="M9817" s="202"/>
    </row>
    <row r="9818" spans="13:13">
      <c r="M9818" s="202"/>
    </row>
    <row r="9819" spans="13:13">
      <c r="M9819" s="202"/>
    </row>
    <row r="9820" spans="13:13">
      <c r="M9820" s="202"/>
    </row>
    <row r="9821" spans="13:13">
      <c r="M9821" s="202"/>
    </row>
    <row r="9822" spans="13:13">
      <c r="M9822" s="202"/>
    </row>
    <row r="9823" spans="13:13">
      <c r="M9823" s="202"/>
    </row>
    <row r="9824" spans="13:13">
      <c r="M9824" s="202"/>
    </row>
    <row r="9825" spans="13:13">
      <c r="M9825" s="202"/>
    </row>
    <row r="9826" spans="13:13">
      <c r="M9826" s="202"/>
    </row>
    <row r="9827" spans="13:13">
      <c r="M9827" s="202"/>
    </row>
    <row r="9828" spans="13:13">
      <c r="M9828" s="202"/>
    </row>
    <row r="9829" spans="13:13">
      <c r="M9829" s="202"/>
    </row>
    <row r="9830" spans="13:13">
      <c r="M9830" s="202"/>
    </row>
    <row r="9831" spans="13:13">
      <c r="M9831" s="202"/>
    </row>
    <row r="9832" spans="13:13">
      <c r="M9832" s="202"/>
    </row>
    <row r="9833" spans="13:13">
      <c r="M9833" s="202"/>
    </row>
    <row r="9834" spans="13:13">
      <c r="M9834" s="202"/>
    </row>
    <row r="9835" spans="13:13">
      <c r="M9835" s="202"/>
    </row>
    <row r="9836" spans="13:13">
      <c r="M9836" s="202"/>
    </row>
    <row r="9837" spans="13:13">
      <c r="M9837" s="202"/>
    </row>
    <row r="9838" spans="13:13">
      <c r="M9838" s="202"/>
    </row>
    <row r="9839" spans="13:13">
      <c r="M9839" s="202"/>
    </row>
    <row r="9840" spans="13:13">
      <c r="M9840" s="202"/>
    </row>
    <row r="9841" spans="13:13">
      <c r="M9841" s="202"/>
    </row>
    <row r="9842" spans="13:13">
      <c r="M9842" s="202"/>
    </row>
    <row r="9843" spans="13:13">
      <c r="M9843" s="202"/>
    </row>
    <row r="9844" spans="13:13">
      <c r="M9844" s="202"/>
    </row>
    <row r="9845" spans="13:13">
      <c r="M9845" s="202"/>
    </row>
    <row r="9846" spans="13:13">
      <c r="M9846" s="202"/>
    </row>
    <row r="9847" spans="13:13">
      <c r="M9847" s="202"/>
    </row>
    <row r="9848" spans="13:13">
      <c r="M9848" s="202"/>
    </row>
    <row r="9849" spans="13:13">
      <c r="M9849" s="202"/>
    </row>
    <row r="9850" spans="13:13">
      <c r="M9850" s="202"/>
    </row>
    <row r="9851" spans="13:13">
      <c r="M9851" s="202"/>
    </row>
    <row r="9852" spans="13:13">
      <c r="M9852" s="202"/>
    </row>
    <row r="9853" spans="13:13">
      <c r="M9853" s="202"/>
    </row>
    <row r="9854" spans="13:13">
      <c r="M9854" s="202"/>
    </row>
    <row r="9855" spans="13:13">
      <c r="M9855" s="202"/>
    </row>
    <row r="9856" spans="13:13">
      <c r="M9856" s="202"/>
    </row>
    <row r="9857" spans="13:13">
      <c r="M9857" s="202"/>
    </row>
    <row r="9858" spans="13:13">
      <c r="M9858" s="202"/>
    </row>
    <row r="9859" spans="13:13">
      <c r="M9859" s="202"/>
    </row>
    <row r="9860" spans="13:13">
      <c r="M9860" s="202"/>
    </row>
    <row r="9861" spans="13:13">
      <c r="M9861" s="202"/>
    </row>
    <row r="9862" spans="13:13">
      <c r="M9862" s="202"/>
    </row>
    <row r="9863" spans="13:13">
      <c r="M9863" s="202"/>
    </row>
    <row r="9864" spans="13:13">
      <c r="M9864" s="202"/>
    </row>
    <row r="9865" spans="13:13">
      <c r="M9865" s="202"/>
    </row>
    <row r="9866" spans="13:13">
      <c r="M9866" s="202"/>
    </row>
    <row r="9867" spans="13:13">
      <c r="M9867" s="202"/>
    </row>
    <row r="9868" spans="13:13">
      <c r="M9868" s="202"/>
    </row>
    <row r="9869" spans="13:13">
      <c r="M9869" s="202"/>
    </row>
    <row r="9870" spans="13:13">
      <c r="M9870" s="202"/>
    </row>
    <row r="9871" spans="13:13">
      <c r="M9871" s="202"/>
    </row>
    <row r="9872" spans="13:13">
      <c r="M9872" s="202"/>
    </row>
    <row r="9873" spans="13:13">
      <c r="M9873" s="202"/>
    </row>
    <row r="9874" spans="13:13">
      <c r="M9874" s="202"/>
    </row>
    <row r="9875" spans="13:13">
      <c r="M9875" s="202"/>
    </row>
    <row r="9876" spans="13:13">
      <c r="M9876" s="202"/>
    </row>
    <row r="9877" spans="13:13">
      <c r="M9877" s="202"/>
    </row>
    <row r="9878" spans="13:13">
      <c r="M9878" s="202"/>
    </row>
    <row r="9879" spans="13:13">
      <c r="M9879" s="202"/>
    </row>
    <row r="9880" spans="13:13">
      <c r="M9880" s="202"/>
    </row>
    <row r="9881" spans="13:13">
      <c r="M9881" s="202"/>
    </row>
    <row r="9882" spans="13:13">
      <c r="M9882" s="202"/>
    </row>
    <row r="9883" spans="13:13">
      <c r="M9883" s="202"/>
    </row>
    <row r="9884" spans="13:13">
      <c r="M9884" s="202"/>
    </row>
    <row r="9885" spans="13:13">
      <c r="M9885" s="202"/>
    </row>
    <row r="9886" spans="13:13">
      <c r="M9886" s="202"/>
    </row>
    <row r="9887" spans="13:13">
      <c r="M9887" s="202"/>
    </row>
    <row r="9888" spans="13:13">
      <c r="M9888" s="202"/>
    </row>
    <row r="9889" spans="13:13">
      <c r="M9889" s="202"/>
    </row>
    <row r="9890" spans="13:13">
      <c r="M9890" s="202"/>
    </row>
    <row r="9891" spans="13:13">
      <c r="M9891" s="202"/>
    </row>
    <row r="9892" spans="13:13">
      <c r="M9892" s="202"/>
    </row>
    <row r="9893" spans="13:13">
      <c r="M9893" s="202"/>
    </row>
    <row r="9894" spans="13:13">
      <c r="M9894" s="202"/>
    </row>
    <row r="9895" spans="13:13">
      <c r="M9895" s="202"/>
    </row>
    <row r="9896" spans="13:13">
      <c r="M9896" s="202"/>
    </row>
    <row r="9897" spans="13:13">
      <c r="M9897" s="202"/>
    </row>
    <row r="9898" spans="13:13">
      <c r="M9898" s="202"/>
    </row>
    <row r="9899" spans="13:13">
      <c r="M9899" s="202"/>
    </row>
    <row r="9900" spans="13:13">
      <c r="M9900" s="202"/>
    </row>
    <row r="9901" spans="13:13">
      <c r="M9901" s="202"/>
    </row>
    <row r="9902" spans="13:13">
      <c r="M9902" s="202"/>
    </row>
    <row r="9903" spans="13:13">
      <c r="M9903" s="202"/>
    </row>
    <row r="9904" spans="13:13">
      <c r="M9904" s="202"/>
    </row>
    <row r="9905" spans="13:13">
      <c r="M9905" s="202"/>
    </row>
    <row r="9906" spans="13:13">
      <c r="M9906" s="202"/>
    </row>
    <row r="9907" spans="13:13">
      <c r="M9907" s="202"/>
    </row>
    <row r="9908" spans="13:13">
      <c r="M9908" s="202"/>
    </row>
    <row r="9909" spans="13:13">
      <c r="M9909" s="202"/>
    </row>
    <row r="9910" spans="13:13">
      <c r="M9910" s="202"/>
    </row>
    <row r="9911" spans="13:13">
      <c r="M9911" s="202"/>
    </row>
    <row r="9912" spans="13:13">
      <c r="M9912" s="202"/>
    </row>
    <row r="9913" spans="13:13">
      <c r="M9913" s="202"/>
    </row>
    <row r="9914" spans="13:13">
      <c r="M9914" s="202"/>
    </row>
    <row r="9915" spans="13:13">
      <c r="M9915" s="202"/>
    </row>
    <row r="9916" spans="13:13">
      <c r="M9916" s="202"/>
    </row>
    <row r="9917" spans="13:13">
      <c r="M9917" s="202"/>
    </row>
    <row r="9918" spans="13:13">
      <c r="M9918" s="202"/>
    </row>
    <row r="9919" spans="13:13">
      <c r="M9919" s="202"/>
    </row>
    <row r="9920" spans="13:13">
      <c r="M9920" s="202"/>
    </row>
    <row r="9921" spans="13:13">
      <c r="M9921" s="202"/>
    </row>
    <row r="9922" spans="13:13">
      <c r="M9922" s="202"/>
    </row>
    <row r="9923" spans="13:13">
      <c r="M9923" s="202"/>
    </row>
    <row r="9924" spans="13:13">
      <c r="M9924" s="202"/>
    </row>
    <row r="9925" spans="13:13">
      <c r="M9925" s="202"/>
    </row>
    <row r="9926" spans="13:13">
      <c r="M9926" s="202"/>
    </row>
    <row r="9927" spans="13:13">
      <c r="M9927" s="202"/>
    </row>
    <row r="9928" spans="13:13">
      <c r="M9928" s="202"/>
    </row>
    <row r="9929" spans="13:13">
      <c r="M9929" s="202"/>
    </row>
    <row r="9930" spans="13:13">
      <c r="M9930" s="202"/>
    </row>
    <row r="9931" spans="13:13">
      <c r="M9931" s="202"/>
    </row>
    <row r="9932" spans="13:13">
      <c r="M9932" s="202"/>
    </row>
    <row r="9933" spans="13:13">
      <c r="M9933" s="202"/>
    </row>
    <row r="9934" spans="13:13">
      <c r="M9934" s="202"/>
    </row>
    <row r="9935" spans="13:13">
      <c r="M9935" s="202"/>
    </row>
    <row r="9936" spans="13:13">
      <c r="M9936" s="202"/>
    </row>
    <row r="9937" spans="13:13">
      <c r="M9937" s="202"/>
    </row>
    <row r="9938" spans="13:13">
      <c r="M9938" s="202"/>
    </row>
    <row r="9939" spans="13:13">
      <c r="M9939" s="202"/>
    </row>
    <row r="9940" spans="13:13">
      <c r="M9940" s="202"/>
    </row>
    <row r="9941" spans="13:13">
      <c r="M9941" s="202"/>
    </row>
    <row r="9942" spans="13:13">
      <c r="M9942" s="202"/>
    </row>
    <row r="9943" spans="13:13">
      <c r="M9943" s="202"/>
    </row>
    <row r="9944" spans="13:13">
      <c r="M9944" s="202"/>
    </row>
    <row r="9945" spans="13:13">
      <c r="M9945" s="202"/>
    </row>
    <row r="9946" spans="13:13">
      <c r="M9946" s="202"/>
    </row>
    <row r="9947" spans="13:13">
      <c r="M9947" s="202"/>
    </row>
    <row r="9948" spans="13:13">
      <c r="M9948" s="202"/>
    </row>
    <row r="9949" spans="13:13">
      <c r="M9949" s="202"/>
    </row>
    <row r="9950" spans="13:13">
      <c r="M9950" s="202"/>
    </row>
    <row r="9951" spans="13:13">
      <c r="M9951" s="202"/>
    </row>
    <row r="9952" spans="13:13">
      <c r="M9952" s="202"/>
    </row>
    <row r="9953" spans="13:13">
      <c r="M9953" s="202"/>
    </row>
    <row r="9954" spans="13:13">
      <c r="M9954" s="202"/>
    </row>
    <row r="9955" spans="13:13">
      <c r="M9955" s="202"/>
    </row>
    <row r="9956" spans="13:13">
      <c r="M9956" s="202"/>
    </row>
    <row r="9957" spans="13:13">
      <c r="M9957" s="202"/>
    </row>
    <row r="9958" spans="13:13">
      <c r="M9958" s="202"/>
    </row>
    <row r="9959" spans="13:13">
      <c r="M9959" s="202"/>
    </row>
    <row r="9960" spans="13:13">
      <c r="M9960" s="202"/>
    </row>
    <row r="9961" spans="13:13">
      <c r="M9961" s="202"/>
    </row>
    <row r="9962" spans="13:13">
      <c r="M9962" s="202"/>
    </row>
    <row r="9963" spans="13:13">
      <c r="M9963" s="202"/>
    </row>
    <row r="9964" spans="13:13">
      <c r="M9964" s="202"/>
    </row>
    <row r="9965" spans="13:13">
      <c r="M9965" s="202"/>
    </row>
    <row r="9966" spans="13:13">
      <c r="M9966" s="202"/>
    </row>
    <row r="9967" spans="13:13">
      <c r="M9967" s="202"/>
    </row>
    <row r="9968" spans="13:13">
      <c r="M9968" s="202"/>
    </row>
    <row r="9969" spans="13:13">
      <c r="M9969" s="202"/>
    </row>
    <row r="9970" spans="13:13">
      <c r="M9970" s="202"/>
    </row>
    <row r="9971" spans="13:13">
      <c r="M9971" s="202"/>
    </row>
    <row r="9972" spans="13:13">
      <c r="M9972" s="202"/>
    </row>
    <row r="9973" spans="13:13">
      <c r="M9973" s="202"/>
    </row>
    <row r="9974" spans="13:13">
      <c r="M9974" s="202"/>
    </row>
    <row r="9975" spans="13:13">
      <c r="M9975" s="202"/>
    </row>
    <row r="9976" spans="13:13">
      <c r="M9976" s="202"/>
    </row>
    <row r="9977" spans="13:13">
      <c r="M9977" s="202"/>
    </row>
    <row r="9978" spans="13:13">
      <c r="M9978" s="202"/>
    </row>
    <row r="9979" spans="13:13">
      <c r="M9979" s="202"/>
    </row>
    <row r="9980" spans="13:13">
      <c r="M9980" s="202"/>
    </row>
    <row r="9981" spans="13:13">
      <c r="M9981" s="202"/>
    </row>
    <row r="9982" spans="13:13">
      <c r="M9982" s="202"/>
    </row>
    <row r="9983" spans="13:13">
      <c r="M9983" s="202"/>
    </row>
    <row r="9984" spans="13:13">
      <c r="M9984" s="202"/>
    </row>
    <row r="9985" spans="13:13">
      <c r="M9985" s="202"/>
    </row>
    <row r="9986" spans="13:13">
      <c r="M9986" s="202"/>
    </row>
    <row r="9987" spans="13:13">
      <c r="M9987" s="202"/>
    </row>
    <row r="9988" spans="13:13">
      <c r="M9988" s="202"/>
    </row>
    <row r="9989" spans="13:13">
      <c r="M9989" s="202"/>
    </row>
    <row r="9990" spans="13:13">
      <c r="M9990" s="202"/>
    </row>
    <row r="9991" spans="13:13">
      <c r="M9991" s="202"/>
    </row>
    <row r="9992" spans="13:13">
      <c r="M9992" s="202"/>
    </row>
    <row r="9993" spans="13:13">
      <c r="M9993" s="202"/>
    </row>
    <row r="9994" spans="13:13">
      <c r="M9994" s="202"/>
    </row>
    <row r="9995" spans="13:13">
      <c r="M9995" s="202"/>
    </row>
    <row r="9996" spans="13:13">
      <c r="M9996" s="202"/>
    </row>
    <row r="9997" spans="13:13">
      <c r="M9997" s="202"/>
    </row>
    <row r="9998" spans="13:13">
      <c r="M9998" s="202"/>
    </row>
    <row r="9999" spans="13:13">
      <c r="M9999" s="202"/>
    </row>
    <row r="10000" spans="13:13">
      <c r="M10000" s="202"/>
    </row>
    <row r="10001" spans="13:13">
      <c r="M10001" s="202"/>
    </row>
    <row r="10002" spans="13:13">
      <c r="M10002" s="202"/>
    </row>
    <row r="10003" spans="13:13">
      <c r="M10003" s="202"/>
    </row>
    <row r="10004" spans="13:13">
      <c r="M10004" s="202"/>
    </row>
    <row r="10005" spans="13:13">
      <c r="M10005" s="202"/>
    </row>
    <row r="10006" spans="13:13">
      <c r="M10006" s="202"/>
    </row>
    <row r="10007" spans="13:13">
      <c r="M10007" s="202"/>
    </row>
    <row r="10008" spans="13:13">
      <c r="M10008" s="202"/>
    </row>
    <row r="10009" spans="13:13">
      <c r="M10009" s="202"/>
    </row>
    <row r="10010" spans="13:13">
      <c r="M10010" s="202"/>
    </row>
    <row r="10011" spans="13:13">
      <c r="M10011" s="202"/>
    </row>
    <row r="10012" spans="13:13">
      <c r="M10012" s="202"/>
    </row>
    <row r="10013" spans="13:13">
      <c r="M10013" s="202"/>
    </row>
    <row r="10014" spans="13:13">
      <c r="M10014" s="202"/>
    </row>
    <row r="10015" spans="13:13">
      <c r="M10015" s="202"/>
    </row>
    <row r="10016" spans="13:13">
      <c r="M10016" s="202"/>
    </row>
    <row r="10017" spans="13:13">
      <c r="M10017" s="202"/>
    </row>
    <row r="10018" spans="13:13">
      <c r="M10018" s="202"/>
    </row>
    <row r="10019" spans="13:13">
      <c r="M10019" s="202"/>
    </row>
    <row r="10020" spans="13:13">
      <c r="M10020" s="202"/>
    </row>
    <row r="10021" spans="13:13">
      <c r="M10021" s="202"/>
    </row>
    <row r="10022" spans="13:13">
      <c r="M10022" s="202"/>
    </row>
    <row r="10023" spans="13:13">
      <c r="M10023" s="202"/>
    </row>
    <row r="10024" spans="13:13">
      <c r="M10024" s="202"/>
    </row>
    <row r="10025" spans="13:13">
      <c r="M10025" s="202"/>
    </row>
    <row r="10026" spans="13:13">
      <c r="M10026" s="202"/>
    </row>
    <row r="10027" spans="13:13">
      <c r="M10027" s="202"/>
    </row>
    <row r="10028" spans="13:13">
      <c r="M10028" s="202"/>
    </row>
    <row r="10029" spans="13:13">
      <c r="M10029" s="202"/>
    </row>
    <row r="10030" spans="13:13">
      <c r="M10030" s="202"/>
    </row>
    <row r="10031" spans="13:13">
      <c r="M10031" s="202"/>
    </row>
    <row r="10032" spans="13:13">
      <c r="M10032" s="202"/>
    </row>
    <row r="10033" spans="13:13">
      <c r="M10033" s="202"/>
    </row>
    <row r="10034" spans="13:13">
      <c r="M10034" s="202"/>
    </row>
    <row r="10035" spans="13:13">
      <c r="M10035" s="202"/>
    </row>
    <row r="10036" spans="13:13">
      <c r="M10036" s="202"/>
    </row>
    <row r="10037" spans="13:13">
      <c r="M10037" s="202"/>
    </row>
    <row r="10038" spans="13:13">
      <c r="M10038" s="202"/>
    </row>
    <row r="10039" spans="13:13">
      <c r="M10039" s="202"/>
    </row>
    <row r="10040" spans="13:13">
      <c r="M10040" s="202"/>
    </row>
    <row r="10041" spans="13:13">
      <c r="M10041" s="202"/>
    </row>
    <row r="10042" spans="13:13">
      <c r="M10042" s="202"/>
    </row>
    <row r="10043" spans="13:13">
      <c r="M10043" s="202"/>
    </row>
    <row r="10044" spans="13:13">
      <c r="M10044" s="202"/>
    </row>
    <row r="10045" spans="13:13">
      <c r="M10045" s="202"/>
    </row>
    <row r="10046" spans="13:13">
      <c r="M10046" s="202"/>
    </row>
    <row r="10047" spans="13:13">
      <c r="M10047" s="202"/>
    </row>
    <row r="10048" spans="13:13">
      <c r="M10048" s="202"/>
    </row>
    <row r="10049" spans="13:13">
      <c r="M10049" s="202"/>
    </row>
    <row r="10050" spans="13:13">
      <c r="M10050" s="202"/>
    </row>
    <row r="10051" spans="13:13">
      <c r="M10051" s="202"/>
    </row>
    <row r="10052" spans="13:13">
      <c r="M10052" s="202"/>
    </row>
    <row r="10053" spans="13:13">
      <c r="M10053" s="202"/>
    </row>
    <row r="10054" spans="13:13">
      <c r="M10054" s="202"/>
    </row>
    <row r="10055" spans="13:13">
      <c r="M10055" s="202"/>
    </row>
    <row r="10056" spans="13:13">
      <c r="M10056" s="202"/>
    </row>
    <row r="10057" spans="13:13">
      <c r="M10057" s="202"/>
    </row>
    <row r="10058" spans="13:13">
      <c r="M10058" s="202"/>
    </row>
    <row r="10059" spans="13:13">
      <c r="M10059" s="202"/>
    </row>
    <row r="10060" spans="13:13">
      <c r="M10060" s="202"/>
    </row>
    <row r="10061" spans="13:13">
      <c r="M10061" s="202"/>
    </row>
    <row r="10062" spans="13:13">
      <c r="M10062" s="202"/>
    </row>
    <row r="10063" spans="13:13">
      <c r="M10063" s="202"/>
    </row>
    <row r="10064" spans="13:13">
      <c r="M10064" s="202"/>
    </row>
    <row r="10065" spans="13:13">
      <c r="M10065" s="202"/>
    </row>
    <row r="10066" spans="13:13">
      <c r="M10066" s="202"/>
    </row>
    <row r="10067" spans="13:13">
      <c r="M10067" s="202"/>
    </row>
    <row r="10068" spans="13:13">
      <c r="M10068" s="202"/>
    </row>
    <row r="10069" spans="13:13">
      <c r="M10069" s="202"/>
    </row>
    <row r="10070" spans="13:13">
      <c r="M10070" s="202"/>
    </row>
    <row r="10071" spans="13:13">
      <c r="M10071" s="202"/>
    </row>
    <row r="10072" spans="13:13">
      <c r="M10072" s="202"/>
    </row>
    <row r="10073" spans="13:13">
      <c r="M10073" s="202"/>
    </row>
    <row r="10074" spans="13:13">
      <c r="M10074" s="202"/>
    </row>
    <row r="10075" spans="13:13">
      <c r="M10075" s="202"/>
    </row>
    <row r="10076" spans="13:13">
      <c r="M10076" s="202"/>
    </row>
    <row r="10077" spans="13:13">
      <c r="M10077" s="202"/>
    </row>
    <row r="10078" spans="13:13">
      <c r="M10078" s="202"/>
    </row>
    <row r="10079" spans="13:13">
      <c r="M10079" s="202"/>
    </row>
    <row r="10080" spans="13:13">
      <c r="M10080" s="202"/>
    </row>
    <row r="10081" spans="13:13">
      <c r="M10081" s="202"/>
    </row>
    <row r="10082" spans="13:13">
      <c r="M10082" s="202"/>
    </row>
    <row r="10083" spans="13:13">
      <c r="M10083" s="202"/>
    </row>
    <row r="10084" spans="13:13">
      <c r="M10084" s="202"/>
    </row>
    <row r="10085" spans="13:13">
      <c r="M10085" s="202"/>
    </row>
    <row r="10086" spans="13:13">
      <c r="M10086" s="202"/>
    </row>
    <row r="10087" spans="13:13">
      <c r="M10087" s="202"/>
    </row>
    <row r="10088" spans="13:13">
      <c r="M10088" s="202"/>
    </row>
    <row r="10089" spans="13:13">
      <c r="M10089" s="202"/>
    </row>
    <row r="10090" spans="13:13">
      <c r="M10090" s="202"/>
    </row>
    <row r="10091" spans="13:13">
      <c r="M10091" s="202"/>
    </row>
    <row r="10092" spans="13:13">
      <c r="M10092" s="202"/>
    </row>
    <row r="10093" spans="13:13">
      <c r="M10093" s="202"/>
    </row>
    <row r="10094" spans="13:13">
      <c r="M10094" s="202"/>
    </row>
    <row r="10095" spans="13:13">
      <c r="M10095" s="202"/>
    </row>
    <row r="10096" spans="13:13">
      <c r="M10096" s="202"/>
    </row>
    <row r="10097" spans="13:13">
      <c r="M10097" s="202"/>
    </row>
    <row r="10098" spans="13:13">
      <c r="M10098" s="202"/>
    </row>
    <row r="10099" spans="13:13">
      <c r="M10099" s="202"/>
    </row>
    <row r="10100" spans="13:13">
      <c r="M10100" s="202"/>
    </row>
    <row r="10101" spans="13:13">
      <c r="M10101" s="202"/>
    </row>
    <row r="10102" spans="13:13">
      <c r="M10102" s="202"/>
    </row>
    <row r="10103" spans="13:13">
      <c r="M10103" s="202"/>
    </row>
    <row r="10104" spans="13:13">
      <c r="M10104" s="202"/>
    </row>
    <row r="10105" spans="13:13">
      <c r="M10105" s="202"/>
    </row>
    <row r="10106" spans="13:13">
      <c r="M10106" s="202"/>
    </row>
    <row r="10107" spans="13:13">
      <c r="M10107" s="202"/>
    </row>
    <row r="10108" spans="13:13">
      <c r="M10108" s="202"/>
    </row>
    <row r="10109" spans="13:13">
      <c r="M10109" s="202"/>
    </row>
    <row r="10110" spans="13:13">
      <c r="M10110" s="202"/>
    </row>
    <row r="10111" spans="13:13">
      <c r="M10111" s="202"/>
    </row>
    <row r="10112" spans="13:13">
      <c r="M10112" s="202"/>
    </row>
    <row r="10113" spans="13:13">
      <c r="M10113" s="202"/>
    </row>
    <row r="10114" spans="13:13">
      <c r="M10114" s="202"/>
    </row>
    <row r="10115" spans="13:13">
      <c r="M10115" s="202"/>
    </row>
    <row r="10116" spans="13:13">
      <c r="M10116" s="202"/>
    </row>
    <row r="10117" spans="13:13">
      <c r="M10117" s="202"/>
    </row>
    <row r="10118" spans="13:13">
      <c r="M10118" s="202"/>
    </row>
    <row r="10119" spans="13:13">
      <c r="M10119" s="202"/>
    </row>
    <row r="10120" spans="13:13">
      <c r="M10120" s="202"/>
    </row>
    <row r="10121" spans="13:13">
      <c r="M10121" s="202"/>
    </row>
    <row r="10122" spans="13:13">
      <c r="M10122" s="202"/>
    </row>
    <row r="10123" spans="13:13">
      <c r="M10123" s="202"/>
    </row>
    <row r="10124" spans="13:13">
      <c r="M10124" s="202"/>
    </row>
    <row r="10125" spans="13:13">
      <c r="M10125" s="202"/>
    </row>
    <row r="10126" spans="13:13">
      <c r="M10126" s="202"/>
    </row>
    <row r="10127" spans="13:13">
      <c r="M10127" s="202"/>
    </row>
    <row r="10128" spans="13:13">
      <c r="M10128" s="202"/>
    </row>
    <row r="10129" spans="13:13">
      <c r="M10129" s="202"/>
    </row>
    <row r="10130" spans="13:13">
      <c r="M10130" s="202"/>
    </row>
    <row r="10131" spans="13:13">
      <c r="M10131" s="202"/>
    </row>
    <row r="10132" spans="13:13">
      <c r="M10132" s="202"/>
    </row>
    <row r="10133" spans="13:13">
      <c r="M10133" s="202"/>
    </row>
    <row r="10134" spans="13:13">
      <c r="M10134" s="202"/>
    </row>
    <row r="10135" spans="13:13">
      <c r="M10135" s="202"/>
    </row>
    <row r="10136" spans="13:13">
      <c r="M10136" s="202"/>
    </row>
    <row r="10137" spans="13:13">
      <c r="M10137" s="202"/>
    </row>
    <row r="10138" spans="13:13">
      <c r="M10138" s="202"/>
    </row>
    <row r="10139" spans="13:13">
      <c r="M10139" s="202"/>
    </row>
    <row r="10140" spans="13:13">
      <c r="M10140" s="202"/>
    </row>
    <row r="10141" spans="13:13">
      <c r="M10141" s="202"/>
    </row>
    <row r="10142" spans="13:13">
      <c r="M10142" s="202"/>
    </row>
    <row r="10143" spans="13:13">
      <c r="M10143" s="202"/>
    </row>
    <row r="10144" spans="13:13">
      <c r="M10144" s="202"/>
    </row>
    <row r="10145" spans="13:13">
      <c r="M10145" s="202"/>
    </row>
    <row r="10146" spans="13:13">
      <c r="M10146" s="202"/>
    </row>
    <row r="10147" spans="13:13">
      <c r="M10147" s="202"/>
    </row>
    <row r="10148" spans="13:13">
      <c r="M10148" s="202"/>
    </row>
    <row r="10149" spans="13:13">
      <c r="M10149" s="202"/>
    </row>
    <row r="10150" spans="13:13">
      <c r="M10150" s="202"/>
    </row>
    <row r="10151" spans="13:13">
      <c r="M10151" s="202"/>
    </row>
    <row r="10152" spans="13:13">
      <c r="M10152" s="202"/>
    </row>
    <row r="10153" spans="13:13">
      <c r="M10153" s="202"/>
    </row>
    <row r="10154" spans="13:13">
      <c r="M10154" s="202"/>
    </row>
    <row r="10155" spans="13:13">
      <c r="M10155" s="202"/>
    </row>
    <row r="10156" spans="13:13">
      <c r="M10156" s="202"/>
    </row>
    <row r="10157" spans="13:13">
      <c r="M10157" s="202"/>
    </row>
    <row r="10158" spans="13:13">
      <c r="M10158" s="202"/>
    </row>
    <row r="10159" spans="13:13">
      <c r="M10159" s="202"/>
    </row>
    <row r="10160" spans="13:13">
      <c r="M10160" s="202"/>
    </row>
    <row r="10161" spans="13:13">
      <c r="M10161" s="202"/>
    </row>
    <row r="10162" spans="13:13">
      <c r="M10162" s="202"/>
    </row>
    <row r="10163" spans="13:13">
      <c r="M10163" s="202"/>
    </row>
    <row r="10164" spans="13:13">
      <c r="M10164" s="202"/>
    </row>
    <row r="10165" spans="13:13">
      <c r="M10165" s="202"/>
    </row>
    <row r="10166" spans="13:13">
      <c r="M10166" s="202"/>
    </row>
    <row r="10167" spans="13:13">
      <c r="M10167" s="202"/>
    </row>
    <row r="10168" spans="13:13">
      <c r="M10168" s="202"/>
    </row>
    <row r="10169" spans="13:13">
      <c r="M10169" s="202"/>
    </row>
    <row r="10170" spans="13:13">
      <c r="M10170" s="202"/>
    </row>
    <row r="10171" spans="13:13">
      <c r="M10171" s="202"/>
    </row>
    <row r="10172" spans="13:13">
      <c r="M10172" s="202"/>
    </row>
    <row r="10173" spans="13:13">
      <c r="M10173" s="202"/>
    </row>
    <row r="10174" spans="13:13">
      <c r="M10174" s="202"/>
    </row>
    <row r="10175" spans="13:13">
      <c r="M10175" s="202"/>
    </row>
    <row r="10176" spans="13:13">
      <c r="M10176" s="202"/>
    </row>
    <row r="10177" spans="13:13">
      <c r="M10177" s="202"/>
    </row>
    <row r="10178" spans="13:13">
      <c r="M10178" s="202"/>
    </row>
    <row r="10179" spans="13:13">
      <c r="M10179" s="202"/>
    </row>
    <row r="10180" spans="13:13">
      <c r="M10180" s="202"/>
    </row>
    <row r="10181" spans="13:13">
      <c r="M10181" s="202"/>
    </row>
    <row r="10182" spans="13:13">
      <c r="M10182" s="202"/>
    </row>
    <row r="10183" spans="13:13">
      <c r="M10183" s="202"/>
    </row>
    <row r="10184" spans="13:13">
      <c r="M10184" s="202"/>
    </row>
    <row r="10185" spans="13:13">
      <c r="M10185" s="202"/>
    </row>
    <row r="10186" spans="13:13">
      <c r="M10186" s="202"/>
    </row>
    <row r="10187" spans="13:13">
      <c r="M10187" s="202"/>
    </row>
    <row r="10188" spans="13:13">
      <c r="M10188" s="202"/>
    </row>
    <row r="10189" spans="13:13">
      <c r="M10189" s="202"/>
    </row>
    <row r="10190" spans="13:13">
      <c r="M10190" s="202"/>
    </row>
    <row r="10191" spans="13:13">
      <c r="M10191" s="202"/>
    </row>
    <row r="10192" spans="13:13">
      <c r="M10192" s="202"/>
    </row>
    <row r="10193" spans="13:13">
      <c r="M10193" s="202"/>
    </row>
    <row r="10194" spans="13:13">
      <c r="M10194" s="202"/>
    </row>
    <row r="10195" spans="13:13">
      <c r="M10195" s="202"/>
    </row>
    <row r="10196" spans="13:13">
      <c r="M10196" s="202"/>
    </row>
    <row r="10197" spans="13:13">
      <c r="M10197" s="202"/>
    </row>
    <row r="10198" spans="13:13">
      <c r="M10198" s="202"/>
    </row>
    <row r="10199" spans="13:13">
      <c r="M10199" s="202"/>
    </row>
    <row r="10200" spans="13:13">
      <c r="M10200" s="202"/>
    </row>
    <row r="10201" spans="13:13">
      <c r="M10201" s="202"/>
    </row>
    <row r="10202" spans="13:13">
      <c r="M10202" s="202"/>
    </row>
    <row r="10203" spans="13:13">
      <c r="M10203" s="202"/>
    </row>
    <row r="10204" spans="13:13">
      <c r="M10204" s="202"/>
    </row>
    <row r="10205" spans="13:13">
      <c r="M10205" s="202"/>
    </row>
    <row r="10206" spans="13:13">
      <c r="M10206" s="202"/>
    </row>
    <row r="10207" spans="13:13">
      <c r="M10207" s="202"/>
    </row>
    <row r="10208" spans="13:13">
      <c r="M10208" s="202"/>
    </row>
    <row r="10209" spans="13:13">
      <c r="M10209" s="202"/>
    </row>
    <row r="10210" spans="13:13">
      <c r="M10210" s="202"/>
    </row>
    <row r="10211" spans="13:13">
      <c r="M10211" s="202"/>
    </row>
    <row r="10212" spans="13:13">
      <c r="M10212" s="202"/>
    </row>
    <row r="10213" spans="13:13">
      <c r="M10213" s="202"/>
    </row>
    <row r="10214" spans="13:13">
      <c r="M10214" s="202"/>
    </row>
    <row r="10215" spans="13:13">
      <c r="M10215" s="202"/>
    </row>
    <row r="10216" spans="13:13">
      <c r="M10216" s="202"/>
    </row>
    <row r="10217" spans="13:13">
      <c r="M10217" s="202"/>
    </row>
    <row r="10218" spans="13:13">
      <c r="M10218" s="202"/>
    </row>
    <row r="10219" spans="13:13">
      <c r="M10219" s="202"/>
    </row>
    <row r="10220" spans="13:13">
      <c r="M10220" s="202"/>
    </row>
    <row r="10221" spans="13:13">
      <c r="M10221" s="202"/>
    </row>
    <row r="10222" spans="13:13">
      <c r="M10222" s="202"/>
    </row>
    <row r="10223" spans="13:13">
      <c r="M10223" s="202"/>
    </row>
    <row r="10224" spans="13:13">
      <c r="M10224" s="202"/>
    </row>
    <row r="10225" spans="13:13">
      <c r="M10225" s="202"/>
    </row>
    <row r="10226" spans="13:13">
      <c r="M10226" s="202"/>
    </row>
    <row r="10227" spans="13:13">
      <c r="M10227" s="202"/>
    </row>
    <row r="10228" spans="13:13">
      <c r="M10228" s="202"/>
    </row>
    <row r="10229" spans="13:13">
      <c r="M10229" s="202"/>
    </row>
    <row r="10230" spans="13:13">
      <c r="M10230" s="202"/>
    </row>
    <row r="10231" spans="13:13">
      <c r="M10231" s="202"/>
    </row>
    <row r="10232" spans="13:13">
      <c r="M10232" s="202"/>
    </row>
    <row r="10233" spans="13:13">
      <c r="M10233" s="202"/>
    </row>
    <row r="10234" spans="13:13">
      <c r="M10234" s="202"/>
    </row>
    <row r="10235" spans="13:13">
      <c r="M10235" s="202"/>
    </row>
    <row r="10236" spans="13:13">
      <c r="M10236" s="202"/>
    </row>
    <row r="10237" spans="13:13">
      <c r="M10237" s="202"/>
    </row>
    <row r="10238" spans="13:13">
      <c r="M10238" s="202"/>
    </row>
    <row r="10239" spans="13:13">
      <c r="M10239" s="202"/>
    </row>
    <row r="10240" spans="13:13">
      <c r="M10240" s="202"/>
    </row>
    <row r="10241" spans="13:13">
      <c r="M10241" s="202"/>
    </row>
    <row r="10242" spans="13:13">
      <c r="M10242" s="202"/>
    </row>
    <row r="10243" spans="13:13">
      <c r="M10243" s="202"/>
    </row>
    <row r="10244" spans="13:13">
      <c r="M10244" s="202"/>
    </row>
    <row r="10245" spans="13:13">
      <c r="M10245" s="202"/>
    </row>
    <row r="10246" spans="13:13">
      <c r="M10246" s="202"/>
    </row>
    <row r="10247" spans="13:13">
      <c r="M10247" s="202"/>
    </row>
    <row r="10248" spans="13:13">
      <c r="M10248" s="202"/>
    </row>
    <row r="10249" spans="13:13">
      <c r="M10249" s="202"/>
    </row>
    <row r="10250" spans="13:13">
      <c r="M10250" s="202"/>
    </row>
    <row r="10251" spans="13:13">
      <c r="M10251" s="202"/>
    </row>
    <row r="10252" spans="13:13">
      <c r="M10252" s="202"/>
    </row>
    <row r="10253" spans="13:13">
      <c r="M10253" s="202"/>
    </row>
    <row r="10254" spans="13:13">
      <c r="M10254" s="202"/>
    </row>
    <row r="10255" spans="13:13">
      <c r="M10255" s="202"/>
    </row>
    <row r="10256" spans="13:13">
      <c r="M10256" s="202"/>
    </row>
    <row r="10257" spans="13:13">
      <c r="M10257" s="202"/>
    </row>
    <row r="10258" spans="13:13">
      <c r="M10258" s="202"/>
    </row>
    <row r="10259" spans="13:13">
      <c r="M10259" s="202"/>
    </row>
    <row r="10260" spans="13:13">
      <c r="M10260" s="202"/>
    </row>
    <row r="10261" spans="13:13">
      <c r="M10261" s="202"/>
    </row>
    <row r="10262" spans="13:13">
      <c r="M10262" s="202"/>
    </row>
    <row r="10263" spans="13:13">
      <c r="M10263" s="202"/>
    </row>
    <row r="10264" spans="13:13">
      <c r="M10264" s="202"/>
    </row>
    <row r="10265" spans="13:13">
      <c r="M10265" s="202"/>
    </row>
    <row r="10266" spans="13:13">
      <c r="M10266" s="202"/>
    </row>
    <row r="10267" spans="13:13">
      <c r="M10267" s="202"/>
    </row>
    <row r="10268" spans="13:13">
      <c r="M10268" s="202"/>
    </row>
    <row r="10269" spans="13:13">
      <c r="M10269" s="202"/>
    </row>
    <row r="10270" spans="13:13">
      <c r="M10270" s="202"/>
    </row>
    <row r="10271" spans="13:13">
      <c r="M10271" s="202"/>
    </row>
    <row r="10272" spans="13:13">
      <c r="M10272" s="202"/>
    </row>
    <row r="10273" spans="13:13">
      <c r="M10273" s="202"/>
    </row>
    <row r="10274" spans="13:13">
      <c r="M10274" s="202"/>
    </row>
    <row r="10275" spans="13:13">
      <c r="M10275" s="202"/>
    </row>
    <row r="10276" spans="13:13">
      <c r="M10276" s="202"/>
    </row>
    <row r="10277" spans="13:13">
      <c r="M10277" s="202"/>
    </row>
    <row r="10278" spans="13:13">
      <c r="M10278" s="202"/>
    </row>
    <row r="10279" spans="13:13">
      <c r="M10279" s="202"/>
    </row>
    <row r="10280" spans="13:13">
      <c r="M10280" s="202"/>
    </row>
    <row r="10281" spans="13:13">
      <c r="M10281" s="202"/>
    </row>
    <row r="10282" spans="13:13">
      <c r="M10282" s="202"/>
    </row>
    <row r="10283" spans="13:13">
      <c r="M10283" s="202"/>
    </row>
    <row r="10284" spans="13:13">
      <c r="M10284" s="202"/>
    </row>
    <row r="10285" spans="13:13">
      <c r="M10285" s="202"/>
    </row>
    <row r="10286" spans="13:13">
      <c r="M10286" s="202"/>
    </row>
    <row r="10287" spans="13:13">
      <c r="M10287" s="202"/>
    </row>
    <row r="10288" spans="13:13">
      <c r="M10288" s="202"/>
    </row>
    <row r="10289" spans="13:13">
      <c r="M10289" s="202"/>
    </row>
    <row r="10290" spans="13:13">
      <c r="M10290" s="202"/>
    </row>
    <row r="10291" spans="13:13">
      <c r="M10291" s="202"/>
    </row>
    <row r="10292" spans="13:13">
      <c r="M10292" s="202"/>
    </row>
    <row r="10293" spans="13:13">
      <c r="M10293" s="202"/>
    </row>
    <row r="10294" spans="13:13">
      <c r="M10294" s="202"/>
    </row>
    <row r="10295" spans="13:13">
      <c r="M10295" s="202"/>
    </row>
    <row r="10296" spans="13:13">
      <c r="M10296" s="202"/>
    </row>
    <row r="10297" spans="13:13">
      <c r="M10297" s="202"/>
    </row>
    <row r="10298" spans="13:13">
      <c r="M10298" s="202"/>
    </row>
    <row r="10299" spans="13:13">
      <c r="M10299" s="202"/>
    </row>
    <row r="10300" spans="13:13">
      <c r="M10300" s="202"/>
    </row>
    <row r="10301" spans="13:13">
      <c r="M10301" s="202"/>
    </row>
    <row r="10302" spans="13:13">
      <c r="M10302" s="202"/>
    </row>
    <row r="10303" spans="13:13">
      <c r="M10303" s="202"/>
    </row>
    <row r="10304" spans="13:13">
      <c r="M10304" s="202"/>
    </row>
    <row r="10305" spans="13:13">
      <c r="M10305" s="202"/>
    </row>
    <row r="10306" spans="13:13">
      <c r="M10306" s="202"/>
    </row>
    <row r="10307" spans="13:13">
      <c r="M10307" s="202"/>
    </row>
    <row r="10308" spans="13:13">
      <c r="M10308" s="202"/>
    </row>
    <row r="10309" spans="13:13">
      <c r="M10309" s="202"/>
    </row>
    <row r="10310" spans="13:13">
      <c r="M10310" s="202"/>
    </row>
    <row r="10311" spans="13:13">
      <c r="M10311" s="202"/>
    </row>
    <row r="10312" spans="13:13">
      <c r="M10312" s="202"/>
    </row>
    <row r="10313" spans="13:13">
      <c r="M10313" s="202"/>
    </row>
    <row r="10314" spans="13:13">
      <c r="M10314" s="202"/>
    </row>
    <row r="10315" spans="13:13">
      <c r="M10315" s="202"/>
    </row>
    <row r="10316" spans="13:13">
      <c r="M10316" s="202"/>
    </row>
    <row r="10317" spans="13:13">
      <c r="M10317" s="202"/>
    </row>
    <row r="10318" spans="13:13">
      <c r="M10318" s="202"/>
    </row>
    <row r="10319" spans="13:13">
      <c r="M10319" s="202"/>
    </row>
    <row r="10320" spans="13:13">
      <c r="M10320" s="202"/>
    </row>
    <row r="10321" spans="13:13">
      <c r="M10321" s="202"/>
    </row>
    <row r="10322" spans="13:13">
      <c r="M10322" s="202"/>
    </row>
    <row r="10323" spans="13:13">
      <c r="M10323" s="202"/>
    </row>
    <row r="10324" spans="13:13">
      <c r="M10324" s="202"/>
    </row>
    <row r="10325" spans="13:13">
      <c r="M10325" s="202"/>
    </row>
    <row r="10326" spans="13:13">
      <c r="M10326" s="202"/>
    </row>
    <row r="10327" spans="13:13">
      <c r="M10327" s="202"/>
    </row>
    <row r="10328" spans="13:13">
      <c r="M10328" s="202"/>
    </row>
    <row r="10329" spans="13:13">
      <c r="M10329" s="202"/>
    </row>
    <row r="10330" spans="13:13">
      <c r="M10330" s="202"/>
    </row>
    <row r="10331" spans="13:13">
      <c r="M10331" s="202"/>
    </row>
    <row r="10332" spans="13:13">
      <c r="M10332" s="202"/>
    </row>
    <row r="10333" spans="13:13">
      <c r="M10333" s="202"/>
    </row>
    <row r="10334" spans="13:13">
      <c r="M10334" s="202"/>
    </row>
    <row r="10335" spans="13:13">
      <c r="M10335" s="202"/>
    </row>
    <row r="10336" spans="13:13">
      <c r="M10336" s="202"/>
    </row>
    <row r="10337" spans="13:13">
      <c r="M10337" s="202"/>
    </row>
    <row r="10338" spans="13:13">
      <c r="M10338" s="202"/>
    </row>
    <row r="10339" spans="13:13">
      <c r="M10339" s="202"/>
    </row>
    <row r="10340" spans="13:13">
      <c r="M10340" s="202"/>
    </row>
    <row r="10341" spans="13:13">
      <c r="M10341" s="202"/>
    </row>
    <row r="10342" spans="13:13">
      <c r="M10342" s="202"/>
    </row>
    <row r="10343" spans="13:13">
      <c r="M10343" s="202"/>
    </row>
    <row r="10344" spans="13:13">
      <c r="M10344" s="202"/>
    </row>
    <row r="10345" spans="13:13">
      <c r="M10345" s="202"/>
    </row>
    <row r="10346" spans="13:13">
      <c r="M10346" s="202"/>
    </row>
    <row r="10347" spans="13:13">
      <c r="M10347" s="202"/>
    </row>
    <row r="10348" spans="13:13">
      <c r="M10348" s="202"/>
    </row>
    <row r="10349" spans="13:13">
      <c r="M10349" s="202"/>
    </row>
    <row r="10350" spans="13:13">
      <c r="M10350" s="202"/>
    </row>
    <row r="10351" spans="13:13">
      <c r="M10351" s="202"/>
    </row>
    <row r="10352" spans="13:13">
      <c r="M10352" s="202"/>
    </row>
    <row r="10353" spans="13:13">
      <c r="M10353" s="202"/>
    </row>
    <row r="10354" spans="13:13">
      <c r="M10354" s="202"/>
    </row>
    <row r="10355" spans="13:13">
      <c r="M10355" s="202"/>
    </row>
    <row r="10356" spans="13:13">
      <c r="M10356" s="202"/>
    </row>
    <row r="10357" spans="13:13">
      <c r="M10357" s="202"/>
    </row>
    <row r="10358" spans="13:13">
      <c r="M10358" s="202"/>
    </row>
    <row r="10359" spans="13:13">
      <c r="M10359" s="202"/>
    </row>
    <row r="10360" spans="13:13">
      <c r="M10360" s="202"/>
    </row>
    <row r="10361" spans="13:13">
      <c r="M10361" s="202"/>
    </row>
    <row r="10362" spans="13:13">
      <c r="M10362" s="202"/>
    </row>
    <row r="10363" spans="13:13">
      <c r="M10363" s="202"/>
    </row>
    <row r="10364" spans="13:13">
      <c r="M10364" s="202"/>
    </row>
    <row r="10365" spans="13:13">
      <c r="M10365" s="202"/>
    </row>
    <row r="10366" spans="13:13">
      <c r="M10366" s="202"/>
    </row>
    <row r="10367" spans="13:13">
      <c r="M10367" s="202"/>
    </row>
    <row r="10368" spans="13:13">
      <c r="M10368" s="202"/>
    </row>
    <row r="10369" spans="13:13">
      <c r="M10369" s="202"/>
    </row>
    <row r="10370" spans="13:13">
      <c r="M10370" s="202"/>
    </row>
    <row r="10371" spans="13:13">
      <c r="M10371" s="202"/>
    </row>
    <row r="10372" spans="13:13">
      <c r="M10372" s="202"/>
    </row>
    <row r="10373" spans="13:13">
      <c r="M10373" s="202"/>
    </row>
    <row r="10374" spans="13:13">
      <c r="M10374" s="202"/>
    </row>
    <row r="10375" spans="13:13">
      <c r="M10375" s="202"/>
    </row>
    <row r="10376" spans="13:13">
      <c r="M10376" s="202"/>
    </row>
    <row r="10377" spans="13:13">
      <c r="M10377" s="202"/>
    </row>
    <row r="10378" spans="13:13">
      <c r="M10378" s="202"/>
    </row>
    <row r="10379" spans="13:13">
      <c r="M10379" s="202"/>
    </row>
    <row r="10380" spans="13:13">
      <c r="M10380" s="202"/>
    </row>
    <row r="10381" spans="13:13">
      <c r="M10381" s="202"/>
    </row>
    <row r="10382" spans="13:13">
      <c r="M10382" s="202"/>
    </row>
    <row r="10383" spans="13:13">
      <c r="M10383" s="202"/>
    </row>
    <row r="10384" spans="13:13">
      <c r="M10384" s="202"/>
    </row>
    <row r="10385" spans="13:13">
      <c r="M10385" s="202"/>
    </row>
    <row r="10386" spans="13:13">
      <c r="M10386" s="202"/>
    </row>
    <row r="10387" spans="13:13">
      <c r="M10387" s="202"/>
    </row>
    <row r="10388" spans="13:13">
      <c r="M10388" s="202"/>
    </row>
    <row r="10389" spans="13:13">
      <c r="M10389" s="202"/>
    </row>
    <row r="10390" spans="13:13">
      <c r="M10390" s="202"/>
    </row>
    <row r="10391" spans="13:13">
      <c r="M10391" s="202"/>
    </row>
    <row r="10392" spans="13:13">
      <c r="M10392" s="202"/>
    </row>
    <row r="10393" spans="13:13">
      <c r="M10393" s="202"/>
    </row>
    <row r="10394" spans="13:13">
      <c r="M10394" s="202"/>
    </row>
    <row r="10395" spans="13:13">
      <c r="M10395" s="202"/>
    </row>
    <row r="10396" spans="13:13">
      <c r="M10396" s="202"/>
    </row>
    <row r="10397" spans="13:13">
      <c r="M10397" s="202"/>
    </row>
    <row r="10398" spans="13:13">
      <c r="M10398" s="202"/>
    </row>
    <row r="10399" spans="13:13">
      <c r="M10399" s="202"/>
    </row>
    <row r="10400" spans="13:13">
      <c r="M10400" s="202"/>
    </row>
    <row r="10401" spans="13:13">
      <c r="M10401" s="202"/>
    </row>
    <row r="10402" spans="13:13">
      <c r="M10402" s="202"/>
    </row>
    <row r="10403" spans="13:13">
      <c r="M10403" s="202"/>
    </row>
    <row r="10404" spans="13:13">
      <c r="M10404" s="202"/>
    </row>
    <row r="10405" spans="13:13">
      <c r="M10405" s="202"/>
    </row>
    <row r="10406" spans="13:13">
      <c r="M10406" s="202"/>
    </row>
    <row r="10407" spans="13:13">
      <c r="M10407" s="202"/>
    </row>
    <row r="10408" spans="13:13">
      <c r="M10408" s="202"/>
    </row>
    <row r="10409" spans="13:13">
      <c r="M10409" s="202"/>
    </row>
    <row r="10410" spans="13:13">
      <c r="M10410" s="202"/>
    </row>
    <row r="10411" spans="13:13">
      <c r="M10411" s="202"/>
    </row>
    <row r="10412" spans="13:13">
      <c r="M10412" s="202"/>
    </row>
    <row r="10413" spans="13:13">
      <c r="M10413" s="202"/>
    </row>
    <row r="10414" spans="13:13">
      <c r="M10414" s="202"/>
    </row>
    <row r="10415" spans="13:13">
      <c r="M10415" s="202"/>
    </row>
    <row r="10416" spans="13:13">
      <c r="M10416" s="202"/>
    </row>
    <row r="10417" spans="13:13">
      <c r="M10417" s="202"/>
    </row>
    <row r="10418" spans="13:13">
      <c r="M10418" s="202"/>
    </row>
    <row r="10419" spans="13:13">
      <c r="M10419" s="202"/>
    </row>
    <row r="10420" spans="13:13">
      <c r="M10420" s="202"/>
    </row>
    <row r="10421" spans="13:13">
      <c r="M10421" s="202"/>
    </row>
    <row r="10422" spans="13:13">
      <c r="M10422" s="202"/>
    </row>
    <row r="10423" spans="13:13">
      <c r="M10423" s="202"/>
    </row>
    <row r="10424" spans="13:13">
      <c r="M10424" s="202"/>
    </row>
    <row r="10425" spans="13:13">
      <c r="M10425" s="202"/>
    </row>
    <row r="10426" spans="13:13">
      <c r="M10426" s="202"/>
    </row>
    <row r="10427" spans="13:13">
      <c r="M10427" s="202"/>
    </row>
    <row r="10428" spans="13:13">
      <c r="M10428" s="202"/>
    </row>
    <row r="10429" spans="13:13">
      <c r="M10429" s="202"/>
    </row>
    <row r="10430" spans="13:13">
      <c r="M10430" s="202"/>
    </row>
    <row r="10431" spans="13:13">
      <c r="M10431" s="202"/>
    </row>
    <row r="10432" spans="13:13">
      <c r="M10432" s="202"/>
    </row>
    <row r="10433" spans="13:13">
      <c r="M10433" s="202"/>
    </row>
    <row r="10434" spans="13:13">
      <c r="M10434" s="202"/>
    </row>
    <row r="10435" spans="13:13">
      <c r="M10435" s="202"/>
    </row>
    <row r="10436" spans="13:13">
      <c r="M10436" s="202"/>
    </row>
    <row r="10437" spans="13:13">
      <c r="M10437" s="202"/>
    </row>
    <row r="10438" spans="13:13">
      <c r="M10438" s="202"/>
    </row>
    <row r="10439" spans="13:13">
      <c r="M10439" s="202"/>
    </row>
    <row r="10440" spans="13:13">
      <c r="M10440" s="202"/>
    </row>
    <row r="10441" spans="13:13">
      <c r="M10441" s="202"/>
    </row>
    <row r="10442" spans="13:13">
      <c r="M10442" s="202"/>
    </row>
    <row r="10443" spans="13:13">
      <c r="M10443" s="202"/>
    </row>
    <row r="10444" spans="13:13">
      <c r="M10444" s="202"/>
    </row>
    <row r="10445" spans="13:13">
      <c r="M10445" s="202"/>
    </row>
    <row r="10446" spans="13:13">
      <c r="M10446" s="202"/>
    </row>
    <row r="10447" spans="13:13">
      <c r="M10447" s="202"/>
    </row>
    <row r="10448" spans="13:13">
      <c r="M10448" s="202"/>
    </row>
    <row r="10449" spans="13:13">
      <c r="M10449" s="202"/>
    </row>
    <row r="10450" spans="13:13">
      <c r="M10450" s="202"/>
    </row>
    <row r="10451" spans="13:13">
      <c r="M10451" s="202"/>
    </row>
    <row r="10452" spans="13:13">
      <c r="M10452" s="202"/>
    </row>
    <row r="10453" spans="13:13">
      <c r="M10453" s="202"/>
    </row>
    <row r="10454" spans="13:13">
      <c r="M10454" s="202"/>
    </row>
    <row r="10455" spans="13:13">
      <c r="M10455" s="202"/>
    </row>
    <row r="10456" spans="13:13">
      <c r="M10456" s="202"/>
    </row>
    <row r="10457" spans="13:13">
      <c r="M10457" s="202"/>
    </row>
    <row r="10458" spans="13:13">
      <c r="M10458" s="202"/>
    </row>
    <row r="10459" spans="13:13">
      <c r="M10459" s="202"/>
    </row>
    <row r="10460" spans="13:13">
      <c r="M10460" s="202"/>
    </row>
    <row r="10461" spans="13:13">
      <c r="M10461" s="202"/>
    </row>
    <row r="10462" spans="13:13">
      <c r="M10462" s="202"/>
    </row>
    <row r="10463" spans="13:13">
      <c r="M10463" s="202"/>
    </row>
    <row r="10464" spans="13:13">
      <c r="M10464" s="202"/>
    </row>
    <row r="10465" spans="13:13">
      <c r="M10465" s="202"/>
    </row>
    <row r="10466" spans="13:13">
      <c r="M10466" s="202"/>
    </row>
    <row r="10467" spans="13:13">
      <c r="M10467" s="202"/>
    </row>
    <row r="10468" spans="13:13">
      <c r="M10468" s="202"/>
    </row>
    <row r="10469" spans="13:13">
      <c r="M10469" s="202"/>
    </row>
    <row r="10470" spans="13:13">
      <c r="M10470" s="202"/>
    </row>
    <row r="10471" spans="13:13">
      <c r="M10471" s="202"/>
    </row>
    <row r="10472" spans="13:13">
      <c r="M10472" s="202"/>
    </row>
    <row r="10473" spans="13:13">
      <c r="M10473" s="202"/>
    </row>
    <row r="10474" spans="13:13">
      <c r="M10474" s="202"/>
    </row>
    <row r="10475" spans="13:13">
      <c r="M10475" s="202"/>
    </row>
    <row r="10476" spans="13:13">
      <c r="M10476" s="202"/>
    </row>
    <row r="10477" spans="13:13">
      <c r="M10477" s="202"/>
    </row>
    <row r="10478" spans="13:13">
      <c r="M10478" s="202"/>
    </row>
    <row r="10479" spans="13:13">
      <c r="M10479" s="202"/>
    </row>
    <row r="10480" spans="13:13">
      <c r="M10480" s="202"/>
    </row>
    <row r="10481" spans="13:13">
      <c r="M10481" s="202"/>
    </row>
    <row r="10482" spans="13:13">
      <c r="M10482" s="202"/>
    </row>
    <row r="10483" spans="13:13">
      <c r="M10483" s="202"/>
    </row>
    <row r="10484" spans="13:13">
      <c r="M10484" s="202"/>
    </row>
    <row r="10485" spans="13:13">
      <c r="M10485" s="202"/>
    </row>
    <row r="10486" spans="13:13">
      <c r="M10486" s="202"/>
    </row>
    <row r="10487" spans="13:13">
      <c r="M10487" s="202"/>
    </row>
    <row r="10488" spans="13:13">
      <c r="M10488" s="202"/>
    </row>
    <row r="10489" spans="13:13">
      <c r="M10489" s="202"/>
    </row>
    <row r="10490" spans="13:13">
      <c r="M10490" s="202"/>
    </row>
    <row r="10491" spans="13:13">
      <c r="M10491" s="202"/>
    </row>
    <row r="10492" spans="13:13">
      <c r="M10492" s="202"/>
    </row>
    <row r="10493" spans="13:13">
      <c r="M10493" s="202"/>
    </row>
    <row r="10494" spans="13:13">
      <c r="M10494" s="202"/>
    </row>
    <row r="10495" spans="13:13">
      <c r="M10495" s="202"/>
    </row>
    <row r="10496" spans="13:13">
      <c r="M10496" s="202"/>
    </row>
    <row r="10497" spans="13:13">
      <c r="M10497" s="202"/>
    </row>
    <row r="10498" spans="13:13">
      <c r="M10498" s="202"/>
    </row>
    <row r="10499" spans="13:13">
      <c r="M10499" s="202"/>
    </row>
    <row r="10500" spans="13:13">
      <c r="M10500" s="202"/>
    </row>
    <row r="10501" spans="13:13">
      <c r="M10501" s="202"/>
    </row>
    <row r="10502" spans="13:13">
      <c r="M10502" s="202"/>
    </row>
    <row r="10503" spans="13:13">
      <c r="M10503" s="202"/>
    </row>
    <row r="10504" spans="13:13">
      <c r="M10504" s="202"/>
    </row>
    <row r="10505" spans="13:13">
      <c r="M10505" s="202"/>
    </row>
    <row r="10506" spans="13:13">
      <c r="M10506" s="202"/>
    </row>
    <row r="10507" spans="13:13">
      <c r="M10507" s="202"/>
    </row>
    <row r="10508" spans="13:13">
      <c r="M10508" s="202"/>
    </row>
    <row r="10509" spans="13:13">
      <c r="M10509" s="202"/>
    </row>
    <row r="10510" spans="13:13">
      <c r="M10510" s="202"/>
    </row>
    <row r="10511" spans="13:13">
      <c r="M10511" s="202"/>
    </row>
    <row r="10512" spans="13:13">
      <c r="M10512" s="202"/>
    </row>
    <row r="10513" spans="13:13">
      <c r="M10513" s="202"/>
    </row>
    <row r="10514" spans="13:13">
      <c r="M10514" s="202"/>
    </row>
    <row r="10515" spans="13:13">
      <c r="M10515" s="202"/>
    </row>
    <row r="10516" spans="13:13">
      <c r="M10516" s="202"/>
    </row>
    <row r="10517" spans="13:13">
      <c r="M10517" s="202"/>
    </row>
    <row r="10518" spans="13:13">
      <c r="M10518" s="202"/>
    </row>
    <row r="10519" spans="13:13">
      <c r="M10519" s="202"/>
    </row>
    <row r="10520" spans="13:13">
      <c r="M10520" s="202"/>
    </row>
    <row r="10521" spans="13:13">
      <c r="M10521" s="202"/>
    </row>
    <row r="10522" spans="13:13">
      <c r="M10522" s="202"/>
    </row>
    <row r="10523" spans="13:13">
      <c r="M10523" s="202"/>
    </row>
    <row r="10524" spans="13:13">
      <c r="M10524" s="202"/>
    </row>
    <row r="10525" spans="13:13">
      <c r="M10525" s="202"/>
    </row>
    <row r="10526" spans="13:13">
      <c r="M10526" s="202"/>
    </row>
    <row r="10527" spans="13:13">
      <c r="M10527" s="202"/>
    </row>
    <row r="10528" spans="13:13">
      <c r="M10528" s="202"/>
    </row>
    <row r="10529" spans="13:13">
      <c r="M10529" s="202"/>
    </row>
    <row r="10530" spans="13:13">
      <c r="M10530" s="202"/>
    </row>
    <row r="10531" spans="13:13">
      <c r="M10531" s="202"/>
    </row>
    <row r="10532" spans="13:13">
      <c r="M10532" s="202"/>
    </row>
    <row r="10533" spans="13:13">
      <c r="M10533" s="202"/>
    </row>
    <row r="10534" spans="13:13">
      <c r="M10534" s="202"/>
    </row>
    <row r="10535" spans="13:13">
      <c r="M10535" s="202"/>
    </row>
    <row r="10536" spans="13:13">
      <c r="M10536" s="202"/>
    </row>
    <row r="10537" spans="13:13">
      <c r="M10537" s="202"/>
    </row>
    <row r="10538" spans="13:13">
      <c r="M10538" s="202"/>
    </row>
    <row r="10539" spans="13:13">
      <c r="M10539" s="202"/>
    </row>
    <row r="10540" spans="13:13">
      <c r="M10540" s="202"/>
    </row>
    <row r="10541" spans="13:13">
      <c r="M10541" s="202"/>
    </row>
    <row r="10542" spans="13:13">
      <c r="M10542" s="202"/>
    </row>
    <row r="10543" spans="13:13">
      <c r="M10543" s="202"/>
    </row>
    <row r="10544" spans="13:13">
      <c r="M10544" s="202"/>
    </row>
    <row r="10545" spans="13:13">
      <c r="M10545" s="202"/>
    </row>
    <row r="10546" spans="13:13">
      <c r="M10546" s="202"/>
    </row>
    <row r="10547" spans="13:13">
      <c r="M10547" s="202"/>
    </row>
    <row r="10548" spans="13:13">
      <c r="M10548" s="202"/>
    </row>
    <row r="10549" spans="13:13">
      <c r="M10549" s="202"/>
    </row>
    <row r="10550" spans="13:13">
      <c r="M10550" s="202"/>
    </row>
    <row r="10551" spans="13:13">
      <c r="M10551" s="202"/>
    </row>
    <row r="10552" spans="13:13">
      <c r="M10552" s="202"/>
    </row>
    <row r="10553" spans="13:13">
      <c r="M10553" s="202"/>
    </row>
    <row r="10554" spans="13:13">
      <c r="M10554" s="202"/>
    </row>
    <row r="10555" spans="13:13">
      <c r="M10555" s="202"/>
    </row>
    <row r="10556" spans="13:13">
      <c r="M10556" s="202"/>
    </row>
    <row r="10557" spans="13:13">
      <c r="M10557" s="202"/>
    </row>
    <row r="10558" spans="13:13">
      <c r="M10558" s="202"/>
    </row>
    <row r="10559" spans="13:13">
      <c r="M10559" s="202"/>
    </row>
    <row r="10560" spans="13:13">
      <c r="M10560" s="202"/>
    </row>
    <row r="10561" spans="13:13">
      <c r="M10561" s="202"/>
    </row>
    <row r="10562" spans="13:13">
      <c r="M10562" s="202"/>
    </row>
    <row r="10563" spans="13:13">
      <c r="M10563" s="202"/>
    </row>
    <row r="10564" spans="13:13">
      <c r="M10564" s="202"/>
    </row>
    <row r="10565" spans="13:13">
      <c r="M10565" s="202"/>
    </row>
    <row r="10566" spans="13:13">
      <c r="M10566" s="202"/>
    </row>
    <row r="10567" spans="13:13">
      <c r="M10567" s="202"/>
    </row>
    <row r="10568" spans="13:13">
      <c r="M10568" s="202"/>
    </row>
    <row r="10569" spans="13:13">
      <c r="M10569" s="202"/>
    </row>
    <row r="10570" spans="13:13">
      <c r="M10570" s="202"/>
    </row>
    <row r="10571" spans="13:13">
      <c r="M10571" s="202"/>
    </row>
    <row r="10572" spans="13:13">
      <c r="M10572" s="202"/>
    </row>
    <row r="10573" spans="13:13">
      <c r="M10573" s="202"/>
    </row>
    <row r="10574" spans="13:13">
      <c r="M10574" s="202"/>
    </row>
    <row r="10575" spans="13:13">
      <c r="M10575" s="202"/>
    </row>
    <row r="10576" spans="13:13">
      <c r="M10576" s="202"/>
    </row>
    <row r="10577" spans="13:13">
      <c r="M10577" s="202"/>
    </row>
    <row r="10578" spans="13:13">
      <c r="M10578" s="202"/>
    </row>
    <row r="10579" spans="13:13">
      <c r="M10579" s="202"/>
    </row>
    <row r="10580" spans="13:13">
      <c r="M10580" s="202"/>
    </row>
    <row r="10581" spans="13:13">
      <c r="M10581" s="202"/>
    </row>
    <row r="10582" spans="13:13">
      <c r="M10582" s="202"/>
    </row>
    <row r="10583" spans="13:13">
      <c r="M10583" s="202"/>
    </row>
    <row r="10584" spans="13:13">
      <c r="M10584" s="202"/>
    </row>
    <row r="10585" spans="13:13">
      <c r="M10585" s="202"/>
    </row>
    <row r="10586" spans="13:13">
      <c r="M10586" s="202"/>
    </row>
    <row r="10587" spans="13:13">
      <c r="M10587" s="202"/>
    </row>
    <row r="10588" spans="13:13">
      <c r="M10588" s="202"/>
    </row>
    <row r="10589" spans="13:13">
      <c r="M10589" s="202"/>
    </row>
    <row r="10590" spans="13:13">
      <c r="M10590" s="202"/>
    </row>
    <row r="10591" spans="13:13">
      <c r="M10591" s="202"/>
    </row>
    <row r="10592" spans="13:13">
      <c r="M10592" s="202"/>
    </row>
    <row r="10593" spans="13:13">
      <c r="M10593" s="202"/>
    </row>
    <row r="10594" spans="13:13">
      <c r="M10594" s="202"/>
    </row>
    <row r="10595" spans="13:13">
      <c r="M10595" s="202"/>
    </row>
    <row r="10596" spans="13:13">
      <c r="M10596" s="202"/>
    </row>
    <row r="10597" spans="13:13">
      <c r="M10597" s="202"/>
    </row>
    <row r="10598" spans="13:13">
      <c r="M10598" s="202"/>
    </row>
    <row r="10599" spans="13:13">
      <c r="M10599" s="202"/>
    </row>
    <row r="10600" spans="13:13">
      <c r="M10600" s="202"/>
    </row>
    <row r="10601" spans="13:13">
      <c r="M10601" s="202"/>
    </row>
    <row r="10602" spans="13:13">
      <c r="M10602" s="202"/>
    </row>
    <row r="10603" spans="13:13">
      <c r="M10603" s="202"/>
    </row>
    <row r="10604" spans="13:13">
      <c r="M10604" s="202"/>
    </row>
    <row r="10605" spans="13:13">
      <c r="M10605" s="202"/>
    </row>
    <row r="10606" spans="13:13">
      <c r="M10606" s="202"/>
    </row>
    <row r="10607" spans="13:13">
      <c r="M10607" s="202"/>
    </row>
    <row r="10608" spans="13:13">
      <c r="M10608" s="202"/>
    </row>
    <row r="10609" spans="13:13">
      <c r="M10609" s="202"/>
    </row>
    <row r="10610" spans="13:13">
      <c r="M10610" s="202"/>
    </row>
    <row r="10611" spans="13:13">
      <c r="M10611" s="202"/>
    </row>
    <row r="10612" spans="13:13">
      <c r="M10612" s="202"/>
    </row>
    <row r="10613" spans="13:13">
      <c r="M10613" s="202"/>
    </row>
    <row r="10614" spans="13:13">
      <c r="M10614" s="202"/>
    </row>
    <row r="10615" spans="13:13">
      <c r="M10615" s="202"/>
    </row>
    <row r="10616" spans="13:13">
      <c r="M10616" s="202"/>
    </row>
    <row r="10617" spans="13:13">
      <c r="M10617" s="202"/>
    </row>
    <row r="10618" spans="13:13">
      <c r="M10618" s="202"/>
    </row>
    <row r="10619" spans="13:13">
      <c r="M10619" s="202"/>
    </row>
    <row r="10620" spans="13:13">
      <c r="M10620" s="202"/>
    </row>
    <row r="10621" spans="13:13">
      <c r="M10621" s="202"/>
    </row>
    <row r="10622" spans="13:13">
      <c r="M10622" s="202"/>
    </row>
    <row r="10623" spans="13:13">
      <c r="M10623" s="202"/>
    </row>
    <row r="10624" spans="13:13">
      <c r="M10624" s="202"/>
    </row>
    <row r="10625" spans="13:13">
      <c r="M10625" s="202"/>
    </row>
    <row r="10626" spans="13:13">
      <c r="M10626" s="202"/>
    </row>
    <row r="10627" spans="13:13">
      <c r="M10627" s="202"/>
    </row>
    <row r="10628" spans="13:13">
      <c r="M10628" s="202"/>
    </row>
    <row r="10629" spans="13:13">
      <c r="M10629" s="202"/>
    </row>
    <row r="10630" spans="13:13">
      <c r="M10630" s="202"/>
    </row>
    <row r="10631" spans="13:13">
      <c r="M10631" s="202"/>
    </row>
    <row r="10632" spans="13:13">
      <c r="M10632" s="202"/>
    </row>
    <row r="10633" spans="13:13">
      <c r="M10633" s="202"/>
    </row>
    <row r="10634" spans="13:13">
      <c r="M10634" s="202"/>
    </row>
    <row r="10635" spans="13:13">
      <c r="M10635" s="202"/>
    </row>
    <row r="10636" spans="13:13">
      <c r="M10636" s="202"/>
    </row>
    <row r="10637" spans="13:13">
      <c r="M10637" s="202"/>
    </row>
    <row r="10638" spans="13:13">
      <c r="M10638" s="202"/>
    </row>
    <row r="10639" spans="13:13">
      <c r="M10639" s="202"/>
    </row>
    <row r="10640" spans="13:13">
      <c r="M10640" s="202"/>
    </row>
    <row r="10641" spans="13:13">
      <c r="M10641" s="202"/>
    </row>
    <row r="10642" spans="13:13">
      <c r="M10642" s="202"/>
    </row>
    <row r="10643" spans="13:13">
      <c r="M10643" s="202"/>
    </row>
    <row r="10644" spans="13:13">
      <c r="M10644" s="202"/>
    </row>
    <row r="10645" spans="13:13">
      <c r="M10645" s="202"/>
    </row>
    <row r="10646" spans="13:13">
      <c r="M10646" s="202"/>
    </row>
    <row r="10647" spans="13:13">
      <c r="M10647" s="202"/>
    </row>
    <row r="10648" spans="13:13">
      <c r="M10648" s="202"/>
    </row>
    <row r="10649" spans="13:13">
      <c r="M10649" s="202"/>
    </row>
    <row r="10650" spans="13:13">
      <c r="M10650" s="202"/>
    </row>
    <row r="10651" spans="13:13">
      <c r="M10651" s="202"/>
    </row>
    <row r="10652" spans="13:13">
      <c r="M10652" s="202"/>
    </row>
    <row r="10653" spans="13:13">
      <c r="M10653" s="202"/>
    </row>
    <row r="10654" spans="13:13">
      <c r="M10654" s="202"/>
    </row>
    <row r="10655" spans="13:13">
      <c r="M10655" s="202"/>
    </row>
    <row r="10656" spans="13:13">
      <c r="M10656" s="202"/>
    </row>
    <row r="10657" spans="13:13">
      <c r="M10657" s="202"/>
    </row>
    <row r="10658" spans="13:13">
      <c r="M10658" s="202"/>
    </row>
    <row r="10659" spans="13:13">
      <c r="M10659" s="202"/>
    </row>
    <row r="10660" spans="13:13">
      <c r="M10660" s="202"/>
    </row>
    <row r="10661" spans="13:13">
      <c r="M10661" s="202"/>
    </row>
    <row r="10662" spans="13:13">
      <c r="M10662" s="202"/>
    </row>
    <row r="10663" spans="13:13">
      <c r="M10663" s="202"/>
    </row>
    <row r="10664" spans="13:13">
      <c r="M10664" s="202"/>
    </row>
    <row r="10665" spans="13:13">
      <c r="M10665" s="202"/>
    </row>
    <row r="10666" spans="13:13">
      <c r="M10666" s="202"/>
    </row>
    <row r="10667" spans="13:13">
      <c r="M10667" s="202"/>
    </row>
    <row r="10668" spans="13:13">
      <c r="M10668" s="202"/>
    </row>
    <row r="10669" spans="13:13">
      <c r="M10669" s="202"/>
    </row>
    <row r="10670" spans="13:13">
      <c r="M10670" s="202"/>
    </row>
    <row r="10671" spans="13:13">
      <c r="M10671" s="202"/>
    </row>
    <row r="10672" spans="13:13">
      <c r="M10672" s="202"/>
    </row>
    <row r="10673" spans="13:13">
      <c r="M10673" s="202"/>
    </row>
    <row r="10674" spans="13:13">
      <c r="M10674" s="202"/>
    </row>
    <row r="10675" spans="13:13">
      <c r="M10675" s="202"/>
    </row>
    <row r="10676" spans="13:13">
      <c r="M10676" s="202"/>
    </row>
    <row r="10677" spans="13:13">
      <c r="M10677" s="202"/>
    </row>
    <row r="10678" spans="13:13">
      <c r="M10678" s="202"/>
    </row>
    <row r="10679" spans="13:13">
      <c r="M10679" s="202"/>
    </row>
    <row r="10680" spans="13:13">
      <c r="M10680" s="202"/>
    </row>
    <row r="10681" spans="13:13">
      <c r="M10681" s="202"/>
    </row>
    <row r="10682" spans="13:13">
      <c r="M10682" s="202"/>
    </row>
    <row r="10683" spans="13:13">
      <c r="M10683" s="202"/>
    </row>
    <row r="10684" spans="13:13">
      <c r="M10684" s="202"/>
    </row>
    <row r="10685" spans="13:13">
      <c r="M10685" s="202"/>
    </row>
    <row r="10686" spans="13:13">
      <c r="M10686" s="202"/>
    </row>
    <row r="10687" spans="13:13">
      <c r="M10687" s="202"/>
    </row>
    <row r="10688" spans="13:13">
      <c r="M10688" s="202"/>
    </row>
    <row r="10689" spans="13:13">
      <c r="M10689" s="202"/>
    </row>
    <row r="10690" spans="13:13">
      <c r="M10690" s="202"/>
    </row>
    <row r="10691" spans="13:13">
      <c r="M10691" s="202"/>
    </row>
    <row r="10692" spans="13:13">
      <c r="M10692" s="202"/>
    </row>
    <row r="10693" spans="13:13">
      <c r="M10693" s="202"/>
    </row>
    <row r="10694" spans="13:13">
      <c r="M10694" s="202"/>
    </row>
    <row r="10695" spans="13:13">
      <c r="M10695" s="202"/>
    </row>
    <row r="10696" spans="13:13">
      <c r="M10696" s="202"/>
    </row>
    <row r="10697" spans="13:13">
      <c r="M10697" s="202"/>
    </row>
    <row r="10698" spans="13:13">
      <c r="M10698" s="202"/>
    </row>
    <row r="10699" spans="13:13">
      <c r="M10699" s="202"/>
    </row>
    <row r="10700" spans="13:13">
      <c r="M10700" s="202"/>
    </row>
    <row r="10701" spans="13:13">
      <c r="M10701" s="202"/>
    </row>
    <row r="10702" spans="13:13">
      <c r="M10702" s="202"/>
    </row>
    <row r="10703" spans="13:13">
      <c r="M10703" s="202"/>
    </row>
    <row r="10704" spans="13:13">
      <c r="M10704" s="202"/>
    </row>
    <row r="10705" spans="13:13">
      <c r="M10705" s="202"/>
    </row>
    <row r="10706" spans="13:13">
      <c r="M10706" s="202"/>
    </row>
    <row r="10707" spans="13:13">
      <c r="M10707" s="202"/>
    </row>
    <row r="10708" spans="13:13">
      <c r="M10708" s="202"/>
    </row>
    <row r="10709" spans="13:13">
      <c r="M10709" s="202"/>
    </row>
    <row r="10710" spans="13:13">
      <c r="M10710" s="202"/>
    </row>
    <row r="10711" spans="13:13">
      <c r="M10711" s="202"/>
    </row>
    <row r="10712" spans="13:13">
      <c r="M10712" s="202"/>
    </row>
    <row r="10713" spans="13:13">
      <c r="M10713" s="202"/>
    </row>
    <row r="10714" spans="13:13">
      <c r="M10714" s="202"/>
    </row>
    <row r="10715" spans="13:13">
      <c r="M10715" s="202"/>
    </row>
    <row r="10716" spans="13:13">
      <c r="M10716" s="202"/>
    </row>
    <row r="10717" spans="13:13">
      <c r="M10717" s="202"/>
    </row>
    <row r="10718" spans="13:13">
      <c r="M10718" s="202"/>
    </row>
    <row r="10719" spans="13:13">
      <c r="M10719" s="202"/>
    </row>
    <row r="10720" spans="13:13">
      <c r="M10720" s="202"/>
    </row>
    <row r="10721" spans="13:13">
      <c r="M10721" s="202"/>
    </row>
    <row r="10722" spans="13:13">
      <c r="M10722" s="202"/>
    </row>
    <row r="10723" spans="13:13">
      <c r="M10723" s="202"/>
    </row>
    <row r="10724" spans="13:13">
      <c r="M10724" s="202"/>
    </row>
    <row r="10725" spans="13:13">
      <c r="M10725" s="202"/>
    </row>
    <row r="10726" spans="13:13">
      <c r="M10726" s="202"/>
    </row>
    <row r="10727" spans="13:13">
      <c r="M10727" s="202"/>
    </row>
    <row r="10728" spans="13:13">
      <c r="M10728" s="202"/>
    </row>
    <row r="10729" spans="13:13">
      <c r="M10729" s="202"/>
    </row>
    <row r="10730" spans="13:13">
      <c r="M10730" s="202"/>
    </row>
    <row r="10731" spans="13:13">
      <c r="M10731" s="202"/>
    </row>
    <row r="10732" spans="13:13">
      <c r="M10732" s="202"/>
    </row>
    <row r="10733" spans="13:13">
      <c r="M10733" s="202"/>
    </row>
    <row r="10734" spans="13:13">
      <c r="M10734" s="202"/>
    </row>
    <row r="10735" spans="13:13">
      <c r="M10735" s="202"/>
    </row>
    <row r="10736" spans="13:13">
      <c r="M10736" s="202"/>
    </row>
    <row r="10737" spans="13:13">
      <c r="M10737" s="202"/>
    </row>
    <row r="10738" spans="13:13">
      <c r="M10738" s="202"/>
    </row>
    <row r="10739" spans="13:13">
      <c r="M10739" s="202"/>
    </row>
    <row r="10740" spans="13:13">
      <c r="M10740" s="202"/>
    </row>
    <row r="10741" spans="13:13">
      <c r="M10741" s="202"/>
    </row>
    <row r="10742" spans="13:13">
      <c r="M10742" s="202"/>
    </row>
    <row r="10743" spans="13:13">
      <c r="M10743" s="202"/>
    </row>
    <row r="10744" spans="13:13">
      <c r="M10744" s="202"/>
    </row>
    <row r="10745" spans="13:13">
      <c r="M10745" s="202"/>
    </row>
    <row r="10746" spans="13:13">
      <c r="M10746" s="202"/>
    </row>
    <row r="10747" spans="13:13">
      <c r="M10747" s="202"/>
    </row>
    <row r="10748" spans="13:13">
      <c r="M10748" s="202"/>
    </row>
    <row r="10749" spans="13:13">
      <c r="M10749" s="202"/>
    </row>
    <row r="10750" spans="13:13">
      <c r="M10750" s="202"/>
    </row>
    <row r="10751" spans="13:13">
      <c r="M10751" s="202"/>
    </row>
    <row r="10752" spans="13:13">
      <c r="M10752" s="202"/>
    </row>
    <row r="10753" spans="13:13">
      <c r="M10753" s="202"/>
    </row>
    <row r="10754" spans="13:13">
      <c r="M10754" s="202"/>
    </row>
    <row r="10755" spans="13:13">
      <c r="M10755" s="202"/>
    </row>
    <row r="10756" spans="13:13">
      <c r="M10756" s="202"/>
    </row>
    <row r="10757" spans="13:13">
      <c r="M10757" s="202"/>
    </row>
    <row r="10758" spans="13:13">
      <c r="M10758" s="202"/>
    </row>
    <row r="10759" spans="13:13">
      <c r="M10759" s="202"/>
    </row>
    <row r="10760" spans="13:13">
      <c r="M10760" s="202"/>
    </row>
    <row r="10761" spans="13:13">
      <c r="M10761" s="202"/>
    </row>
    <row r="10762" spans="13:13">
      <c r="M10762" s="202"/>
    </row>
    <row r="10763" spans="13:13">
      <c r="M10763" s="202"/>
    </row>
    <row r="10764" spans="13:13">
      <c r="M10764" s="202"/>
    </row>
    <row r="10765" spans="13:13">
      <c r="M10765" s="202"/>
    </row>
    <row r="10766" spans="13:13">
      <c r="M10766" s="202"/>
    </row>
    <row r="10767" spans="13:13">
      <c r="M10767" s="202"/>
    </row>
    <row r="10768" spans="13:13">
      <c r="M10768" s="202"/>
    </row>
    <row r="10769" spans="13:13">
      <c r="M10769" s="202"/>
    </row>
    <row r="10770" spans="13:13">
      <c r="M10770" s="202"/>
    </row>
    <row r="10771" spans="13:13">
      <c r="M10771" s="202"/>
    </row>
    <row r="10772" spans="13:13">
      <c r="M10772" s="202"/>
    </row>
    <row r="10773" spans="13:13">
      <c r="M10773" s="202"/>
    </row>
    <row r="10774" spans="13:13">
      <c r="M10774" s="202"/>
    </row>
    <row r="10775" spans="13:13">
      <c r="M10775" s="202"/>
    </row>
    <row r="10776" spans="13:13">
      <c r="M10776" s="202"/>
    </row>
    <row r="10777" spans="13:13">
      <c r="M10777" s="202"/>
    </row>
    <row r="10778" spans="13:13">
      <c r="M10778" s="202"/>
    </row>
    <row r="10779" spans="13:13">
      <c r="M10779" s="202"/>
    </row>
    <row r="10780" spans="13:13">
      <c r="M10780" s="202"/>
    </row>
    <row r="10781" spans="13:13">
      <c r="M10781" s="202"/>
    </row>
    <row r="10782" spans="13:13">
      <c r="M10782" s="202"/>
    </row>
    <row r="10783" spans="13:13">
      <c r="M10783" s="202"/>
    </row>
    <row r="10784" spans="13:13">
      <c r="M10784" s="202"/>
    </row>
    <row r="10785" spans="13:13">
      <c r="M10785" s="202"/>
    </row>
    <row r="10786" spans="13:13">
      <c r="M10786" s="202"/>
    </row>
    <row r="10787" spans="13:13">
      <c r="M10787" s="202"/>
    </row>
    <row r="10788" spans="13:13">
      <c r="M10788" s="202"/>
    </row>
    <row r="10789" spans="13:13">
      <c r="M10789" s="202"/>
    </row>
    <row r="10790" spans="13:13">
      <c r="M10790" s="202"/>
    </row>
    <row r="10791" spans="13:13">
      <c r="M10791" s="202"/>
    </row>
    <row r="10792" spans="13:13">
      <c r="M10792" s="202"/>
    </row>
    <row r="10793" spans="13:13">
      <c r="M10793" s="202"/>
    </row>
    <row r="10794" spans="13:13">
      <c r="M10794" s="202"/>
    </row>
    <row r="10795" spans="13:13">
      <c r="M10795" s="202"/>
    </row>
    <row r="10796" spans="13:13">
      <c r="M10796" s="202"/>
    </row>
    <row r="10797" spans="13:13">
      <c r="M10797" s="202"/>
    </row>
    <row r="10798" spans="13:13">
      <c r="M10798" s="202"/>
    </row>
    <row r="10799" spans="13:13">
      <c r="M10799" s="202"/>
    </row>
    <row r="10800" spans="13:13">
      <c r="M10800" s="202"/>
    </row>
    <row r="10801" spans="13:13">
      <c r="M10801" s="202"/>
    </row>
    <row r="10802" spans="13:13">
      <c r="M10802" s="202"/>
    </row>
    <row r="10803" spans="13:13">
      <c r="M10803" s="202"/>
    </row>
    <row r="10804" spans="13:13">
      <c r="M10804" s="202"/>
    </row>
    <row r="10805" spans="13:13">
      <c r="M10805" s="202"/>
    </row>
    <row r="10806" spans="13:13">
      <c r="M10806" s="202"/>
    </row>
    <row r="10807" spans="13:13">
      <c r="M10807" s="202"/>
    </row>
    <row r="10808" spans="13:13">
      <c r="M10808" s="202"/>
    </row>
    <row r="10809" spans="13:13">
      <c r="M10809" s="202"/>
    </row>
    <row r="10810" spans="13:13">
      <c r="M10810" s="202"/>
    </row>
    <row r="10811" spans="13:13">
      <c r="M10811" s="202"/>
    </row>
    <row r="10812" spans="13:13">
      <c r="M10812" s="202"/>
    </row>
    <row r="10813" spans="13:13">
      <c r="M10813" s="202"/>
    </row>
    <row r="10814" spans="13:13">
      <c r="M10814" s="202"/>
    </row>
    <row r="10815" spans="13:13">
      <c r="M10815" s="202"/>
    </row>
    <row r="10816" spans="13:13">
      <c r="M10816" s="202"/>
    </row>
    <row r="10817" spans="13:13">
      <c r="M10817" s="202"/>
    </row>
    <row r="10818" spans="13:13">
      <c r="M10818" s="202"/>
    </row>
    <row r="10819" spans="13:13">
      <c r="M10819" s="202"/>
    </row>
    <row r="10820" spans="13:13">
      <c r="M10820" s="202"/>
    </row>
    <row r="10821" spans="13:13">
      <c r="M10821" s="202"/>
    </row>
    <row r="10822" spans="13:13">
      <c r="M10822" s="202"/>
    </row>
    <row r="10823" spans="13:13">
      <c r="M10823" s="202"/>
    </row>
    <row r="10824" spans="13:13">
      <c r="M10824" s="202"/>
    </row>
    <row r="10825" spans="13:13">
      <c r="M10825" s="202"/>
    </row>
    <row r="10826" spans="13:13">
      <c r="M10826" s="202"/>
    </row>
    <row r="10827" spans="13:13">
      <c r="M10827" s="202"/>
    </row>
    <row r="10828" spans="13:13">
      <c r="M10828" s="202"/>
    </row>
    <row r="10829" spans="13:13">
      <c r="M10829" s="202"/>
    </row>
    <row r="10830" spans="13:13">
      <c r="M10830" s="202"/>
    </row>
    <row r="10831" spans="13:13">
      <c r="M10831" s="202"/>
    </row>
    <row r="10832" spans="13:13">
      <c r="M10832" s="202"/>
    </row>
    <row r="10833" spans="13:13">
      <c r="M10833" s="202"/>
    </row>
    <row r="10834" spans="13:13">
      <c r="M10834" s="202"/>
    </row>
    <row r="10835" spans="13:13">
      <c r="M10835" s="202"/>
    </row>
    <row r="10836" spans="13:13">
      <c r="M10836" s="202"/>
    </row>
    <row r="10837" spans="13:13">
      <c r="M10837" s="202"/>
    </row>
    <row r="10838" spans="13:13">
      <c r="M10838" s="202"/>
    </row>
    <row r="10839" spans="13:13">
      <c r="M10839" s="202"/>
    </row>
    <row r="10840" spans="13:13">
      <c r="M10840" s="202"/>
    </row>
    <row r="10841" spans="13:13">
      <c r="M10841" s="202"/>
    </row>
    <row r="10842" spans="13:13">
      <c r="M10842" s="202"/>
    </row>
    <row r="10843" spans="13:13">
      <c r="M10843" s="202"/>
    </row>
    <row r="10844" spans="13:13">
      <c r="M10844" s="202"/>
    </row>
    <row r="10845" spans="13:13">
      <c r="M10845" s="202"/>
    </row>
    <row r="10846" spans="13:13">
      <c r="M10846" s="202"/>
    </row>
    <row r="10847" spans="13:13">
      <c r="M10847" s="202"/>
    </row>
    <row r="10848" spans="13:13">
      <c r="M10848" s="202"/>
    </row>
    <row r="10849" spans="13:13">
      <c r="M10849" s="202"/>
    </row>
    <row r="10850" spans="13:13">
      <c r="M10850" s="202"/>
    </row>
    <row r="10851" spans="13:13">
      <c r="M10851" s="202"/>
    </row>
    <row r="10852" spans="13:13">
      <c r="M10852" s="202"/>
    </row>
    <row r="10853" spans="13:13">
      <c r="M10853" s="202"/>
    </row>
    <row r="10854" spans="13:13">
      <c r="M10854" s="202"/>
    </row>
    <row r="10855" spans="13:13">
      <c r="M10855" s="202"/>
    </row>
    <row r="10856" spans="13:13">
      <c r="M10856" s="202"/>
    </row>
    <row r="10857" spans="13:13">
      <c r="M10857" s="202"/>
    </row>
    <row r="10858" spans="13:13">
      <c r="M10858" s="202"/>
    </row>
    <row r="10859" spans="13:13">
      <c r="M10859" s="202"/>
    </row>
    <row r="10860" spans="13:13">
      <c r="M10860" s="202"/>
    </row>
    <row r="10861" spans="13:13">
      <c r="M10861" s="202"/>
    </row>
    <row r="10862" spans="13:13">
      <c r="M10862" s="202"/>
    </row>
    <row r="10863" spans="13:13">
      <c r="M10863" s="202"/>
    </row>
    <row r="10864" spans="13:13">
      <c r="M10864" s="202"/>
    </row>
    <row r="10865" spans="13:13">
      <c r="M10865" s="202"/>
    </row>
    <row r="10866" spans="13:13">
      <c r="M10866" s="202"/>
    </row>
    <row r="10867" spans="13:13">
      <c r="M10867" s="202"/>
    </row>
    <row r="10868" spans="13:13">
      <c r="M10868" s="202"/>
    </row>
    <row r="10869" spans="13:13">
      <c r="M10869" s="202"/>
    </row>
    <row r="10870" spans="13:13">
      <c r="M10870" s="202"/>
    </row>
    <row r="10871" spans="13:13">
      <c r="M10871" s="202"/>
    </row>
    <row r="10872" spans="13:13">
      <c r="M10872" s="202"/>
    </row>
    <row r="10873" spans="13:13">
      <c r="M10873" s="202"/>
    </row>
    <row r="10874" spans="13:13">
      <c r="M10874" s="202"/>
    </row>
    <row r="10875" spans="13:13">
      <c r="M10875" s="202"/>
    </row>
    <row r="10876" spans="13:13">
      <c r="M10876" s="202"/>
    </row>
    <row r="10877" spans="13:13">
      <c r="M10877" s="202"/>
    </row>
    <row r="10878" spans="13:13">
      <c r="M10878" s="202"/>
    </row>
    <row r="10879" spans="13:13">
      <c r="M10879" s="202"/>
    </row>
    <row r="10880" spans="13:13">
      <c r="M10880" s="202"/>
    </row>
    <row r="10881" spans="13:13">
      <c r="M10881" s="202"/>
    </row>
    <row r="10882" spans="13:13">
      <c r="M10882" s="202"/>
    </row>
    <row r="10883" spans="13:13">
      <c r="M10883" s="202"/>
    </row>
    <row r="10884" spans="13:13">
      <c r="M10884" s="202"/>
    </row>
    <row r="10885" spans="13:13">
      <c r="M10885" s="202"/>
    </row>
    <row r="10886" spans="13:13">
      <c r="M10886" s="202"/>
    </row>
    <row r="10887" spans="13:13">
      <c r="M10887" s="202"/>
    </row>
    <row r="10888" spans="13:13">
      <c r="M10888" s="202"/>
    </row>
    <row r="10889" spans="13:13">
      <c r="M10889" s="202"/>
    </row>
    <row r="10890" spans="13:13">
      <c r="M10890" s="202"/>
    </row>
    <row r="10891" spans="13:13">
      <c r="M10891" s="202"/>
    </row>
    <row r="10892" spans="13:13">
      <c r="M10892" s="202"/>
    </row>
    <row r="10893" spans="13:13">
      <c r="M10893" s="202"/>
    </row>
    <row r="10894" spans="13:13">
      <c r="M10894" s="202"/>
    </row>
    <row r="10895" spans="13:13">
      <c r="M10895" s="202"/>
    </row>
    <row r="10896" spans="13:13">
      <c r="M10896" s="202"/>
    </row>
    <row r="10897" spans="13:13">
      <c r="M10897" s="202"/>
    </row>
    <row r="10898" spans="13:13">
      <c r="M10898" s="202"/>
    </row>
    <row r="10899" spans="13:13">
      <c r="M10899" s="202"/>
    </row>
    <row r="10900" spans="13:13">
      <c r="M10900" s="202"/>
    </row>
    <row r="10901" spans="13:13">
      <c r="M10901" s="202"/>
    </row>
    <row r="10902" spans="13:13">
      <c r="M10902" s="202"/>
    </row>
    <row r="10903" spans="13:13">
      <c r="M10903" s="202"/>
    </row>
    <row r="10904" spans="13:13">
      <c r="M10904" s="202"/>
    </row>
    <row r="10905" spans="13:13">
      <c r="M10905" s="202"/>
    </row>
    <row r="10906" spans="13:13">
      <c r="M10906" s="202"/>
    </row>
    <row r="10907" spans="13:13">
      <c r="M10907" s="202"/>
    </row>
    <row r="10908" spans="13:13">
      <c r="M10908" s="202"/>
    </row>
    <row r="10909" spans="13:13">
      <c r="M10909" s="202"/>
    </row>
    <row r="10910" spans="13:13">
      <c r="M10910" s="202"/>
    </row>
    <row r="10911" spans="13:13">
      <c r="M10911" s="202"/>
    </row>
    <row r="10912" spans="13:13">
      <c r="M10912" s="202"/>
    </row>
    <row r="10913" spans="13:13">
      <c r="M10913" s="202"/>
    </row>
    <row r="10914" spans="13:13">
      <c r="M10914" s="202"/>
    </row>
    <row r="10915" spans="13:13">
      <c r="M10915" s="202"/>
    </row>
    <row r="10916" spans="13:13">
      <c r="M10916" s="202"/>
    </row>
    <row r="10917" spans="13:13">
      <c r="M10917" s="202"/>
    </row>
    <row r="10918" spans="13:13">
      <c r="M10918" s="202"/>
    </row>
    <row r="10919" spans="13:13">
      <c r="M10919" s="202"/>
    </row>
    <row r="10920" spans="13:13">
      <c r="M10920" s="202"/>
    </row>
    <row r="10921" spans="13:13">
      <c r="M10921" s="202"/>
    </row>
    <row r="10922" spans="13:13">
      <c r="M10922" s="202"/>
    </row>
    <row r="10923" spans="13:13">
      <c r="M10923" s="202"/>
    </row>
    <row r="10924" spans="13:13">
      <c r="M10924" s="202"/>
    </row>
    <row r="10925" spans="13:13">
      <c r="M10925" s="202"/>
    </row>
    <row r="10926" spans="13:13">
      <c r="M10926" s="202"/>
    </row>
    <row r="10927" spans="13:13">
      <c r="M10927" s="202"/>
    </row>
    <row r="10928" spans="13:13">
      <c r="M10928" s="202"/>
    </row>
    <row r="10929" spans="13:13">
      <c r="M10929" s="202"/>
    </row>
    <row r="10930" spans="13:13">
      <c r="M10930" s="202"/>
    </row>
    <row r="10931" spans="13:13">
      <c r="M10931" s="202"/>
    </row>
    <row r="10932" spans="13:13">
      <c r="M10932" s="202"/>
    </row>
    <row r="10933" spans="13:13">
      <c r="M10933" s="202"/>
    </row>
    <row r="10934" spans="13:13">
      <c r="M10934" s="202"/>
    </row>
    <row r="10935" spans="13:13">
      <c r="M10935" s="202"/>
    </row>
    <row r="10936" spans="13:13">
      <c r="M10936" s="202"/>
    </row>
    <row r="10937" spans="13:13">
      <c r="M10937" s="202"/>
    </row>
    <row r="10938" spans="13:13">
      <c r="M10938" s="202"/>
    </row>
    <row r="10939" spans="13:13">
      <c r="M10939" s="202"/>
    </row>
    <row r="10940" spans="13:13">
      <c r="M10940" s="202"/>
    </row>
    <row r="10941" spans="13:13">
      <c r="M10941" s="202"/>
    </row>
    <row r="10942" spans="13:13">
      <c r="M10942" s="202"/>
    </row>
    <row r="10943" spans="13:13">
      <c r="M10943" s="202"/>
    </row>
    <row r="10944" spans="13:13">
      <c r="M10944" s="202"/>
    </row>
    <row r="10945" spans="13:13">
      <c r="M10945" s="202"/>
    </row>
    <row r="10946" spans="13:13">
      <c r="M10946" s="202"/>
    </row>
    <row r="10947" spans="13:13">
      <c r="M10947" s="202"/>
    </row>
    <row r="10948" spans="13:13">
      <c r="M10948" s="202"/>
    </row>
    <row r="10949" spans="13:13">
      <c r="M10949" s="202"/>
    </row>
    <row r="10950" spans="13:13">
      <c r="M10950" s="202"/>
    </row>
    <row r="10951" spans="13:13">
      <c r="M10951" s="202"/>
    </row>
    <row r="10952" spans="13:13">
      <c r="M10952" s="202"/>
    </row>
    <row r="10953" spans="13:13">
      <c r="M10953" s="202"/>
    </row>
    <row r="10954" spans="13:13">
      <c r="M10954" s="202"/>
    </row>
    <row r="10955" spans="13:13">
      <c r="M10955" s="202"/>
    </row>
    <row r="10956" spans="13:13">
      <c r="M10956" s="202"/>
    </row>
    <row r="10957" spans="13:13">
      <c r="M10957" s="202"/>
    </row>
    <row r="10958" spans="13:13">
      <c r="M10958" s="202"/>
    </row>
    <row r="10959" spans="13:13">
      <c r="M10959" s="202"/>
    </row>
    <row r="10960" spans="13:13">
      <c r="M10960" s="202"/>
    </row>
    <row r="10961" spans="13:13">
      <c r="M10961" s="202"/>
    </row>
    <row r="10962" spans="13:13">
      <c r="M10962" s="202"/>
    </row>
    <row r="10963" spans="13:13">
      <c r="M10963" s="202"/>
    </row>
    <row r="10964" spans="13:13">
      <c r="M10964" s="202"/>
    </row>
    <row r="10965" spans="13:13">
      <c r="M10965" s="202"/>
    </row>
    <row r="10966" spans="13:13">
      <c r="M10966" s="202"/>
    </row>
    <row r="10967" spans="13:13">
      <c r="M10967" s="202"/>
    </row>
    <row r="10968" spans="13:13">
      <c r="M10968" s="202"/>
    </row>
    <row r="10969" spans="13:13">
      <c r="M10969" s="202"/>
    </row>
    <row r="10970" spans="13:13">
      <c r="M10970" s="202"/>
    </row>
    <row r="10971" spans="13:13">
      <c r="M10971" s="202"/>
    </row>
    <row r="10972" spans="13:13">
      <c r="M10972" s="202"/>
    </row>
    <row r="10973" spans="13:13">
      <c r="M10973" s="202"/>
    </row>
    <row r="10974" spans="13:13">
      <c r="M10974" s="202"/>
    </row>
    <row r="10975" spans="13:13">
      <c r="M10975" s="202"/>
    </row>
    <row r="10976" spans="13:13">
      <c r="M10976" s="202"/>
    </row>
    <row r="10977" spans="13:13">
      <c r="M10977" s="202"/>
    </row>
    <row r="10978" spans="13:13">
      <c r="M10978" s="202"/>
    </row>
    <row r="10979" spans="13:13">
      <c r="M10979" s="202"/>
    </row>
    <row r="10980" spans="13:13">
      <c r="M10980" s="202"/>
    </row>
    <row r="10981" spans="13:13">
      <c r="M10981" s="202"/>
    </row>
    <row r="10982" spans="13:13">
      <c r="M10982" s="202"/>
    </row>
    <row r="10983" spans="13:13">
      <c r="M10983" s="202"/>
    </row>
    <row r="10984" spans="13:13">
      <c r="M10984" s="202"/>
    </row>
    <row r="10985" spans="13:13">
      <c r="M10985" s="202"/>
    </row>
    <row r="10986" spans="13:13">
      <c r="M10986" s="202"/>
    </row>
    <row r="10987" spans="13:13">
      <c r="M10987" s="202"/>
    </row>
    <row r="10988" spans="13:13">
      <c r="M10988" s="202"/>
    </row>
    <row r="10989" spans="13:13">
      <c r="M10989" s="202"/>
    </row>
    <row r="10990" spans="13:13">
      <c r="M10990" s="202"/>
    </row>
    <row r="10991" spans="13:13">
      <c r="M10991" s="202"/>
    </row>
    <row r="10992" spans="13:13">
      <c r="M10992" s="202"/>
    </row>
    <row r="10993" spans="13:13">
      <c r="M10993" s="202"/>
    </row>
    <row r="10994" spans="13:13">
      <c r="M10994" s="202"/>
    </row>
    <row r="10995" spans="13:13">
      <c r="M10995" s="202"/>
    </row>
    <row r="10996" spans="13:13">
      <c r="M10996" s="202"/>
    </row>
    <row r="10997" spans="13:13">
      <c r="M10997" s="202"/>
    </row>
    <row r="10998" spans="13:13">
      <c r="M10998" s="202"/>
    </row>
    <row r="10999" spans="13:13">
      <c r="M10999" s="202"/>
    </row>
    <row r="11000" spans="13:13">
      <c r="M11000" s="202"/>
    </row>
    <row r="11001" spans="13:13">
      <c r="M11001" s="202"/>
    </row>
    <row r="11002" spans="13:13">
      <c r="M11002" s="202"/>
    </row>
    <row r="11003" spans="13:13">
      <c r="M11003" s="202"/>
    </row>
    <row r="11004" spans="13:13">
      <c r="M11004" s="202"/>
    </row>
    <row r="11005" spans="13:13">
      <c r="M11005" s="202"/>
    </row>
    <row r="11006" spans="13:13">
      <c r="M11006" s="202"/>
    </row>
    <row r="11007" spans="13:13">
      <c r="M11007" s="202"/>
    </row>
    <row r="11008" spans="13:13">
      <c r="M11008" s="202"/>
    </row>
    <row r="11009" spans="13:13">
      <c r="M11009" s="202"/>
    </row>
    <row r="11010" spans="13:13">
      <c r="M11010" s="202"/>
    </row>
    <row r="11011" spans="13:13">
      <c r="M11011" s="202"/>
    </row>
    <row r="11012" spans="13:13">
      <c r="M11012" s="202"/>
    </row>
    <row r="11013" spans="13:13">
      <c r="M11013" s="202"/>
    </row>
    <row r="11014" spans="13:13">
      <c r="M11014" s="202"/>
    </row>
    <row r="11015" spans="13:13">
      <c r="M11015" s="202"/>
    </row>
    <row r="11016" spans="13:13">
      <c r="M11016" s="202"/>
    </row>
    <row r="11017" spans="13:13">
      <c r="M11017" s="202"/>
    </row>
    <row r="11018" spans="13:13">
      <c r="M11018" s="202"/>
    </row>
    <row r="11019" spans="13:13">
      <c r="M11019" s="202"/>
    </row>
    <row r="11020" spans="13:13">
      <c r="M11020" s="202"/>
    </row>
    <row r="11021" spans="13:13">
      <c r="M11021" s="202"/>
    </row>
    <row r="11022" spans="13:13">
      <c r="M11022" s="202"/>
    </row>
    <row r="11023" spans="13:13">
      <c r="M11023" s="202"/>
    </row>
    <row r="11024" spans="13:13">
      <c r="M11024" s="202"/>
    </row>
    <row r="11025" spans="13:13">
      <c r="M11025" s="202"/>
    </row>
    <row r="11026" spans="13:13">
      <c r="M11026" s="202"/>
    </row>
    <row r="11027" spans="13:13">
      <c r="M11027" s="202"/>
    </row>
    <row r="11028" spans="13:13">
      <c r="M11028" s="202"/>
    </row>
    <row r="11029" spans="13:13">
      <c r="M11029" s="202"/>
    </row>
    <row r="11030" spans="13:13">
      <c r="M11030" s="202"/>
    </row>
    <row r="11031" spans="13:13">
      <c r="M11031" s="202"/>
    </row>
    <row r="11032" spans="13:13">
      <c r="M11032" s="202"/>
    </row>
    <row r="11033" spans="13:13">
      <c r="M11033" s="202"/>
    </row>
    <row r="11034" spans="13:13">
      <c r="M11034" s="202"/>
    </row>
    <row r="11035" spans="13:13">
      <c r="M11035" s="202"/>
    </row>
    <row r="11036" spans="13:13">
      <c r="M11036" s="202"/>
    </row>
    <row r="11037" spans="13:13">
      <c r="M11037" s="202"/>
    </row>
    <row r="11038" spans="13:13">
      <c r="M11038" s="202"/>
    </row>
    <row r="11039" spans="13:13">
      <c r="M11039" s="202"/>
    </row>
    <row r="11040" spans="13:13">
      <c r="M11040" s="202"/>
    </row>
    <row r="11041" spans="13:13">
      <c r="M11041" s="202"/>
    </row>
    <row r="11042" spans="13:13">
      <c r="M11042" s="202"/>
    </row>
    <row r="11043" spans="13:13">
      <c r="M11043" s="202"/>
    </row>
    <row r="11044" spans="13:13">
      <c r="M11044" s="202"/>
    </row>
    <row r="11045" spans="13:13">
      <c r="M11045" s="202"/>
    </row>
    <row r="11046" spans="13:13">
      <c r="M11046" s="202"/>
    </row>
    <row r="11047" spans="13:13">
      <c r="M11047" s="202"/>
    </row>
    <row r="11048" spans="13:13">
      <c r="M11048" s="202"/>
    </row>
    <row r="11049" spans="13:13">
      <c r="M11049" s="202"/>
    </row>
    <row r="11050" spans="13:13">
      <c r="M11050" s="202"/>
    </row>
    <row r="11051" spans="13:13">
      <c r="M11051" s="202"/>
    </row>
    <row r="11052" spans="13:13">
      <c r="M11052" s="202"/>
    </row>
    <row r="11053" spans="13:13">
      <c r="M11053" s="202"/>
    </row>
    <row r="11054" spans="13:13">
      <c r="M11054" s="202"/>
    </row>
    <row r="11055" spans="13:13">
      <c r="M11055" s="202"/>
    </row>
    <row r="11056" spans="13:13">
      <c r="M11056" s="202"/>
    </row>
    <row r="11057" spans="13:13">
      <c r="M11057" s="202"/>
    </row>
    <row r="11058" spans="13:13">
      <c r="M11058" s="202"/>
    </row>
    <row r="11059" spans="13:13">
      <c r="M11059" s="202"/>
    </row>
    <row r="11060" spans="13:13">
      <c r="M11060" s="202"/>
    </row>
    <row r="11061" spans="13:13">
      <c r="M11061" s="202"/>
    </row>
    <row r="11062" spans="13:13">
      <c r="M11062" s="202"/>
    </row>
    <row r="11063" spans="13:13">
      <c r="M11063" s="202"/>
    </row>
    <row r="11064" spans="13:13">
      <c r="M11064" s="202"/>
    </row>
    <row r="11065" spans="13:13">
      <c r="M11065" s="202"/>
    </row>
    <row r="11066" spans="13:13">
      <c r="M11066" s="202"/>
    </row>
    <row r="11067" spans="13:13">
      <c r="M11067" s="202"/>
    </row>
    <row r="11068" spans="13:13">
      <c r="M11068" s="202"/>
    </row>
    <row r="11069" spans="13:13">
      <c r="M11069" s="202"/>
    </row>
    <row r="11070" spans="13:13">
      <c r="M11070" s="202"/>
    </row>
    <row r="11071" spans="13:13">
      <c r="M11071" s="202"/>
    </row>
    <row r="11072" spans="13:13">
      <c r="M11072" s="202"/>
    </row>
    <row r="11073" spans="13:13">
      <c r="M11073" s="202"/>
    </row>
    <row r="11074" spans="13:13">
      <c r="M11074" s="202"/>
    </row>
    <row r="11075" spans="13:13">
      <c r="M11075" s="202"/>
    </row>
    <row r="11076" spans="13:13">
      <c r="M11076" s="202"/>
    </row>
    <row r="11077" spans="13:13">
      <c r="M11077" s="202"/>
    </row>
    <row r="11078" spans="13:13">
      <c r="M11078" s="202"/>
    </row>
    <row r="11079" spans="13:13">
      <c r="M11079" s="202"/>
    </row>
    <row r="11080" spans="13:13">
      <c r="M11080" s="202"/>
    </row>
    <row r="11081" spans="13:13">
      <c r="M11081" s="202"/>
    </row>
    <row r="11082" spans="13:13">
      <c r="M11082" s="202"/>
    </row>
    <row r="11083" spans="13:13">
      <c r="M11083" s="202"/>
    </row>
    <row r="11084" spans="13:13">
      <c r="M11084" s="202"/>
    </row>
    <row r="11085" spans="13:13">
      <c r="M11085" s="202"/>
    </row>
    <row r="11086" spans="13:13">
      <c r="M11086" s="202"/>
    </row>
    <row r="11087" spans="13:13">
      <c r="M11087" s="202"/>
    </row>
    <row r="11088" spans="13:13">
      <c r="M11088" s="202"/>
    </row>
    <row r="11089" spans="13:13">
      <c r="M11089" s="202"/>
    </row>
    <row r="11090" spans="13:13">
      <c r="M11090" s="202"/>
    </row>
    <row r="11091" spans="13:13">
      <c r="M11091" s="202"/>
    </row>
    <row r="11092" spans="13:13">
      <c r="M11092" s="202"/>
    </row>
    <row r="11093" spans="13:13">
      <c r="M11093" s="202"/>
    </row>
    <row r="11094" spans="13:13">
      <c r="M11094" s="202"/>
    </row>
    <row r="11095" spans="13:13">
      <c r="M11095" s="202"/>
    </row>
    <row r="11096" spans="13:13">
      <c r="M11096" s="202"/>
    </row>
    <row r="11097" spans="13:13">
      <c r="M11097" s="202"/>
    </row>
    <row r="11098" spans="13:13">
      <c r="M11098" s="202"/>
    </row>
    <row r="11099" spans="13:13">
      <c r="M11099" s="202"/>
    </row>
    <row r="11100" spans="13:13">
      <c r="M11100" s="202"/>
    </row>
    <row r="11101" spans="13:13">
      <c r="M11101" s="202"/>
    </row>
    <row r="11102" spans="13:13">
      <c r="M11102" s="202"/>
    </row>
    <row r="11103" spans="13:13">
      <c r="M11103" s="202"/>
    </row>
    <row r="11104" spans="13:13">
      <c r="M11104" s="202"/>
    </row>
    <row r="11105" spans="13:13">
      <c r="M11105" s="202"/>
    </row>
    <row r="11106" spans="13:13">
      <c r="M11106" s="202"/>
    </row>
    <row r="11107" spans="13:13">
      <c r="M11107" s="202"/>
    </row>
    <row r="11108" spans="13:13">
      <c r="M11108" s="202"/>
    </row>
    <row r="11109" spans="13:13">
      <c r="M11109" s="202"/>
    </row>
    <row r="11110" spans="13:13">
      <c r="M11110" s="202"/>
    </row>
    <row r="11111" spans="13:13">
      <c r="M11111" s="202"/>
    </row>
    <row r="11112" spans="13:13">
      <c r="M11112" s="202"/>
    </row>
    <row r="11113" spans="13:13">
      <c r="M11113" s="202"/>
    </row>
    <row r="11114" spans="13:13">
      <c r="M11114" s="202"/>
    </row>
    <row r="11115" spans="13:13">
      <c r="M11115" s="202"/>
    </row>
    <row r="11116" spans="13:13">
      <c r="M11116" s="202"/>
    </row>
    <row r="11117" spans="13:13">
      <c r="M11117" s="202"/>
    </row>
    <row r="11118" spans="13:13">
      <c r="M11118" s="202"/>
    </row>
    <row r="11119" spans="13:13">
      <c r="M11119" s="202"/>
    </row>
    <row r="11120" spans="13:13">
      <c r="M11120" s="202"/>
    </row>
    <row r="11121" spans="13:13">
      <c r="M11121" s="202"/>
    </row>
    <row r="11122" spans="13:13">
      <c r="M11122" s="202"/>
    </row>
    <row r="11123" spans="13:13">
      <c r="M11123" s="202"/>
    </row>
    <row r="11124" spans="13:13">
      <c r="M11124" s="202"/>
    </row>
    <row r="11125" spans="13:13">
      <c r="M11125" s="202"/>
    </row>
    <row r="11126" spans="13:13">
      <c r="M11126" s="202"/>
    </row>
    <row r="11127" spans="13:13">
      <c r="M11127" s="202"/>
    </row>
    <row r="11128" spans="13:13">
      <c r="M11128" s="202"/>
    </row>
    <row r="11129" spans="13:13">
      <c r="M11129" s="202"/>
    </row>
    <row r="11130" spans="13:13">
      <c r="M11130" s="202"/>
    </row>
    <row r="11131" spans="13:13">
      <c r="M11131" s="202"/>
    </row>
    <row r="11132" spans="13:13">
      <c r="M11132" s="202"/>
    </row>
    <row r="11133" spans="13:13">
      <c r="M11133" s="202"/>
    </row>
    <row r="11134" spans="13:13">
      <c r="M11134" s="202"/>
    </row>
    <row r="11135" spans="13:13">
      <c r="M11135" s="202"/>
    </row>
    <row r="11136" spans="13:13">
      <c r="M11136" s="202"/>
    </row>
    <row r="11137" spans="13:13">
      <c r="M11137" s="202"/>
    </row>
    <row r="11138" spans="13:13">
      <c r="M11138" s="202"/>
    </row>
    <row r="11139" spans="13:13">
      <c r="M11139" s="202"/>
    </row>
    <row r="11140" spans="13:13">
      <c r="M11140" s="202"/>
    </row>
    <row r="11141" spans="13:13">
      <c r="M11141" s="202"/>
    </row>
    <row r="11142" spans="13:13">
      <c r="M11142" s="202"/>
    </row>
    <row r="11143" spans="13:13">
      <c r="M11143" s="202"/>
    </row>
    <row r="11144" spans="13:13">
      <c r="M11144" s="202"/>
    </row>
    <row r="11145" spans="13:13">
      <c r="M11145" s="202"/>
    </row>
    <row r="11146" spans="13:13">
      <c r="M11146" s="202"/>
    </row>
    <row r="11147" spans="13:13">
      <c r="M11147" s="202"/>
    </row>
    <row r="11148" spans="13:13">
      <c r="M11148" s="202"/>
    </row>
    <row r="11149" spans="13:13">
      <c r="M11149" s="202"/>
    </row>
    <row r="11150" spans="13:13">
      <c r="M11150" s="202"/>
    </row>
    <row r="11151" spans="13:13">
      <c r="M11151" s="202"/>
    </row>
    <row r="11152" spans="13:13">
      <c r="M11152" s="202"/>
    </row>
    <row r="11153" spans="13:13">
      <c r="M11153" s="202"/>
    </row>
    <row r="11154" spans="13:13">
      <c r="M11154" s="202"/>
    </row>
    <row r="11155" spans="13:13">
      <c r="M11155" s="202"/>
    </row>
    <row r="11156" spans="13:13">
      <c r="M11156" s="202"/>
    </row>
    <row r="11157" spans="13:13">
      <c r="M11157" s="202"/>
    </row>
    <row r="11158" spans="13:13">
      <c r="M11158" s="202"/>
    </row>
    <row r="11159" spans="13:13">
      <c r="M11159" s="202"/>
    </row>
    <row r="11160" spans="13:13">
      <c r="M11160" s="202"/>
    </row>
    <row r="11161" spans="13:13">
      <c r="M11161" s="202"/>
    </row>
    <row r="11162" spans="13:13">
      <c r="M11162" s="202"/>
    </row>
    <row r="11163" spans="13:13">
      <c r="M11163" s="202"/>
    </row>
    <row r="11164" spans="13:13">
      <c r="M11164" s="202"/>
    </row>
    <row r="11165" spans="13:13">
      <c r="M11165" s="202"/>
    </row>
    <row r="11166" spans="13:13">
      <c r="M11166" s="202"/>
    </row>
    <row r="11167" spans="13:13">
      <c r="M11167" s="202"/>
    </row>
    <row r="11168" spans="13:13">
      <c r="M11168" s="202"/>
    </row>
    <row r="11169" spans="13:13">
      <c r="M11169" s="202"/>
    </row>
    <row r="11170" spans="13:13">
      <c r="M11170" s="202"/>
    </row>
    <row r="11171" spans="13:13">
      <c r="M11171" s="202"/>
    </row>
    <row r="11172" spans="13:13">
      <c r="M11172" s="202"/>
    </row>
    <row r="11173" spans="13:13">
      <c r="M11173" s="202"/>
    </row>
    <row r="11174" spans="13:13">
      <c r="M11174" s="202"/>
    </row>
    <row r="11175" spans="13:13">
      <c r="M11175" s="202"/>
    </row>
    <row r="11176" spans="13:13">
      <c r="M11176" s="202"/>
    </row>
    <row r="11177" spans="13:13">
      <c r="M11177" s="202"/>
    </row>
    <row r="11178" spans="13:13">
      <c r="M11178" s="202"/>
    </row>
    <row r="11179" spans="13:13">
      <c r="M11179" s="202"/>
    </row>
    <row r="11180" spans="13:13">
      <c r="M11180" s="202"/>
    </row>
    <row r="11181" spans="13:13">
      <c r="M11181" s="202"/>
    </row>
    <row r="11182" spans="13:13">
      <c r="M11182" s="202"/>
    </row>
    <row r="11183" spans="13:13">
      <c r="M11183" s="202"/>
    </row>
    <row r="11184" spans="13:13">
      <c r="M11184" s="202"/>
    </row>
    <row r="11185" spans="13:13">
      <c r="M11185" s="202"/>
    </row>
    <row r="11186" spans="13:13">
      <c r="M11186" s="202"/>
    </row>
    <row r="11187" spans="13:13">
      <c r="M11187" s="202"/>
    </row>
    <row r="11188" spans="13:13">
      <c r="M11188" s="202"/>
    </row>
    <row r="11189" spans="13:13">
      <c r="M11189" s="202"/>
    </row>
    <row r="11190" spans="13:13">
      <c r="M11190" s="202"/>
    </row>
    <row r="11191" spans="13:13">
      <c r="M11191" s="202"/>
    </row>
    <row r="11192" spans="13:13">
      <c r="M11192" s="202"/>
    </row>
    <row r="11193" spans="13:13">
      <c r="M11193" s="202"/>
    </row>
    <row r="11194" spans="13:13">
      <c r="M11194" s="202"/>
    </row>
    <row r="11195" spans="13:13">
      <c r="M11195" s="202"/>
    </row>
    <row r="11196" spans="13:13">
      <c r="M11196" s="202"/>
    </row>
    <row r="11197" spans="13:13">
      <c r="M11197" s="202"/>
    </row>
    <row r="11198" spans="13:13">
      <c r="M11198" s="202"/>
    </row>
    <row r="11199" spans="13:13">
      <c r="M11199" s="202"/>
    </row>
    <row r="11200" spans="13:13">
      <c r="M11200" s="202"/>
    </row>
    <row r="11201" spans="13:13">
      <c r="M11201" s="202"/>
    </row>
    <row r="11202" spans="13:13">
      <c r="M11202" s="202"/>
    </row>
    <row r="11203" spans="13:13">
      <c r="M11203" s="202"/>
    </row>
    <row r="11204" spans="13:13">
      <c r="M11204" s="202"/>
    </row>
    <row r="11205" spans="13:13">
      <c r="M11205" s="202"/>
    </row>
    <row r="11206" spans="13:13">
      <c r="M11206" s="202"/>
    </row>
    <row r="11207" spans="13:13">
      <c r="M11207" s="202"/>
    </row>
    <row r="11208" spans="13:13">
      <c r="M11208" s="202"/>
    </row>
    <row r="11209" spans="13:13">
      <c r="M11209" s="202"/>
    </row>
    <row r="11210" spans="13:13">
      <c r="M11210" s="202"/>
    </row>
    <row r="11211" spans="13:13">
      <c r="M11211" s="202"/>
    </row>
    <row r="11212" spans="13:13">
      <c r="M11212" s="202"/>
    </row>
    <row r="11213" spans="13:13">
      <c r="M11213" s="202"/>
    </row>
    <row r="11214" spans="13:13">
      <c r="M11214" s="202"/>
    </row>
    <row r="11215" spans="13:13">
      <c r="M11215" s="202"/>
    </row>
    <row r="11216" spans="13:13">
      <c r="M11216" s="202"/>
    </row>
    <row r="11217" spans="13:13">
      <c r="M11217" s="202"/>
    </row>
    <row r="11218" spans="13:13">
      <c r="M11218" s="202"/>
    </row>
    <row r="11219" spans="13:13">
      <c r="M11219" s="202"/>
    </row>
    <row r="11220" spans="13:13">
      <c r="M11220" s="202"/>
    </row>
    <row r="11221" spans="13:13">
      <c r="M11221" s="202"/>
    </row>
    <row r="11222" spans="13:13">
      <c r="M11222" s="202"/>
    </row>
    <row r="11223" spans="13:13">
      <c r="M11223" s="202"/>
    </row>
    <row r="11224" spans="13:13">
      <c r="M11224" s="202"/>
    </row>
    <row r="11225" spans="13:13">
      <c r="M11225" s="202"/>
    </row>
    <row r="11226" spans="13:13">
      <c r="M11226" s="202"/>
    </row>
    <row r="11227" spans="13:13">
      <c r="M11227" s="202"/>
    </row>
    <row r="11228" spans="13:13">
      <c r="M11228" s="202"/>
    </row>
    <row r="11229" spans="13:13">
      <c r="M11229" s="202"/>
    </row>
    <row r="11230" spans="13:13">
      <c r="M11230" s="202"/>
    </row>
    <row r="11231" spans="13:13">
      <c r="M11231" s="202"/>
    </row>
    <row r="11232" spans="13:13">
      <c r="M11232" s="202"/>
    </row>
    <row r="11233" spans="13:13">
      <c r="M11233" s="202"/>
    </row>
    <row r="11234" spans="13:13">
      <c r="M11234" s="202"/>
    </row>
    <row r="11235" spans="13:13">
      <c r="M11235" s="202"/>
    </row>
    <row r="11236" spans="13:13">
      <c r="M11236" s="202"/>
    </row>
    <row r="11237" spans="13:13">
      <c r="M11237" s="202"/>
    </row>
    <row r="11238" spans="13:13">
      <c r="M11238" s="202"/>
    </row>
    <row r="11239" spans="13:13">
      <c r="M11239" s="202"/>
    </row>
    <row r="11240" spans="13:13">
      <c r="M11240" s="202"/>
    </row>
    <row r="11241" spans="13:13">
      <c r="M11241" s="202"/>
    </row>
    <row r="11242" spans="13:13">
      <c r="M11242" s="202"/>
    </row>
    <row r="11243" spans="13:13">
      <c r="M11243" s="202"/>
    </row>
    <row r="11244" spans="13:13">
      <c r="M11244" s="202"/>
    </row>
    <row r="11245" spans="13:13">
      <c r="M11245" s="202"/>
    </row>
    <row r="11246" spans="13:13">
      <c r="M11246" s="202"/>
    </row>
    <row r="11247" spans="13:13">
      <c r="M11247" s="202"/>
    </row>
    <row r="11248" spans="13:13">
      <c r="M11248" s="202"/>
    </row>
    <row r="11249" spans="13:13">
      <c r="M11249" s="202"/>
    </row>
    <row r="11250" spans="13:13">
      <c r="M11250" s="202"/>
    </row>
    <row r="11251" spans="13:13">
      <c r="M11251" s="202"/>
    </row>
    <row r="11252" spans="13:13">
      <c r="M11252" s="202"/>
    </row>
    <row r="11253" spans="13:13">
      <c r="M11253" s="202"/>
    </row>
    <row r="11254" spans="13:13">
      <c r="M11254" s="202"/>
    </row>
    <row r="11255" spans="13:13">
      <c r="M11255" s="202"/>
    </row>
    <row r="11256" spans="13:13">
      <c r="M11256" s="202"/>
    </row>
    <row r="11257" spans="13:13">
      <c r="M11257" s="202"/>
    </row>
    <row r="11258" spans="13:13">
      <c r="M11258" s="202"/>
    </row>
    <row r="11259" spans="13:13">
      <c r="M11259" s="202"/>
    </row>
    <row r="11260" spans="13:13">
      <c r="M11260" s="202"/>
    </row>
    <row r="11261" spans="13:13">
      <c r="M11261" s="202"/>
    </row>
    <row r="11262" spans="13:13">
      <c r="M11262" s="202"/>
    </row>
    <row r="11263" spans="13:13">
      <c r="M11263" s="202"/>
    </row>
    <row r="11264" spans="13:13">
      <c r="M11264" s="202"/>
    </row>
    <row r="11265" spans="13:13">
      <c r="M11265" s="202"/>
    </row>
    <row r="11266" spans="13:13">
      <c r="M11266" s="202"/>
    </row>
    <row r="11267" spans="13:13">
      <c r="M11267" s="202"/>
    </row>
    <row r="11268" spans="13:13">
      <c r="M11268" s="202"/>
    </row>
    <row r="11269" spans="13:13">
      <c r="M11269" s="202"/>
    </row>
    <row r="11270" spans="13:13">
      <c r="M11270" s="202"/>
    </row>
    <row r="11271" spans="13:13">
      <c r="M11271" s="202"/>
    </row>
    <row r="11272" spans="13:13">
      <c r="M11272" s="202"/>
    </row>
    <row r="11273" spans="13:13">
      <c r="M11273" s="202"/>
    </row>
    <row r="11274" spans="13:13">
      <c r="M11274" s="202"/>
    </row>
    <row r="11275" spans="13:13">
      <c r="M11275" s="202"/>
    </row>
    <row r="11276" spans="13:13">
      <c r="M11276" s="202"/>
    </row>
    <row r="11277" spans="13:13">
      <c r="M11277" s="202"/>
    </row>
    <row r="11278" spans="13:13">
      <c r="M11278" s="202"/>
    </row>
    <row r="11279" spans="13:13">
      <c r="M11279" s="202"/>
    </row>
    <row r="11280" spans="13:13">
      <c r="M11280" s="202"/>
    </row>
    <row r="11281" spans="13:13">
      <c r="M11281" s="202"/>
    </row>
    <row r="11282" spans="13:13">
      <c r="M11282" s="202"/>
    </row>
    <row r="11283" spans="13:13">
      <c r="M11283" s="202"/>
    </row>
    <row r="11284" spans="13:13">
      <c r="M11284" s="202"/>
    </row>
    <row r="11285" spans="13:13">
      <c r="M11285" s="202"/>
    </row>
    <row r="11286" spans="13:13">
      <c r="M11286" s="202"/>
    </row>
    <row r="11287" spans="13:13">
      <c r="M11287" s="202"/>
    </row>
    <row r="11288" spans="13:13">
      <c r="M11288" s="202"/>
    </row>
    <row r="11289" spans="13:13">
      <c r="M11289" s="202"/>
    </row>
    <row r="11290" spans="13:13">
      <c r="M11290" s="202"/>
    </row>
    <row r="11291" spans="13:13">
      <c r="M11291" s="202"/>
    </row>
    <row r="11292" spans="13:13">
      <c r="M11292" s="202"/>
    </row>
    <row r="11293" spans="13:13">
      <c r="M11293" s="202"/>
    </row>
    <row r="11294" spans="13:13">
      <c r="M11294" s="202"/>
    </row>
    <row r="11295" spans="13:13">
      <c r="M11295" s="202"/>
    </row>
    <row r="11296" spans="13:13">
      <c r="M11296" s="202"/>
    </row>
    <row r="11297" spans="13:13">
      <c r="M11297" s="202"/>
    </row>
    <row r="11298" spans="13:13">
      <c r="M11298" s="202"/>
    </row>
    <row r="11299" spans="13:13">
      <c r="M11299" s="202"/>
    </row>
    <row r="11300" spans="13:13">
      <c r="M11300" s="202"/>
    </row>
    <row r="11301" spans="13:13">
      <c r="M11301" s="202"/>
    </row>
    <row r="11302" spans="13:13">
      <c r="M11302" s="202"/>
    </row>
    <row r="11303" spans="13:13">
      <c r="M11303" s="202"/>
    </row>
    <row r="11304" spans="13:13">
      <c r="M11304" s="202"/>
    </row>
    <row r="11305" spans="13:13">
      <c r="M11305" s="202"/>
    </row>
    <row r="11306" spans="13:13">
      <c r="M11306" s="202"/>
    </row>
    <row r="11307" spans="13:13">
      <c r="M11307" s="202"/>
    </row>
    <row r="11308" spans="13:13">
      <c r="M11308" s="202"/>
    </row>
    <row r="11309" spans="13:13">
      <c r="M11309" s="202"/>
    </row>
    <row r="11310" spans="13:13">
      <c r="M11310" s="202"/>
    </row>
    <row r="11311" spans="13:13">
      <c r="M11311" s="202"/>
    </row>
    <row r="11312" spans="13:13">
      <c r="M11312" s="202"/>
    </row>
    <row r="11313" spans="13:13">
      <c r="M11313" s="202"/>
    </row>
    <row r="11314" spans="13:13">
      <c r="M11314" s="202"/>
    </row>
    <row r="11315" spans="13:13">
      <c r="M11315" s="202"/>
    </row>
    <row r="11316" spans="13:13">
      <c r="M11316" s="202"/>
    </row>
    <row r="11317" spans="13:13">
      <c r="M11317" s="202"/>
    </row>
    <row r="11318" spans="13:13">
      <c r="M11318" s="202"/>
    </row>
    <row r="11319" spans="13:13">
      <c r="M11319" s="202"/>
    </row>
    <row r="11320" spans="13:13">
      <c r="M11320" s="202"/>
    </row>
    <row r="11321" spans="13:13">
      <c r="M11321" s="202"/>
    </row>
    <row r="11322" spans="13:13">
      <c r="M11322" s="202"/>
    </row>
    <row r="11323" spans="13:13">
      <c r="M11323" s="202"/>
    </row>
    <row r="11324" spans="13:13">
      <c r="M11324" s="202"/>
    </row>
    <row r="11325" spans="13:13">
      <c r="M11325" s="202"/>
    </row>
    <row r="11326" spans="13:13">
      <c r="M11326" s="202"/>
    </row>
    <row r="11327" spans="13:13">
      <c r="M11327" s="202"/>
    </row>
    <row r="11328" spans="13:13">
      <c r="M11328" s="202"/>
    </row>
    <row r="11329" spans="13:13">
      <c r="M11329" s="202"/>
    </row>
    <row r="11330" spans="13:13">
      <c r="M11330" s="202"/>
    </row>
    <row r="11331" spans="13:13">
      <c r="M11331" s="202"/>
    </row>
    <row r="11332" spans="13:13">
      <c r="M11332" s="202"/>
    </row>
    <row r="11333" spans="13:13">
      <c r="M11333" s="202"/>
    </row>
    <row r="11334" spans="13:13">
      <c r="M11334" s="202"/>
    </row>
    <row r="11335" spans="13:13">
      <c r="M11335" s="202"/>
    </row>
    <row r="11336" spans="13:13">
      <c r="M11336" s="202"/>
    </row>
    <row r="11337" spans="13:13">
      <c r="M11337" s="202"/>
    </row>
    <row r="11338" spans="13:13">
      <c r="M11338" s="202"/>
    </row>
    <row r="11339" spans="13:13">
      <c r="M11339" s="202"/>
    </row>
    <row r="11340" spans="13:13">
      <c r="M11340" s="202"/>
    </row>
    <row r="11341" spans="13:13">
      <c r="M11341" s="202"/>
    </row>
    <row r="11342" spans="13:13">
      <c r="M11342" s="202"/>
    </row>
    <row r="11343" spans="13:13">
      <c r="M11343" s="202"/>
    </row>
    <row r="11344" spans="13:13">
      <c r="M11344" s="202"/>
    </row>
    <row r="11345" spans="13:13">
      <c r="M11345" s="202"/>
    </row>
    <row r="11346" spans="13:13">
      <c r="M11346" s="202"/>
    </row>
    <row r="11347" spans="13:13">
      <c r="M11347" s="202"/>
    </row>
    <row r="11348" spans="13:13">
      <c r="M11348" s="202"/>
    </row>
    <row r="11349" spans="13:13">
      <c r="M11349" s="202"/>
    </row>
    <row r="11350" spans="13:13">
      <c r="M11350" s="202"/>
    </row>
    <row r="11351" spans="13:13">
      <c r="M11351" s="202"/>
    </row>
    <row r="11352" spans="13:13">
      <c r="M11352" s="202"/>
    </row>
    <row r="11353" spans="13:13">
      <c r="M11353" s="202"/>
    </row>
    <row r="11354" spans="13:13">
      <c r="M11354" s="202"/>
    </row>
    <row r="11355" spans="13:13">
      <c r="M11355" s="202"/>
    </row>
    <row r="11356" spans="13:13">
      <c r="M11356" s="202"/>
    </row>
    <row r="11357" spans="13:13">
      <c r="M11357" s="202"/>
    </row>
    <row r="11358" spans="13:13">
      <c r="M11358" s="202"/>
    </row>
    <row r="11359" spans="13:13">
      <c r="M11359" s="202"/>
    </row>
    <row r="11360" spans="13:13">
      <c r="M11360" s="202"/>
    </row>
    <row r="11361" spans="13:13">
      <c r="M11361" s="202"/>
    </row>
    <row r="11362" spans="13:13">
      <c r="M11362" s="202"/>
    </row>
    <row r="11363" spans="13:13">
      <c r="M11363" s="202"/>
    </row>
    <row r="11364" spans="13:13">
      <c r="M11364" s="202"/>
    </row>
    <row r="11365" spans="13:13">
      <c r="M11365" s="202"/>
    </row>
    <row r="11366" spans="13:13">
      <c r="M11366" s="202"/>
    </row>
    <row r="11367" spans="13:13">
      <c r="M11367" s="202"/>
    </row>
    <row r="11368" spans="13:13">
      <c r="M11368" s="202"/>
    </row>
    <row r="11369" spans="13:13">
      <c r="M11369" s="202"/>
    </row>
    <row r="11370" spans="13:13">
      <c r="M11370" s="202"/>
    </row>
    <row r="11371" spans="13:13">
      <c r="M11371" s="202"/>
    </row>
    <row r="11372" spans="13:13">
      <c r="M11372" s="202"/>
    </row>
    <row r="11373" spans="13:13">
      <c r="M11373" s="202"/>
    </row>
    <row r="11374" spans="13:13">
      <c r="M11374" s="202"/>
    </row>
    <row r="11375" spans="13:13">
      <c r="M11375" s="202"/>
    </row>
    <row r="11376" spans="13:13">
      <c r="M11376" s="202"/>
    </row>
    <row r="11377" spans="13:13">
      <c r="M11377" s="202"/>
    </row>
    <row r="11378" spans="13:13">
      <c r="M11378" s="202"/>
    </row>
    <row r="11379" spans="13:13">
      <c r="M11379" s="202"/>
    </row>
    <row r="11380" spans="13:13">
      <c r="M11380" s="202"/>
    </row>
    <row r="11381" spans="13:13">
      <c r="M11381" s="202"/>
    </row>
    <row r="11382" spans="13:13">
      <c r="M11382" s="202"/>
    </row>
    <row r="11383" spans="13:13">
      <c r="M11383" s="202"/>
    </row>
    <row r="11384" spans="13:13">
      <c r="M11384" s="202"/>
    </row>
    <row r="11385" spans="13:13">
      <c r="M11385" s="202"/>
    </row>
    <row r="11386" spans="13:13">
      <c r="M11386" s="202"/>
    </row>
    <row r="11387" spans="13:13">
      <c r="M11387" s="202"/>
    </row>
    <row r="11388" spans="13:13">
      <c r="M11388" s="202"/>
    </row>
    <row r="11389" spans="13:13">
      <c r="M11389" s="202"/>
    </row>
    <row r="11390" spans="13:13">
      <c r="M11390" s="202"/>
    </row>
    <row r="11391" spans="13:13">
      <c r="M11391" s="202"/>
    </row>
    <row r="11392" spans="13:13">
      <c r="M11392" s="202"/>
    </row>
    <row r="11393" spans="13:13">
      <c r="M11393" s="202"/>
    </row>
    <row r="11394" spans="13:13">
      <c r="M11394" s="202"/>
    </row>
    <row r="11395" spans="13:13">
      <c r="M11395" s="202"/>
    </row>
    <row r="11396" spans="13:13">
      <c r="M11396" s="202"/>
    </row>
    <row r="11397" spans="13:13">
      <c r="M11397" s="202"/>
    </row>
    <row r="11398" spans="13:13">
      <c r="M11398" s="202"/>
    </row>
    <row r="11399" spans="13:13">
      <c r="M11399" s="202"/>
    </row>
    <row r="11400" spans="13:13">
      <c r="M11400" s="202"/>
    </row>
    <row r="11401" spans="13:13">
      <c r="M11401" s="202"/>
    </row>
    <row r="11402" spans="13:13">
      <c r="M11402" s="202"/>
    </row>
    <row r="11403" spans="13:13">
      <c r="M11403" s="202"/>
    </row>
    <row r="11404" spans="13:13">
      <c r="M11404" s="202"/>
    </row>
    <row r="11405" spans="13:13">
      <c r="M11405" s="202"/>
    </row>
    <row r="11406" spans="13:13">
      <c r="M11406" s="202"/>
    </row>
    <row r="11407" spans="13:13">
      <c r="M11407" s="202"/>
    </row>
    <row r="11408" spans="13:13">
      <c r="M11408" s="202"/>
    </row>
    <row r="11409" spans="13:13">
      <c r="M11409" s="202"/>
    </row>
    <row r="11410" spans="13:13">
      <c r="M11410" s="202"/>
    </row>
    <row r="11411" spans="13:13">
      <c r="M11411" s="202"/>
    </row>
    <row r="11412" spans="13:13">
      <c r="M11412" s="202"/>
    </row>
    <row r="11413" spans="13:13">
      <c r="M11413" s="202"/>
    </row>
    <row r="11414" spans="13:13">
      <c r="M11414" s="202"/>
    </row>
    <row r="11415" spans="13:13">
      <c r="M11415" s="202"/>
    </row>
    <row r="11416" spans="13:13">
      <c r="M11416" s="202"/>
    </row>
    <row r="11417" spans="13:13">
      <c r="M11417" s="202"/>
    </row>
    <row r="11418" spans="13:13">
      <c r="M11418" s="202"/>
    </row>
    <row r="11419" spans="13:13">
      <c r="M11419" s="202"/>
    </row>
    <row r="11420" spans="13:13">
      <c r="M11420" s="202"/>
    </row>
    <row r="11421" spans="13:13">
      <c r="M11421" s="202"/>
    </row>
    <row r="11422" spans="13:13">
      <c r="M11422" s="202"/>
    </row>
    <row r="11423" spans="13:13">
      <c r="M11423" s="202"/>
    </row>
    <row r="11424" spans="13:13">
      <c r="M11424" s="202"/>
    </row>
    <row r="11425" spans="13:13">
      <c r="M11425" s="202"/>
    </row>
    <row r="11426" spans="13:13">
      <c r="M11426" s="202"/>
    </row>
    <row r="11427" spans="13:13">
      <c r="M11427" s="202"/>
    </row>
    <row r="11428" spans="13:13">
      <c r="M11428" s="202"/>
    </row>
    <row r="11429" spans="13:13">
      <c r="M11429" s="202"/>
    </row>
    <row r="11430" spans="13:13">
      <c r="M11430" s="202"/>
    </row>
    <row r="11431" spans="13:13">
      <c r="M11431" s="202"/>
    </row>
    <row r="11432" spans="13:13">
      <c r="M11432" s="202"/>
    </row>
    <row r="11433" spans="13:13">
      <c r="M11433" s="202"/>
    </row>
    <row r="11434" spans="13:13">
      <c r="M11434" s="202"/>
    </row>
    <row r="11435" spans="13:13">
      <c r="M11435" s="202"/>
    </row>
    <row r="11436" spans="13:13">
      <c r="M11436" s="202"/>
    </row>
    <row r="11437" spans="13:13">
      <c r="M11437" s="202"/>
    </row>
    <row r="11438" spans="13:13">
      <c r="M11438" s="202"/>
    </row>
    <row r="11439" spans="13:13">
      <c r="M11439" s="202"/>
    </row>
    <row r="11440" spans="13:13">
      <c r="M11440" s="202"/>
    </row>
    <row r="11441" spans="13:13">
      <c r="M11441" s="202"/>
    </row>
    <row r="11442" spans="13:13">
      <c r="M11442" s="202"/>
    </row>
    <row r="11443" spans="13:13">
      <c r="M11443" s="202"/>
    </row>
    <row r="11444" spans="13:13">
      <c r="M11444" s="202"/>
    </row>
    <row r="11445" spans="13:13">
      <c r="M11445" s="202"/>
    </row>
    <row r="11446" spans="13:13">
      <c r="M11446" s="202"/>
    </row>
    <row r="11447" spans="13:13">
      <c r="M11447" s="202"/>
    </row>
    <row r="11448" spans="13:13">
      <c r="M11448" s="202"/>
    </row>
    <row r="11449" spans="13:13">
      <c r="M11449" s="202"/>
    </row>
    <row r="11450" spans="13:13">
      <c r="M11450" s="202"/>
    </row>
    <row r="11451" spans="13:13">
      <c r="M11451" s="202"/>
    </row>
    <row r="11452" spans="13:13">
      <c r="M11452" s="202"/>
    </row>
    <row r="11453" spans="13:13">
      <c r="M11453" s="202"/>
    </row>
    <row r="11454" spans="13:13">
      <c r="M11454" s="202"/>
    </row>
    <row r="11455" spans="13:13">
      <c r="M11455" s="202"/>
    </row>
    <row r="11456" spans="13:13">
      <c r="M11456" s="202"/>
    </row>
    <row r="11457" spans="13:13">
      <c r="M11457" s="202"/>
    </row>
    <row r="11458" spans="13:13">
      <c r="M11458" s="202"/>
    </row>
    <row r="11459" spans="13:13">
      <c r="M11459" s="202"/>
    </row>
    <row r="11460" spans="13:13">
      <c r="M11460" s="202"/>
    </row>
    <row r="11461" spans="13:13">
      <c r="M11461" s="202"/>
    </row>
    <row r="11462" spans="13:13">
      <c r="M11462" s="202"/>
    </row>
    <row r="11463" spans="13:13">
      <c r="M11463" s="202"/>
    </row>
    <row r="11464" spans="13:13">
      <c r="M11464" s="202"/>
    </row>
    <row r="11465" spans="13:13">
      <c r="M11465" s="202"/>
    </row>
    <row r="11466" spans="13:13">
      <c r="M11466" s="202"/>
    </row>
    <row r="11467" spans="13:13">
      <c r="M11467" s="202"/>
    </row>
    <row r="11468" spans="13:13">
      <c r="M11468" s="202"/>
    </row>
    <row r="11469" spans="13:13">
      <c r="M11469" s="202"/>
    </row>
    <row r="11470" spans="13:13">
      <c r="M11470" s="202"/>
    </row>
    <row r="11471" spans="13:13">
      <c r="M11471" s="202"/>
    </row>
    <row r="11472" spans="13:13">
      <c r="M11472" s="202"/>
    </row>
    <row r="11473" spans="13:13">
      <c r="M11473" s="202"/>
    </row>
    <row r="11474" spans="13:13">
      <c r="M11474" s="202"/>
    </row>
    <row r="11475" spans="13:13">
      <c r="M11475" s="202"/>
    </row>
    <row r="11476" spans="13:13">
      <c r="M11476" s="202"/>
    </row>
    <row r="11477" spans="13:13">
      <c r="M11477" s="202"/>
    </row>
    <row r="11478" spans="13:13">
      <c r="M11478" s="202"/>
    </row>
    <row r="11479" spans="13:13">
      <c r="M11479" s="202"/>
    </row>
    <row r="11480" spans="13:13">
      <c r="M11480" s="202"/>
    </row>
    <row r="11481" spans="13:13">
      <c r="M11481" s="202"/>
    </row>
    <row r="11482" spans="13:13">
      <c r="M11482" s="202"/>
    </row>
    <row r="11483" spans="13:13">
      <c r="M11483" s="202"/>
    </row>
    <row r="11484" spans="13:13">
      <c r="M11484" s="202"/>
    </row>
    <row r="11485" spans="13:13">
      <c r="M11485" s="202"/>
    </row>
    <row r="11486" spans="13:13">
      <c r="M11486" s="202"/>
    </row>
    <row r="11487" spans="13:13">
      <c r="M11487" s="202"/>
    </row>
    <row r="11488" spans="13:13">
      <c r="M11488" s="202"/>
    </row>
    <row r="11489" spans="13:13">
      <c r="M11489" s="202"/>
    </row>
    <row r="11490" spans="13:13">
      <c r="M11490" s="202"/>
    </row>
    <row r="11491" spans="13:13">
      <c r="M11491" s="202"/>
    </row>
    <row r="11492" spans="13:13">
      <c r="M11492" s="202"/>
    </row>
    <row r="11493" spans="13:13">
      <c r="M11493" s="202"/>
    </row>
    <row r="11494" spans="13:13">
      <c r="M11494" s="202"/>
    </row>
    <row r="11495" spans="13:13">
      <c r="M11495" s="202"/>
    </row>
    <row r="11496" spans="13:13">
      <c r="M11496" s="202"/>
    </row>
    <row r="11497" spans="13:13">
      <c r="M11497" s="202"/>
    </row>
    <row r="11498" spans="13:13">
      <c r="M11498" s="202"/>
    </row>
    <row r="11499" spans="13:13">
      <c r="M11499" s="202"/>
    </row>
    <row r="11500" spans="13:13">
      <c r="M11500" s="202"/>
    </row>
    <row r="11501" spans="13:13">
      <c r="M11501" s="202"/>
    </row>
    <row r="11502" spans="13:13">
      <c r="M11502" s="202"/>
    </row>
    <row r="11503" spans="13:13">
      <c r="M11503" s="202"/>
    </row>
    <row r="11504" spans="13:13">
      <c r="M11504" s="202"/>
    </row>
    <row r="11505" spans="13:13">
      <c r="M11505" s="202"/>
    </row>
    <row r="11506" spans="13:13">
      <c r="M11506" s="202"/>
    </row>
    <row r="11507" spans="13:13">
      <c r="M11507" s="202"/>
    </row>
    <row r="11508" spans="13:13">
      <c r="M11508" s="202"/>
    </row>
    <row r="11509" spans="13:13">
      <c r="M11509" s="202"/>
    </row>
    <row r="11510" spans="13:13">
      <c r="M11510" s="202"/>
    </row>
    <row r="11511" spans="13:13">
      <c r="M11511" s="202"/>
    </row>
    <row r="11512" spans="13:13">
      <c r="M11512" s="202"/>
    </row>
    <row r="11513" spans="13:13">
      <c r="M11513" s="202"/>
    </row>
    <row r="11514" spans="13:13">
      <c r="M11514" s="202"/>
    </row>
    <row r="11515" spans="13:13">
      <c r="M11515" s="202"/>
    </row>
    <row r="11516" spans="13:13">
      <c r="M11516" s="202"/>
    </row>
    <row r="11517" spans="13:13">
      <c r="M11517" s="202"/>
    </row>
    <row r="11518" spans="13:13">
      <c r="M11518" s="202"/>
    </row>
    <row r="11519" spans="13:13">
      <c r="M11519" s="202"/>
    </row>
    <row r="11520" spans="13:13">
      <c r="M11520" s="202"/>
    </row>
    <row r="11521" spans="13:13">
      <c r="M11521" s="202"/>
    </row>
    <row r="11522" spans="13:13">
      <c r="M11522" s="202"/>
    </row>
    <row r="11523" spans="13:13">
      <c r="M11523" s="202"/>
    </row>
    <row r="11524" spans="13:13">
      <c r="M11524" s="202"/>
    </row>
    <row r="11525" spans="13:13">
      <c r="M11525" s="202"/>
    </row>
    <row r="11526" spans="13:13">
      <c r="M11526" s="202"/>
    </row>
    <row r="11527" spans="13:13">
      <c r="M11527" s="202"/>
    </row>
    <row r="11528" spans="13:13">
      <c r="M11528" s="202"/>
    </row>
    <row r="11529" spans="13:13">
      <c r="M11529" s="202"/>
    </row>
    <row r="11530" spans="13:13">
      <c r="M11530" s="202"/>
    </row>
    <row r="11531" spans="13:13">
      <c r="M11531" s="202"/>
    </row>
    <row r="11532" spans="13:13">
      <c r="M11532" s="202"/>
    </row>
    <row r="11533" spans="13:13">
      <c r="M11533" s="202"/>
    </row>
    <row r="11534" spans="13:13">
      <c r="M11534" s="202"/>
    </row>
    <row r="11535" spans="13:13">
      <c r="M11535" s="202"/>
    </row>
    <row r="11536" spans="13:13">
      <c r="M11536" s="202"/>
    </row>
    <row r="11537" spans="13:13">
      <c r="M11537" s="202"/>
    </row>
    <row r="11538" spans="13:13">
      <c r="M11538" s="202"/>
    </row>
    <row r="11539" spans="13:13">
      <c r="M11539" s="202"/>
    </row>
    <row r="11540" spans="13:13">
      <c r="M11540" s="202"/>
    </row>
    <row r="11541" spans="13:13">
      <c r="M11541" s="202"/>
    </row>
    <row r="11542" spans="13:13">
      <c r="M11542" s="202"/>
    </row>
    <row r="11543" spans="13:13">
      <c r="M11543" s="202"/>
    </row>
    <row r="11544" spans="13:13">
      <c r="M11544" s="202"/>
    </row>
    <row r="11545" spans="13:13">
      <c r="M11545" s="202"/>
    </row>
    <row r="11546" spans="13:13">
      <c r="M11546" s="202"/>
    </row>
    <row r="11547" spans="13:13">
      <c r="M11547" s="202"/>
    </row>
    <row r="11548" spans="13:13">
      <c r="M11548" s="202"/>
    </row>
    <row r="11549" spans="13:13">
      <c r="M11549" s="202"/>
    </row>
    <row r="11550" spans="13:13">
      <c r="M11550" s="202"/>
    </row>
    <row r="11551" spans="13:13">
      <c r="M11551" s="202"/>
    </row>
    <row r="11552" spans="13:13">
      <c r="M11552" s="202"/>
    </row>
    <row r="11553" spans="13:13">
      <c r="M11553" s="202"/>
    </row>
    <row r="11554" spans="13:13">
      <c r="M11554" s="202"/>
    </row>
    <row r="11555" spans="13:13">
      <c r="M11555" s="202"/>
    </row>
    <row r="11556" spans="13:13">
      <c r="M11556" s="202"/>
    </row>
    <row r="11557" spans="13:13">
      <c r="M11557" s="202"/>
    </row>
    <row r="11558" spans="13:13">
      <c r="M11558" s="202"/>
    </row>
    <row r="11559" spans="13:13">
      <c r="M11559" s="202"/>
    </row>
    <row r="11560" spans="13:13">
      <c r="M11560" s="202"/>
    </row>
    <row r="11561" spans="13:13">
      <c r="M11561" s="202"/>
    </row>
    <row r="11562" spans="13:13">
      <c r="M11562" s="202"/>
    </row>
    <row r="11563" spans="13:13">
      <c r="M11563" s="202"/>
    </row>
    <row r="11564" spans="13:13">
      <c r="M11564" s="202"/>
    </row>
    <row r="11565" spans="13:13">
      <c r="M11565" s="202"/>
    </row>
    <row r="11566" spans="13:13">
      <c r="M11566" s="202"/>
    </row>
    <row r="11567" spans="13:13">
      <c r="M11567" s="202"/>
    </row>
    <row r="11568" spans="13:13">
      <c r="M11568" s="202"/>
    </row>
    <row r="11569" spans="13:13">
      <c r="M11569" s="202"/>
    </row>
    <row r="11570" spans="13:13">
      <c r="M11570" s="202"/>
    </row>
    <row r="11571" spans="13:13">
      <c r="M11571" s="202"/>
    </row>
    <row r="11572" spans="13:13">
      <c r="M11572" s="202"/>
    </row>
    <row r="11573" spans="13:13">
      <c r="M11573" s="202"/>
    </row>
    <row r="11574" spans="13:13">
      <c r="M11574" s="202"/>
    </row>
    <row r="11575" spans="13:13">
      <c r="M11575" s="202"/>
    </row>
    <row r="11576" spans="13:13">
      <c r="M11576" s="202"/>
    </row>
    <row r="11577" spans="13:13">
      <c r="M11577" s="202"/>
    </row>
    <row r="11578" spans="13:13">
      <c r="M11578" s="202"/>
    </row>
    <row r="11579" spans="13:13">
      <c r="M11579" s="202"/>
    </row>
    <row r="11580" spans="13:13">
      <c r="M11580" s="202"/>
    </row>
    <row r="11581" spans="13:13">
      <c r="M11581" s="202"/>
    </row>
    <row r="11582" spans="13:13">
      <c r="M11582" s="202"/>
    </row>
    <row r="11583" spans="13:13">
      <c r="M11583" s="202"/>
    </row>
    <row r="11584" spans="13:13">
      <c r="M11584" s="202"/>
    </row>
    <row r="11585" spans="13:13">
      <c r="M11585" s="202"/>
    </row>
    <row r="11586" spans="13:13">
      <c r="M11586" s="202"/>
    </row>
    <row r="11587" spans="13:13">
      <c r="M11587" s="202"/>
    </row>
    <row r="11588" spans="13:13">
      <c r="M11588" s="202"/>
    </row>
    <row r="11589" spans="13:13">
      <c r="M11589" s="202"/>
    </row>
    <row r="11590" spans="13:13">
      <c r="M11590" s="202"/>
    </row>
    <row r="11591" spans="13:13">
      <c r="M11591" s="202"/>
    </row>
    <row r="11592" spans="13:13">
      <c r="M11592" s="202"/>
    </row>
    <row r="11593" spans="13:13">
      <c r="M11593" s="202"/>
    </row>
    <row r="11594" spans="13:13">
      <c r="M11594" s="202"/>
    </row>
    <row r="11595" spans="13:13">
      <c r="M11595" s="202"/>
    </row>
    <row r="11596" spans="13:13">
      <c r="M11596" s="202"/>
    </row>
    <row r="11597" spans="13:13">
      <c r="M11597" s="202"/>
    </row>
    <row r="11598" spans="13:13">
      <c r="M11598" s="202"/>
    </row>
    <row r="11599" spans="13:13">
      <c r="M11599" s="202"/>
    </row>
    <row r="11600" spans="13:13">
      <c r="M11600" s="202"/>
    </row>
    <row r="11601" spans="13:13">
      <c r="M11601" s="202"/>
    </row>
    <row r="11602" spans="13:13">
      <c r="M11602" s="202"/>
    </row>
    <row r="11603" spans="13:13">
      <c r="M11603" s="202"/>
    </row>
    <row r="11604" spans="13:13">
      <c r="M11604" s="202"/>
    </row>
    <row r="11605" spans="13:13">
      <c r="M11605" s="202"/>
    </row>
    <row r="11606" spans="13:13">
      <c r="M11606" s="202"/>
    </row>
    <row r="11607" spans="13:13">
      <c r="M11607" s="202"/>
    </row>
    <row r="11608" spans="13:13">
      <c r="M11608" s="202"/>
    </row>
    <row r="11609" spans="13:13">
      <c r="M11609" s="202"/>
    </row>
    <row r="11610" spans="13:13">
      <c r="M11610" s="202"/>
    </row>
    <row r="11611" spans="13:13">
      <c r="M11611" s="202"/>
    </row>
    <row r="11612" spans="13:13">
      <c r="M11612" s="202"/>
    </row>
    <row r="11613" spans="13:13">
      <c r="M11613" s="202"/>
    </row>
    <row r="11614" spans="13:13">
      <c r="M11614" s="202"/>
    </row>
    <row r="11615" spans="13:13">
      <c r="M11615" s="202"/>
    </row>
    <row r="11616" spans="13:13">
      <c r="M11616" s="202"/>
    </row>
    <row r="11617" spans="13:13">
      <c r="M11617" s="202"/>
    </row>
    <row r="11618" spans="13:13">
      <c r="M11618" s="202"/>
    </row>
    <row r="11619" spans="13:13">
      <c r="M11619" s="202"/>
    </row>
    <row r="11620" spans="13:13">
      <c r="M11620" s="202"/>
    </row>
    <row r="11621" spans="13:13">
      <c r="M11621" s="202"/>
    </row>
    <row r="11622" spans="13:13">
      <c r="M11622" s="202"/>
    </row>
    <row r="11623" spans="13:13">
      <c r="M11623" s="202"/>
    </row>
    <row r="11624" spans="13:13">
      <c r="M11624" s="202"/>
    </row>
    <row r="11625" spans="13:13">
      <c r="M11625" s="202"/>
    </row>
    <row r="11626" spans="13:13">
      <c r="M11626" s="202"/>
    </row>
    <row r="11627" spans="13:13">
      <c r="M11627" s="202"/>
    </row>
    <row r="11628" spans="13:13">
      <c r="M11628" s="202"/>
    </row>
    <row r="11629" spans="13:13">
      <c r="M11629" s="202"/>
    </row>
    <row r="11630" spans="13:13">
      <c r="M11630" s="202"/>
    </row>
    <row r="11631" spans="13:13">
      <c r="M11631" s="202"/>
    </row>
    <row r="11632" spans="13:13">
      <c r="M11632" s="202"/>
    </row>
    <row r="11633" spans="13:13">
      <c r="M11633" s="202"/>
    </row>
    <row r="11634" spans="13:13">
      <c r="M11634" s="202"/>
    </row>
    <row r="11635" spans="13:13">
      <c r="M11635" s="202"/>
    </row>
    <row r="11636" spans="13:13">
      <c r="M11636" s="202"/>
    </row>
    <row r="11637" spans="13:13">
      <c r="M11637" s="202"/>
    </row>
    <row r="11638" spans="13:13">
      <c r="M11638" s="202"/>
    </row>
    <row r="11639" spans="13:13">
      <c r="M11639" s="202"/>
    </row>
    <row r="11640" spans="13:13">
      <c r="M11640" s="202"/>
    </row>
    <row r="11641" spans="13:13">
      <c r="M11641" s="202"/>
    </row>
    <row r="11642" spans="13:13">
      <c r="M11642" s="202"/>
    </row>
    <row r="11643" spans="13:13">
      <c r="M11643" s="202"/>
    </row>
    <row r="11644" spans="13:13">
      <c r="M11644" s="202"/>
    </row>
    <row r="11645" spans="13:13">
      <c r="M11645" s="202"/>
    </row>
    <row r="11646" spans="13:13">
      <c r="M11646" s="202"/>
    </row>
    <row r="11647" spans="13:13">
      <c r="M11647" s="202"/>
    </row>
    <row r="11648" spans="13:13">
      <c r="M11648" s="202"/>
    </row>
    <row r="11649" spans="13:13">
      <c r="M11649" s="202"/>
    </row>
    <row r="11650" spans="13:13">
      <c r="M11650" s="202"/>
    </row>
    <row r="11651" spans="13:13">
      <c r="M11651" s="202"/>
    </row>
    <row r="11652" spans="13:13">
      <c r="M11652" s="202"/>
    </row>
    <row r="11653" spans="13:13">
      <c r="M11653" s="202"/>
    </row>
    <row r="11654" spans="13:13">
      <c r="M11654" s="202"/>
    </row>
    <row r="11655" spans="13:13">
      <c r="M11655" s="202"/>
    </row>
    <row r="11656" spans="13:13">
      <c r="M11656" s="202"/>
    </row>
    <row r="11657" spans="13:13">
      <c r="M11657" s="202"/>
    </row>
    <row r="11658" spans="13:13">
      <c r="M11658" s="202"/>
    </row>
    <row r="11659" spans="13:13">
      <c r="M11659" s="202"/>
    </row>
    <row r="11660" spans="13:13">
      <c r="M11660" s="202"/>
    </row>
    <row r="11661" spans="13:13">
      <c r="M11661" s="202"/>
    </row>
    <row r="11662" spans="13:13">
      <c r="M11662" s="202"/>
    </row>
    <row r="11663" spans="13:13">
      <c r="M11663" s="202"/>
    </row>
    <row r="11664" spans="13:13">
      <c r="M11664" s="202"/>
    </row>
    <row r="11665" spans="13:13">
      <c r="M11665" s="202"/>
    </row>
    <row r="11666" spans="13:13">
      <c r="M11666" s="202"/>
    </row>
    <row r="11667" spans="13:13">
      <c r="M11667" s="202"/>
    </row>
    <row r="11668" spans="13:13">
      <c r="M11668" s="202"/>
    </row>
    <row r="11669" spans="13:13">
      <c r="M11669" s="202"/>
    </row>
    <row r="11670" spans="13:13">
      <c r="M11670" s="202"/>
    </row>
    <row r="11671" spans="13:13">
      <c r="M11671" s="202"/>
    </row>
    <row r="11672" spans="13:13">
      <c r="M11672" s="202"/>
    </row>
    <row r="11673" spans="13:13">
      <c r="M11673" s="202"/>
    </row>
    <row r="11674" spans="13:13">
      <c r="M11674" s="202"/>
    </row>
    <row r="11675" spans="13:13">
      <c r="M11675" s="202"/>
    </row>
    <row r="11676" spans="13:13">
      <c r="M11676" s="202"/>
    </row>
    <row r="11677" spans="13:13">
      <c r="M11677" s="202"/>
    </row>
    <row r="11678" spans="13:13">
      <c r="M11678" s="202"/>
    </row>
    <row r="11679" spans="13:13">
      <c r="M11679" s="202"/>
    </row>
    <row r="11680" spans="13:13">
      <c r="M11680" s="202"/>
    </row>
    <row r="11681" spans="13:13">
      <c r="M11681" s="202"/>
    </row>
    <row r="11682" spans="13:13">
      <c r="M11682" s="202"/>
    </row>
    <row r="11683" spans="13:13">
      <c r="M11683" s="202"/>
    </row>
    <row r="11684" spans="13:13">
      <c r="M11684" s="202"/>
    </row>
    <row r="11685" spans="13:13">
      <c r="M11685" s="202"/>
    </row>
    <row r="11686" spans="13:13">
      <c r="M11686" s="202"/>
    </row>
    <row r="11687" spans="13:13">
      <c r="M11687" s="202"/>
    </row>
    <row r="11688" spans="13:13">
      <c r="M11688" s="202"/>
    </row>
    <row r="11689" spans="13:13">
      <c r="M11689" s="202"/>
    </row>
    <row r="11690" spans="13:13">
      <c r="M11690" s="202"/>
    </row>
    <row r="11691" spans="13:13">
      <c r="M11691" s="202"/>
    </row>
    <row r="11692" spans="13:13">
      <c r="M11692" s="202"/>
    </row>
    <row r="11693" spans="13:13">
      <c r="M11693" s="202"/>
    </row>
    <row r="11694" spans="13:13">
      <c r="M11694" s="202"/>
    </row>
    <row r="11695" spans="13:13">
      <c r="M11695" s="202"/>
    </row>
    <row r="11696" spans="13:13">
      <c r="M11696" s="202"/>
    </row>
    <row r="11697" spans="13:13">
      <c r="M11697" s="202"/>
    </row>
    <row r="11698" spans="13:13">
      <c r="M11698" s="202"/>
    </row>
    <row r="11699" spans="13:13">
      <c r="M11699" s="202"/>
    </row>
    <row r="11700" spans="13:13">
      <c r="M11700" s="202"/>
    </row>
    <row r="11701" spans="13:13">
      <c r="M11701" s="202"/>
    </row>
    <row r="11702" spans="13:13">
      <c r="M11702" s="202"/>
    </row>
    <row r="11703" spans="13:13">
      <c r="M11703" s="202"/>
    </row>
    <row r="11704" spans="13:13">
      <c r="M11704" s="202"/>
    </row>
    <row r="11705" spans="13:13">
      <c r="M11705" s="202"/>
    </row>
    <row r="11706" spans="13:13">
      <c r="M11706" s="202"/>
    </row>
    <row r="11707" spans="13:13">
      <c r="M11707" s="202"/>
    </row>
    <row r="11708" spans="13:13">
      <c r="M11708" s="202"/>
    </row>
    <row r="11709" spans="13:13">
      <c r="M11709" s="202"/>
    </row>
    <row r="11710" spans="13:13">
      <c r="M11710" s="202"/>
    </row>
    <row r="11711" spans="13:13">
      <c r="M11711" s="202"/>
    </row>
    <row r="11712" spans="13:13">
      <c r="M11712" s="202"/>
    </row>
    <row r="11713" spans="13:13">
      <c r="M11713" s="202"/>
    </row>
    <row r="11714" spans="13:13">
      <c r="M11714" s="202"/>
    </row>
    <row r="11715" spans="13:13">
      <c r="M11715" s="202"/>
    </row>
    <row r="11716" spans="13:13">
      <c r="M11716" s="202"/>
    </row>
    <row r="11717" spans="13:13">
      <c r="M11717" s="202"/>
    </row>
    <row r="11718" spans="13:13">
      <c r="M11718" s="202"/>
    </row>
    <row r="11719" spans="13:13">
      <c r="M11719" s="202"/>
    </row>
    <row r="11720" spans="13:13">
      <c r="M11720" s="202"/>
    </row>
    <row r="11721" spans="13:13">
      <c r="M11721" s="202"/>
    </row>
    <row r="11722" spans="13:13">
      <c r="M11722" s="202"/>
    </row>
    <row r="11723" spans="13:13">
      <c r="M11723" s="202"/>
    </row>
    <row r="11724" spans="13:13">
      <c r="M11724" s="202"/>
    </row>
    <row r="11725" spans="13:13">
      <c r="M11725" s="202"/>
    </row>
    <row r="11726" spans="13:13">
      <c r="M11726" s="202"/>
    </row>
    <row r="11727" spans="13:13">
      <c r="M11727" s="202"/>
    </row>
    <row r="11728" spans="13:13">
      <c r="M11728" s="202"/>
    </row>
    <row r="11729" spans="13:13">
      <c r="M11729" s="202"/>
    </row>
    <row r="11730" spans="13:13">
      <c r="M11730" s="202"/>
    </row>
    <row r="11731" spans="13:13">
      <c r="M11731" s="202"/>
    </row>
    <row r="11732" spans="13:13">
      <c r="M11732" s="202"/>
    </row>
    <row r="11733" spans="13:13">
      <c r="M11733" s="202"/>
    </row>
    <row r="11734" spans="13:13">
      <c r="M11734" s="202"/>
    </row>
    <row r="11735" spans="13:13">
      <c r="M11735" s="202"/>
    </row>
    <row r="11736" spans="13:13">
      <c r="M11736" s="202"/>
    </row>
    <row r="11737" spans="13:13">
      <c r="M11737" s="202"/>
    </row>
    <row r="11738" spans="13:13">
      <c r="M11738" s="202"/>
    </row>
    <row r="11739" spans="13:13">
      <c r="M11739" s="202"/>
    </row>
    <row r="11740" spans="13:13">
      <c r="M11740" s="202"/>
    </row>
    <row r="11741" spans="13:13">
      <c r="M11741" s="202"/>
    </row>
    <row r="11742" spans="13:13">
      <c r="M11742" s="202"/>
    </row>
    <row r="11743" spans="13:13">
      <c r="M11743" s="202"/>
    </row>
    <row r="11744" spans="13:13">
      <c r="M11744" s="202"/>
    </row>
    <row r="11745" spans="13:13">
      <c r="M11745" s="202"/>
    </row>
    <row r="11746" spans="13:13">
      <c r="M11746" s="202"/>
    </row>
    <row r="11747" spans="13:13">
      <c r="M11747" s="202"/>
    </row>
    <row r="11748" spans="13:13">
      <c r="M11748" s="202"/>
    </row>
    <row r="11749" spans="13:13">
      <c r="M11749" s="202"/>
    </row>
    <row r="11750" spans="13:13">
      <c r="M11750" s="202"/>
    </row>
    <row r="11751" spans="13:13">
      <c r="M11751" s="202"/>
    </row>
    <row r="11752" spans="13:13">
      <c r="M11752" s="202"/>
    </row>
    <row r="11753" spans="13:13">
      <c r="M11753" s="202"/>
    </row>
    <row r="11754" spans="13:13">
      <c r="M11754" s="202"/>
    </row>
    <row r="11755" spans="13:13">
      <c r="M11755" s="202"/>
    </row>
    <row r="11756" spans="13:13">
      <c r="M11756" s="202"/>
    </row>
    <row r="11757" spans="13:13">
      <c r="M11757" s="202"/>
    </row>
    <row r="11758" spans="13:13">
      <c r="M11758" s="202"/>
    </row>
    <row r="11759" spans="13:13">
      <c r="M11759" s="202"/>
    </row>
    <row r="11760" spans="13:13">
      <c r="M11760" s="202"/>
    </row>
    <row r="11761" spans="13:13">
      <c r="M11761" s="202"/>
    </row>
    <row r="11762" spans="13:13">
      <c r="M11762" s="202"/>
    </row>
    <row r="11763" spans="13:13">
      <c r="M11763" s="202"/>
    </row>
    <row r="11764" spans="13:13">
      <c r="M11764" s="202"/>
    </row>
    <row r="11765" spans="13:13">
      <c r="M11765" s="202"/>
    </row>
    <row r="11766" spans="13:13">
      <c r="M11766" s="202"/>
    </row>
    <row r="11767" spans="13:13">
      <c r="M11767" s="202"/>
    </row>
    <row r="11768" spans="13:13">
      <c r="M11768" s="202"/>
    </row>
    <row r="11769" spans="13:13">
      <c r="M11769" s="202"/>
    </row>
    <row r="11770" spans="13:13">
      <c r="M11770" s="202"/>
    </row>
    <row r="11771" spans="13:13">
      <c r="M11771" s="202"/>
    </row>
    <row r="11772" spans="13:13">
      <c r="M11772" s="202"/>
    </row>
    <row r="11773" spans="13:13">
      <c r="M11773" s="202"/>
    </row>
    <row r="11774" spans="13:13">
      <c r="M11774" s="202"/>
    </row>
    <row r="11775" spans="13:13">
      <c r="M11775" s="202"/>
    </row>
    <row r="11776" spans="13:13">
      <c r="M11776" s="202"/>
    </row>
    <row r="11777" spans="13:13">
      <c r="M11777" s="202"/>
    </row>
    <row r="11778" spans="13:13">
      <c r="M11778" s="202"/>
    </row>
    <row r="11779" spans="13:13">
      <c r="M11779" s="202"/>
    </row>
    <row r="11780" spans="13:13">
      <c r="M11780" s="202"/>
    </row>
    <row r="11781" spans="13:13">
      <c r="M11781" s="202"/>
    </row>
    <row r="11782" spans="13:13">
      <c r="M11782" s="202"/>
    </row>
    <row r="11783" spans="13:13">
      <c r="M11783" s="202"/>
    </row>
    <row r="11784" spans="13:13">
      <c r="M11784" s="202"/>
    </row>
    <row r="11785" spans="13:13">
      <c r="M11785" s="202"/>
    </row>
    <row r="11786" spans="13:13">
      <c r="M11786" s="202"/>
    </row>
    <row r="11787" spans="13:13">
      <c r="M11787" s="202"/>
    </row>
    <row r="11788" spans="13:13">
      <c r="M11788" s="202"/>
    </row>
    <row r="11789" spans="13:13">
      <c r="M11789" s="202"/>
    </row>
    <row r="11790" spans="13:13">
      <c r="M11790" s="202"/>
    </row>
    <row r="11791" spans="13:13">
      <c r="M11791" s="202"/>
    </row>
    <row r="11792" spans="13:13">
      <c r="M11792" s="202"/>
    </row>
    <row r="11793" spans="13:13">
      <c r="M11793" s="202"/>
    </row>
    <row r="11794" spans="13:13">
      <c r="M11794" s="202"/>
    </row>
    <row r="11795" spans="13:13">
      <c r="M11795" s="202"/>
    </row>
    <row r="11796" spans="13:13">
      <c r="M11796" s="202"/>
    </row>
    <row r="11797" spans="13:13">
      <c r="M11797" s="202"/>
    </row>
    <row r="11798" spans="13:13">
      <c r="M11798" s="202"/>
    </row>
    <row r="11799" spans="13:13">
      <c r="M11799" s="202"/>
    </row>
    <row r="11800" spans="13:13">
      <c r="M11800" s="202"/>
    </row>
    <row r="11801" spans="13:13">
      <c r="M11801" s="202"/>
    </row>
    <row r="11802" spans="13:13">
      <c r="M11802" s="202"/>
    </row>
    <row r="11803" spans="13:13">
      <c r="M11803" s="202"/>
    </row>
    <row r="11804" spans="13:13">
      <c r="M11804" s="202"/>
    </row>
    <row r="11805" spans="13:13">
      <c r="M11805" s="202"/>
    </row>
    <row r="11806" spans="13:13">
      <c r="M11806" s="202"/>
    </row>
    <row r="11807" spans="13:13">
      <c r="M11807" s="202"/>
    </row>
    <row r="11808" spans="13:13">
      <c r="M11808" s="202"/>
    </row>
    <row r="11809" spans="13:13">
      <c r="M11809" s="202"/>
    </row>
    <row r="11810" spans="13:13">
      <c r="M11810" s="202"/>
    </row>
    <row r="11811" spans="13:13">
      <c r="M11811" s="202"/>
    </row>
    <row r="11812" spans="13:13">
      <c r="M11812" s="202"/>
    </row>
    <row r="11813" spans="13:13">
      <c r="M11813" s="202"/>
    </row>
    <row r="11814" spans="13:13">
      <c r="M11814" s="202"/>
    </row>
    <row r="11815" spans="13:13">
      <c r="M11815" s="202"/>
    </row>
    <row r="11816" spans="13:13">
      <c r="M11816" s="202"/>
    </row>
    <row r="11817" spans="13:13">
      <c r="M11817" s="202"/>
    </row>
    <row r="11818" spans="13:13">
      <c r="M11818" s="202"/>
    </row>
    <row r="11819" spans="13:13">
      <c r="M11819" s="202"/>
    </row>
    <row r="11820" spans="13:13">
      <c r="M11820" s="202"/>
    </row>
    <row r="11821" spans="13:13">
      <c r="M11821" s="202"/>
    </row>
    <row r="11822" spans="13:13">
      <c r="M11822" s="202"/>
    </row>
    <row r="11823" spans="13:13">
      <c r="M11823" s="202"/>
    </row>
    <row r="11824" spans="13:13">
      <c r="M11824" s="202"/>
    </row>
    <row r="11825" spans="13:13">
      <c r="M11825" s="202"/>
    </row>
    <row r="11826" spans="13:13">
      <c r="M11826" s="202"/>
    </row>
    <row r="11827" spans="13:13">
      <c r="M11827" s="202"/>
    </row>
    <row r="11828" spans="13:13">
      <c r="M11828" s="202"/>
    </row>
    <row r="11829" spans="13:13">
      <c r="M11829" s="202"/>
    </row>
    <row r="11830" spans="13:13">
      <c r="M11830" s="202"/>
    </row>
    <row r="11831" spans="13:13">
      <c r="M11831" s="202"/>
    </row>
    <row r="11832" spans="13:13">
      <c r="M11832" s="202"/>
    </row>
    <row r="11833" spans="13:13">
      <c r="M11833" s="202"/>
    </row>
    <row r="11834" spans="13:13">
      <c r="M11834" s="202"/>
    </row>
    <row r="11835" spans="13:13">
      <c r="M11835" s="202"/>
    </row>
    <row r="11836" spans="13:13">
      <c r="M11836" s="202"/>
    </row>
    <row r="11837" spans="13:13">
      <c r="M11837" s="202"/>
    </row>
    <row r="11838" spans="13:13">
      <c r="M11838" s="202"/>
    </row>
    <row r="11839" spans="13:13">
      <c r="M11839" s="202"/>
    </row>
    <row r="11840" spans="13:13">
      <c r="M11840" s="202"/>
    </row>
    <row r="11841" spans="13:13">
      <c r="M11841" s="202"/>
    </row>
    <row r="11842" spans="13:13">
      <c r="M11842" s="202"/>
    </row>
    <row r="11843" spans="13:13">
      <c r="M11843" s="202"/>
    </row>
    <row r="11844" spans="13:13">
      <c r="M11844" s="202"/>
    </row>
    <row r="11845" spans="13:13">
      <c r="M11845" s="202"/>
    </row>
    <row r="11846" spans="13:13">
      <c r="M11846" s="202"/>
    </row>
    <row r="11847" spans="13:13">
      <c r="M11847" s="202"/>
    </row>
    <row r="11848" spans="13:13">
      <c r="M11848" s="202"/>
    </row>
    <row r="11849" spans="13:13">
      <c r="M11849" s="202"/>
    </row>
    <row r="11850" spans="13:13">
      <c r="M11850" s="202"/>
    </row>
    <row r="11851" spans="13:13">
      <c r="M11851" s="202"/>
    </row>
    <row r="11852" spans="13:13">
      <c r="M11852" s="202"/>
    </row>
    <row r="11853" spans="13:13">
      <c r="M11853" s="202"/>
    </row>
    <row r="11854" spans="13:13">
      <c r="M11854" s="202"/>
    </row>
    <row r="11855" spans="13:13">
      <c r="M11855" s="202"/>
    </row>
    <row r="11856" spans="13:13">
      <c r="M11856" s="202"/>
    </row>
    <row r="11857" spans="13:13">
      <c r="M11857" s="202"/>
    </row>
    <row r="11858" spans="13:13">
      <c r="M11858" s="202"/>
    </row>
    <row r="11859" spans="13:13">
      <c r="M11859" s="202"/>
    </row>
    <row r="11860" spans="13:13">
      <c r="M11860" s="202"/>
    </row>
    <row r="11861" spans="13:13">
      <c r="M11861" s="202"/>
    </row>
    <row r="11862" spans="13:13">
      <c r="M11862" s="202"/>
    </row>
    <row r="11863" spans="13:13">
      <c r="M11863" s="202"/>
    </row>
    <row r="11864" spans="13:13">
      <c r="M11864" s="202"/>
    </row>
    <row r="11865" spans="13:13">
      <c r="M11865" s="202"/>
    </row>
    <row r="11866" spans="13:13">
      <c r="M11866" s="202"/>
    </row>
    <row r="11867" spans="13:13">
      <c r="M11867" s="202"/>
    </row>
    <row r="11868" spans="13:13">
      <c r="M11868" s="202"/>
    </row>
    <row r="11869" spans="13:13">
      <c r="M11869" s="202"/>
    </row>
    <row r="11870" spans="13:13">
      <c r="M11870" s="202"/>
    </row>
    <row r="11871" spans="13:13">
      <c r="M11871" s="202"/>
    </row>
    <row r="11872" spans="13:13">
      <c r="M11872" s="202"/>
    </row>
    <row r="11873" spans="13:13">
      <c r="M11873" s="202"/>
    </row>
    <row r="11874" spans="13:13">
      <c r="M11874" s="202"/>
    </row>
    <row r="11875" spans="13:13">
      <c r="M11875" s="202"/>
    </row>
    <row r="11876" spans="13:13">
      <c r="M11876" s="202"/>
    </row>
    <row r="11877" spans="13:13">
      <c r="M11877" s="202"/>
    </row>
    <row r="11878" spans="13:13">
      <c r="M11878" s="202"/>
    </row>
    <row r="11879" spans="13:13">
      <c r="M11879" s="202"/>
    </row>
    <row r="11880" spans="13:13">
      <c r="M11880" s="202"/>
    </row>
    <row r="11881" spans="13:13">
      <c r="M11881" s="202"/>
    </row>
    <row r="11882" spans="13:13">
      <c r="M11882" s="202"/>
    </row>
    <row r="11883" spans="13:13">
      <c r="M11883" s="202"/>
    </row>
    <row r="11884" spans="13:13">
      <c r="M11884" s="202"/>
    </row>
    <row r="11885" spans="13:13">
      <c r="M11885" s="202"/>
    </row>
    <row r="11886" spans="13:13">
      <c r="M11886" s="202"/>
    </row>
    <row r="11887" spans="13:13">
      <c r="M11887" s="202"/>
    </row>
    <row r="11888" spans="13:13">
      <c r="M11888" s="202"/>
    </row>
    <row r="11889" spans="13:13">
      <c r="M11889" s="202"/>
    </row>
    <row r="11890" spans="13:13">
      <c r="M11890" s="202"/>
    </row>
    <row r="11891" spans="13:13">
      <c r="M11891" s="202"/>
    </row>
    <row r="11892" spans="13:13">
      <c r="M11892" s="202"/>
    </row>
    <row r="11893" spans="13:13">
      <c r="M11893" s="202"/>
    </row>
    <row r="11894" spans="13:13">
      <c r="M11894" s="202"/>
    </row>
    <row r="11895" spans="13:13">
      <c r="M11895" s="202"/>
    </row>
    <row r="11896" spans="13:13">
      <c r="M11896" s="202"/>
    </row>
    <row r="11897" spans="13:13">
      <c r="M11897" s="202"/>
    </row>
    <row r="11898" spans="13:13">
      <c r="M11898" s="202"/>
    </row>
    <row r="11899" spans="13:13">
      <c r="M11899" s="202"/>
    </row>
    <row r="11900" spans="13:13">
      <c r="M11900" s="202"/>
    </row>
    <row r="11901" spans="13:13">
      <c r="M11901" s="202"/>
    </row>
    <row r="11902" spans="13:13">
      <c r="M11902" s="202"/>
    </row>
    <row r="11903" spans="13:13">
      <c r="M11903" s="202"/>
    </row>
    <row r="11904" spans="13:13">
      <c r="M11904" s="202"/>
    </row>
    <row r="11905" spans="13:13">
      <c r="M11905" s="202"/>
    </row>
    <row r="11906" spans="13:13">
      <c r="M11906" s="202"/>
    </row>
    <row r="11907" spans="13:13">
      <c r="M11907" s="202"/>
    </row>
    <row r="11908" spans="13:13">
      <c r="M11908" s="202"/>
    </row>
    <row r="11909" spans="13:13">
      <c r="M11909" s="202"/>
    </row>
    <row r="11910" spans="13:13">
      <c r="M11910" s="202"/>
    </row>
    <row r="11911" spans="13:13">
      <c r="M11911" s="202"/>
    </row>
    <row r="11912" spans="13:13">
      <c r="M11912" s="202"/>
    </row>
    <row r="11913" spans="13:13">
      <c r="M11913" s="202"/>
    </row>
    <row r="11914" spans="13:13">
      <c r="M11914" s="202"/>
    </row>
    <row r="11915" spans="13:13">
      <c r="M11915" s="202"/>
    </row>
    <row r="11916" spans="13:13">
      <c r="M11916" s="202"/>
    </row>
    <row r="11917" spans="13:13">
      <c r="M11917" s="202"/>
    </row>
    <row r="11918" spans="13:13">
      <c r="M11918" s="202"/>
    </row>
    <row r="11919" spans="13:13">
      <c r="M11919" s="202"/>
    </row>
    <row r="11920" spans="13:13">
      <c r="M11920" s="202"/>
    </row>
    <row r="11921" spans="13:13">
      <c r="M11921" s="202"/>
    </row>
    <row r="11922" spans="13:13">
      <c r="M11922" s="202"/>
    </row>
    <row r="11923" spans="13:13">
      <c r="M11923" s="202"/>
    </row>
    <row r="11924" spans="13:13">
      <c r="M11924" s="202"/>
    </row>
    <row r="11925" spans="13:13">
      <c r="M11925" s="202"/>
    </row>
    <row r="11926" spans="13:13">
      <c r="M11926" s="202"/>
    </row>
    <row r="11927" spans="13:13">
      <c r="M11927" s="202"/>
    </row>
    <row r="11928" spans="13:13">
      <c r="M11928" s="202"/>
    </row>
    <row r="11929" spans="13:13">
      <c r="M11929" s="202"/>
    </row>
    <row r="11930" spans="13:13">
      <c r="M11930" s="202"/>
    </row>
    <row r="11931" spans="13:13">
      <c r="M11931" s="202"/>
    </row>
    <row r="11932" spans="13:13">
      <c r="M11932" s="202"/>
    </row>
    <row r="11933" spans="13:13">
      <c r="M11933" s="202"/>
    </row>
    <row r="11934" spans="13:13">
      <c r="M11934" s="202"/>
    </row>
    <row r="11935" spans="13:13">
      <c r="M11935" s="202"/>
    </row>
    <row r="11936" spans="13:13">
      <c r="M11936" s="202"/>
    </row>
    <row r="11937" spans="13:13">
      <c r="M11937" s="202"/>
    </row>
    <row r="11938" spans="13:13">
      <c r="M11938" s="202"/>
    </row>
    <row r="11939" spans="13:13">
      <c r="M11939" s="202"/>
    </row>
    <row r="11940" spans="13:13">
      <c r="M11940" s="202"/>
    </row>
    <row r="11941" spans="13:13">
      <c r="M11941" s="202"/>
    </row>
    <row r="11942" spans="13:13">
      <c r="M11942" s="202"/>
    </row>
    <row r="11943" spans="13:13">
      <c r="M11943" s="202"/>
    </row>
    <row r="11944" spans="13:13">
      <c r="M11944" s="202"/>
    </row>
    <row r="11945" spans="13:13">
      <c r="M11945" s="202"/>
    </row>
    <row r="11946" spans="13:13">
      <c r="M11946" s="202"/>
    </row>
    <row r="11947" spans="13:13">
      <c r="M11947" s="202"/>
    </row>
    <row r="11948" spans="13:13">
      <c r="M11948" s="202"/>
    </row>
    <row r="11949" spans="13:13">
      <c r="M11949" s="202"/>
    </row>
    <row r="11950" spans="13:13">
      <c r="M11950" s="202"/>
    </row>
    <row r="11951" spans="13:13">
      <c r="M11951" s="202"/>
    </row>
    <row r="11952" spans="13:13">
      <c r="M11952" s="202"/>
    </row>
    <row r="11953" spans="13:13">
      <c r="M11953" s="202"/>
    </row>
    <row r="11954" spans="13:13">
      <c r="M11954" s="202"/>
    </row>
    <row r="11955" spans="13:13">
      <c r="M11955" s="202"/>
    </row>
    <row r="11956" spans="13:13">
      <c r="M11956" s="202"/>
    </row>
    <row r="11957" spans="13:13">
      <c r="M11957" s="202"/>
    </row>
    <row r="11958" spans="13:13">
      <c r="M11958" s="202"/>
    </row>
    <row r="11959" spans="13:13">
      <c r="M11959" s="202"/>
    </row>
    <row r="11960" spans="13:13">
      <c r="M11960" s="202"/>
    </row>
    <row r="11961" spans="13:13">
      <c r="M11961" s="202"/>
    </row>
    <row r="11962" spans="13:13">
      <c r="M11962" s="202"/>
    </row>
    <row r="11963" spans="13:13">
      <c r="M11963" s="202"/>
    </row>
    <row r="11964" spans="13:13">
      <c r="M11964" s="202"/>
    </row>
    <row r="11965" spans="13:13">
      <c r="M11965" s="202"/>
    </row>
    <row r="11966" spans="13:13">
      <c r="M11966" s="202"/>
    </row>
    <row r="11967" spans="13:13">
      <c r="M11967" s="202"/>
    </row>
    <row r="11968" spans="13:13">
      <c r="M11968" s="202"/>
    </row>
    <row r="11969" spans="13:13">
      <c r="M11969" s="202"/>
    </row>
    <row r="11970" spans="13:13">
      <c r="M11970" s="202"/>
    </row>
    <row r="11971" spans="13:13">
      <c r="M11971" s="202"/>
    </row>
    <row r="11972" spans="13:13">
      <c r="M11972" s="202"/>
    </row>
    <row r="11973" spans="13:13">
      <c r="M11973" s="202"/>
    </row>
    <row r="11974" spans="13:13">
      <c r="M11974" s="202"/>
    </row>
    <row r="11975" spans="13:13">
      <c r="M11975" s="202"/>
    </row>
    <row r="11976" spans="13:13">
      <c r="M11976" s="202"/>
    </row>
    <row r="11977" spans="13:13">
      <c r="M11977" s="202"/>
    </row>
    <row r="11978" spans="13:13">
      <c r="M11978" s="202"/>
    </row>
    <row r="11979" spans="13:13">
      <c r="M11979" s="202"/>
    </row>
    <row r="11980" spans="13:13">
      <c r="M11980" s="202"/>
    </row>
    <row r="11981" spans="13:13">
      <c r="M11981" s="202"/>
    </row>
    <row r="11982" spans="13:13">
      <c r="M11982" s="202"/>
    </row>
    <row r="11983" spans="13:13">
      <c r="M11983" s="202"/>
    </row>
    <row r="11984" spans="13:13">
      <c r="M11984" s="202"/>
    </row>
    <row r="11985" spans="13:13">
      <c r="M11985" s="202"/>
    </row>
    <row r="11986" spans="13:13">
      <c r="M11986" s="202"/>
    </row>
    <row r="11987" spans="13:13">
      <c r="M11987" s="202"/>
    </row>
    <row r="11988" spans="13:13">
      <c r="M11988" s="202"/>
    </row>
    <row r="11989" spans="13:13">
      <c r="M11989" s="202"/>
    </row>
    <row r="11990" spans="13:13">
      <c r="M11990" s="202"/>
    </row>
    <row r="11991" spans="13:13">
      <c r="M11991" s="202"/>
    </row>
    <row r="11992" spans="13:13">
      <c r="M11992" s="202"/>
    </row>
    <row r="11993" spans="13:13">
      <c r="M11993" s="202"/>
    </row>
    <row r="11994" spans="13:13">
      <c r="M11994" s="202"/>
    </row>
    <row r="11995" spans="13:13">
      <c r="M11995" s="202"/>
    </row>
    <row r="11996" spans="13:13">
      <c r="M11996" s="202"/>
    </row>
    <row r="11997" spans="13:13">
      <c r="M11997" s="202"/>
    </row>
    <row r="11998" spans="13:13">
      <c r="M11998" s="202"/>
    </row>
    <row r="11999" spans="13:13">
      <c r="M11999" s="202"/>
    </row>
    <row r="12000" spans="13:13">
      <c r="M12000" s="202"/>
    </row>
    <row r="12001" spans="13:13">
      <c r="M12001" s="202"/>
    </row>
    <row r="12002" spans="13:13">
      <c r="M12002" s="202"/>
    </row>
    <row r="12003" spans="13:13">
      <c r="M12003" s="202"/>
    </row>
    <row r="12004" spans="13:13">
      <c r="M12004" s="202"/>
    </row>
    <row r="12005" spans="13:13">
      <c r="M12005" s="202"/>
    </row>
    <row r="12006" spans="13:13">
      <c r="M12006" s="202"/>
    </row>
    <row r="12007" spans="13:13">
      <c r="M12007" s="202"/>
    </row>
    <row r="12008" spans="13:13">
      <c r="M12008" s="202"/>
    </row>
    <row r="12009" spans="13:13">
      <c r="M12009" s="202"/>
    </row>
    <row r="12010" spans="13:13">
      <c r="M12010" s="202"/>
    </row>
    <row r="12011" spans="13:13">
      <c r="M12011" s="202"/>
    </row>
    <row r="12012" spans="13:13">
      <c r="M12012" s="202"/>
    </row>
    <row r="12013" spans="13:13">
      <c r="M12013" s="202"/>
    </row>
    <row r="12014" spans="13:13">
      <c r="M12014" s="202"/>
    </row>
    <row r="12015" spans="13:13">
      <c r="M12015" s="202"/>
    </row>
    <row r="12016" spans="13:13">
      <c r="M12016" s="202"/>
    </row>
    <row r="12017" spans="13:13">
      <c r="M12017" s="202"/>
    </row>
    <row r="12018" spans="13:13">
      <c r="M12018" s="202"/>
    </row>
    <row r="12019" spans="13:13">
      <c r="M12019" s="202"/>
    </row>
    <row r="12020" spans="13:13">
      <c r="M12020" s="202"/>
    </row>
    <row r="12021" spans="13:13">
      <c r="M12021" s="202"/>
    </row>
    <row r="12022" spans="13:13">
      <c r="M12022" s="202"/>
    </row>
    <row r="12023" spans="13:13">
      <c r="M12023" s="202"/>
    </row>
    <row r="12024" spans="13:13">
      <c r="M12024" s="202"/>
    </row>
    <row r="12025" spans="13:13">
      <c r="M12025" s="202"/>
    </row>
    <row r="12026" spans="13:13">
      <c r="M12026" s="202"/>
    </row>
    <row r="12027" spans="13:13">
      <c r="M12027" s="202"/>
    </row>
    <row r="12028" spans="13:13">
      <c r="M12028" s="202"/>
    </row>
    <row r="12029" spans="13:13">
      <c r="M12029" s="202"/>
    </row>
    <row r="12030" spans="13:13">
      <c r="M12030" s="202"/>
    </row>
    <row r="12031" spans="13:13">
      <c r="M12031" s="202"/>
    </row>
    <row r="12032" spans="13:13">
      <c r="M12032" s="202"/>
    </row>
    <row r="12033" spans="13:13">
      <c r="M12033" s="202"/>
    </row>
    <row r="12034" spans="13:13">
      <c r="M12034" s="202"/>
    </row>
    <row r="12035" spans="13:13">
      <c r="M12035" s="202"/>
    </row>
    <row r="12036" spans="13:13">
      <c r="M12036" s="202"/>
    </row>
    <row r="12037" spans="13:13">
      <c r="M12037" s="202"/>
    </row>
    <row r="12038" spans="13:13">
      <c r="M12038" s="202"/>
    </row>
    <row r="12039" spans="13:13">
      <c r="M12039" s="202"/>
    </row>
    <row r="12040" spans="13:13">
      <c r="M12040" s="202"/>
    </row>
    <row r="12041" spans="13:13">
      <c r="M12041" s="202"/>
    </row>
    <row r="12042" spans="13:13">
      <c r="M12042" s="202"/>
    </row>
    <row r="12043" spans="13:13">
      <c r="M12043" s="202"/>
    </row>
    <row r="12044" spans="13:13">
      <c r="M12044" s="202"/>
    </row>
    <row r="12045" spans="13:13">
      <c r="M12045" s="202"/>
    </row>
    <row r="12046" spans="13:13">
      <c r="M12046" s="202"/>
    </row>
    <row r="12047" spans="13:13">
      <c r="M12047" s="202"/>
    </row>
    <row r="12048" spans="13:13">
      <c r="M12048" s="202"/>
    </row>
    <row r="12049" spans="13:13">
      <c r="M12049" s="202"/>
    </row>
    <row r="12050" spans="13:13">
      <c r="M12050" s="202"/>
    </row>
    <row r="12051" spans="13:13">
      <c r="M12051" s="202"/>
    </row>
    <row r="12052" spans="13:13">
      <c r="M12052" s="202"/>
    </row>
    <row r="12053" spans="13:13">
      <c r="M12053" s="202"/>
    </row>
    <row r="12054" spans="13:13">
      <c r="M12054" s="202"/>
    </row>
    <row r="12055" spans="13:13">
      <c r="M12055" s="202"/>
    </row>
    <row r="12056" spans="13:13">
      <c r="M12056" s="202"/>
    </row>
    <row r="12057" spans="13:13">
      <c r="M12057" s="202"/>
    </row>
    <row r="12058" spans="13:13">
      <c r="M12058" s="202"/>
    </row>
    <row r="12059" spans="13:13">
      <c r="M12059" s="202"/>
    </row>
    <row r="12060" spans="13:13">
      <c r="M12060" s="202"/>
    </row>
    <row r="12061" spans="13:13">
      <c r="M12061" s="202"/>
    </row>
    <row r="12062" spans="13:13">
      <c r="M12062" s="202"/>
    </row>
    <row r="12063" spans="13:13">
      <c r="M12063" s="202"/>
    </row>
    <row r="12064" spans="13:13">
      <c r="M12064" s="202"/>
    </row>
    <row r="12065" spans="13:13">
      <c r="M12065" s="202"/>
    </row>
    <row r="12066" spans="13:13">
      <c r="M12066" s="202"/>
    </row>
    <row r="12067" spans="13:13">
      <c r="M12067" s="202"/>
    </row>
    <row r="12068" spans="13:13">
      <c r="M12068" s="202"/>
    </row>
    <row r="12069" spans="13:13">
      <c r="M12069" s="202"/>
    </row>
    <row r="12070" spans="13:13">
      <c r="M12070" s="202"/>
    </row>
    <row r="12071" spans="13:13">
      <c r="M12071" s="202"/>
    </row>
    <row r="12072" spans="13:13">
      <c r="M12072" s="202"/>
    </row>
    <row r="12073" spans="13:13">
      <c r="M12073" s="202"/>
    </row>
    <row r="12074" spans="13:13">
      <c r="M12074" s="202"/>
    </row>
    <row r="12075" spans="13:13">
      <c r="M12075" s="202"/>
    </row>
    <row r="12076" spans="13:13">
      <c r="M12076" s="202"/>
    </row>
    <row r="12077" spans="13:13">
      <c r="M12077" s="202"/>
    </row>
    <row r="12078" spans="13:13">
      <c r="M12078" s="202"/>
    </row>
    <row r="12079" spans="13:13">
      <c r="M12079" s="202"/>
    </row>
    <row r="12080" spans="13:13">
      <c r="M12080" s="202"/>
    </row>
    <row r="12081" spans="13:13">
      <c r="M12081" s="202"/>
    </row>
    <row r="12082" spans="13:13">
      <c r="M12082" s="202"/>
    </row>
    <row r="12083" spans="13:13">
      <c r="M12083" s="202"/>
    </row>
    <row r="12084" spans="13:13">
      <c r="M12084" s="202"/>
    </row>
    <row r="12085" spans="13:13">
      <c r="M12085" s="202"/>
    </row>
    <row r="12086" spans="13:13">
      <c r="M12086" s="202"/>
    </row>
    <row r="12087" spans="13:13">
      <c r="M12087" s="202"/>
    </row>
    <row r="12088" spans="13:13">
      <c r="M12088" s="202"/>
    </row>
    <row r="12089" spans="13:13">
      <c r="M12089" s="202"/>
    </row>
    <row r="12090" spans="13:13">
      <c r="M12090" s="202"/>
    </row>
    <row r="12091" spans="13:13">
      <c r="M12091" s="202"/>
    </row>
    <row r="12092" spans="13:13">
      <c r="M12092" s="202"/>
    </row>
    <row r="12093" spans="13:13">
      <c r="M12093" s="202"/>
    </row>
    <row r="12094" spans="13:13">
      <c r="M12094" s="202"/>
    </row>
    <row r="12095" spans="13:13">
      <c r="M12095" s="202"/>
    </row>
    <row r="12096" spans="13:13">
      <c r="M12096" s="202"/>
    </row>
    <row r="12097" spans="13:13">
      <c r="M12097" s="202"/>
    </row>
    <row r="12098" spans="13:13">
      <c r="M12098" s="202"/>
    </row>
    <row r="12099" spans="13:13">
      <c r="M12099" s="202"/>
    </row>
    <row r="12100" spans="13:13">
      <c r="M12100" s="202"/>
    </row>
    <row r="12101" spans="13:13">
      <c r="M12101" s="202"/>
    </row>
    <row r="12102" spans="13:13">
      <c r="M12102" s="202"/>
    </row>
    <row r="12103" spans="13:13">
      <c r="M12103" s="202"/>
    </row>
    <row r="12104" spans="13:13">
      <c r="M12104" s="202"/>
    </row>
    <row r="12105" spans="13:13">
      <c r="M12105" s="202"/>
    </row>
    <row r="12106" spans="13:13">
      <c r="M12106" s="202"/>
    </row>
    <row r="12107" spans="13:13">
      <c r="M12107" s="202"/>
    </row>
    <row r="12108" spans="13:13">
      <c r="M12108" s="202"/>
    </row>
    <row r="12109" spans="13:13">
      <c r="M12109" s="202"/>
    </row>
    <row r="12110" spans="13:13">
      <c r="M12110" s="202"/>
    </row>
    <row r="12111" spans="13:13">
      <c r="M12111" s="202"/>
    </row>
    <row r="12112" spans="13:13">
      <c r="M12112" s="202"/>
    </row>
    <row r="12113" spans="13:13">
      <c r="M12113" s="202"/>
    </row>
    <row r="12114" spans="13:13">
      <c r="M12114" s="202"/>
    </row>
    <row r="12115" spans="13:13">
      <c r="M12115" s="202"/>
    </row>
    <row r="12116" spans="13:13">
      <c r="M12116" s="202"/>
    </row>
    <row r="12117" spans="13:13">
      <c r="M12117" s="202"/>
    </row>
    <row r="12118" spans="13:13">
      <c r="M12118" s="202"/>
    </row>
    <row r="12119" spans="13:13">
      <c r="M12119" s="202"/>
    </row>
    <row r="12120" spans="13:13">
      <c r="M12120" s="202"/>
    </row>
    <row r="12121" spans="13:13">
      <c r="M12121" s="202"/>
    </row>
    <row r="12122" spans="13:13">
      <c r="M12122" s="202"/>
    </row>
    <row r="12123" spans="13:13">
      <c r="M12123" s="202"/>
    </row>
    <row r="12124" spans="13:13">
      <c r="M12124" s="202"/>
    </row>
    <row r="12125" spans="13:13">
      <c r="M12125" s="202"/>
    </row>
    <row r="12126" spans="13:13">
      <c r="M12126" s="202"/>
    </row>
    <row r="12127" spans="13:13">
      <c r="M12127" s="202"/>
    </row>
    <row r="12128" spans="13:13">
      <c r="M12128" s="202"/>
    </row>
    <row r="12129" spans="13:13">
      <c r="M12129" s="202"/>
    </row>
    <row r="12130" spans="13:13">
      <c r="M12130" s="202"/>
    </row>
    <row r="12131" spans="13:13">
      <c r="M12131" s="202"/>
    </row>
    <row r="12132" spans="13:13">
      <c r="M12132" s="202"/>
    </row>
    <row r="12133" spans="13:13">
      <c r="M12133" s="202"/>
    </row>
    <row r="12134" spans="13:13">
      <c r="M12134" s="202"/>
    </row>
    <row r="12135" spans="13:13">
      <c r="M12135" s="202"/>
    </row>
    <row r="12136" spans="13:13">
      <c r="M12136" s="202"/>
    </row>
    <row r="12137" spans="13:13">
      <c r="M12137" s="202"/>
    </row>
    <row r="12138" spans="13:13">
      <c r="M12138" s="202"/>
    </row>
    <row r="12139" spans="13:13">
      <c r="M12139" s="202"/>
    </row>
    <row r="12140" spans="13:13">
      <c r="M12140" s="202"/>
    </row>
    <row r="12141" spans="13:13">
      <c r="M12141" s="202"/>
    </row>
    <row r="12142" spans="13:13">
      <c r="M12142" s="202"/>
    </row>
    <row r="12143" spans="13:13">
      <c r="M12143" s="202"/>
    </row>
    <row r="12144" spans="13:13">
      <c r="M12144" s="202"/>
    </row>
    <row r="12145" spans="13:13">
      <c r="M12145" s="202"/>
    </row>
    <row r="12146" spans="13:13">
      <c r="M12146" s="202"/>
    </row>
    <row r="12147" spans="13:13">
      <c r="M12147" s="202"/>
    </row>
    <row r="12148" spans="13:13">
      <c r="M12148" s="202"/>
    </row>
    <row r="12149" spans="13:13">
      <c r="M12149" s="202"/>
    </row>
    <row r="12150" spans="13:13">
      <c r="M12150" s="202"/>
    </row>
    <row r="12151" spans="13:13">
      <c r="M12151" s="202"/>
    </row>
    <row r="12152" spans="13:13">
      <c r="M12152" s="202"/>
    </row>
    <row r="12153" spans="13:13">
      <c r="M12153" s="202"/>
    </row>
    <row r="12154" spans="13:13">
      <c r="M12154" s="202"/>
    </row>
    <row r="12155" spans="13:13">
      <c r="M12155" s="202"/>
    </row>
    <row r="12156" spans="13:13">
      <c r="M12156" s="202"/>
    </row>
    <row r="12157" spans="13:13">
      <c r="M12157" s="202"/>
    </row>
    <row r="12158" spans="13:13">
      <c r="M12158" s="202"/>
    </row>
    <row r="12159" spans="13:13">
      <c r="M12159" s="202"/>
    </row>
    <row r="12160" spans="13:13">
      <c r="M12160" s="202"/>
    </row>
    <row r="12161" spans="13:13">
      <c r="M12161" s="202"/>
    </row>
    <row r="12162" spans="13:13">
      <c r="M12162" s="202"/>
    </row>
    <row r="12163" spans="13:13">
      <c r="M12163" s="202"/>
    </row>
    <row r="12164" spans="13:13">
      <c r="M12164" s="202"/>
    </row>
    <row r="12165" spans="13:13">
      <c r="M12165" s="202"/>
    </row>
    <row r="12166" spans="13:13">
      <c r="M12166" s="202"/>
    </row>
    <row r="12167" spans="13:13">
      <c r="M12167" s="202"/>
    </row>
    <row r="12168" spans="13:13">
      <c r="M12168" s="202"/>
    </row>
    <row r="12169" spans="13:13">
      <c r="M12169" s="202"/>
    </row>
    <row r="12170" spans="13:13">
      <c r="M12170" s="202"/>
    </row>
    <row r="12171" spans="13:13">
      <c r="M12171" s="202"/>
    </row>
    <row r="12172" spans="13:13">
      <c r="M12172" s="202"/>
    </row>
    <row r="12173" spans="13:13">
      <c r="M12173" s="202"/>
    </row>
    <row r="12174" spans="13:13">
      <c r="M12174" s="202"/>
    </row>
    <row r="12175" spans="13:13">
      <c r="M12175" s="202"/>
    </row>
    <row r="12176" spans="13:13">
      <c r="M12176" s="202"/>
    </row>
    <row r="12177" spans="13:13">
      <c r="M12177" s="202"/>
    </row>
    <row r="12178" spans="13:13">
      <c r="M12178" s="202"/>
    </row>
    <row r="12179" spans="13:13">
      <c r="M12179" s="202"/>
    </row>
    <row r="12180" spans="13:13">
      <c r="M12180" s="202"/>
    </row>
    <row r="12181" spans="13:13">
      <c r="M12181" s="202"/>
    </row>
    <row r="12182" spans="13:13">
      <c r="M12182" s="202"/>
    </row>
    <row r="12183" spans="13:13">
      <c r="M12183" s="202"/>
    </row>
    <row r="12184" spans="13:13">
      <c r="M12184" s="202"/>
    </row>
    <row r="12185" spans="13:13">
      <c r="M12185" s="202"/>
    </row>
    <row r="12186" spans="13:13">
      <c r="M12186" s="202"/>
    </row>
    <row r="12187" spans="13:13">
      <c r="M12187" s="202"/>
    </row>
    <row r="12188" spans="13:13">
      <c r="M12188" s="202"/>
    </row>
    <row r="12189" spans="13:13">
      <c r="M12189" s="202"/>
    </row>
    <row r="12190" spans="13:13">
      <c r="M12190" s="202"/>
    </row>
    <row r="12191" spans="13:13">
      <c r="M12191" s="202"/>
    </row>
    <row r="12192" spans="13:13">
      <c r="M12192" s="202"/>
    </row>
    <row r="12193" spans="13:13">
      <c r="M12193" s="202"/>
    </row>
    <row r="12194" spans="13:13">
      <c r="M12194" s="202"/>
    </row>
    <row r="12195" spans="13:13">
      <c r="M12195" s="202"/>
    </row>
    <row r="12196" spans="13:13">
      <c r="M12196" s="202"/>
    </row>
    <row r="12197" spans="13:13">
      <c r="M12197" s="202"/>
    </row>
    <row r="12198" spans="13:13">
      <c r="M12198" s="202"/>
    </row>
    <row r="12199" spans="13:13">
      <c r="M12199" s="202"/>
    </row>
    <row r="12200" spans="13:13">
      <c r="M12200" s="202"/>
    </row>
    <row r="12201" spans="13:13">
      <c r="M12201" s="202"/>
    </row>
    <row r="12202" spans="13:13">
      <c r="M12202" s="202"/>
    </row>
    <row r="12203" spans="13:13">
      <c r="M12203" s="202"/>
    </row>
    <row r="12204" spans="13:13">
      <c r="M12204" s="202"/>
    </row>
    <row r="12205" spans="13:13">
      <c r="M12205" s="202"/>
    </row>
    <row r="12206" spans="13:13">
      <c r="M12206" s="202"/>
    </row>
    <row r="12207" spans="13:13">
      <c r="M12207" s="202"/>
    </row>
    <row r="12208" spans="13:13">
      <c r="M12208" s="202"/>
    </row>
    <row r="12209" spans="13:13">
      <c r="M12209" s="202"/>
    </row>
    <row r="12210" spans="13:13">
      <c r="M12210" s="202"/>
    </row>
    <row r="12211" spans="13:13">
      <c r="M12211" s="202"/>
    </row>
    <row r="12212" spans="13:13">
      <c r="M12212" s="202"/>
    </row>
    <row r="12213" spans="13:13">
      <c r="M12213" s="202"/>
    </row>
    <row r="12214" spans="13:13">
      <c r="M12214" s="202"/>
    </row>
    <row r="12215" spans="13:13">
      <c r="M12215" s="202"/>
    </row>
    <row r="12216" spans="13:13">
      <c r="M12216" s="202"/>
    </row>
    <row r="12217" spans="13:13">
      <c r="M12217" s="202"/>
    </row>
    <row r="12218" spans="13:13">
      <c r="M12218" s="202"/>
    </row>
    <row r="12219" spans="13:13">
      <c r="M12219" s="202"/>
    </row>
    <row r="12220" spans="13:13">
      <c r="M12220" s="202"/>
    </row>
    <row r="12221" spans="13:13">
      <c r="M12221" s="202"/>
    </row>
    <row r="12222" spans="13:13">
      <c r="M12222" s="202"/>
    </row>
    <row r="12223" spans="13:13">
      <c r="M12223" s="202"/>
    </row>
    <row r="12224" spans="13:13">
      <c r="M12224" s="202"/>
    </row>
    <row r="12225" spans="13:13">
      <c r="M12225" s="202"/>
    </row>
    <row r="12226" spans="13:13">
      <c r="M12226" s="202"/>
    </row>
    <row r="12227" spans="13:13">
      <c r="M12227" s="202"/>
    </row>
    <row r="12228" spans="13:13">
      <c r="M12228" s="202"/>
    </row>
    <row r="12229" spans="13:13">
      <c r="M12229" s="202"/>
    </row>
    <row r="12230" spans="13:13">
      <c r="M12230" s="202"/>
    </row>
    <row r="12231" spans="13:13">
      <c r="M12231" s="202"/>
    </row>
    <row r="12232" spans="13:13">
      <c r="M12232" s="202"/>
    </row>
    <row r="12233" spans="13:13">
      <c r="M12233" s="202"/>
    </row>
    <row r="12234" spans="13:13">
      <c r="M12234" s="202"/>
    </row>
    <row r="12235" spans="13:13">
      <c r="M12235" s="202"/>
    </row>
    <row r="12236" spans="13:13">
      <c r="M12236" s="202"/>
    </row>
    <row r="12237" spans="13:13">
      <c r="M12237" s="202"/>
    </row>
    <row r="12238" spans="13:13">
      <c r="M12238" s="202"/>
    </row>
    <row r="12239" spans="13:13">
      <c r="M12239" s="202"/>
    </row>
    <row r="12240" spans="13:13">
      <c r="M12240" s="202"/>
    </row>
    <row r="12241" spans="13:13">
      <c r="M12241" s="202"/>
    </row>
    <row r="12242" spans="13:13">
      <c r="M12242" s="202"/>
    </row>
    <row r="12243" spans="13:13">
      <c r="M12243" s="202"/>
    </row>
    <row r="12244" spans="13:13">
      <c r="M12244" s="202"/>
    </row>
    <row r="12245" spans="13:13">
      <c r="M12245" s="202"/>
    </row>
    <row r="12246" spans="13:13">
      <c r="M12246" s="202"/>
    </row>
    <row r="12247" spans="13:13">
      <c r="M12247" s="202"/>
    </row>
    <row r="12248" spans="13:13">
      <c r="M12248" s="202"/>
    </row>
    <row r="12249" spans="13:13">
      <c r="M12249" s="202"/>
    </row>
    <row r="12250" spans="13:13">
      <c r="M12250" s="202"/>
    </row>
    <row r="12251" spans="13:13">
      <c r="M12251" s="202"/>
    </row>
    <row r="12252" spans="13:13">
      <c r="M12252" s="202"/>
    </row>
    <row r="12253" spans="13:13">
      <c r="M12253" s="202"/>
    </row>
    <row r="12254" spans="13:13">
      <c r="M12254" s="202"/>
    </row>
    <row r="12255" spans="13:13">
      <c r="M12255" s="202"/>
    </row>
    <row r="12256" spans="13:13">
      <c r="M12256" s="202"/>
    </row>
    <row r="12257" spans="13:13">
      <c r="M12257" s="202"/>
    </row>
    <row r="12258" spans="13:13">
      <c r="M12258" s="202"/>
    </row>
    <row r="12259" spans="13:13">
      <c r="M12259" s="202"/>
    </row>
    <row r="12260" spans="13:13">
      <c r="M12260" s="202"/>
    </row>
    <row r="12261" spans="13:13">
      <c r="M12261" s="202"/>
    </row>
    <row r="12262" spans="13:13">
      <c r="M12262" s="202"/>
    </row>
    <row r="12263" spans="13:13">
      <c r="M12263" s="202"/>
    </row>
    <row r="12264" spans="13:13">
      <c r="M12264" s="202"/>
    </row>
    <row r="12265" spans="13:13">
      <c r="M12265" s="202"/>
    </row>
    <row r="12266" spans="13:13">
      <c r="M12266" s="202"/>
    </row>
    <row r="12267" spans="13:13">
      <c r="M12267" s="202"/>
    </row>
    <row r="12268" spans="13:13">
      <c r="M12268" s="202"/>
    </row>
    <row r="12269" spans="13:13">
      <c r="M12269" s="202"/>
    </row>
    <row r="12270" spans="13:13">
      <c r="M12270" s="202"/>
    </row>
    <row r="12271" spans="13:13">
      <c r="M12271" s="202"/>
    </row>
    <row r="12272" spans="13:13">
      <c r="M12272" s="202"/>
    </row>
    <row r="12273" spans="13:13">
      <c r="M12273" s="202"/>
    </row>
    <row r="12274" spans="13:13">
      <c r="M12274" s="202"/>
    </row>
    <row r="12275" spans="13:13">
      <c r="M12275" s="202"/>
    </row>
    <row r="12276" spans="13:13">
      <c r="M12276" s="202"/>
    </row>
    <row r="12277" spans="13:13">
      <c r="M12277" s="202"/>
    </row>
    <row r="12278" spans="13:13">
      <c r="M12278" s="202"/>
    </row>
    <row r="12279" spans="13:13">
      <c r="M12279" s="202"/>
    </row>
    <row r="12280" spans="13:13">
      <c r="M12280" s="202"/>
    </row>
    <row r="12281" spans="13:13">
      <c r="M12281" s="202"/>
    </row>
    <row r="12282" spans="13:13">
      <c r="M12282" s="202"/>
    </row>
    <row r="12283" spans="13:13">
      <c r="M12283" s="202"/>
    </row>
    <row r="12284" spans="13:13">
      <c r="M12284" s="202"/>
    </row>
    <row r="12285" spans="13:13">
      <c r="M12285" s="202"/>
    </row>
    <row r="12286" spans="13:13">
      <c r="M12286" s="202"/>
    </row>
    <row r="12287" spans="13:13">
      <c r="M12287" s="202"/>
    </row>
    <row r="12288" spans="13:13">
      <c r="M12288" s="202"/>
    </row>
    <row r="12289" spans="13:13">
      <c r="M12289" s="202"/>
    </row>
    <row r="12290" spans="13:13">
      <c r="M12290" s="202"/>
    </row>
    <row r="12291" spans="13:13">
      <c r="M12291" s="202"/>
    </row>
    <row r="12292" spans="13:13">
      <c r="M12292" s="202"/>
    </row>
    <row r="12293" spans="13:13">
      <c r="M12293" s="202"/>
    </row>
    <row r="12294" spans="13:13">
      <c r="M12294" s="202"/>
    </row>
    <row r="12295" spans="13:13">
      <c r="M12295" s="202"/>
    </row>
    <row r="12296" spans="13:13">
      <c r="M12296" s="202"/>
    </row>
    <row r="12297" spans="13:13">
      <c r="M12297" s="202"/>
    </row>
    <row r="12298" spans="13:13">
      <c r="M12298" s="202"/>
    </row>
    <row r="12299" spans="13:13">
      <c r="M12299" s="202"/>
    </row>
    <row r="12300" spans="13:13">
      <c r="M12300" s="202"/>
    </row>
    <row r="12301" spans="13:13">
      <c r="M12301" s="202"/>
    </row>
    <row r="12302" spans="13:13">
      <c r="M12302" s="202"/>
    </row>
    <row r="12303" spans="13:13">
      <c r="M12303" s="202"/>
    </row>
    <row r="12304" spans="13:13">
      <c r="M12304" s="202"/>
    </row>
    <row r="12305" spans="13:13">
      <c r="M12305" s="202"/>
    </row>
    <row r="12306" spans="13:13">
      <c r="M12306" s="202"/>
    </row>
    <row r="12307" spans="13:13">
      <c r="M12307" s="202"/>
    </row>
    <row r="12308" spans="13:13">
      <c r="M12308" s="202"/>
    </row>
    <row r="12309" spans="13:13">
      <c r="M12309" s="202"/>
    </row>
    <row r="12310" spans="13:13">
      <c r="M12310" s="202"/>
    </row>
    <row r="12311" spans="13:13">
      <c r="M12311" s="202"/>
    </row>
    <row r="12312" spans="13:13">
      <c r="M12312" s="202"/>
    </row>
    <row r="12313" spans="13:13">
      <c r="M12313" s="202"/>
    </row>
    <row r="12314" spans="13:13">
      <c r="M12314" s="202"/>
    </row>
    <row r="12315" spans="13:13">
      <c r="M12315" s="202"/>
    </row>
    <row r="12316" spans="13:13">
      <c r="M12316" s="202"/>
    </row>
    <row r="12317" spans="13:13">
      <c r="M12317" s="202"/>
    </row>
    <row r="12318" spans="13:13">
      <c r="M12318" s="202"/>
    </row>
    <row r="12319" spans="13:13">
      <c r="M12319" s="202"/>
    </row>
    <row r="12320" spans="13:13">
      <c r="M12320" s="202"/>
    </row>
    <row r="12321" spans="13:13">
      <c r="M12321" s="202"/>
    </row>
    <row r="12322" spans="13:13">
      <c r="M12322" s="202"/>
    </row>
    <row r="12323" spans="13:13">
      <c r="M12323" s="202"/>
    </row>
    <row r="12324" spans="13:13">
      <c r="M12324" s="202"/>
    </row>
    <row r="12325" spans="13:13">
      <c r="M12325" s="202"/>
    </row>
    <row r="12326" spans="13:13">
      <c r="M12326" s="202"/>
    </row>
    <row r="12327" spans="13:13">
      <c r="M12327" s="202"/>
    </row>
    <row r="12328" spans="13:13">
      <c r="M12328" s="202"/>
    </row>
    <row r="12329" spans="13:13">
      <c r="M12329" s="202"/>
    </row>
    <row r="12330" spans="13:13">
      <c r="M12330" s="202"/>
    </row>
    <row r="12331" spans="13:13">
      <c r="M12331" s="202"/>
    </row>
    <row r="12332" spans="13:13">
      <c r="M12332" s="202"/>
    </row>
    <row r="12333" spans="13:13">
      <c r="M12333" s="202"/>
    </row>
    <row r="12334" spans="13:13">
      <c r="M12334" s="202"/>
    </row>
    <row r="12335" spans="13:13">
      <c r="M12335" s="202"/>
    </row>
    <row r="12336" spans="13:13">
      <c r="M12336" s="202"/>
    </row>
    <row r="12337" spans="13:13">
      <c r="M12337" s="202"/>
    </row>
    <row r="12338" spans="13:13">
      <c r="M12338" s="202"/>
    </row>
    <row r="12339" spans="13:13">
      <c r="M12339" s="202"/>
    </row>
    <row r="12340" spans="13:13">
      <c r="M12340" s="202"/>
    </row>
    <row r="12341" spans="13:13">
      <c r="M12341" s="202"/>
    </row>
    <row r="12342" spans="13:13">
      <c r="M12342" s="202"/>
    </row>
    <row r="12343" spans="13:13">
      <c r="M12343" s="202"/>
    </row>
    <row r="12344" spans="13:13">
      <c r="M12344" s="202"/>
    </row>
    <row r="12345" spans="13:13">
      <c r="M12345" s="202"/>
    </row>
    <row r="12346" spans="13:13">
      <c r="M12346" s="202"/>
    </row>
    <row r="12347" spans="13:13">
      <c r="M12347" s="202"/>
    </row>
    <row r="12348" spans="13:13">
      <c r="M12348" s="202"/>
    </row>
    <row r="12349" spans="13:13">
      <c r="M12349" s="202"/>
    </row>
    <row r="12350" spans="13:13">
      <c r="M12350" s="202"/>
    </row>
    <row r="12351" spans="13:13">
      <c r="M12351" s="202"/>
    </row>
    <row r="12352" spans="13:13">
      <c r="M12352" s="202"/>
    </row>
    <row r="12353" spans="13:13">
      <c r="M12353" s="202"/>
    </row>
    <row r="12354" spans="13:13">
      <c r="M12354" s="202"/>
    </row>
    <row r="12355" spans="13:13">
      <c r="M12355" s="202"/>
    </row>
    <row r="12356" spans="13:13">
      <c r="M12356" s="202"/>
    </row>
    <row r="12357" spans="13:13">
      <c r="M12357" s="202"/>
    </row>
    <row r="12358" spans="13:13">
      <c r="M12358" s="202"/>
    </row>
    <row r="12359" spans="13:13">
      <c r="M12359" s="202"/>
    </row>
    <row r="12360" spans="13:13">
      <c r="M12360" s="202"/>
    </row>
    <row r="12361" spans="13:13">
      <c r="M12361" s="202"/>
    </row>
    <row r="12362" spans="13:13">
      <c r="M12362" s="202"/>
    </row>
    <row r="12363" spans="13:13">
      <c r="M12363" s="202"/>
    </row>
    <row r="12364" spans="13:13">
      <c r="M12364" s="202"/>
    </row>
    <row r="12365" spans="13:13">
      <c r="M12365" s="202"/>
    </row>
    <row r="12366" spans="13:13">
      <c r="M12366" s="202"/>
    </row>
    <row r="12367" spans="13:13">
      <c r="M12367" s="202"/>
    </row>
    <row r="12368" spans="13:13">
      <c r="M12368" s="202"/>
    </row>
    <row r="12369" spans="13:13">
      <c r="M12369" s="202"/>
    </row>
    <row r="12370" spans="13:13">
      <c r="M12370" s="202"/>
    </row>
    <row r="12371" spans="13:13">
      <c r="M12371" s="202"/>
    </row>
    <row r="12372" spans="13:13">
      <c r="M12372" s="202"/>
    </row>
    <row r="12373" spans="13:13">
      <c r="M12373" s="202"/>
    </row>
    <row r="12374" spans="13:13">
      <c r="M12374" s="202"/>
    </row>
    <row r="12375" spans="13:13">
      <c r="M12375" s="202"/>
    </row>
    <row r="12376" spans="13:13">
      <c r="M12376" s="202"/>
    </row>
    <row r="12377" spans="13:13">
      <c r="M12377" s="202"/>
    </row>
    <row r="12378" spans="13:13">
      <c r="M12378" s="202"/>
    </row>
    <row r="12379" spans="13:13">
      <c r="M12379" s="202"/>
    </row>
    <row r="12380" spans="13:13">
      <c r="M12380" s="202"/>
    </row>
    <row r="12381" spans="13:13">
      <c r="M12381" s="202"/>
    </row>
    <row r="12382" spans="13:13">
      <c r="M12382" s="202"/>
    </row>
    <row r="12383" spans="13:13">
      <c r="M12383" s="202"/>
    </row>
    <row r="12384" spans="13:13">
      <c r="M12384" s="202"/>
    </row>
    <row r="12385" spans="13:13">
      <c r="M12385" s="202"/>
    </row>
    <row r="12386" spans="13:13">
      <c r="M12386" s="202"/>
    </row>
    <row r="12387" spans="13:13">
      <c r="M12387" s="202"/>
    </row>
    <row r="12388" spans="13:13">
      <c r="M12388" s="202"/>
    </row>
    <row r="12389" spans="13:13">
      <c r="M12389" s="202"/>
    </row>
    <row r="12390" spans="13:13">
      <c r="M12390" s="202"/>
    </row>
    <row r="12391" spans="13:13">
      <c r="M12391" s="202"/>
    </row>
    <row r="12392" spans="13:13">
      <c r="M12392" s="202"/>
    </row>
    <row r="12393" spans="13:13">
      <c r="M12393" s="202"/>
    </row>
    <row r="12394" spans="13:13">
      <c r="M12394" s="202"/>
    </row>
    <row r="12395" spans="13:13">
      <c r="M12395" s="202"/>
    </row>
    <row r="12396" spans="13:13">
      <c r="M12396" s="202"/>
    </row>
    <row r="12397" spans="13:13">
      <c r="M12397" s="202"/>
    </row>
    <row r="12398" spans="13:13">
      <c r="M12398" s="202"/>
    </row>
    <row r="12399" spans="13:13">
      <c r="M12399" s="202"/>
    </row>
    <row r="12400" spans="13:13">
      <c r="M12400" s="202"/>
    </row>
    <row r="12401" spans="13:13">
      <c r="M12401" s="202"/>
    </row>
    <row r="12402" spans="13:13">
      <c r="M12402" s="202"/>
    </row>
    <row r="12403" spans="13:13">
      <c r="M12403" s="202"/>
    </row>
    <row r="12404" spans="13:13">
      <c r="M12404" s="202"/>
    </row>
    <row r="12405" spans="13:13">
      <c r="M12405" s="202"/>
    </row>
    <row r="12406" spans="13:13">
      <c r="M12406" s="202"/>
    </row>
    <row r="12407" spans="13:13">
      <c r="M12407" s="202"/>
    </row>
    <row r="12408" spans="13:13">
      <c r="M12408" s="202"/>
    </row>
    <row r="12409" spans="13:13">
      <c r="M12409" s="202"/>
    </row>
    <row r="12410" spans="13:13">
      <c r="M12410" s="202"/>
    </row>
    <row r="12411" spans="13:13">
      <c r="M12411" s="202"/>
    </row>
    <row r="12412" spans="13:13">
      <c r="M12412" s="202"/>
    </row>
    <row r="12413" spans="13:13">
      <c r="M12413" s="202"/>
    </row>
    <row r="12414" spans="13:13">
      <c r="M12414" s="202"/>
    </row>
    <row r="12415" spans="13:13">
      <c r="M12415" s="202"/>
    </row>
    <row r="12416" spans="13:13">
      <c r="M12416" s="202"/>
    </row>
    <row r="12417" spans="13:13">
      <c r="M12417" s="202"/>
    </row>
    <row r="12418" spans="13:13">
      <c r="M12418" s="202"/>
    </row>
    <row r="12419" spans="13:13">
      <c r="M12419" s="202"/>
    </row>
    <row r="12420" spans="13:13">
      <c r="M12420" s="202"/>
    </row>
    <row r="12421" spans="13:13">
      <c r="M12421" s="202"/>
    </row>
    <row r="12422" spans="13:13">
      <c r="M12422" s="202"/>
    </row>
    <row r="12423" spans="13:13">
      <c r="M12423" s="202"/>
    </row>
    <row r="12424" spans="13:13">
      <c r="M12424" s="202"/>
    </row>
    <row r="12425" spans="13:13">
      <c r="M12425" s="202"/>
    </row>
    <row r="12426" spans="13:13">
      <c r="M12426" s="202"/>
    </row>
    <row r="12427" spans="13:13">
      <c r="M12427" s="202"/>
    </row>
    <row r="12428" spans="13:13">
      <c r="M12428" s="202"/>
    </row>
    <row r="12429" spans="13:13">
      <c r="M12429" s="202"/>
    </row>
    <row r="12430" spans="13:13">
      <c r="M12430" s="202"/>
    </row>
    <row r="12431" spans="13:13">
      <c r="M12431" s="202"/>
    </row>
    <row r="12432" spans="13:13">
      <c r="M12432" s="202"/>
    </row>
    <row r="12433" spans="13:13">
      <c r="M12433" s="202"/>
    </row>
    <row r="12434" spans="13:13">
      <c r="M12434" s="202"/>
    </row>
    <row r="12435" spans="13:13">
      <c r="M12435" s="202"/>
    </row>
    <row r="12436" spans="13:13">
      <c r="M12436" s="202"/>
    </row>
    <row r="12437" spans="13:13">
      <c r="M12437" s="202"/>
    </row>
    <row r="12438" spans="13:13">
      <c r="M12438" s="202"/>
    </row>
    <row r="12439" spans="13:13">
      <c r="M12439" s="202"/>
    </row>
    <row r="12440" spans="13:13">
      <c r="M12440" s="202"/>
    </row>
    <row r="12441" spans="13:13">
      <c r="M12441" s="202"/>
    </row>
    <row r="12442" spans="13:13">
      <c r="M12442" s="202"/>
    </row>
    <row r="12443" spans="13:13">
      <c r="M12443" s="202"/>
    </row>
    <row r="12444" spans="13:13">
      <c r="M12444" s="202"/>
    </row>
    <row r="12445" spans="13:13">
      <c r="M12445" s="202"/>
    </row>
    <row r="12446" spans="13:13">
      <c r="M12446" s="202"/>
    </row>
    <row r="12447" spans="13:13">
      <c r="M12447" s="202"/>
    </row>
    <row r="12448" spans="13:13">
      <c r="M12448" s="202"/>
    </row>
    <row r="12449" spans="13:13">
      <c r="M12449" s="202"/>
    </row>
    <row r="12450" spans="13:13">
      <c r="M12450" s="202"/>
    </row>
    <row r="12451" spans="13:13">
      <c r="M12451" s="202"/>
    </row>
    <row r="12452" spans="13:13">
      <c r="M12452" s="202"/>
    </row>
    <row r="12453" spans="13:13">
      <c r="M12453" s="202"/>
    </row>
    <row r="12454" spans="13:13">
      <c r="M12454" s="202"/>
    </row>
    <row r="12455" spans="13:13">
      <c r="M12455" s="202"/>
    </row>
    <row r="12456" spans="13:13">
      <c r="M12456" s="202"/>
    </row>
    <row r="12457" spans="13:13">
      <c r="M12457" s="202"/>
    </row>
    <row r="12458" spans="13:13">
      <c r="M12458" s="202"/>
    </row>
    <row r="12459" spans="13:13">
      <c r="M12459" s="202"/>
    </row>
    <row r="12460" spans="13:13">
      <c r="M12460" s="202"/>
    </row>
    <row r="12461" spans="13:13">
      <c r="M12461" s="202"/>
    </row>
    <row r="12462" spans="13:13">
      <c r="M12462" s="202"/>
    </row>
    <row r="12463" spans="13:13">
      <c r="M12463" s="202"/>
    </row>
    <row r="12464" spans="13:13">
      <c r="M12464" s="202"/>
    </row>
    <row r="12465" spans="13:13">
      <c r="M12465" s="202"/>
    </row>
    <row r="12466" spans="13:13">
      <c r="M12466" s="202"/>
    </row>
    <row r="12467" spans="13:13">
      <c r="M12467" s="202"/>
    </row>
    <row r="12468" spans="13:13">
      <c r="M12468" s="202"/>
    </row>
    <row r="12469" spans="13:13">
      <c r="M12469" s="202"/>
    </row>
    <row r="12470" spans="13:13">
      <c r="M12470" s="202"/>
    </row>
    <row r="12471" spans="13:13">
      <c r="M12471" s="202"/>
    </row>
    <row r="12472" spans="13:13">
      <c r="M12472" s="202"/>
    </row>
    <row r="12473" spans="13:13">
      <c r="M12473" s="202"/>
    </row>
    <row r="12474" spans="13:13">
      <c r="M12474" s="202"/>
    </row>
    <row r="12475" spans="13:13">
      <c r="M12475" s="202"/>
    </row>
    <row r="12476" spans="13:13">
      <c r="M12476" s="202"/>
    </row>
    <row r="12477" spans="13:13">
      <c r="M12477" s="202"/>
    </row>
    <row r="12478" spans="13:13">
      <c r="M12478" s="202"/>
    </row>
    <row r="12479" spans="13:13">
      <c r="M12479" s="202"/>
    </row>
    <row r="12480" spans="13:13">
      <c r="M12480" s="202"/>
    </row>
    <row r="12481" spans="13:13">
      <c r="M12481" s="202"/>
    </row>
    <row r="12482" spans="13:13">
      <c r="M12482" s="202"/>
    </row>
    <row r="12483" spans="13:13">
      <c r="M12483" s="202"/>
    </row>
    <row r="12484" spans="13:13">
      <c r="M12484" s="202"/>
    </row>
    <row r="12485" spans="13:13">
      <c r="M12485" s="202"/>
    </row>
    <row r="12486" spans="13:13">
      <c r="M12486" s="202"/>
    </row>
    <row r="12487" spans="13:13">
      <c r="M12487" s="202"/>
    </row>
    <row r="12488" spans="13:13">
      <c r="M12488" s="202"/>
    </row>
    <row r="12489" spans="13:13">
      <c r="M12489" s="202"/>
    </row>
    <row r="12490" spans="13:13">
      <c r="M12490" s="202"/>
    </row>
    <row r="12491" spans="13:13">
      <c r="M12491" s="202"/>
    </row>
    <row r="12492" spans="13:13">
      <c r="M12492" s="202"/>
    </row>
    <row r="12493" spans="13:13">
      <c r="M12493" s="202"/>
    </row>
    <row r="12494" spans="13:13">
      <c r="M12494" s="202"/>
    </row>
    <row r="12495" spans="13:13">
      <c r="M12495" s="202"/>
    </row>
    <row r="12496" spans="13:13">
      <c r="M12496" s="202"/>
    </row>
    <row r="12497" spans="13:13">
      <c r="M12497" s="202"/>
    </row>
    <row r="12498" spans="13:13">
      <c r="M12498" s="202"/>
    </row>
    <row r="12499" spans="13:13">
      <c r="M12499" s="202"/>
    </row>
    <row r="12500" spans="13:13">
      <c r="M12500" s="202"/>
    </row>
    <row r="12501" spans="13:13">
      <c r="M12501" s="202"/>
    </row>
    <row r="12502" spans="13:13">
      <c r="M12502" s="202"/>
    </row>
    <row r="12503" spans="13:13">
      <c r="M12503" s="202"/>
    </row>
    <row r="12504" spans="13:13">
      <c r="M12504" s="202"/>
    </row>
    <row r="12505" spans="13:13">
      <c r="M12505" s="202"/>
    </row>
    <row r="12506" spans="13:13">
      <c r="M12506" s="202"/>
    </row>
    <row r="12507" spans="13:13">
      <c r="M12507" s="202"/>
    </row>
    <row r="12508" spans="13:13">
      <c r="M12508" s="202"/>
    </row>
    <row r="12509" spans="13:13">
      <c r="M12509" s="202"/>
    </row>
    <row r="12510" spans="13:13">
      <c r="M12510" s="202"/>
    </row>
    <row r="12511" spans="13:13">
      <c r="M12511" s="202"/>
    </row>
    <row r="12512" spans="13:13">
      <c r="M12512" s="202"/>
    </row>
    <row r="12513" spans="13:13">
      <c r="M12513" s="202"/>
    </row>
    <row r="12514" spans="13:13">
      <c r="M12514" s="202"/>
    </row>
    <row r="12515" spans="13:13">
      <c r="M12515" s="202"/>
    </row>
    <row r="12516" spans="13:13">
      <c r="M12516" s="202"/>
    </row>
    <row r="12517" spans="13:13">
      <c r="M12517" s="202"/>
    </row>
    <row r="12518" spans="13:13">
      <c r="M12518" s="202"/>
    </row>
    <row r="12519" spans="13:13">
      <c r="M12519" s="202"/>
    </row>
    <row r="12520" spans="13:13">
      <c r="M12520" s="202"/>
    </row>
    <row r="12521" spans="13:13">
      <c r="M12521" s="202"/>
    </row>
    <row r="12522" spans="13:13">
      <c r="M12522" s="202"/>
    </row>
    <row r="12523" spans="13:13">
      <c r="M12523" s="202"/>
    </row>
    <row r="12524" spans="13:13">
      <c r="M12524" s="202"/>
    </row>
    <row r="12525" spans="13:13">
      <c r="M12525" s="202"/>
    </row>
    <row r="12526" spans="13:13">
      <c r="M12526" s="202"/>
    </row>
    <row r="12527" spans="13:13">
      <c r="M12527" s="202"/>
    </row>
    <row r="12528" spans="13:13">
      <c r="M12528" s="202"/>
    </row>
    <row r="12529" spans="13:13">
      <c r="M12529" s="202"/>
    </row>
    <row r="12530" spans="13:13">
      <c r="M12530" s="202"/>
    </row>
    <row r="12531" spans="13:13">
      <c r="M12531" s="202"/>
    </row>
    <row r="12532" spans="13:13">
      <c r="M12532" s="202"/>
    </row>
    <row r="12533" spans="13:13">
      <c r="M12533" s="202"/>
    </row>
    <row r="12534" spans="13:13">
      <c r="M12534" s="202"/>
    </row>
    <row r="12535" spans="13:13">
      <c r="M12535" s="202"/>
    </row>
    <row r="12536" spans="13:13">
      <c r="M12536" s="202"/>
    </row>
    <row r="12537" spans="13:13">
      <c r="M12537" s="202"/>
    </row>
    <row r="12538" spans="13:13">
      <c r="M12538" s="202"/>
    </row>
    <row r="12539" spans="13:13">
      <c r="M12539" s="202"/>
    </row>
    <row r="12540" spans="13:13">
      <c r="M12540" s="202"/>
    </row>
    <row r="12541" spans="13:13">
      <c r="M12541" s="202"/>
    </row>
    <row r="12542" spans="13:13">
      <c r="M12542" s="202"/>
    </row>
    <row r="12543" spans="13:13">
      <c r="M12543" s="202"/>
    </row>
    <row r="12544" spans="13:13">
      <c r="M12544" s="202"/>
    </row>
    <row r="12545" spans="13:13">
      <c r="M12545" s="202"/>
    </row>
    <row r="12546" spans="13:13">
      <c r="M12546" s="202"/>
    </row>
    <row r="12547" spans="13:13">
      <c r="M12547" s="202"/>
    </row>
    <row r="12548" spans="13:13">
      <c r="M12548" s="202"/>
    </row>
    <row r="12549" spans="13:13">
      <c r="M12549" s="202"/>
    </row>
    <row r="12550" spans="13:13">
      <c r="M12550" s="202"/>
    </row>
    <row r="12551" spans="13:13">
      <c r="M12551" s="202"/>
    </row>
    <row r="12552" spans="13:13">
      <c r="M12552" s="202"/>
    </row>
    <row r="12553" spans="13:13">
      <c r="M12553" s="202"/>
    </row>
    <row r="12554" spans="13:13">
      <c r="M12554" s="202"/>
    </row>
    <row r="12555" spans="13:13">
      <c r="M12555" s="202"/>
    </row>
    <row r="12556" spans="13:13">
      <c r="M12556" s="202"/>
    </row>
    <row r="12557" spans="13:13">
      <c r="M12557" s="202"/>
    </row>
    <row r="12558" spans="13:13">
      <c r="M12558" s="202"/>
    </row>
    <row r="12559" spans="13:13">
      <c r="M12559" s="202"/>
    </row>
    <row r="12560" spans="13:13">
      <c r="M12560" s="202"/>
    </row>
    <row r="12561" spans="13:13">
      <c r="M12561" s="202"/>
    </row>
    <row r="12562" spans="13:13">
      <c r="M12562" s="202"/>
    </row>
    <row r="12563" spans="13:13">
      <c r="M12563" s="202"/>
    </row>
    <row r="12564" spans="13:13">
      <c r="M12564" s="202"/>
    </row>
    <row r="12565" spans="13:13">
      <c r="M12565" s="202"/>
    </row>
    <row r="12566" spans="13:13">
      <c r="M12566" s="202"/>
    </row>
    <row r="12567" spans="13:13">
      <c r="M12567" s="202"/>
    </row>
    <row r="12568" spans="13:13">
      <c r="M12568" s="202"/>
    </row>
    <row r="12569" spans="13:13">
      <c r="M12569" s="202"/>
    </row>
    <row r="12570" spans="13:13">
      <c r="M12570" s="202"/>
    </row>
    <row r="12571" spans="13:13">
      <c r="M12571" s="202"/>
    </row>
    <row r="12572" spans="13:13">
      <c r="M12572" s="202"/>
    </row>
    <row r="12573" spans="13:13">
      <c r="M12573" s="202"/>
    </row>
    <row r="12574" spans="13:13">
      <c r="M12574" s="202"/>
    </row>
    <row r="12575" spans="13:13">
      <c r="M12575" s="202"/>
    </row>
    <row r="12576" spans="13:13">
      <c r="M12576" s="202"/>
    </row>
    <row r="12577" spans="13:13">
      <c r="M12577" s="202"/>
    </row>
    <row r="12578" spans="13:13">
      <c r="M12578" s="202"/>
    </row>
    <row r="12579" spans="13:13">
      <c r="M12579" s="202"/>
    </row>
    <row r="12580" spans="13:13">
      <c r="M12580" s="202"/>
    </row>
    <row r="12581" spans="13:13">
      <c r="M12581" s="202"/>
    </row>
    <row r="12582" spans="13:13">
      <c r="M12582" s="202"/>
    </row>
    <row r="12583" spans="13:13">
      <c r="M12583" s="202"/>
    </row>
    <row r="12584" spans="13:13">
      <c r="M12584" s="202"/>
    </row>
    <row r="12585" spans="13:13">
      <c r="M12585" s="202"/>
    </row>
    <row r="12586" spans="13:13">
      <c r="M12586" s="202"/>
    </row>
    <row r="12587" spans="13:13">
      <c r="M12587" s="202"/>
    </row>
    <row r="12588" spans="13:13">
      <c r="M12588" s="202"/>
    </row>
    <row r="12589" spans="13:13">
      <c r="M12589" s="202"/>
    </row>
    <row r="12590" spans="13:13">
      <c r="M12590" s="202"/>
    </row>
    <row r="12591" spans="13:13">
      <c r="M12591" s="202"/>
    </row>
    <row r="12592" spans="13:13">
      <c r="M12592" s="202"/>
    </row>
    <row r="12593" spans="13:13">
      <c r="M12593" s="202"/>
    </row>
    <row r="12594" spans="13:13">
      <c r="M12594" s="202"/>
    </row>
    <row r="12595" spans="13:13">
      <c r="M12595" s="202"/>
    </row>
    <row r="12596" spans="13:13">
      <c r="M12596" s="202"/>
    </row>
    <row r="12597" spans="13:13">
      <c r="M12597" s="202"/>
    </row>
    <row r="12598" spans="13:13">
      <c r="M12598" s="202"/>
    </row>
    <row r="12599" spans="13:13">
      <c r="M12599" s="202"/>
    </row>
    <row r="12600" spans="13:13">
      <c r="M12600" s="202"/>
    </row>
    <row r="12601" spans="13:13">
      <c r="M12601" s="202"/>
    </row>
    <row r="12602" spans="13:13">
      <c r="M12602" s="202"/>
    </row>
    <row r="12603" spans="13:13">
      <c r="M12603" s="202"/>
    </row>
    <row r="12604" spans="13:13">
      <c r="M12604" s="202"/>
    </row>
    <row r="12605" spans="13:13">
      <c r="M12605" s="202"/>
    </row>
    <row r="12606" spans="13:13">
      <c r="M12606" s="202"/>
    </row>
    <row r="12607" spans="13:13">
      <c r="M12607" s="202"/>
    </row>
    <row r="12608" spans="13:13">
      <c r="M12608" s="202"/>
    </row>
    <row r="12609" spans="13:13">
      <c r="M12609" s="202"/>
    </row>
    <row r="12610" spans="13:13">
      <c r="M12610" s="202"/>
    </row>
    <row r="12611" spans="13:13">
      <c r="M12611" s="202"/>
    </row>
    <row r="12612" spans="13:13">
      <c r="M12612" s="202"/>
    </row>
    <row r="12613" spans="13:13">
      <c r="M12613" s="202"/>
    </row>
    <row r="12614" spans="13:13">
      <c r="M12614" s="202"/>
    </row>
    <row r="12615" spans="13:13">
      <c r="M12615" s="202"/>
    </row>
    <row r="12616" spans="13:13">
      <c r="M12616" s="202"/>
    </row>
    <row r="12617" spans="13:13">
      <c r="M12617" s="202"/>
    </row>
    <row r="12618" spans="13:13">
      <c r="M12618" s="202"/>
    </row>
    <row r="12619" spans="13:13">
      <c r="M12619" s="202"/>
    </row>
    <row r="12620" spans="13:13">
      <c r="M12620" s="202"/>
    </row>
    <row r="12621" spans="13:13">
      <c r="M12621" s="202"/>
    </row>
    <row r="12622" spans="13:13">
      <c r="M12622" s="202"/>
    </row>
    <row r="12623" spans="13:13">
      <c r="M12623" s="202"/>
    </row>
    <row r="12624" spans="13:13">
      <c r="M12624" s="202"/>
    </row>
    <row r="12625" spans="13:13">
      <c r="M12625" s="202"/>
    </row>
    <row r="12626" spans="13:13">
      <c r="M12626" s="202"/>
    </row>
    <row r="12627" spans="13:13">
      <c r="M12627" s="202"/>
    </row>
    <row r="12628" spans="13:13">
      <c r="M12628" s="202"/>
    </row>
    <row r="12629" spans="13:13">
      <c r="M12629" s="202"/>
    </row>
    <row r="12630" spans="13:13">
      <c r="M12630" s="202"/>
    </row>
    <row r="12631" spans="13:13">
      <c r="M12631" s="202"/>
    </row>
    <row r="12632" spans="13:13">
      <c r="M12632" s="202"/>
    </row>
    <row r="12633" spans="13:13">
      <c r="M12633" s="202"/>
    </row>
    <row r="12634" spans="13:13">
      <c r="M12634" s="202"/>
    </row>
    <row r="12635" spans="13:13">
      <c r="M12635" s="202"/>
    </row>
    <row r="12636" spans="13:13">
      <c r="M12636" s="202"/>
    </row>
    <row r="12637" spans="13:13">
      <c r="M12637" s="202"/>
    </row>
    <row r="12638" spans="13:13">
      <c r="M12638" s="202"/>
    </row>
    <row r="12639" spans="13:13">
      <c r="M12639" s="202"/>
    </row>
    <row r="12640" spans="13:13">
      <c r="M12640" s="202"/>
    </row>
    <row r="12641" spans="13:13">
      <c r="M12641" s="202"/>
    </row>
    <row r="12642" spans="13:13">
      <c r="M12642" s="202"/>
    </row>
    <row r="12643" spans="13:13">
      <c r="M12643" s="202"/>
    </row>
    <row r="12644" spans="13:13">
      <c r="M12644" s="202"/>
    </row>
    <row r="12645" spans="13:13">
      <c r="M12645" s="202"/>
    </row>
    <row r="12646" spans="13:13">
      <c r="M12646" s="202"/>
    </row>
    <row r="12647" spans="13:13">
      <c r="M12647" s="202"/>
    </row>
    <row r="12648" spans="13:13">
      <c r="M12648" s="202"/>
    </row>
    <row r="12649" spans="13:13">
      <c r="M12649" s="202"/>
    </row>
    <row r="12650" spans="13:13">
      <c r="M12650" s="202"/>
    </row>
    <row r="12651" spans="13:13">
      <c r="M12651" s="202"/>
    </row>
    <row r="12652" spans="13:13">
      <c r="M12652" s="202"/>
    </row>
    <row r="12653" spans="13:13">
      <c r="M12653" s="202"/>
    </row>
    <row r="12654" spans="13:13">
      <c r="M12654" s="202"/>
    </row>
    <row r="12655" spans="13:13">
      <c r="M12655" s="202"/>
    </row>
    <row r="12656" spans="13:13">
      <c r="M12656" s="202"/>
    </row>
    <row r="12657" spans="13:13">
      <c r="M12657" s="202"/>
    </row>
    <row r="12658" spans="13:13">
      <c r="M12658" s="202"/>
    </row>
    <row r="12659" spans="13:13">
      <c r="M12659" s="202"/>
    </row>
    <row r="12660" spans="13:13">
      <c r="M12660" s="202"/>
    </row>
    <row r="12661" spans="13:13">
      <c r="M12661" s="202"/>
    </row>
    <row r="12662" spans="13:13">
      <c r="M12662" s="202"/>
    </row>
    <row r="12663" spans="13:13">
      <c r="M12663" s="202"/>
    </row>
    <row r="12664" spans="13:13">
      <c r="M12664" s="202"/>
    </row>
    <row r="12665" spans="13:13">
      <c r="M12665" s="202"/>
    </row>
    <row r="12666" spans="13:13">
      <c r="M12666" s="202"/>
    </row>
    <row r="12667" spans="13:13">
      <c r="M12667" s="202"/>
    </row>
    <row r="12668" spans="13:13">
      <c r="M12668" s="202"/>
    </row>
    <row r="12669" spans="13:13">
      <c r="M12669" s="202"/>
    </row>
    <row r="12670" spans="13:13">
      <c r="M12670" s="202"/>
    </row>
    <row r="12671" spans="13:13">
      <c r="M12671" s="202"/>
    </row>
    <row r="12672" spans="13:13">
      <c r="M12672" s="202"/>
    </row>
    <row r="12673" spans="13:13">
      <c r="M12673" s="202"/>
    </row>
    <row r="12674" spans="13:13">
      <c r="M12674" s="202"/>
    </row>
    <row r="12675" spans="13:13">
      <c r="M12675" s="202"/>
    </row>
    <row r="12676" spans="13:13">
      <c r="M12676" s="202"/>
    </row>
    <row r="12677" spans="13:13">
      <c r="M12677" s="202"/>
    </row>
    <row r="12678" spans="13:13">
      <c r="M12678" s="202"/>
    </row>
    <row r="12679" spans="13:13">
      <c r="M12679" s="202"/>
    </row>
    <row r="12680" spans="13:13">
      <c r="M12680" s="202"/>
    </row>
    <row r="12681" spans="13:13">
      <c r="M12681" s="202"/>
    </row>
    <row r="12682" spans="13:13">
      <c r="M12682" s="202"/>
    </row>
    <row r="12683" spans="13:13">
      <c r="M12683" s="202"/>
    </row>
    <row r="12684" spans="13:13">
      <c r="M12684" s="202"/>
    </row>
    <row r="12685" spans="13:13">
      <c r="M12685" s="202"/>
    </row>
    <row r="12686" spans="13:13">
      <c r="M12686" s="202"/>
    </row>
    <row r="12687" spans="13:13">
      <c r="M12687" s="202"/>
    </row>
    <row r="12688" spans="13:13">
      <c r="M12688" s="202"/>
    </row>
    <row r="12689" spans="13:13">
      <c r="M12689" s="202"/>
    </row>
    <row r="12690" spans="13:13">
      <c r="M12690" s="202"/>
    </row>
    <row r="12691" spans="13:13">
      <c r="M12691" s="202"/>
    </row>
    <row r="12692" spans="13:13">
      <c r="M12692" s="202"/>
    </row>
    <row r="12693" spans="13:13">
      <c r="M12693" s="202"/>
    </row>
    <row r="12694" spans="13:13">
      <c r="M12694" s="202"/>
    </row>
    <row r="12695" spans="13:13">
      <c r="M12695" s="202"/>
    </row>
    <row r="12696" spans="13:13">
      <c r="M12696" s="202"/>
    </row>
    <row r="12697" spans="13:13">
      <c r="M12697" s="202"/>
    </row>
    <row r="12698" spans="13:13">
      <c r="M12698" s="202"/>
    </row>
    <row r="12699" spans="13:13">
      <c r="M12699" s="202"/>
    </row>
    <row r="12700" spans="13:13">
      <c r="M12700" s="202"/>
    </row>
    <row r="12701" spans="13:13">
      <c r="M12701" s="202"/>
    </row>
    <row r="12702" spans="13:13">
      <c r="M12702" s="202"/>
    </row>
    <row r="12703" spans="13:13">
      <c r="M12703" s="202"/>
    </row>
    <row r="12704" spans="13:13">
      <c r="M12704" s="202"/>
    </row>
    <row r="12705" spans="13:13">
      <c r="M12705" s="202"/>
    </row>
    <row r="12706" spans="13:13">
      <c r="M12706" s="202"/>
    </row>
    <row r="12707" spans="13:13">
      <c r="M12707" s="202"/>
    </row>
    <row r="12708" spans="13:13">
      <c r="M12708" s="202"/>
    </row>
    <row r="12709" spans="13:13">
      <c r="M12709" s="202"/>
    </row>
    <row r="12710" spans="13:13">
      <c r="M12710" s="202"/>
    </row>
    <row r="12711" spans="13:13">
      <c r="M12711" s="202"/>
    </row>
    <row r="12712" spans="13:13">
      <c r="M12712" s="202"/>
    </row>
    <row r="12713" spans="13:13">
      <c r="M12713" s="202"/>
    </row>
    <row r="12714" spans="13:13">
      <c r="M12714" s="202"/>
    </row>
    <row r="12715" spans="13:13">
      <c r="M12715" s="202"/>
    </row>
    <row r="12716" spans="13:13">
      <c r="M12716" s="202"/>
    </row>
    <row r="12717" spans="13:13">
      <c r="M12717" s="202"/>
    </row>
    <row r="12718" spans="13:13">
      <c r="M12718" s="202"/>
    </row>
    <row r="12719" spans="13:13">
      <c r="M12719" s="202"/>
    </row>
    <row r="12720" spans="13:13">
      <c r="M12720" s="202"/>
    </row>
    <row r="12721" spans="13:13">
      <c r="M12721" s="202"/>
    </row>
    <row r="12722" spans="13:13">
      <c r="M12722" s="202"/>
    </row>
    <row r="12723" spans="13:13">
      <c r="M12723" s="202"/>
    </row>
    <row r="12724" spans="13:13">
      <c r="M12724" s="202"/>
    </row>
    <row r="12725" spans="13:13">
      <c r="M12725" s="202"/>
    </row>
    <row r="12726" spans="13:13">
      <c r="M12726" s="202"/>
    </row>
    <row r="12727" spans="13:13">
      <c r="M12727" s="202"/>
    </row>
    <row r="12728" spans="13:13">
      <c r="M12728" s="202"/>
    </row>
    <row r="12729" spans="13:13">
      <c r="M12729" s="202"/>
    </row>
    <row r="12730" spans="13:13">
      <c r="M12730" s="202"/>
    </row>
    <row r="12731" spans="13:13">
      <c r="M12731" s="202"/>
    </row>
    <row r="12732" spans="13:13">
      <c r="M12732" s="202"/>
    </row>
    <row r="12733" spans="13:13">
      <c r="M12733" s="202"/>
    </row>
    <row r="12734" spans="13:13">
      <c r="M12734" s="202"/>
    </row>
    <row r="12735" spans="13:13">
      <c r="M12735" s="202"/>
    </row>
    <row r="12736" spans="13:13">
      <c r="M12736" s="202"/>
    </row>
    <row r="12737" spans="13:13">
      <c r="M12737" s="202"/>
    </row>
    <row r="12738" spans="13:13">
      <c r="M12738" s="202"/>
    </row>
    <row r="12739" spans="13:13">
      <c r="M12739" s="202"/>
    </row>
    <row r="12740" spans="13:13">
      <c r="M12740" s="202"/>
    </row>
    <row r="12741" spans="13:13">
      <c r="M12741" s="202"/>
    </row>
    <row r="12742" spans="13:13">
      <c r="M12742" s="202"/>
    </row>
    <row r="12743" spans="13:13">
      <c r="M12743" s="202"/>
    </row>
    <row r="12744" spans="13:13">
      <c r="M12744" s="202"/>
    </row>
    <row r="12745" spans="13:13">
      <c r="M12745" s="202"/>
    </row>
    <row r="12746" spans="13:13">
      <c r="M12746" s="202"/>
    </row>
    <row r="12747" spans="13:13">
      <c r="M12747" s="202"/>
    </row>
    <row r="12748" spans="13:13">
      <c r="M12748" s="202"/>
    </row>
    <row r="12749" spans="13:13">
      <c r="M12749" s="202"/>
    </row>
    <row r="12750" spans="13:13">
      <c r="M12750" s="202"/>
    </row>
    <row r="12751" spans="13:13">
      <c r="M12751" s="202"/>
    </row>
    <row r="12752" spans="13:13">
      <c r="M12752" s="202"/>
    </row>
    <row r="12753" spans="13:13">
      <c r="M12753" s="202"/>
    </row>
    <row r="12754" spans="13:13">
      <c r="M12754" s="202"/>
    </row>
    <row r="12755" spans="13:13">
      <c r="M12755" s="202"/>
    </row>
    <row r="12756" spans="13:13">
      <c r="M12756" s="202"/>
    </row>
    <row r="12757" spans="13:13">
      <c r="M12757" s="202"/>
    </row>
    <row r="12758" spans="13:13">
      <c r="M12758" s="202"/>
    </row>
    <row r="12759" spans="13:13">
      <c r="M12759" s="202"/>
    </row>
    <row r="12760" spans="13:13">
      <c r="M12760" s="202"/>
    </row>
    <row r="12761" spans="13:13">
      <c r="M12761" s="202"/>
    </row>
    <row r="12762" spans="13:13">
      <c r="M12762" s="202"/>
    </row>
    <row r="12763" spans="13:13">
      <c r="M12763" s="202"/>
    </row>
    <row r="12764" spans="13:13">
      <c r="M12764" s="202"/>
    </row>
    <row r="12765" spans="13:13">
      <c r="M12765" s="202"/>
    </row>
    <row r="12766" spans="13:13">
      <c r="M12766" s="202"/>
    </row>
    <row r="12767" spans="13:13">
      <c r="M12767" s="202"/>
    </row>
    <row r="12768" spans="13:13">
      <c r="M12768" s="202"/>
    </row>
    <row r="12769" spans="13:13">
      <c r="M12769" s="202"/>
    </row>
    <row r="12770" spans="13:13">
      <c r="M12770" s="202"/>
    </row>
    <row r="12771" spans="13:13">
      <c r="M12771" s="202"/>
    </row>
    <row r="12772" spans="13:13">
      <c r="M12772" s="202"/>
    </row>
    <row r="12773" spans="13:13">
      <c r="M12773" s="202"/>
    </row>
    <row r="12774" spans="13:13">
      <c r="M12774" s="202"/>
    </row>
    <row r="12775" spans="13:13">
      <c r="M12775" s="202"/>
    </row>
    <row r="12776" spans="13:13">
      <c r="M12776" s="202"/>
    </row>
    <row r="12777" spans="13:13">
      <c r="M12777" s="202"/>
    </row>
    <row r="12778" spans="13:13">
      <c r="M12778" s="202"/>
    </row>
    <row r="12779" spans="13:13">
      <c r="M12779" s="202"/>
    </row>
    <row r="12780" spans="13:13">
      <c r="M12780" s="202"/>
    </row>
    <row r="12781" spans="13:13">
      <c r="M12781" s="202"/>
    </row>
    <row r="12782" spans="13:13">
      <c r="M12782" s="202"/>
    </row>
    <row r="12783" spans="13:13">
      <c r="M12783" s="202"/>
    </row>
    <row r="12784" spans="13:13">
      <c r="M12784" s="202"/>
    </row>
    <row r="12785" spans="13:13">
      <c r="M12785" s="202"/>
    </row>
    <row r="12786" spans="13:13">
      <c r="M12786" s="202"/>
    </row>
    <row r="12787" spans="13:13">
      <c r="M12787" s="202"/>
    </row>
    <row r="12788" spans="13:13">
      <c r="M12788" s="202"/>
    </row>
    <row r="12789" spans="13:13">
      <c r="M12789" s="202"/>
    </row>
    <row r="12790" spans="13:13">
      <c r="M12790" s="202"/>
    </row>
    <row r="12791" spans="13:13">
      <c r="M12791" s="202"/>
    </row>
    <row r="12792" spans="13:13">
      <c r="M12792" s="202"/>
    </row>
    <row r="12793" spans="13:13">
      <c r="M12793" s="202"/>
    </row>
    <row r="12794" spans="13:13">
      <c r="M12794" s="202"/>
    </row>
    <row r="12795" spans="13:13">
      <c r="M12795" s="202"/>
    </row>
    <row r="12796" spans="13:13">
      <c r="M12796" s="202"/>
    </row>
    <row r="12797" spans="13:13">
      <c r="M12797" s="202"/>
    </row>
    <row r="12798" spans="13:13">
      <c r="M12798" s="202"/>
    </row>
    <row r="12799" spans="13:13">
      <c r="M12799" s="202"/>
    </row>
    <row r="12800" spans="13:13">
      <c r="M12800" s="202"/>
    </row>
    <row r="12801" spans="13:13">
      <c r="M12801" s="202"/>
    </row>
    <row r="12802" spans="13:13">
      <c r="M12802" s="202"/>
    </row>
    <row r="12803" spans="13:13">
      <c r="M12803" s="202"/>
    </row>
    <row r="12804" spans="13:13">
      <c r="M12804" s="202"/>
    </row>
    <row r="12805" spans="13:13">
      <c r="M12805" s="202"/>
    </row>
    <row r="12806" spans="13:13">
      <c r="M12806" s="202"/>
    </row>
    <row r="12807" spans="13:13">
      <c r="M12807" s="202"/>
    </row>
    <row r="12808" spans="13:13">
      <c r="M12808" s="202"/>
    </row>
    <row r="12809" spans="13:13">
      <c r="M12809" s="202"/>
    </row>
    <row r="12810" spans="13:13">
      <c r="M12810" s="202"/>
    </row>
    <row r="12811" spans="13:13">
      <c r="M12811" s="202"/>
    </row>
    <row r="12812" spans="13:13">
      <c r="M12812" s="202"/>
    </row>
    <row r="12813" spans="13:13">
      <c r="M12813" s="202"/>
    </row>
    <row r="12814" spans="13:13">
      <c r="M12814" s="202"/>
    </row>
    <row r="12815" spans="13:13">
      <c r="M12815" s="202"/>
    </row>
    <row r="12816" spans="13:13">
      <c r="M12816" s="202"/>
    </row>
    <row r="12817" spans="13:13">
      <c r="M12817" s="202"/>
    </row>
    <row r="12818" spans="13:13">
      <c r="M12818" s="202"/>
    </row>
    <row r="12819" spans="13:13">
      <c r="M12819" s="202"/>
    </row>
    <row r="12820" spans="13:13">
      <c r="M12820" s="202"/>
    </row>
    <row r="12821" spans="13:13">
      <c r="M12821" s="202"/>
    </row>
    <row r="12822" spans="13:13">
      <c r="M12822" s="202"/>
    </row>
    <row r="12823" spans="13:13">
      <c r="M12823" s="202"/>
    </row>
    <row r="12824" spans="13:13">
      <c r="M12824" s="202"/>
    </row>
    <row r="12825" spans="13:13">
      <c r="M12825" s="202"/>
    </row>
    <row r="12826" spans="13:13">
      <c r="M12826" s="202"/>
    </row>
    <row r="12827" spans="13:13">
      <c r="M12827" s="202"/>
    </row>
    <row r="12828" spans="13:13">
      <c r="M12828" s="202"/>
    </row>
    <row r="12829" spans="13:13">
      <c r="M12829" s="202"/>
    </row>
    <row r="12830" spans="13:13">
      <c r="M12830" s="202"/>
    </row>
    <row r="12831" spans="13:13">
      <c r="M12831" s="202"/>
    </row>
    <row r="12832" spans="13:13">
      <c r="M12832" s="202"/>
    </row>
    <row r="12833" spans="13:13">
      <c r="M12833" s="202"/>
    </row>
    <row r="12834" spans="13:13">
      <c r="M12834" s="202"/>
    </row>
    <row r="12835" spans="13:13">
      <c r="M12835" s="202"/>
    </row>
    <row r="12836" spans="13:13">
      <c r="M12836" s="202"/>
    </row>
    <row r="12837" spans="13:13">
      <c r="M12837" s="202"/>
    </row>
    <row r="12838" spans="13:13">
      <c r="M12838" s="202"/>
    </row>
    <row r="12839" spans="13:13">
      <c r="M12839" s="202"/>
    </row>
    <row r="12840" spans="13:13">
      <c r="M12840" s="202"/>
    </row>
    <row r="12841" spans="13:13">
      <c r="M12841" s="202"/>
    </row>
    <row r="12842" spans="13:13">
      <c r="M12842" s="202"/>
    </row>
    <row r="12843" spans="13:13">
      <c r="M12843" s="202"/>
    </row>
    <row r="12844" spans="13:13">
      <c r="M12844" s="202"/>
    </row>
    <row r="12845" spans="13:13">
      <c r="M12845" s="202"/>
    </row>
    <row r="12846" spans="13:13">
      <c r="M12846" s="202"/>
    </row>
    <row r="12847" spans="13:13">
      <c r="M12847" s="202"/>
    </row>
    <row r="12848" spans="13:13">
      <c r="M12848" s="202"/>
    </row>
    <row r="12849" spans="13:13">
      <c r="M12849" s="202"/>
    </row>
    <row r="12850" spans="13:13">
      <c r="M12850" s="202"/>
    </row>
    <row r="12851" spans="13:13">
      <c r="M12851" s="202"/>
    </row>
    <row r="12852" spans="13:13">
      <c r="M12852" s="202"/>
    </row>
    <row r="12853" spans="13:13">
      <c r="M12853" s="202"/>
    </row>
    <row r="12854" spans="13:13">
      <c r="M12854" s="202"/>
    </row>
    <row r="12855" spans="13:13">
      <c r="M12855" s="202"/>
    </row>
    <row r="12856" spans="13:13">
      <c r="M12856" s="202"/>
    </row>
    <row r="12857" spans="13:13">
      <c r="M12857" s="202"/>
    </row>
    <row r="12858" spans="13:13">
      <c r="M12858" s="202"/>
    </row>
    <row r="12859" spans="13:13">
      <c r="M12859" s="202"/>
    </row>
    <row r="12860" spans="13:13">
      <c r="M12860" s="202"/>
    </row>
    <row r="12861" spans="13:13">
      <c r="M12861" s="202"/>
    </row>
    <row r="12862" spans="13:13">
      <c r="M12862" s="202"/>
    </row>
    <row r="12863" spans="13:13">
      <c r="M12863" s="202"/>
    </row>
    <row r="12864" spans="13:13">
      <c r="M12864" s="202"/>
    </row>
    <row r="12865" spans="13:13">
      <c r="M12865" s="202"/>
    </row>
    <row r="12866" spans="13:13">
      <c r="M12866" s="202"/>
    </row>
    <row r="12867" spans="13:13">
      <c r="M12867" s="202"/>
    </row>
    <row r="12868" spans="13:13">
      <c r="M12868" s="202"/>
    </row>
    <row r="12869" spans="13:13">
      <c r="M12869" s="202"/>
    </row>
    <row r="12870" spans="13:13">
      <c r="M12870" s="202"/>
    </row>
    <row r="12871" spans="13:13">
      <c r="M12871" s="202"/>
    </row>
    <row r="12872" spans="13:13">
      <c r="M12872" s="202"/>
    </row>
    <row r="12873" spans="13:13">
      <c r="M12873" s="202"/>
    </row>
    <row r="12874" spans="13:13">
      <c r="M12874" s="202"/>
    </row>
    <row r="12875" spans="13:13">
      <c r="M12875" s="202"/>
    </row>
    <row r="12876" spans="13:13">
      <c r="M12876" s="202"/>
    </row>
    <row r="12877" spans="13:13">
      <c r="M12877" s="202"/>
    </row>
    <row r="12878" spans="13:13">
      <c r="M12878" s="202"/>
    </row>
    <row r="12879" spans="13:13">
      <c r="M12879" s="202"/>
    </row>
    <row r="12880" spans="13:13">
      <c r="M12880" s="202"/>
    </row>
    <row r="12881" spans="13:13">
      <c r="M12881" s="202"/>
    </row>
    <row r="12882" spans="13:13">
      <c r="M12882" s="202"/>
    </row>
    <row r="12883" spans="13:13">
      <c r="M12883" s="202"/>
    </row>
    <row r="12884" spans="13:13">
      <c r="M12884" s="202"/>
    </row>
    <row r="12885" spans="13:13">
      <c r="M12885" s="202"/>
    </row>
    <row r="12886" spans="13:13">
      <c r="M12886" s="202"/>
    </row>
    <row r="12887" spans="13:13">
      <c r="M12887" s="202"/>
    </row>
    <row r="12888" spans="13:13">
      <c r="M12888" s="202"/>
    </row>
    <row r="12889" spans="13:13">
      <c r="M12889" s="202"/>
    </row>
    <row r="12890" spans="13:13">
      <c r="M12890" s="202"/>
    </row>
    <row r="12891" spans="13:13">
      <c r="M12891" s="202"/>
    </row>
    <row r="12892" spans="13:13">
      <c r="M12892" s="202"/>
    </row>
    <row r="12893" spans="13:13">
      <c r="M12893" s="202"/>
    </row>
    <row r="12894" spans="13:13">
      <c r="M12894" s="202"/>
    </row>
    <row r="12895" spans="13:13">
      <c r="M12895" s="202"/>
    </row>
    <row r="12896" spans="13:13">
      <c r="M12896" s="202"/>
    </row>
    <row r="12897" spans="13:13">
      <c r="M12897" s="202"/>
    </row>
    <row r="12898" spans="13:13">
      <c r="M12898" s="202"/>
    </row>
    <row r="12899" spans="13:13">
      <c r="M12899" s="202"/>
    </row>
    <row r="12900" spans="13:13">
      <c r="M12900" s="202"/>
    </row>
    <row r="12901" spans="13:13">
      <c r="M12901" s="202"/>
    </row>
    <row r="12902" spans="13:13">
      <c r="M12902" s="202"/>
    </row>
    <row r="12903" spans="13:13">
      <c r="M12903" s="202"/>
    </row>
    <row r="12904" spans="13:13">
      <c r="M12904" s="202"/>
    </row>
    <row r="12905" spans="13:13">
      <c r="M12905" s="202"/>
    </row>
    <row r="12906" spans="13:13">
      <c r="M12906" s="202"/>
    </row>
    <row r="12907" spans="13:13">
      <c r="M12907" s="202"/>
    </row>
    <row r="12908" spans="13:13">
      <c r="M12908" s="202"/>
    </row>
    <row r="12909" spans="13:13">
      <c r="M12909" s="202"/>
    </row>
    <row r="12910" spans="13:13">
      <c r="M12910" s="202"/>
    </row>
    <row r="12911" spans="13:13">
      <c r="M12911" s="202"/>
    </row>
    <row r="12912" spans="13:13">
      <c r="M12912" s="202"/>
    </row>
    <row r="12913" spans="13:13">
      <c r="M12913" s="202"/>
    </row>
    <row r="12914" spans="13:13">
      <c r="M12914" s="202"/>
    </row>
    <row r="12915" spans="13:13">
      <c r="M12915" s="202"/>
    </row>
    <row r="12916" spans="13:13">
      <c r="M12916" s="202"/>
    </row>
    <row r="12917" spans="13:13">
      <c r="M12917" s="202"/>
    </row>
    <row r="12918" spans="13:13">
      <c r="M12918" s="202"/>
    </row>
    <row r="12919" spans="13:13">
      <c r="M12919" s="202"/>
    </row>
    <row r="12920" spans="13:13">
      <c r="M12920" s="202"/>
    </row>
    <row r="12921" spans="13:13">
      <c r="M12921" s="202"/>
    </row>
    <row r="12922" spans="13:13">
      <c r="M12922" s="202"/>
    </row>
    <row r="12923" spans="13:13">
      <c r="M12923" s="202"/>
    </row>
    <row r="12924" spans="13:13">
      <c r="M12924" s="202"/>
    </row>
    <row r="12925" spans="13:13">
      <c r="M12925" s="202"/>
    </row>
    <row r="12926" spans="13:13">
      <c r="M12926" s="202"/>
    </row>
    <row r="12927" spans="13:13">
      <c r="M12927" s="202"/>
    </row>
    <row r="12928" spans="13:13">
      <c r="M12928" s="202"/>
    </row>
    <row r="12929" spans="13:13">
      <c r="M12929" s="202"/>
    </row>
    <row r="12930" spans="13:13">
      <c r="M12930" s="202"/>
    </row>
    <row r="12931" spans="13:13">
      <c r="M12931" s="202"/>
    </row>
    <row r="12932" spans="13:13">
      <c r="M12932" s="202"/>
    </row>
    <row r="12933" spans="13:13">
      <c r="M12933" s="202"/>
    </row>
    <row r="12934" spans="13:13">
      <c r="M12934" s="202"/>
    </row>
    <row r="12935" spans="13:13">
      <c r="M12935" s="202"/>
    </row>
    <row r="12936" spans="13:13">
      <c r="M12936" s="202"/>
    </row>
    <row r="12937" spans="13:13">
      <c r="M12937" s="202"/>
    </row>
    <row r="12938" spans="13:13">
      <c r="M12938" s="202"/>
    </row>
    <row r="12939" spans="13:13">
      <c r="M12939" s="202"/>
    </row>
    <row r="12940" spans="13:13">
      <c r="M12940" s="202"/>
    </row>
    <row r="12941" spans="13:13">
      <c r="M12941" s="202"/>
    </row>
    <row r="12942" spans="13:13">
      <c r="M12942" s="202"/>
    </row>
    <row r="12943" spans="13:13">
      <c r="M12943" s="202"/>
    </row>
    <row r="12944" spans="13:13">
      <c r="M12944" s="202"/>
    </row>
    <row r="12945" spans="13:13">
      <c r="M12945" s="202"/>
    </row>
    <row r="12946" spans="13:13">
      <c r="M12946" s="202"/>
    </row>
    <row r="12947" spans="13:13">
      <c r="M12947" s="202"/>
    </row>
    <row r="12948" spans="13:13">
      <c r="M12948" s="202"/>
    </row>
    <row r="12949" spans="13:13">
      <c r="M12949" s="202"/>
    </row>
    <row r="12950" spans="13:13">
      <c r="M12950" s="202"/>
    </row>
    <row r="12951" spans="13:13">
      <c r="M12951" s="202"/>
    </row>
    <row r="12952" spans="13:13">
      <c r="M12952" s="202"/>
    </row>
    <row r="12953" spans="13:13">
      <c r="M12953" s="202"/>
    </row>
    <row r="12954" spans="13:13">
      <c r="M12954" s="202"/>
    </row>
    <row r="12955" spans="13:13">
      <c r="M12955" s="202"/>
    </row>
    <row r="12956" spans="13:13">
      <c r="M12956" s="202"/>
    </row>
    <row r="12957" spans="13:13">
      <c r="M12957" s="202"/>
    </row>
    <row r="12958" spans="13:13">
      <c r="M12958" s="202"/>
    </row>
    <row r="12959" spans="13:13">
      <c r="M12959" s="202"/>
    </row>
    <row r="12960" spans="13:13">
      <c r="M12960" s="202"/>
    </row>
    <row r="12961" spans="13:13">
      <c r="M12961" s="202"/>
    </row>
    <row r="12962" spans="13:13">
      <c r="M12962" s="202"/>
    </row>
    <row r="12963" spans="13:13">
      <c r="M12963" s="202"/>
    </row>
    <row r="12964" spans="13:13">
      <c r="M12964" s="202"/>
    </row>
    <row r="12965" spans="13:13">
      <c r="M12965" s="202"/>
    </row>
    <row r="12966" spans="13:13">
      <c r="M12966" s="202"/>
    </row>
    <row r="12967" spans="13:13">
      <c r="M12967" s="202"/>
    </row>
    <row r="12968" spans="13:13">
      <c r="M12968" s="202"/>
    </row>
    <row r="12969" spans="13:13">
      <c r="M12969" s="202"/>
    </row>
    <row r="12970" spans="13:13">
      <c r="M12970" s="202"/>
    </row>
    <row r="12971" spans="13:13">
      <c r="M12971" s="202"/>
    </row>
    <row r="12972" spans="13:13">
      <c r="M12972" s="202"/>
    </row>
    <row r="12973" spans="13:13">
      <c r="M12973" s="202"/>
    </row>
    <row r="12974" spans="13:13">
      <c r="M12974" s="202"/>
    </row>
    <row r="12975" spans="13:13">
      <c r="M12975" s="202"/>
    </row>
    <row r="12976" spans="13:13">
      <c r="M12976" s="202"/>
    </row>
    <row r="12977" spans="13:13">
      <c r="M12977" s="202"/>
    </row>
    <row r="12978" spans="13:13">
      <c r="M12978" s="202"/>
    </row>
    <row r="12979" spans="13:13">
      <c r="M12979" s="202"/>
    </row>
    <row r="12980" spans="13:13">
      <c r="M12980" s="202"/>
    </row>
    <row r="12981" spans="13:13">
      <c r="M12981" s="202"/>
    </row>
    <row r="12982" spans="13:13">
      <c r="M12982" s="202"/>
    </row>
    <row r="12983" spans="13:13">
      <c r="M12983" s="202"/>
    </row>
    <row r="12984" spans="13:13">
      <c r="M12984" s="202"/>
    </row>
    <row r="12985" spans="13:13">
      <c r="M12985" s="202"/>
    </row>
    <row r="12986" spans="13:13">
      <c r="M12986" s="202"/>
    </row>
    <row r="12987" spans="13:13">
      <c r="M12987" s="202"/>
    </row>
    <row r="12988" spans="13:13">
      <c r="M12988" s="202"/>
    </row>
    <row r="12989" spans="13:13">
      <c r="M12989" s="202"/>
    </row>
    <row r="12990" spans="13:13">
      <c r="M12990" s="202"/>
    </row>
    <row r="12991" spans="13:13">
      <c r="M12991" s="202"/>
    </row>
    <row r="12992" spans="13:13">
      <c r="M12992" s="202"/>
    </row>
    <row r="12993" spans="13:13">
      <c r="M12993" s="202"/>
    </row>
    <row r="12994" spans="13:13">
      <c r="M12994" s="202"/>
    </row>
    <row r="12995" spans="13:13">
      <c r="M12995" s="202"/>
    </row>
    <row r="12996" spans="13:13">
      <c r="M12996" s="202"/>
    </row>
    <row r="12997" spans="13:13">
      <c r="M12997" s="202"/>
    </row>
    <row r="12998" spans="13:13">
      <c r="M12998" s="202"/>
    </row>
    <row r="12999" spans="13:13">
      <c r="M12999" s="202"/>
    </row>
    <row r="13000" spans="13:13">
      <c r="M13000" s="202"/>
    </row>
    <row r="13001" spans="13:13">
      <c r="M13001" s="202"/>
    </row>
    <row r="13002" spans="13:13">
      <c r="M13002" s="202"/>
    </row>
    <row r="13003" spans="13:13">
      <c r="M13003" s="202"/>
    </row>
    <row r="13004" spans="13:13">
      <c r="M13004" s="202"/>
    </row>
    <row r="13005" spans="13:13">
      <c r="M13005" s="202"/>
    </row>
    <row r="13006" spans="13:13">
      <c r="M13006" s="202"/>
    </row>
    <row r="13007" spans="13:13">
      <c r="M13007" s="202"/>
    </row>
    <row r="13008" spans="13:13">
      <c r="M13008" s="202"/>
    </row>
    <row r="13009" spans="13:13">
      <c r="M13009" s="202"/>
    </row>
    <row r="13010" spans="13:13">
      <c r="M13010" s="202"/>
    </row>
    <row r="13011" spans="13:13">
      <c r="M13011" s="202"/>
    </row>
    <row r="13012" spans="13:13">
      <c r="M13012" s="202"/>
    </row>
    <row r="13013" spans="13:13">
      <c r="M13013" s="202"/>
    </row>
    <row r="13014" spans="13:13">
      <c r="M13014" s="202"/>
    </row>
    <row r="13015" spans="13:13">
      <c r="M13015" s="202"/>
    </row>
    <row r="13016" spans="13:13">
      <c r="M13016" s="202"/>
    </row>
    <row r="13017" spans="13:13">
      <c r="M13017" s="202"/>
    </row>
    <row r="13018" spans="13:13">
      <c r="M13018" s="202"/>
    </row>
    <row r="13019" spans="13:13">
      <c r="M13019" s="202"/>
    </row>
    <row r="13020" spans="13:13">
      <c r="M13020" s="202"/>
    </row>
    <row r="13021" spans="13:13">
      <c r="M13021" s="202"/>
    </row>
    <row r="13022" spans="13:13">
      <c r="M13022" s="202"/>
    </row>
    <row r="13023" spans="13:13">
      <c r="M13023" s="202"/>
    </row>
    <row r="13024" spans="13:13">
      <c r="M13024" s="202"/>
    </row>
    <row r="13025" spans="13:13">
      <c r="M13025" s="202"/>
    </row>
    <row r="13026" spans="13:13">
      <c r="M13026" s="202"/>
    </row>
    <row r="13027" spans="13:13">
      <c r="M13027" s="202"/>
    </row>
    <row r="13028" spans="13:13">
      <c r="M13028" s="202"/>
    </row>
    <row r="13029" spans="13:13">
      <c r="M13029" s="202"/>
    </row>
    <row r="13030" spans="13:13">
      <c r="M13030" s="202"/>
    </row>
    <row r="13031" spans="13:13">
      <c r="M13031" s="202"/>
    </row>
    <row r="13032" spans="13:13">
      <c r="M13032" s="202"/>
    </row>
    <row r="13033" spans="13:13">
      <c r="M13033" s="202"/>
    </row>
    <row r="13034" spans="13:13">
      <c r="M13034" s="202"/>
    </row>
    <row r="13035" spans="13:13">
      <c r="M13035" s="202"/>
    </row>
    <row r="13036" spans="13:13">
      <c r="M13036" s="202"/>
    </row>
    <row r="13037" spans="13:13">
      <c r="M13037" s="202"/>
    </row>
    <row r="13038" spans="13:13">
      <c r="M13038" s="202"/>
    </row>
    <row r="13039" spans="13:13">
      <c r="M13039" s="202"/>
    </row>
    <row r="13040" spans="13:13">
      <c r="M13040" s="202"/>
    </row>
    <row r="13041" spans="13:13">
      <c r="M13041" s="202"/>
    </row>
    <row r="13042" spans="13:13">
      <c r="M13042" s="202"/>
    </row>
    <row r="13043" spans="13:13">
      <c r="M13043" s="202"/>
    </row>
    <row r="13044" spans="13:13">
      <c r="M13044" s="202"/>
    </row>
    <row r="13045" spans="13:13">
      <c r="M13045" s="202"/>
    </row>
    <row r="13046" spans="13:13">
      <c r="M13046" s="202"/>
    </row>
    <row r="13047" spans="13:13">
      <c r="M13047" s="202"/>
    </row>
    <row r="13048" spans="13:13">
      <c r="M13048" s="202"/>
    </row>
    <row r="13049" spans="13:13">
      <c r="M13049" s="202"/>
    </row>
    <row r="13050" spans="13:13">
      <c r="M13050" s="202"/>
    </row>
    <row r="13051" spans="13:13">
      <c r="M13051" s="202"/>
    </row>
    <row r="13052" spans="13:13">
      <c r="M13052" s="202"/>
    </row>
    <row r="13053" spans="13:13">
      <c r="M13053" s="202"/>
    </row>
    <row r="13054" spans="13:13">
      <c r="M13054" s="202"/>
    </row>
    <row r="13055" spans="13:13">
      <c r="M13055" s="202"/>
    </row>
    <row r="13056" spans="13:13">
      <c r="M13056" s="202"/>
    </row>
    <row r="13057" spans="13:13">
      <c r="M13057" s="202"/>
    </row>
    <row r="13058" spans="13:13">
      <c r="M13058" s="202"/>
    </row>
    <row r="13059" spans="13:13">
      <c r="M13059" s="202"/>
    </row>
    <row r="13060" spans="13:13">
      <c r="M13060" s="202"/>
    </row>
    <row r="13061" spans="13:13">
      <c r="M13061" s="202"/>
    </row>
    <row r="13062" spans="13:13">
      <c r="M13062" s="202"/>
    </row>
    <row r="13063" spans="13:13">
      <c r="M13063" s="202"/>
    </row>
    <row r="13064" spans="13:13">
      <c r="M13064" s="202"/>
    </row>
    <row r="13065" spans="13:13">
      <c r="M13065" s="202"/>
    </row>
    <row r="13066" spans="13:13">
      <c r="M13066" s="202"/>
    </row>
    <row r="13067" spans="13:13">
      <c r="M13067" s="202"/>
    </row>
    <row r="13068" spans="13:13">
      <c r="M13068" s="202"/>
    </row>
    <row r="13069" spans="13:13">
      <c r="M13069" s="202"/>
    </row>
    <row r="13070" spans="13:13">
      <c r="M13070" s="202"/>
    </row>
    <row r="13071" spans="13:13">
      <c r="M13071" s="202"/>
    </row>
    <row r="13072" spans="13:13">
      <c r="M13072" s="202"/>
    </row>
    <row r="13073" spans="13:13">
      <c r="M13073" s="202"/>
    </row>
    <row r="13074" spans="13:13">
      <c r="M13074" s="202"/>
    </row>
    <row r="13075" spans="13:13">
      <c r="M13075" s="202"/>
    </row>
    <row r="13076" spans="13:13">
      <c r="M13076" s="202"/>
    </row>
    <row r="13077" spans="13:13">
      <c r="M13077" s="202"/>
    </row>
    <row r="13078" spans="13:13">
      <c r="M13078" s="202"/>
    </row>
    <row r="13079" spans="13:13">
      <c r="M13079" s="202"/>
    </row>
    <row r="13080" spans="13:13">
      <c r="M13080" s="202"/>
    </row>
    <row r="13081" spans="13:13">
      <c r="M13081" s="202"/>
    </row>
    <row r="13082" spans="13:13">
      <c r="M13082" s="202"/>
    </row>
    <row r="13083" spans="13:13">
      <c r="M13083" s="202"/>
    </row>
    <row r="13084" spans="13:13">
      <c r="M13084" s="202"/>
    </row>
    <row r="13085" spans="13:13">
      <c r="M13085" s="202"/>
    </row>
    <row r="13086" spans="13:13">
      <c r="M13086" s="202"/>
    </row>
    <row r="13087" spans="13:13">
      <c r="M13087" s="202"/>
    </row>
    <row r="13088" spans="13:13">
      <c r="M13088" s="202"/>
    </row>
    <row r="13089" spans="13:13">
      <c r="M13089" s="202"/>
    </row>
    <row r="13090" spans="13:13">
      <c r="M13090" s="202"/>
    </row>
    <row r="13091" spans="13:13">
      <c r="M13091" s="202"/>
    </row>
    <row r="13092" spans="13:13">
      <c r="M13092" s="202"/>
    </row>
    <row r="13093" spans="13:13">
      <c r="M13093" s="202"/>
    </row>
    <row r="13094" spans="13:13">
      <c r="M13094" s="202"/>
    </row>
    <row r="13095" spans="13:13">
      <c r="M13095" s="202"/>
    </row>
    <row r="13096" spans="13:13">
      <c r="M13096" s="202"/>
    </row>
    <row r="13097" spans="13:13">
      <c r="M13097" s="202"/>
    </row>
    <row r="13098" spans="13:13">
      <c r="M13098" s="202"/>
    </row>
    <row r="13099" spans="13:13">
      <c r="M13099" s="202"/>
    </row>
    <row r="13100" spans="13:13">
      <c r="M13100" s="202"/>
    </row>
    <row r="13101" spans="13:13">
      <c r="M13101" s="202"/>
    </row>
    <row r="13102" spans="13:13">
      <c r="M13102" s="202"/>
    </row>
    <row r="13103" spans="13:13">
      <c r="M13103" s="202"/>
    </row>
    <row r="13104" spans="13:13">
      <c r="M13104" s="202"/>
    </row>
    <row r="13105" spans="13:13">
      <c r="M13105" s="202"/>
    </row>
    <row r="13106" spans="13:13">
      <c r="M13106" s="202"/>
    </row>
    <row r="13107" spans="13:13">
      <c r="M13107" s="202"/>
    </row>
    <row r="13108" spans="13:13">
      <c r="M13108" s="202"/>
    </row>
    <row r="13109" spans="13:13">
      <c r="M13109" s="202"/>
    </row>
    <row r="13110" spans="13:13">
      <c r="M13110" s="202"/>
    </row>
    <row r="13111" spans="13:13">
      <c r="M13111" s="202"/>
    </row>
    <row r="13112" spans="13:13">
      <c r="M13112" s="202"/>
    </row>
    <row r="13113" spans="13:13">
      <c r="M13113" s="202"/>
    </row>
    <row r="13114" spans="13:13">
      <c r="M13114" s="202"/>
    </row>
    <row r="13115" spans="13:13">
      <c r="M13115" s="202"/>
    </row>
    <row r="13116" spans="13:13">
      <c r="M13116" s="202"/>
    </row>
    <row r="13117" spans="13:13">
      <c r="M13117" s="202"/>
    </row>
    <row r="13118" spans="13:13">
      <c r="M13118" s="202"/>
    </row>
    <row r="13119" spans="13:13">
      <c r="M13119" s="202"/>
    </row>
    <row r="13120" spans="13:13">
      <c r="M13120" s="202"/>
    </row>
    <row r="13121" spans="13:13">
      <c r="M13121" s="202"/>
    </row>
    <row r="13122" spans="13:13">
      <c r="M13122" s="202"/>
    </row>
    <row r="13123" spans="13:13">
      <c r="M13123" s="202"/>
    </row>
    <row r="13124" spans="13:13">
      <c r="M13124" s="202"/>
    </row>
    <row r="13125" spans="13:13">
      <c r="M13125" s="202"/>
    </row>
    <row r="13126" spans="13:13">
      <c r="M13126" s="202"/>
    </row>
    <row r="13127" spans="13:13">
      <c r="M13127" s="202"/>
    </row>
    <row r="13128" spans="13:13">
      <c r="M13128" s="202"/>
    </row>
    <row r="13129" spans="13:13">
      <c r="M13129" s="202"/>
    </row>
    <row r="13130" spans="13:13">
      <c r="M13130" s="202"/>
    </row>
    <row r="13131" spans="13:13">
      <c r="M13131" s="202"/>
    </row>
    <row r="13132" spans="13:13">
      <c r="M13132" s="202"/>
    </row>
    <row r="13133" spans="13:13">
      <c r="M13133" s="202"/>
    </row>
    <row r="13134" spans="13:13">
      <c r="M13134" s="202"/>
    </row>
    <row r="13135" spans="13:13">
      <c r="M13135" s="202"/>
    </row>
    <row r="13136" spans="13:13">
      <c r="M13136" s="202"/>
    </row>
    <row r="13137" spans="13:13">
      <c r="M13137" s="202"/>
    </row>
    <row r="13138" spans="13:13">
      <c r="M13138" s="202"/>
    </row>
    <row r="13139" spans="13:13">
      <c r="M13139" s="202"/>
    </row>
    <row r="13140" spans="13:13">
      <c r="M13140" s="202"/>
    </row>
    <row r="13141" spans="13:13">
      <c r="M13141" s="202"/>
    </row>
    <row r="13142" spans="13:13">
      <c r="M13142" s="202"/>
    </row>
    <row r="13143" spans="13:13">
      <c r="M13143" s="202"/>
    </row>
    <row r="13144" spans="13:13">
      <c r="M13144" s="202"/>
    </row>
    <row r="13145" spans="13:13">
      <c r="M13145" s="202"/>
    </row>
    <row r="13146" spans="13:13">
      <c r="M13146" s="202"/>
    </row>
    <row r="13147" spans="13:13">
      <c r="M13147" s="202"/>
    </row>
    <row r="13148" spans="13:13">
      <c r="M13148" s="202"/>
    </row>
    <row r="13149" spans="13:13">
      <c r="M13149" s="202"/>
    </row>
    <row r="13150" spans="13:13">
      <c r="M13150" s="202"/>
    </row>
    <row r="13151" spans="13:13">
      <c r="M13151" s="202"/>
    </row>
    <row r="13152" spans="13:13">
      <c r="M13152" s="202"/>
    </row>
    <row r="13153" spans="13:13">
      <c r="M13153" s="202"/>
    </row>
    <row r="13154" spans="13:13">
      <c r="M13154" s="202"/>
    </row>
    <row r="13155" spans="13:13">
      <c r="M13155" s="202"/>
    </row>
    <row r="13156" spans="13:13">
      <c r="M13156" s="202"/>
    </row>
    <row r="13157" spans="13:13">
      <c r="M13157" s="202"/>
    </row>
    <row r="13158" spans="13:13">
      <c r="M13158" s="202"/>
    </row>
    <row r="13159" spans="13:13">
      <c r="M13159" s="202"/>
    </row>
    <row r="13160" spans="13:13">
      <c r="M13160" s="202"/>
    </row>
    <row r="13161" spans="13:13">
      <c r="M13161" s="202"/>
    </row>
    <row r="13162" spans="13:13">
      <c r="M13162" s="202"/>
    </row>
    <row r="13163" spans="13:13">
      <c r="M13163" s="202"/>
    </row>
    <row r="13164" spans="13:13">
      <c r="M13164" s="202"/>
    </row>
    <row r="13165" spans="13:13">
      <c r="M13165" s="202"/>
    </row>
    <row r="13166" spans="13:13">
      <c r="M13166" s="202"/>
    </row>
    <row r="13167" spans="13:13">
      <c r="M13167" s="202"/>
    </row>
    <row r="13168" spans="13:13">
      <c r="M13168" s="202"/>
    </row>
    <row r="13169" spans="13:13">
      <c r="M13169" s="202"/>
    </row>
    <row r="13170" spans="13:13">
      <c r="M13170" s="202"/>
    </row>
    <row r="13171" spans="13:13">
      <c r="M13171" s="202"/>
    </row>
    <row r="13172" spans="13:13">
      <c r="M13172" s="202"/>
    </row>
    <row r="13173" spans="13:13">
      <c r="M13173" s="202"/>
    </row>
    <row r="13174" spans="13:13">
      <c r="M13174" s="202"/>
    </row>
    <row r="13175" spans="13:13">
      <c r="M13175" s="202"/>
    </row>
    <row r="13176" spans="13:13">
      <c r="M13176" s="202"/>
    </row>
    <row r="13177" spans="13:13">
      <c r="M13177" s="202"/>
    </row>
    <row r="13178" spans="13:13">
      <c r="M13178" s="202"/>
    </row>
    <row r="13179" spans="13:13">
      <c r="M13179" s="202"/>
    </row>
    <row r="13180" spans="13:13">
      <c r="M13180" s="202"/>
    </row>
    <row r="13181" spans="13:13">
      <c r="M13181" s="202"/>
    </row>
    <row r="13182" spans="13:13">
      <c r="M13182" s="202"/>
    </row>
    <row r="13183" spans="13:13">
      <c r="M13183" s="202"/>
    </row>
    <row r="13184" spans="13:13">
      <c r="M13184" s="202"/>
    </row>
    <row r="13185" spans="13:13">
      <c r="M13185" s="202"/>
    </row>
    <row r="13186" spans="13:13">
      <c r="M13186" s="202"/>
    </row>
    <row r="13187" spans="13:13">
      <c r="M13187" s="202"/>
    </row>
    <row r="13188" spans="13:13">
      <c r="M13188" s="202"/>
    </row>
    <row r="13189" spans="13:13">
      <c r="M13189" s="202"/>
    </row>
    <row r="13190" spans="13:13">
      <c r="M13190" s="202"/>
    </row>
    <row r="13191" spans="13:13">
      <c r="M13191" s="202"/>
    </row>
    <row r="13192" spans="13:13">
      <c r="M13192" s="202"/>
    </row>
    <row r="13193" spans="13:13">
      <c r="M13193" s="202"/>
    </row>
    <row r="13194" spans="13:13">
      <c r="M13194" s="202"/>
    </row>
    <row r="13195" spans="13:13">
      <c r="M13195" s="202"/>
    </row>
    <row r="13196" spans="13:13">
      <c r="M13196" s="202"/>
    </row>
    <row r="13197" spans="13:13">
      <c r="M13197" s="202"/>
    </row>
    <row r="13198" spans="13:13">
      <c r="M13198" s="202"/>
    </row>
    <row r="13199" spans="13:13">
      <c r="M13199" s="202"/>
    </row>
    <row r="13200" spans="13:13">
      <c r="M13200" s="202"/>
    </row>
    <row r="13201" spans="13:13">
      <c r="M13201" s="202"/>
    </row>
    <row r="13202" spans="13:13">
      <c r="M13202" s="202"/>
    </row>
    <row r="13203" spans="13:13">
      <c r="M13203" s="202"/>
    </row>
    <row r="13204" spans="13:13">
      <c r="M13204" s="202"/>
    </row>
    <row r="13205" spans="13:13">
      <c r="M13205" s="202"/>
    </row>
    <row r="13206" spans="13:13">
      <c r="M13206" s="202"/>
    </row>
    <row r="13207" spans="13:13">
      <c r="M13207" s="202"/>
    </row>
    <row r="13208" spans="13:13">
      <c r="M13208" s="202"/>
    </row>
    <row r="13209" spans="13:13">
      <c r="M13209" s="202"/>
    </row>
    <row r="13210" spans="13:13">
      <c r="M13210" s="202"/>
    </row>
    <row r="13211" spans="13:13">
      <c r="M13211" s="202"/>
    </row>
    <row r="13212" spans="13:13">
      <c r="M13212" s="202"/>
    </row>
    <row r="13213" spans="13:13">
      <c r="M13213" s="202"/>
    </row>
    <row r="13214" spans="13:13">
      <c r="M13214" s="202"/>
    </row>
    <row r="13215" spans="13:13">
      <c r="M13215" s="202"/>
    </row>
    <row r="13216" spans="13:13">
      <c r="M13216" s="202"/>
    </row>
    <row r="13217" spans="13:13">
      <c r="M13217" s="202"/>
    </row>
    <row r="13218" spans="13:13">
      <c r="M13218" s="202"/>
    </row>
    <row r="13219" spans="13:13">
      <c r="M13219" s="202"/>
    </row>
    <row r="13220" spans="13:13">
      <c r="M13220" s="202"/>
    </row>
    <row r="13221" spans="13:13">
      <c r="M13221" s="202"/>
    </row>
    <row r="13222" spans="13:13">
      <c r="M13222" s="202"/>
    </row>
    <row r="13223" spans="13:13">
      <c r="M13223" s="202"/>
    </row>
    <row r="13224" spans="13:13">
      <c r="M13224" s="202"/>
    </row>
    <row r="13225" spans="13:13">
      <c r="M13225" s="202"/>
    </row>
    <row r="13226" spans="13:13">
      <c r="M13226" s="202"/>
    </row>
    <row r="13227" spans="13:13">
      <c r="M13227" s="202"/>
    </row>
    <row r="13228" spans="13:13">
      <c r="M13228" s="202"/>
    </row>
    <row r="13229" spans="13:13">
      <c r="M13229" s="202"/>
    </row>
    <row r="13230" spans="13:13">
      <c r="M13230" s="202"/>
    </row>
    <row r="13231" spans="13:13">
      <c r="M13231" s="202"/>
    </row>
    <row r="13232" spans="13:13">
      <c r="M13232" s="202"/>
    </row>
    <row r="13233" spans="13:13">
      <c r="M13233" s="202"/>
    </row>
    <row r="13234" spans="13:13">
      <c r="M13234" s="202"/>
    </row>
    <row r="13235" spans="13:13">
      <c r="M13235" s="202"/>
    </row>
    <row r="13236" spans="13:13">
      <c r="M13236" s="202"/>
    </row>
    <row r="13237" spans="13:13">
      <c r="M13237" s="202"/>
    </row>
    <row r="13238" spans="13:13">
      <c r="M13238" s="202"/>
    </row>
    <row r="13239" spans="13:13">
      <c r="M13239" s="202"/>
    </row>
    <row r="13240" spans="13:13">
      <c r="M13240" s="202"/>
    </row>
    <row r="13241" spans="13:13">
      <c r="M13241" s="202"/>
    </row>
    <row r="13242" spans="13:13">
      <c r="M13242" s="202"/>
    </row>
    <row r="13243" spans="13:13">
      <c r="M13243" s="202"/>
    </row>
    <row r="13244" spans="13:13">
      <c r="M13244" s="202"/>
    </row>
    <row r="13245" spans="13:13">
      <c r="M13245" s="202"/>
    </row>
    <row r="13246" spans="13:13">
      <c r="M13246" s="202"/>
    </row>
    <row r="13247" spans="13:13">
      <c r="M13247" s="202"/>
    </row>
    <row r="13248" spans="13:13">
      <c r="M13248" s="202"/>
    </row>
    <row r="13249" spans="13:13">
      <c r="M13249" s="202"/>
    </row>
    <row r="13250" spans="13:13">
      <c r="M13250" s="202"/>
    </row>
    <row r="13251" spans="13:13">
      <c r="M13251" s="202"/>
    </row>
    <row r="13252" spans="13:13">
      <c r="M13252" s="202"/>
    </row>
    <row r="13253" spans="13:13">
      <c r="M13253" s="202"/>
    </row>
    <row r="13254" spans="13:13">
      <c r="M13254" s="202"/>
    </row>
    <row r="13255" spans="13:13">
      <c r="M13255" s="202"/>
    </row>
    <row r="13256" spans="13:13">
      <c r="M13256" s="202"/>
    </row>
    <row r="13257" spans="13:13">
      <c r="M13257" s="202"/>
    </row>
    <row r="13258" spans="13:13">
      <c r="M13258" s="202"/>
    </row>
    <row r="13259" spans="13:13">
      <c r="M13259" s="202"/>
    </row>
    <row r="13260" spans="13:13">
      <c r="M13260" s="202"/>
    </row>
    <row r="13261" spans="13:13">
      <c r="M13261" s="202"/>
    </row>
    <row r="13262" spans="13:13">
      <c r="M13262" s="202"/>
    </row>
    <row r="13263" spans="13:13">
      <c r="M13263" s="202"/>
    </row>
    <row r="13264" spans="13:13">
      <c r="M13264" s="202"/>
    </row>
    <row r="13265" spans="13:13">
      <c r="M13265" s="202"/>
    </row>
    <row r="13266" spans="13:13">
      <c r="M13266" s="202"/>
    </row>
    <row r="13267" spans="13:13">
      <c r="M13267" s="202"/>
    </row>
    <row r="13268" spans="13:13">
      <c r="M13268" s="202"/>
    </row>
    <row r="13269" spans="13:13">
      <c r="M13269" s="202"/>
    </row>
    <row r="13270" spans="13:13">
      <c r="M13270" s="202"/>
    </row>
    <row r="13271" spans="13:13">
      <c r="M13271" s="202"/>
    </row>
    <row r="13272" spans="13:13">
      <c r="M13272" s="202"/>
    </row>
    <row r="13273" spans="13:13">
      <c r="M13273" s="202"/>
    </row>
    <row r="13274" spans="13:13">
      <c r="M13274" s="202"/>
    </row>
    <row r="13275" spans="13:13">
      <c r="M13275" s="202"/>
    </row>
    <row r="13276" spans="13:13">
      <c r="M13276" s="202"/>
    </row>
    <row r="13277" spans="13:13">
      <c r="M13277" s="202"/>
    </row>
    <row r="13278" spans="13:13">
      <c r="M13278" s="202"/>
    </row>
    <row r="13279" spans="13:13">
      <c r="M13279" s="202"/>
    </row>
    <row r="13280" spans="13:13">
      <c r="M13280" s="202"/>
    </row>
    <row r="13281" spans="13:13">
      <c r="M13281" s="202"/>
    </row>
    <row r="13282" spans="13:13">
      <c r="M13282" s="202"/>
    </row>
    <row r="13283" spans="13:13">
      <c r="M13283" s="202"/>
    </row>
    <row r="13284" spans="13:13">
      <c r="M13284" s="202"/>
    </row>
    <row r="13285" spans="13:13">
      <c r="M13285" s="202"/>
    </row>
    <row r="13286" spans="13:13">
      <c r="M13286" s="202"/>
    </row>
    <row r="13287" spans="13:13">
      <c r="M13287" s="202"/>
    </row>
    <row r="13288" spans="13:13">
      <c r="M13288" s="202"/>
    </row>
    <row r="13289" spans="13:13">
      <c r="M13289" s="202"/>
    </row>
    <row r="13290" spans="13:13">
      <c r="M13290" s="202"/>
    </row>
    <row r="13291" spans="13:13">
      <c r="M13291" s="202"/>
    </row>
    <row r="13292" spans="13:13">
      <c r="M13292" s="202"/>
    </row>
    <row r="13293" spans="13:13">
      <c r="M13293" s="202"/>
    </row>
    <row r="13294" spans="13:13">
      <c r="M13294" s="202"/>
    </row>
    <row r="13295" spans="13:13">
      <c r="M13295" s="202"/>
    </row>
    <row r="13296" spans="13:13">
      <c r="M13296" s="202"/>
    </row>
    <row r="13297" spans="13:13">
      <c r="M13297" s="202"/>
    </row>
    <row r="13298" spans="13:13">
      <c r="M13298" s="202"/>
    </row>
    <row r="13299" spans="13:13">
      <c r="M13299" s="202"/>
    </row>
    <row r="13300" spans="13:13">
      <c r="M13300" s="202"/>
    </row>
    <row r="13301" spans="13:13">
      <c r="M13301" s="202"/>
    </row>
    <row r="13302" spans="13:13">
      <c r="M13302" s="202"/>
    </row>
    <row r="13303" spans="13:13">
      <c r="M13303" s="202"/>
    </row>
    <row r="13304" spans="13:13">
      <c r="M13304" s="202"/>
    </row>
    <row r="13305" spans="13:13">
      <c r="M13305" s="202"/>
    </row>
    <row r="13306" spans="13:13">
      <c r="M13306" s="202"/>
    </row>
    <row r="13307" spans="13:13">
      <c r="M13307" s="202"/>
    </row>
    <row r="13308" spans="13:13">
      <c r="M13308" s="202"/>
    </row>
    <row r="13309" spans="13:13">
      <c r="M13309" s="202"/>
    </row>
    <row r="13310" spans="13:13">
      <c r="M13310" s="202"/>
    </row>
    <row r="13311" spans="13:13">
      <c r="M13311" s="202"/>
    </row>
    <row r="13312" spans="13:13">
      <c r="M13312" s="202"/>
    </row>
    <row r="13313" spans="13:13">
      <c r="M13313" s="202"/>
    </row>
    <row r="13314" spans="13:13">
      <c r="M13314" s="202"/>
    </row>
    <row r="13315" spans="13:13">
      <c r="M13315" s="202"/>
    </row>
    <row r="13316" spans="13:13">
      <c r="M13316" s="202"/>
    </row>
    <row r="13317" spans="13:13">
      <c r="M13317" s="202"/>
    </row>
    <row r="13318" spans="13:13">
      <c r="M13318" s="202"/>
    </row>
    <row r="13319" spans="13:13">
      <c r="M13319" s="202"/>
    </row>
    <row r="13320" spans="13:13">
      <c r="M13320" s="202"/>
    </row>
    <row r="13321" spans="13:13">
      <c r="M13321" s="202"/>
    </row>
    <row r="13322" spans="13:13">
      <c r="M13322" s="202"/>
    </row>
    <row r="13323" spans="13:13">
      <c r="M13323" s="202"/>
    </row>
    <row r="13324" spans="13:13">
      <c r="M13324" s="202"/>
    </row>
    <row r="13325" spans="13:13">
      <c r="M13325" s="202"/>
    </row>
    <row r="13326" spans="13:13">
      <c r="M13326" s="202"/>
    </row>
    <row r="13327" spans="13:13">
      <c r="M13327" s="202"/>
    </row>
    <row r="13328" spans="13:13">
      <c r="M13328" s="202"/>
    </row>
    <row r="13329" spans="13:13">
      <c r="M13329" s="202"/>
    </row>
    <row r="13330" spans="13:13">
      <c r="M13330" s="202"/>
    </row>
    <row r="13331" spans="13:13">
      <c r="M13331" s="202"/>
    </row>
    <row r="13332" spans="13:13">
      <c r="M13332" s="202"/>
    </row>
    <row r="13333" spans="13:13">
      <c r="M13333" s="202"/>
    </row>
    <row r="13334" spans="13:13">
      <c r="M13334" s="202"/>
    </row>
    <row r="13335" spans="13:13">
      <c r="M13335" s="202"/>
    </row>
    <row r="13336" spans="13:13">
      <c r="M13336" s="202"/>
    </row>
    <row r="13337" spans="13:13">
      <c r="M13337" s="202"/>
    </row>
    <row r="13338" spans="13:13">
      <c r="M13338" s="202"/>
    </row>
    <row r="13339" spans="13:13">
      <c r="M13339" s="202"/>
    </row>
    <row r="13340" spans="13:13">
      <c r="M13340" s="202"/>
    </row>
    <row r="13341" spans="13:13">
      <c r="M13341" s="202"/>
    </row>
    <row r="13342" spans="13:13">
      <c r="M13342" s="202"/>
    </row>
    <row r="13343" spans="13:13">
      <c r="M13343" s="202"/>
    </row>
    <row r="13344" spans="13:13">
      <c r="M13344" s="202"/>
    </row>
    <row r="13345" spans="13:13">
      <c r="M13345" s="202"/>
    </row>
    <row r="13346" spans="13:13">
      <c r="M13346" s="202"/>
    </row>
    <row r="13347" spans="13:13">
      <c r="M13347" s="202"/>
    </row>
    <row r="13348" spans="13:13">
      <c r="M13348" s="202"/>
    </row>
    <row r="13349" spans="13:13">
      <c r="M13349" s="202"/>
    </row>
    <row r="13350" spans="13:13">
      <c r="M13350" s="202"/>
    </row>
    <row r="13351" spans="13:13">
      <c r="M13351" s="202"/>
    </row>
    <row r="13352" spans="13:13">
      <c r="M13352" s="202"/>
    </row>
    <row r="13353" spans="13:13">
      <c r="M13353" s="202"/>
    </row>
    <row r="13354" spans="13:13">
      <c r="M13354" s="202"/>
    </row>
    <row r="13355" spans="13:13">
      <c r="M13355" s="202"/>
    </row>
    <row r="13356" spans="13:13">
      <c r="M13356" s="202"/>
    </row>
    <row r="13357" spans="13:13">
      <c r="M13357" s="202"/>
    </row>
    <row r="13358" spans="13:13">
      <c r="M13358" s="202"/>
    </row>
    <row r="13359" spans="13:13">
      <c r="M13359" s="202"/>
    </row>
    <row r="13360" spans="13:13">
      <c r="M13360" s="202"/>
    </row>
    <row r="13361" spans="13:13">
      <c r="M13361" s="202"/>
    </row>
    <row r="13362" spans="13:13">
      <c r="M13362" s="202"/>
    </row>
    <row r="13363" spans="13:13">
      <c r="M13363" s="202"/>
    </row>
    <row r="13364" spans="13:13">
      <c r="M13364" s="202"/>
    </row>
    <row r="13365" spans="13:13">
      <c r="M13365" s="202"/>
    </row>
    <row r="13366" spans="13:13">
      <c r="M13366" s="202"/>
    </row>
    <row r="13367" spans="13:13">
      <c r="M13367" s="202"/>
    </row>
    <row r="13368" spans="13:13">
      <c r="M13368" s="202"/>
    </row>
    <row r="13369" spans="13:13">
      <c r="M13369" s="202"/>
    </row>
    <row r="13370" spans="13:13">
      <c r="M13370" s="202"/>
    </row>
    <row r="13371" spans="13:13">
      <c r="M13371" s="202"/>
    </row>
    <row r="13372" spans="13:13">
      <c r="M13372" s="202"/>
    </row>
    <row r="13373" spans="13:13">
      <c r="M13373" s="202"/>
    </row>
    <row r="13374" spans="13:13">
      <c r="M13374" s="202"/>
    </row>
    <row r="13375" spans="13:13">
      <c r="M13375" s="202"/>
    </row>
    <row r="13376" spans="13:13">
      <c r="M13376" s="202"/>
    </row>
    <row r="13377" spans="13:13">
      <c r="M13377" s="202"/>
    </row>
    <row r="13378" spans="13:13">
      <c r="M13378" s="202"/>
    </row>
    <row r="13379" spans="13:13">
      <c r="M13379" s="202"/>
    </row>
    <row r="13380" spans="13:13">
      <c r="M13380" s="202"/>
    </row>
    <row r="13381" spans="13:13">
      <c r="M13381" s="202"/>
    </row>
    <row r="13382" spans="13:13">
      <c r="M13382" s="202"/>
    </row>
    <row r="13383" spans="13:13">
      <c r="M13383" s="202"/>
    </row>
    <row r="13384" spans="13:13">
      <c r="M13384" s="202"/>
    </row>
    <row r="13385" spans="13:13">
      <c r="M13385" s="202"/>
    </row>
    <row r="13386" spans="13:13">
      <c r="M13386" s="202"/>
    </row>
    <row r="13387" spans="13:13">
      <c r="M13387" s="202"/>
    </row>
    <row r="13388" spans="13:13">
      <c r="M13388" s="202"/>
    </row>
    <row r="13389" spans="13:13">
      <c r="M13389" s="202"/>
    </row>
    <row r="13390" spans="13:13">
      <c r="M13390" s="202"/>
    </row>
    <row r="13391" spans="13:13">
      <c r="M13391" s="202"/>
    </row>
    <row r="13392" spans="13:13">
      <c r="M13392" s="202"/>
    </row>
    <row r="13393" spans="13:13">
      <c r="M13393" s="202"/>
    </row>
    <row r="13394" spans="13:13">
      <c r="M13394" s="202"/>
    </row>
    <row r="13395" spans="13:13">
      <c r="M13395" s="202"/>
    </row>
    <row r="13396" spans="13:13">
      <c r="M13396" s="202"/>
    </row>
    <row r="13397" spans="13:13">
      <c r="M13397" s="202"/>
    </row>
    <row r="13398" spans="13:13">
      <c r="M13398" s="202"/>
    </row>
    <row r="13399" spans="13:13">
      <c r="M13399" s="202"/>
    </row>
    <row r="13400" spans="13:13">
      <c r="M13400" s="202"/>
    </row>
    <row r="13401" spans="13:13">
      <c r="M13401" s="202"/>
    </row>
    <row r="13402" spans="13:13">
      <c r="M13402" s="202"/>
    </row>
    <row r="13403" spans="13:13">
      <c r="M13403" s="202"/>
    </row>
    <row r="13404" spans="13:13">
      <c r="M13404" s="202"/>
    </row>
    <row r="13405" spans="13:13">
      <c r="M13405" s="202"/>
    </row>
    <row r="13406" spans="13:13">
      <c r="M13406" s="202"/>
    </row>
    <row r="13407" spans="13:13">
      <c r="M13407" s="202"/>
    </row>
    <row r="13408" spans="13:13">
      <c r="M13408" s="202"/>
    </row>
    <row r="13409" spans="13:13">
      <c r="M13409" s="202"/>
    </row>
    <row r="13410" spans="13:13">
      <c r="M13410" s="202"/>
    </row>
    <row r="13411" spans="13:13">
      <c r="M13411" s="202"/>
    </row>
    <row r="13412" spans="13:13">
      <c r="M13412" s="202"/>
    </row>
    <row r="13413" spans="13:13">
      <c r="M13413" s="202"/>
    </row>
    <row r="13414" spans="13:13">
      <c r="M13414" s="202"/>
    </row>
    <row r="13415" spans="13:13">
      <c r="M13415" s="202"/>
    </row>
    <row r="13416" spans="13:13">
      <c r="M13416" s="202"/>
    </row>
    <row r="13417" spans="13:13">
      <c r="M13417" s="202"/>
    </row>
    <row r="13418" spans="13:13">
      <c r="M13418" s="202"/>
    </row>
    <row r="13419" spans="13:13">
      <c r="M13419" s="202"/>
    </row>
    <row r="13420" spans="13:13">
      <c r="M13420" s="202"/>
    </row>
    <row r="13421" spans="13:13">
      <c r="M13421" s="202"/>
    </row>
    <row r="13422" spans="13:13">
      <c r="M13422" s="202"/>
    </row>
    <row r="13423" spans="13:13">
      <c r="M13423" s="202"/>
    </row>
    <row r="13424" spans="13:13">
      <c r="M13424" s="202"/>
    </row>
    <row r="13425" spans="13:13">
      <c r="M13425" s="202"/>
    </row>
    <row r="13426" spans="13:13">
      <c r="M13426" s="202"/>
    </row>
    <row r="13427" spans="13:13">
      <c r="M13427" s="202"/>
    </row>
    <row r="13428" spans="13:13">
      <c r="M13428" s="202"/>
    </row>
    <row r="13429" spans="13:13">
      <c r="M13429" s="202"/>
    </row>
    <row r="13430" spans="13:13">
      <c r="M13430" s="202"/>
    </row>
    <row r="13431" spans="13:13">
      <c r="M13431" s="202"/>
    </row>
    <row r="13432" spans="13:13">
      <c r="M13432" s="202"/>
    </row>
    <row r="13433" spans="13:13">
      <c r="M13433" s="202"/>
    </row>
    <row r="13434" spans="13:13">
      <c r="M13434" s="202"/>
    </row>
    <row r="13435" spans="13:13">
      <c r="M13435" s="202"/>
    </row>
    <row r="13436" spans="13:13">
      <c r="M13436" s="202"/>
    </row>
    <row r="13437" spans="13:13">
      <c r="M13437" s="202"/>
    </row>
    <row r="13438" spans="13:13">
      <c r="M13438" s="202"/>
    </row>
    <row r="13439" spans="13:13">
      <c r="M13439" s="202"/>
    </row>
    <row r="13440" spans="13:13">
      <c r="M13440" s="202"/>
    </row>
    <row r="13441" spans="13:13">
      <c r="M13441" s="202"/>
    </row>
    <row r="13442" spans="13:13">
      <c r="M13442" s="202"/>
    </row>
    <row r="13443" spans="13:13">
      <c r="M13443" s="202"/>
    </row>
    <row r="13444" spans="13:13">
      <c r="M13444" s="202"/>
    </row>
    <row r="13445" spans="13:13">
      <c r="M13445" s="202"/>
    </row>
    <row r="13446" spans="13:13">
      <c r="M13446" s="202"/>
    </row>
    <row r="13447" spans="13:13">
      <c r="M13447" s="202"/>
    </row>
    <row r="13448" spans="13:13">
      <c r="M13448" s="202"/>
    </row>
    <row r="13449" spans="13:13">
      <c r="M13449" s="202"/>
    </row>
    <row r="13450" spans="13:13">
      <c r="M13450" s="202"/>
    </row>
    <row r="13451" spans="13:13">
      <c r="M13451" s="202"/>
    </row>
    <row r="13452" spans="13:13">
      <c r="M13452" s="202"/>
    </row>
    <row r="13453" spans="13:13">
      <c r="M13453" s="202"/>
    </row>
    <row r="13454" spans="13:13">
      <c r="M13454" s="202"/>
    </row>
    <row r="13455" spans="13:13">
      <c r="M13455" s="202"/>
    </row>
    <row r="13456" spans="13:13">
      <c r="M13456" s="202"/>
    </row>
    <row r="13457" spans="13:13">
      <c r="M13457" s="202"/>
    </row>
    <row r="13458" spans="13:13">
      <c r="M13458" s="202"/>
    </row>
    <row r="13459" spans="13:13">
      <c r="M13459" s="202"/>
    </row>
    <row r="13460" spans="13:13">
      <c r="M13460" s="202"/>
    </row>
    <row r="13461" spans="13:13">
      <c r="M13461" s="202"/>
    </row>
    <row r="13462" spans="13:13">
      <c r="M13462" s="202"/>
    </row>
    <row r="13463" spans="13:13">
      <c r="M13463" s="202"/>
    </row>
    <row r="13464" spans="13:13">
      <c r="M13464" s="202"/>
    </row>
    <row r="13465" spans="13:13">
      <c r="M13465" s="202"/>
    </row>
    <row r="13466" spans="13:13">
      <c r="M13466" s="202"/>
    </row>
    <row r="13467" spans="13:13">
      <c r="M13467" s="202"/>
    </row>
    <row r="13468" spans="13:13">
      <c r="M13468" s="202"/>
    </row>
    <row r="13469" spans="13:13">
      <c r="M13469" s="202"/>
    </row>
    <row r="13470" spans="13:13">
      <c r="M13470" s="202"/>
    </row>
    <row r="13471" spans="13:13">
      <c r="M13471" s="202"/>
    </row>
    <row r="13472" spans="13:13">
      <c r="M13472" s="202"/>
    </row>
    <row r="13473" spans="13:13">
      <c r="M13473" s="202"/>
    </row>
    <row r="13474" spans="13:13">
      <c r="M13474" s="202"/>
    </row>
    <row r="13475" spans="13:13">
      <c r="M13475" s="202"/>
    </row>
    <row r="13476" spans="13:13">
      <c r="M13476" s="202"/>
    </row>
    <row r="13477" spans="13:13">
      <c r="M13477" s="202"/>
    </row>
    <row r="13478" spans="13:13">
      <c r="M13478" s="202"/>
    </row>
    <row r="13479" spans="13:13">
      <c r="M13479" s="202"/>
    </row>
    <row r="13480" spans="13:13">
      <c r="M13480" s="202"/>
    </row>
    <row r="13481" spans="13:13">
      <c r="M13481" s="202"/>
    </row>
    <row r="13482" spans="13:13">
      <c r="M13482" s="202"/>
    </row>
    <row r="13483" spans="13:13">
      <c r="M13483" s="202"/>
    </row>
    <row r="13484" spans="13:13">
      <c r="M13484" s="202"/>
    </row>
    <row r="13485" spans="13:13">
      <c r="M13485" s="202"/>
    </row>
    <row r="13486" spans="13:13">
      <c r="M13486" s="202"/>
    </row>
    <row r="13487" spans="13:13">
      <c r="M13487" s="202"/>
    </row>
    <row r="13488" spans="13:13">
      <c r="M13488" s="202"/>
    </row>
    <row r="13489" spans="13:13">
      <c r="M13489" s="202"/>
    </row>
    <row r="13490" spans="13:13">
      <c r="M13490" s="202"/>
    </row>
    <row r="13491" spans="13:13">
      <c r="M13491" s="202"/>
    </row>
    <row r="13492" spans="13:13">
      <c r="M13492" s="202"/>
    </row>
    <row r="13493" spans="13:13">
      <c r="M13493" s="202"/>
    </row>
    <row r="13494" spans="13:13">
      <c r="M13494" s="202"/>
    </row>
    <row r="13495" spans="13:13">
      <c r="M13495" s="202"/>
    </row>
    <row r="13496" spans="13:13">
      <c r="M13496" s="202"/>
    </row>
    <row r="13497" spans="13:13">
      <c r="M13497" s="202"/>
    </row>
    <row r="13498" spans="13:13">
      <c r="M13498" s="202"/>
    </row>
    <row r="13499" spans="13:13">
      <c r="M13499" s="202"/>
    </row>
    <row r="13500" spans="13:13">
      <c r="M13500" s="202"/>
    </row>
    <row r="13501" spans="13:13">
      <c r="M13501" s="202"/>
    </row>
    <row r="13502" spans="13:13">
      <c r="M13502" s="202"/>
    </row>
    <row r="13503" spans="13:13">
      <c r="M13503" s="202"/>
    </row>
    <row r="13504" spans="13:13">
      <c r="M13504" s="202"/>
    </row>
    <row r="13505" spans="13:13">
      <c r="M13505" s="202"/>
    </row>
    <row r="13506" spans="13:13">
      <c r="M13506" s="202"/>
    </row>
    <row r="13507" spans="13:13">
      <c r="M13507" s="202"/>
    </row>
    <row r="13508" spans="13:13">
      <c r="M13508" s="202"/>
    </row>
    <row r="13509" spans="13:13">
      <c r="M13509" s="202"/>
    </row>
    <row r="13510" spans="13:13">
      <c r="M13510" s="202"/>
    </row>
    <row r="13511" spans="13:13">
      <c r="M13511" s="202"/>
    </row>
    <row r="13512" spans="13:13">
      <c r="M13512" s="202"/>
    </row>
    <row r="13513" spans="13:13">
      <c r="M13513" s="202"/>
    </row>
    <row r="13514" spans="13:13">
      <c r="M13514" s="202"/>
    </row>
    <row r="13515" spans="13:13">
      <c r="M13515" s="202"/>
    </row>
    <row r="13516" spans="13:13">
      <c r="M13516" s="202"/>
    </row>
    <row r="13517" spans="13:13">
      <c r="M13517" s="202"/>
    </row>
    <row r="13518" spans="13:13">
      <c r="M13518" s="202"/>
    </row>
    <row r="13519" spans="13:13">
      <c r="M13519" s="202"/>
    </row>
    <row r="13520" spans="13:13">
      <c r="M13520" s="202"/>
    </row>
    <row r="13521" spans="13:13">
      <c r="M13521" s="202"/>
    </row>
    <row r="13522" spans="13:13">
      <c r="M13522" s="202"/>
    </row>
    <row r="13523" spans="13:13">
      <c r="M13523" s="202"/>
    </row>
    <row r="13524" spans="13:13">
      <c r="M13524" s="202"/>
    </row>
    <row r="13525" spans="13:13">
      <c r="M13525" s="202"/>
    </row>
    <row r="13526" spans="13:13">
      <c r="M13526" s="202"/>
    </row>
    <row r="13527" spans="13:13">
      <c r="M13527" s="202"/>
    </row>
    <row r="13528" spans="13:13">
      <c r="M13528" s="202"/>
    </row>
    <row r="13529" spans="13:13">
      <c r="M13529" s="202"/>
    </row>
    <row r="13530" spans="13:13">
      <c r="M13530" s="202"/>
    </row>
    <row r="13531" spans="13:13">
      <c r="M13531" s="202"/>
    </row>
    <row r="13532" spans="13:13">
      <c r="M13532" s="202"/>
    </row>
    <row r="13533" spans="13:13">
      <c r="M13533" s="202"/>
    </row>
    <row r="13534" spans="13:13">
      <c r="M13534" s="202"/>
    </row>
    <row r="13535" spans="13:13">
      <c r="M13535" s="202"/>
    </row>
    <row r="13536" spans="13:13">
      <c r="M13536" s="202"/>
    </row>
    <row r="13537" spans="13:13">
      <c r="M13537" s="202"/>
    </row>
    <row r="13538" spans="13:13">
      <c r="M13538" s="202"/>
    </row>
    <row r="13539" spans="13:13">
      <c r="M13539" s="202"/>
    </row>
    <row r="13540" spans="13:13">
      <c r="M13540" s="202"/>
    </row>
    <row r="13541" spans="13:13">
      <c r="M13541" s="202"/>
    </row>
    <row r="13542" spans="13:13">
      <c r="M13542" s="202"/>
    </row>
    <row r="13543" spans="13:13">
      <c r="M13543" s="202"/>
    </row>
    <row r="13544" spans="13:13">
      <c r="M13544" s="202"/>
    </row>
    <row r="13545" spans="13:13">
      <c r="M13545" s="202"/>
    </row>
    <row r="13546" spans="13:13">
      <c r="M13546" s="202"/>
    </row>
    <row r="13547" spans="13:13">
      <c r="M13547" s="202"/>
    </row>
    <row r="13548" spans="13:13">
      <c r="M13548" s="202"/>
    </row>
    <row r="13549" spans="13:13">
      <c r="M13549" s="202"/>
    </row>
    <row r="13550" spans="13:13">
      <c r="M13550" s="202"/>
    </row>
    <row r="13551" spans="13:13">
      <c r="M13551" s="202"/>
    </row>
    <row r="13552" spans="13:13">
      <c r="M13552" s="202"/>
    </row>
    <row r="13553" spans="13:13">
      <c r="M13553" s="202"/>
    </row>
    <row r="13554" spans="13:13">
      <c r="M13554" s="202"/>
    </row>
    <row r="13555" spans="13:13">
      <c r="M13555" s="202"/>
    </row>
    <row r="13556" spans="13:13">
      <c r="M13556" s="202"/>
    </row>
    <row r="13557" spans="13:13">
      <c r="M13557" s="202"/>
    </row>
    <row r="13558" spans="13:13">
      <c r="M13558" s="202"/>
    </row>
    <row r="13559" spans="13:13">
      <c r="M13559" s="202"/>
    </row>
    <row r="13560" spans="13:13">
      <c r="M13560" s="202"/>
    </row>
    <row r="13561" spans="13:13">
      <c r="M13561" s="202"/>
    </row>
    <row r="13562" spans="13:13">
      <c r="M13562" s="202"/>
    </row>
    <row r="13563" spans="13:13">
      <c r="M13563" s="202"/>
    </row>
    <row r="13564" spans="13:13">
      <c r="M13564" s="202"/>
    </row>
    <row r="13565" spans="13:13">
      <c r="M13565" s="202"/>
    </row>
    <row r="13566" spans="13:13">
      <c r="M13566" s="202"/>
    </row>
    <row r="13567" spans="13:13">
      <c r="M13567" s="202"/>
    </row>
    <row r="13568" spans="13:13">
      <c r="M13568" s="202"/>
    </row>
    <row r="13569" spans="13:13">
      <c r="M13569" s="202"/>
    </row>
    <row r="13570" spans="13:13">
      <c r="M13570" s="202"/>
    </row>
    <row r="13571" spans="13:13">
      <c r="M13571" s="202"/>
    </row>
    <row r="13572" spans="13:13">
      <c r="M13572" s="202"/>
    </row>
    <row r="13573" spans="13:13">
      <c r="M13573" s="202"/>
    </row>
    <row r="13574" spans="13:13">
      <c r="M13574" s="202"/>
    </row>
    <row r="13575" spans="13:13">
      <c r="M13575" s="202"/>
    </row>
    <row r="13576" spans="13:13">
      <c r="M13576" s="202"/>
    </row>
    <row r="13577" spans="13:13">
      <c r="M13577" s="202"/>
    </row>
    <row r="13578" spans="13:13">
      <c r="M13578" s="202"/>
    </row>
    <row r="13579" spans="13:13">
      <c r="M13579" s="202"/>
    </row>
    <row r="13580" spans="13:13">
      <c r="M13580" s="202"/>
    </row>
    <row r="13581" spans="13:13">
      <c r="M13581" s="202"/>
    </row>
    <row r="13582" spans="13:13">
      <c r="M13582" s="202"/>
    </row>
    <row r="13583" spans="13:13">
      <c r="M13583" s="202"/>
    </row>
    <row r="13584" spans="13:13">
      <c r="M13584" s="202"/>
    </row>
    <row r="13585" spans="13:13">
      <c r="M13585" s="202"/>
    </row>
    <row r="13586" spans="13:13">
      <c r="M13586" s="202"/>
    </row>
    <row r="13587" spans="13:13">
      <c r="M13587" s="202"/>
    </row>
    <row r="13588" spans="13:13">
      <c r="M13588" s="202"/>
    </row>
    <row r="13589" spans="13:13">
      <c r="M13589" s="202"/>
    </row>
    <row r="13590" spans="13:13">
      <c r="M13590" s="202"/>
    </row>
    <row r="13591" spans="13:13">
      <c r="M13591" s="202"/>
    </row>
    <row r="13592" spans="13:13">
      <c r="M13592" s="202"/>
    </row>
    <row r="13593" spans="13:13">
      <c r="M13593" s="202"/>
    </row>
    <row r="13594" spans="13:13">
      <c r="M13594" s="202"/>
    </row>
    <row r="13595" spans="13:13">
      <c r="M13595" s="202"/>
    </row>
    <row r="13596" spans="13:13">
      <c r="M13596" s="202"/>
    </row>
    <row r="13597" spans="13:13">
      <c r="M13597" s="202"/>
    </row>
    <row r="13598" spans="13:13">
      <c r="M13598" s="202"/>
    </row>
    <row r="13599" spans="13:13">
      <c r="M13599" s="202"/>
    </row>
    <row r="13600" spans="13:13">
      <c r="M13600" s="202"/>
    </row>
    <row r="13601" spans="13:13">
      <c r="M13601" s="202"/>
    </row>
    <row r="13602" spans="13:13">
      <c r="M13602" s="202"/>
    </row>
    <row r="13603" spans="13:13">
      <c r="M13603" s="202"/>
    </row>
    <row r="13604" spans="13:13">
      <c r="M13604" s="202"/>
    </row>
    <row r="13605" spans="13:13">
      <c r="M13605" s="202"/>
    </row>
    <row r="13606" spans="13:13">
      <c r="M13606" s="202"/>
    </row>
    <row r="13607" spans="13:13">
      <c r="M13607" s="202"/>
    </row>
    <row r="13608" spans="13:13">
      <c r="M13608" s="202"/>
    </row>
    <row r="13609" spans="13:13">
      <c r="M13609" s="202"/>
    </row>
    <row r="13610" spans="13:13">
      <c r="M13610" s="202"/>
    </row>
    <row r="13611" spans="13:13">
      <c r="M13611" s="202"/>
    </row>
    <row r="13612" spans="13:13">
      <c r="M13612" s="202"/>
    </row>
    <row r="13613" spans="13:13">
      <c r="M13613" s="202"/>
    </row>
    <row r="13614" spans="13:13">
      <c r="M13614" s="202"/>
    </row>
    <row r="13615" spans="13:13">
      <c r="M13615" s="202"/>
    </row>
    <row r="13616" spans="13:13">
      <c r="M13616" s="202"/>
    </row>
    <row r="13617" spans="13:13">
      <c r="M13617" s="202"/>
    </row>
    <row r="13618" spans="13:13">
      <c r="M13618" s="202"/>
    </row>
    <row r="13619" spans="13:13">
      <c r="M13619" s="202"/>
    </row>
    <row r="13620" spans="13:13">
      <c r="M13620" s="202"/>
    </row>
    <row r="13621" spans="13:13">
      <c r="M13621" s="202"/>
    </row>
    <row r="13622" spans="13:13">
      <c r="M13622" s="202"/>
    </row>
    <row r="13623" spans="13:13">
      <c r="M13623" s="202"/>
    </row>
    <row r="13624" spans="13:13">
      <c r="M13624" s="202"/>
    </row>
    <row r="13625" spans="13:13">
      <c r="M13625" s="202"/>
    </row>
    <row r="13626" spans="13:13">
      <c r="M13626" s="202"/>
    </row>
    <row r="13627" spans="13:13">
      <c r="M13627" s="202"/>
    </row>
    <row r="13628" spans="13:13">
      <c r="M13628" s="202"/>
    </row>
    <row r="13629" spans="13:13">
      <c r="M13629" s="202"/>
    </row>
    <row r="13630" spans="13:13">
      <c r="M13630" s="202"/>
    </row>
    <row r="13631" spans="13:13">
      <c r="M13631" s="202"/>
    </row>
    <row r="13632" spans="13:13">
      <c r="M13632" s="202"/>
    </row>
    <row r="13633" spans="13:13">
      <c r="M13633" s="202"/>
    </row>
    <row r="13634" spans="13:13">
      <c r="M13634" s="202"/>
    </row>
    <row r="13635" spans="13:13">
      <c r="M13635" s="202"/>
    </row>
    <row r="13636" spans="13:13">
      <c r="M13636" s="202"/>
    </row>
    <row r="13637" spans="13:13">
      <c r="M13637" s="202"/>
    </row>
    <row r="13638" spans="13:13">
      <c r="M13638" s="202"/>
    </row>
    <row r="13639" spans="13:13">
      <c r="M13639" s="202"/>
    </row>
    <row r="13640" spans="13:13">
      <c r="M13640" s="202"/>
    </row>
    <row r="13641" spans="13:13">
      <c r="M13641" s="202"/>
    </row>
    <row r="13642" spans="13:13">
      <c r="M13642" s="202"/>
    </row>
    <row r="13643" spans="13:13">
      <c r="M13643" s="202"/>
    </row>
    <row r="13644" spans="13:13">
      <c r="M13644" s="202"/>
    </row>
    <row r="13645" spans="13:13">
      <c r="M13645" s="202"/>
    </row>
    <row r="13646" spans="13:13">
      <c r="M13646" s="202"/>
    </row>
    <row r="13647" spans="13:13">
      <c r="M13647" s="202"/>
    </row>
    <row r="13648" spans="13:13">
      <c r="M13648" s="202"/>
    </row>
    <row r="13649" spans="13:13">
      <c r="M13649" s="202"/>
    </row>
    <row r="13650" spans="13:13">
      <c r="M13650" s="202"/>
    </row>
    <row r="13651" spans="13:13">
      <c r="M13651" s="202"/>
    </row>
    <row r="13652" spans="13:13">
      <c r="M13652" s="202"/>
    </row>
    <row r="13653" spans="13:13">
      <c r="M13653" s="202"/>
    </row>
    <row r="13654" spans="13:13">
      <c r="M13654" s="202"/>
    </row>
    <row r="13655" spans="13:13">
      <c r="M13655" s="202"/>
    </row>
    <row r="13656" spans="13:13">
      <c r="M13656" s="202"/>
    </row>
    <row r="13657" spans="13:13">
      <c r="M13657" s="202"/>
    </row>
    <row r="13658" spans="13:13">
      <c r="M13658" s="202"/>
    </row>
    <row r="13659" spans="13:13">
      <c r="M13659" s="202"/>
    </row>
    <row r="13660" spans="13:13">
      <c r="M13660" s="202"/>
    </row>
    <row r="13661" spans="13:13">
      <c r="M13661" s="202"/>
    </row>
    <row r="13662" spans="13:13">
      <c r="M13662" s="202"/>
    </row>
    <row r="13663" spans="13:13">
      <c r="M13663" s="202"/>
    </row>
    <row r="13664" spans="13:13">
      <c r="M13664" s="202"/>
    </row>
    <row r="13665" spans="13:13">
      <c r="M13665" s="202"/>
    </row>
    <row r="13666" spans="13:13">
      <c r="M13666" s="202"/>
    </row>
    <row r="13667" spans="13:13">
      <c r="M13667" s="202"/>
    </row>
    <row r="13668" spans="13:13">
      <c r="M13668" s="202"/>
    </row>
    <row r="13669" spans="13:13">
      <c r="M13669" s="202"/>
    </row>
    <row r="13670" spans="13:13">
      <c r="M13670" s="202"/>
    </row>
    <row r="13671" spans="13:13">
      <c r="M13671" s="202"/>
    </row>
    <row r="13672" spans="13:13">
      <c r="M13672" s="202"/>
    </row>
    <row r="13673" spans="13:13">
      <c r="M13673" s="202"/>
    </row>
    <row r="13674" spans="13:13">
      <c r="M13674" s="202"/>
    </row>
    <row r="13675" spans="13:13">
      <c r="M13675" s="202"/>
    </row>
    <row r="13676" spans="13:13">
      <c r="M13676" s="202"/>
    </row>
    <row r="13677" spans="13:13">
      <c r="M13677" s="202"/>
    </row>
    <row r="13678" spans="13:13">
      <c r="M13678" s="202"/>
    </row>
    <row r="13679" spans="13:13">
      <c r="M13679" s="202"/>
    </row>
    <row r="13680" spans="13:13">
      <c r="M13680" s="202"/>
    </row>
    <row r="13681" spans="13:13">
      <c r="M13681" s="202"/>
    </row>
    <row r="13682" spans="13:13">
      <c r="M13682" s="202"/>
    </row>
    <row r="13683" spans="13:13">
      <c r="M13683" s="202"/>
    </row>
    <row r="13684" spans="13:13">
      <c r="M13684" s="202"/>
    </row>
    <row r="13685" spans="13:13">
      <c r="M13685" s="202"/>
    </row>
    <row r="13686" spans="13:13">
      <c r="M13686" s="202"/>
    </row>
    <row r="13687" spans="13:13">
      <c r="M13687" s="202"/>
    </row>
    <row r="13688" spans="13:13">
      <c r="M13688" s="202"/>
    </row>
    <row r="13689" spans="13:13">
      <c r="M13689" s="202"/>
    </row>
    <row r="13690" spans="13:13">
      <c r="M13690" s="202"/>
    </row>
    <row r="13691" spans="13:13">
      <c r="M13691" s="202"/>
    </row>
    <row r="13692" spans="13:13">
      <c r="M13692" s="202"/>
    </row>
    <row r="13693" spans="13:13">
      <c r="M13693" s="202"/>
    </row>
    <row r="13694" spans="13:13">
      <c r="M13694" s="202"/>
    </row>
    <row r="13695" spans="13:13">
      <c r="M13695" s="202"/>
    </row>
    <row r="13696" spans="13:13">
      <c r="M13696" s="202"/>
    </row>
    <row r="13697" spans="13:13">
      <c r="M13697" s="202"/>
    </row>
    <row r="13698" spans="13:13">
      <c r="M13698" s="202"/>
    </row>
    <row r="13699" spans="13:13">
      <c r="M13699" s="202"/>
    </row>
    <row r="13700" spans="13:13">
      <c r="M13700" s="202"/>
    </row>
    <row r="13701" spans="13:13">
      <c r="M13701" s="202"/>
    </row>
    <row r="13702" spans="13:13">
      <c r="M13702" s="202"/>
    </row>
    <row r="13703" spans="13:13">
      <c r="M13703" s="202"/>
    </row>
    <row r="13704" spans="13:13">
      <c r="M13704" s="202"/>
    </row>
    <row r="13705" spans="13:13">
      <c r="M13705" s="202"/>
    </row>
    <row r="13706" spans="13:13">
      <c r="M13706" s="202"/>
    </row>
    <row r="13707" spans="13:13">
      <c r="M13707" s="202"/>
    </row>
    <row r="13708" spans="13:13">
      <c r="M13708" s="202"/>
    </row>
    <row r="13709" spans="13:13">
      <c r="M13709" s="202"/>
    </row>
    <row r="13710" spans="13:13">
      <c r="M13710" s="202"/>
    </row>
    <row r="13711" spans="13:13">
      <c r="M13711" s="202"/>
    </row>
    <row r="13712" spans="13:13">
      <c r="M13712" s="202"/>
    </row>
    <row r="13713" spans="13:13">
      <c r="M13713" s="202"/>
    </row>
    <row r="13714" spans="13:13">
      <c r="M13714" s="202"/>
    </row>
    <row r="13715" spans="13:13">
      <c r="M13715" s="202"/>
    </row>
    <row r="13716" spans="13:13">
      <c r="M13716" s="202"/>
    </row>
    <row r="13717" spans="13:13">
      <c r="M13717" s="202"/>
    </row>
    <row r="13718" spans="13:13">
      <c r="M13718" s="202"/>
    </row>
    <row r="13719" spans="13:13">
      <c r="M13719" s="202"/>
    </row>
    <row r="13720" spans="13:13">
      <c r="M13720" s="202"/>
    </row>
    <row r="13721" spans="13:13">
      <c r="M13721" s="202"/>
    </row>
    <row r="13722" spans="13:13">
      <c r="M13722" s="202"/>
    </row>
    <row r="13723" spans="13:13">
      <c r="M13723" s="202"/>
    </row>
    <row r="13724" spans="13:13">
      <c r="M13724" s="202"/>
    </row>
    <row r="13725" spans="13:13">
      <c r="M13725" s="202"/>
    </row>
    <row r="13726" spans="13:13">
      <c r="M13726" s="202"/>
    </row>
    <row r="13727" spans="13:13">
      <c r="M13727" s="202"/>
    </row>
    <row r="13728" spans="13:13">
      <c r="M13728" s="202"/>
    </row>
    <row r="13729" spans="13:13">
      <c r="M13729" s="202"/>
    </row>
    <row r="13730" spans="13:13">
      <c r="M13730" s="202"/>
    </row>
    <row r="13731" spans="13:13">
      <c r="M13731" s="202"/>
    </row>
    <row r="13732" spans="13:13">
      <c r="M13732" s="202"/>
    </row>
    <row r="13733" spans="13:13">
      <c r="M13733" s="202"/>
    </row>
    <row r="13734" spans="13:13">
      <c r="M13734" s="202"/>
    </row>
    <row r="13735" spans="13:13">
      <c r="M13735" s="202"/>
    </row>
    <row r="13736" spans="13:13">
      <c r="M13736" s="202"/>
    </row>
    <row r="13737" spans="13:13">
      <c r="M13737" s="202"/>
    </row>
    <row r="13738" spans="13:13">
      <c r="M13738" s="202"/>
    </row>
    <row r="13739" spans="13:13">
      <c r="M13739" s="202"/>
    </row>
    <row r="13740" spans="13:13">
      <c r="M13740" s="202"/>
    </row>
    <row r="13741" spans="13:13">
      <c r="M13741" s="202"/>
    </row>
    <row r="13742" spans="13:13">
      <c r="M13742" s="202"/>
    </row>
    <row r="13743" spans="13:13">
      <c r="M13743" s="202"/>
    </row>
    <row r="13744" spans="13:13">
      <c r="M13744" s="202"/>
    </row>
    <row r="13745" spans="13:13">
      <c r="M13745" s="202"/>
    </row>
    <row r="13746" spans="13:13">
      <c r="M13746" s="202"/>
    </row>
    <row r="13747" spans="13:13">
      <c r="M13747" s="202"/>
    </row>
    <row r="13748" spans="13:13">
      <c r="M13748" s="202"/>
    </row>
    <row r="13749" spans="13:13">
      <c r="M13749" s="202"/>
    </row>
    <row r="13750" spans="13:13">
      <c r="M13750" s="202"/>
    </row>
    <row r="13751" spans="13:13">
      <c r="M13751" s="202"/>
    </row>
    <row r="13752" spans="13:13">
      <c r="M13752" s="202"/>
    </row>
    <row r="13753" spans="13:13">
      <c r="M13753" s="202"/>
    </row>
    <row r="13754" spans="13:13">
      <c r="M13754" s="202"/>
    </row>
    <row r="13755" spans="13:13">
      <c r="M13755" s="202"/>
    </row>
    <row r="13756" spans="13:13">
      <c r="M13756" s="202"/>
    </row>
    <row r="13757" spans="13:13">
      <c r="M13757" s="202"/>
    </row>
    <row r="13758" spans="13:13">
      <c r="M13758" s="202"/>
    </row>
    <row r="13759" spans="13:13">
      <c r="M13759" s="202"/>
    </row>
    <row r="13760" spans="13:13">
      <c r="M13760" s="202"/>
    </row>
    <row r="13761" spans="13:13">
      <c r="M13761" s="202"/>
    </row>
    <row r="13762" spans="13:13">
      <c r="M13762" s="202"/>
    </row>
    <row r="13763" spans="13:13">
      <c r="M13763" s="202"/>
    </row>
    <row r="13764" spans="13:13">
      <c r="M13764" s="202"/>
    </row>
    <row r="13765" spans="13:13">
      <c r="M13765" s="202"/>
    </row>
    <row r="13766" spans="13:13">
      <c r="M13766" s="202"/>
    </row>
    <row r="13767" spans="13:13">
      <c r="M13767" s="202"/>
    </row>
    <row r="13768" spans="13:13">
      <c r="M13768" s="202"/>
    </row>
    <row r="13769" spans="13:13">
      <c r="M13769" s="202"/>
    </row>
    <row r="13770" spans="13:13">
      <c r="M13770" s="202"/>
    </row>
    <row r="13771" spans="13:13">
      <c r="M13771" s="202"/>
    </row>
    <row r="13772" spans="13:13">
      <c r="M13772" s="202"/>
    </row>
    <row r="13773" spans="13:13">
      <c r="M13773" s="202"/>
    </row>
    <row r="13774" spans="13:13">
      <c r="M13774" s="202"/>
    </row>
    <row r="13775" spans="13:13">
      <c r="M13775" s="202"/>
    </row>
    <row r="13776" spans="13:13">
      <c r="M13776" s="202"/>
    </row>
    <row r="13777" spans="13:13">
      <c r="M13777" s="202"/>
    </row>
    <row r="13778" spans="13:13">
      <c r="M13778" s="202"/>
    </row>
    <row r="13779" spans="13:13">
      <c r="M13779" s="202"/>
    </row>
    <row r="13780" spans="13:13">
      <c r="M13780" s="202"/>
    </row>
    <row r="13781" spans="13:13">
      <c r="M13781" s="202"/>
    </row>
    <row r="13782" spans="13:13">
      <c r="M13782" s="202"/>
    </row>
    <row r="13783" spans="13:13">
      <c r="M13783" s="202"/>
    </row>
    <row r="13784" spans="13:13">
      <c r="M13784" s="202"/>
    </row>
    <row r="13785" spans="13:13">
      <c r="M13785" s="202"/>
    </row>
    <row r="13786" spans="13:13">
      <c r="M13786" s="202"/>
    </row>
    <row r="13787" spans="13:13">
      <c r="M13787" s="202"/>
    </row>
    <row r="13788" spans="13:13">
      <c r="M13788" s="202"/>
    </row>
    <row r="13789" spans="13:13">
      <c r="M13789" s="202"/>
    </row>
    <row r="13790" spans="13:13">
      <c r="M13790" s="202"/>
    </row>
    <row r="13791" spans="13:13">
      <c r="M13791" s="202"/>
    </row>
    <row r="13792" spans="13:13">
      <c r="M13792" s="202"/>
    </row>
    <row r="13793" spans="13:13">
      <c r="M13793" s="202"/>
    </row>
    <row r="13794" spans="13:13">
      <c r="M13794" s="202"/>
    </row>
    <row r="13795" spans="13:13">
      <c r="M13795" s="202"/>
    </row>
    <row r="13796" spans="13:13">
      <c r="M13796" s="202"/>
    </row>
    <row r="13797" spans="13:13">
      <c r="M13797" s="202"/>
    </row>
    <row r="13798" spans="13:13">
      <c r="M13798" s="202"/>
    </row>
    <row r="13799" spans="13:13">
      <c r="M13799" s="202"/>
    </row>
    <row r="13800" spans="13:13">
      <c r="M13800" s="202"/>
    </row>
    <row r="13801" spans="13:13">
      <c r="M13801" s="202"/>
    </row>
    <row r="13802" spans="13:13">
      <c r="M13802" s="202"/>
    </row>
    <row r="13803" spans="13:13">
      <c r="M13803" s="202"/>
    </row>
    <row r="13804" spans="13:13">
      <c r="M13804" s="202"/>
    </row>
    <row r="13805" spans="13:13">
      <c r="M13805" s="202"/>
    </row>
    <row r="13806" spans="13:13">
      <c r="M13806" s="202"/>
    </row>
    <row r="13807" spans="13:13">
      <c r="M13807" s="202"/>
    </row>
    <row r="13808" spans="13:13">
      <c r="M13808" s="202"/>
    </row>
    <row r="13809" spans="13:13">
      <c r="M13809" s="202"/>
    </row>
    <row r="13810" spans="13:13">
      <c r="M13810" s="202"/>
    </row>
    <row r="13811" spans="13:13">
      <c r="M13811" s="202"/>
    </row>
    <row r="13812" spans="13:13">
      <c r="M13812" s="202"/>
    </row>
    <row r="13813" spans="13:13">
      <c r="M13813" s="202"/>
    </row>
    <row r="13814" spans="13:13">
      <c r="M13814" s="202"/>
    </row>
    <row r="13815" spans="13:13">
      <c r="M13815" s="202"/>
    </row>
    <row r="13816" spans="13:13">
      <c r="M13816" s="202"/>
    </row>
    <row r="13817" spans="13:13">
      <c r="M13817" s="202"/>
    </row>
    <row r="13818" spans="13:13">
      <c r="M13818" s="202"/>
    </row>
    <row r="13819" spans="13:13">
      <c r="M13819" s="202"/>
    </row>
    <row r="13820" spans="13:13">
      <c r="M13820" s="202"/>
    </row>
    <row r="13821" spans="13:13">
      <c r="M13821" s="202"/>
    </row>
    <row r="13822" spans="13:13">
      <c r="M13822" s="202"/>
    </row>
    <row r="13823" spans="13:13">
      <c r="M13823" s="202"/>
    </row>
    <row r="13824" spans="13:13">
      <c r="M13824" s="202"/>
    </row>
    <row r="13825" spans="13:13">
      <c r="M13825" s="202"/>
    </row>
    <row r="13826" spans="13:13">
      <c r="M13826" s="202"/>
    </row>
    <row r="13827" spans="13:13">
      <c r="M13827" s="202"/>
    </row>
    <row r="13828" spans="13:13">
      <c r="M13828" s="202"/>
    </row>
    <row r="13829" spans="13:13">
      <c r="M13829" s="202"/>
    </row>
    <row r="13830" spans="13:13">
      <c r="M13830" s="202"/>
    </row>
    <row r="13831" spans="13:13">
      <c r="M13831" s="202"/>
    </row>
    <row r="13832" spans="13:13">
      <c r="M13832" s="202"/>
    </row>
    <row r="13833" spans="13:13">
      <c r="M13833" s="202"/>
    </row>
    <row r="13834" spans="13:13">
      <c r="M13834" s="202"/>
    </row>
    <row r="13835" spans="13:13">
      <c r="M13835" s="202"/>
    </row>
    <row r="13836" spans="13:13">
      <c r="M13836" s="202"/>
    </row>
    <row r="13837" spans="13:13">
      <c r="M13837" s="202"/>
    </row>
    <row r="13838" spans="13:13">
      <c r="M13838" s="202"/>
    </row>
    <row r="13839" spans="13:13">
      <c r="M13839" s="202"/>
    </row>
    <row r="13840" spans="13:13">
      <c r="M13840" s="202"/>
    </row>
    <row r="13841" spans="13:13">
      <c r="M13841" s="202"/>
    </row>
    <row r="13842" spans="13:13">
      <c r="M13842" s="202"/>
    </row>
    <row r="13843" spans="13:13">
      <c r="M13843" s="202"/>
    </row>
    <row r="13844" spans="13:13">
      <c r="M13844" s="202"/>
    </row>
    <row r="13845" spans="13:13">
      <c r="M13845" s="202"/>
    </row>
    <row r="13846" spans="13:13">
      <c r="M13846" s="202"/>
    </row>
    <row r="13847" spans="13:13">
      <c r="M13847" s="202"/>
    </row>
    <row r="13848" spans="13:13">
      <c r="M13848" s="202"/>
    </row>
    <row r="13849" spans="13:13">
      <c r="M13849" s="202"/>
    </row>
    <row r="13850" spans="13:13">
      <c r="M13850" s="202"/>
    </row>
    <row r="13851" spans="13:13">
      <c r="M13851" s="202"/>
    </row>
    <row r="13852" spans="13:13">
      <c r="M13852" s="202"/>
    </row>
    <row r="13853" spans="13:13">
      <c r="M13853" s="202"/>
    </row>
    <row r="13854" spans="13:13">
      <c r="M13854" s="202"/>
    </row>
    <row r="13855" spans="13:13">
      <c r="M13855" s="202"/>
    </row>
    <row r="13856" spans="13:13">
      <c r="M13856" s="202"/>
    </row>
    <row r="13857" spans="13:13">
      <c r="M13857" s="202"/>
    </row>
    <row r="13858" spans="13:13">
      <c r="M13858" s="202"/>
    </row>
    <row r="13859" spans="13:13">
      <c r="M13859" s="202"/>
    </row>
    <row r="13860" spans="13:13">
      <c r="M13860" s="202"/>
    </row>
    <row r="13861" spans="13:13">
      <c r="M13861" s="202"/>
    </row>
    <row r="13862" spans="13:13">
      <c r="M13862" s="202"/>
    </row>
    <row r="13863" spans="13:13">
      <c r="M13863" s="202"/>
    </row>
    <row r="13864" spans="13:13">
      <c r="M13864" s="202"/>
    </row>
    <row r="13865" spans="13:13">
      <c r="M13865" s="202"/>
    </row>
    <row r="13866" spans="13:13">
      <c r="M13866" s="202"/>
    </row>
    <row r="13867" spans="13:13">
      <c r="M13867" s="202"/>
    </row>
    <row r="13868" spans="13:13">
      <c r="M13868" s="202"/>
    </row>
    <row r="13869" spans="13:13">
      <c r="M13869" s="202"/>
    </row>
    <row r="13870" spans="13:13">
      <c r="M13870" s="202"/>
    </row>
    <row r="13871" spans="13:13">
      <c r="M13871" s="202"/>
    </row>
    <row r="13872" spans="13:13">
      <c r="M13872" s="202"/>
    </row>
    <row r="13873" spans="13:13">
      <c r="M13873" s="202"/>
    </row>
    <row r="13874" spans="13:13">
      <c r="M13874" s="202"/>
    </row>
    <row r="13875" spans="13:13">
      <c r="M13875" s="202"/>
    </row>
    <row r="13876" spans="13:13">
      <c r="M13876" s="202"/>
    </row>
    <row r="13877" spans="13:13">
      <c r="M13877" s="202"/>
    </row>
    <row r="13878" spans="13:13">
      <c r="M13878" s="202"/>
    </row>
    <row r="13879" spans="13:13">
      <c r="M13879" s="202"/>
    </row>
    <row r="13880" spans="13:13">
      <c r="M13880" s="202"/>
    </row>
    <row r="13881" spans="13:13">
      <c r="M13881" s="202"/>
    </row>
    <row r="13882" spans="13:13">
      <c r="M13882" s="202"/>
    </row>
    <row r="13883" spans="13:13">
      <c r="M13883" s="202"/>
    </row>
    <row r="13884" spans="13:13">
      <c r="M13884" s="202"/>
    </row>
    <row r="13885" spans="13:13">
      <c r="M13885" s="202"/>
    </row>
    <row r="13886" spans="13:13">
      <c r="M13886" s="202"/>
    </row>
    <row r="13887" spans="13:13">
      <c r="M13887" s="202"/>
    </row>
    <row r="13888" spans="13:13">
      <c r="M13888" s="202"/>
    </row>
    <row r="13889" spans="13:13">
      <c r="M13889" s="202"/>
    </row>
    <row r="13890" spans="13:13">
      <c r="M13890" s="202"/>
    </row>
    <row r="13891" spans="13:13">
      <c r="M13891" s="202"/>
    </row>
    <row r="13892" spans="13:13">
      <c r="M13892" s="202"/>
    </row>
    <row r="13893" spans="13:13">
      <c r="M13893" s="202"/>
    </row>
    <row r="13894" spans="13:13">
      <c r="M13894" s="202"/>
    </row>
    <row r="13895" spans="13:13">
      <c r="M13895" s="202"/>
    </row>
    <row r="13896" spans="13:13">
      <c r="M13896" s="202"/>
    </row>
    <row r="13897" spans="13:13">
      <c r="M13897" s="202"/>
    </row>
    <row r="13898" spans="13:13">
      <c r="M13898" s="202"/>
    </row>
    <row r="13899" spans="13:13">
      <c r="M13899" s="202"/>
    </row>
    <row r="13900" spans="13:13">
      <c r="M13900" s="202"/>
    </row>
    <row r="13901" spans="13:13">
      <c r="M13901" s="202"/>
    </row>
    <row r="13902" spans="13:13">
      <c r="M13902" s="202"/>
    </row>
    <row r="13903" spans="13:13">
      <c r="M13903" s="202"/>
    </row>
    <row r="13904" spans="13:13">
      <c r="M13904" s="202"/>
    </row>
    <row r="13905" spans="13:13">
      <c r="M13905" s="202"/>
    </row>
    <row r="13906" spans="13:13">
      <c r="M13906" s="202"/>
    </row>
    <row r="13907" spans="13:13">
      <c r="M13907" s="202"/>
    </row>
    <row r="13908" spans="13:13">
      <c r="M13908" s="202"/>
    </row>
    <row r="13909" spans="13:13">
      <c r="M13909" s="202"/>
    </row>
    <row r="13910" spans="13:13">
      <c r="M13910" s="202"/>
    </row>
    <row r="13911" spans="13:13">
      <c r="M13911" s="202"/>
    </row>
    <row r="13912" spans="13:13">
      <c r="M13912" s="202"/>
    </row>
    <row r="13913" spans="13:13">
      <c r="M13913" s="202"/>
    </row>
    <row r="13914" spans="13:13">
      <c r="M13914" s="202"/>
    </row>
    <row r="13915" spans="13:13">
      <c r="M13915" s="202"/>
    </row>
    <row r="13916" spans="13:13">
      <c r="M13916" s="202"/>
    </row>
    <row r="13917" spans="13:13">
      <c r="M13917" s="202"/>
    </row>
    <row r="13918" spans="13:13">
      <c r="M13918" s="202"/>
    </row>
    <row r="13919" spans="13:13">
      <c r="M13919" s="202"/>
    </row>
    <row r="13920" spans="13:13">
      <c r="M13920" s="202"/>
    </row>
    <row r="13921" spans="13:13">
      <c r="M13921" s="202"/>
    </row>
    <row r="13922" spans="13:13">
      <c r="M13922" s="202"/>
    </row>
    <row r="13923" spans="13:13">
      <c r="M13923" s="202"/>
    </row>
    <row r="13924" spans="13:13">
      <c r="M13924" s="202"/>
    </row>
    <row r="13925" spans="13:13">
      <c r="M13925" s="202"/>
    </row>
    <row r="13926" spans="13:13">
      <c r="M13926" s="202"/>
    </row>
    <row r="13927" spans="13:13">
      <c r="M13927" s="202"/>
    </row>
    <row r="13928" spans="13:13">
      <c r="M13928" s="202"/>
    </row>
    <row r="13929" spans="13:13">
      <c r="M13929" s="202"/>
    </row>
    <row r="13930" spans="13:13">
      <c r="M13930" s="202"/>
    </row>
    <row r="13931" spans="13:13">
      <c r="M13931" s="202"/>
    </row>
    <row r="13932" spans="13:13">
      <c r="M13932" s="202"/>
    </row>
    <row r="13933" spans="13:13">
      <c r="M13933" s="202"/>
    </row>
    <row r="13934" spans="13:13">
      <c r="M13934" s="202"/>
    </row>
    <row r="13935" spans="13:13">
      <c r="M13935" s="202"/>
    </row>
    <row r="13936" spans="13:13">
      <c r="M13936" s="202"/>
    </row>
    <row r="13937" spans="13:13">
      <c r="M13937" s="202"/>
    </row>
    <row r="13938" spans="13:13">
      <c r="M13938" s="202"/>
    </row>
    <row r="13939" spans="13:13">
      <c r="M13939" s="202"/>
    </row>
    <row r="13940" spans="13:13">
      <c r="M13940" s="202"/>
    </row>
    <row r="13941" spans="13:13">
      <c r="M13941" s="202"/>
    </row>
    <row r="13942" spans="13:13">
      <c r="M13942" s="202"/>
    </row>
    <row r="13943" spans="13:13">
      <c r="M13943" s="202"/>
    </row>
    <row r="13944" spans="13:13">
      <c r="M13944" s="202"/>
    </row>
    <row r="13945" spans="13:13">
      <c r="M13945" s="202"/>
    </row>
    <row r="13946" spans="13:13">
      <c r="M13946" s="202"/>
    </row>
    <row r="13947" spans="13:13">
      <c r="M13947" s="202"/>
    </row>
    <row r="13948" spans="13:13">
      <c r="M13948" s="202"/>
    </row>
    <row r="13949" spans="13:13">
      <c r="M13949" s="202"/>
    </row>
    <row r="13950" spans="13:13">
      <c r="M13950" s="202"/>
    </row>
    <row r="13951" spans="13:13">
      <c r="M13951" s="202"/>
    </row>
    <row r="13952" spans="13:13">
      <c r="M13952" s="202"/>
    </row>
    <row r="13953" spans="13:13">
      <c r="M13953" s="202"/>
    </row>
    <row r="13954" spans="13:13">
      <c r="M13954" s="202"/>
    </row>
    <row r="13955" spans="13:13">
      <c r="M13955" s="202"/>
    </row>
    <row r="13956" spans="13:13">
      <c r="M13956" s="202"/>
    </row>
    <row r="13957" spans="13:13">
      <c r="M13957" s="202"/>
    </row>
    <row r="13958" spans="13:13">
      <c r="M13958" s="202"/>
    </row>
    <row r="13959" spans="13:13">
      <c r="M13959" s="202"/>
    </row>
    <row r="13960" spans="13:13">
      <c r="M13960" s="202"/>
    </row>
    <row r="13961" spans="13:13">
      <c r="M13961" s="202"/>
    </row>
    <row r="13962" spans="13:13">
      <c r="M13962" s="202"/>
    </row>
    <row r="13963" spans="13:13">
      <c r="M13963" s="202"/>
    </row>
    <row r="13964" spans="13:13">
      <c r="M13964" s="202"/>
    </row>
    <row r="13965" spans="13:13">
      <c r="M13965" s="202"/>
    </row>
    <row r="13966" spans="13:13">
      <c r="M13966" s="202"/>
    </row>
    <row r="13967" spans="13:13">
      <c r="M13967" s="202"/>
    </row>
    <row r="13968" spans="13:13">
      <c r="M13968" s="202"/>
    </row>
    <row r="13969" spans="13:13">
      <c r="M13969" s="202"/>
    </row>
    <row r="13970" spans="13:13">
      <c r="M13970" s="202"/>
    </row>
    <row r="13971" spans="13:13">
      <c r="M13971" s="202"/>
    </row>
    <row r="13972" spans="13:13">
      <c r="M13972" s="202"/>
    </row>
    <row r="13973" spans="13:13">
      <c r="M13973" s="202"/>
    </row>
    <row r="13974" spans="13:13">
      <c r="M13974" s="202"/>
    </row>
    <row r="13975" spans="13:13">
      <c r="M13975" s="202"/>
    </row>
    <row r="13976" spans="13:13">
      <c r="M13976" s="202"/>
    </row>
    <row r="13977" spans="13:13">
      <c r="M13977" s="202"/>
    </row>
    <row r="13978" spans="13:13">
      <c r="M13978" s="202"/>
    </row>
    <row r="13979" spans="13:13">
      <c r="M13979" s="202"/>
    </row>
    <row r="13980" spans="13:13">
      <c r="M13980" s="202"/>
    </row>
    <row r="13981" spans="13:13">
      <c r="M13981" s="202"/>
    </row>
    <row r="13982" spans="13:13">
      <c r="M13982" s="202"/>
    </row>
    <row r="13983" spans="13:13">
      <c r="M13983" s="202"/>
    </row>
    <row r="13984" spans="13:13">
      <c r="M13984" s="202"/>
    </row>
    <row r="13985" spans="13:13">
      <c r="M13985" s="202"/>
    </row>
    <row r="13986" spans="13:13">
      <c r="M13986" s="202"/>
    </row>
    <row r="13987" spans="13:13">
      <c r="M13987" s="202"/>
    </row>
    <row r="13988" spans="13:13">
      <c r="M13988" s="202"/>
    </row>
    <row r="13989" spans="13:13">
      <c r="M13989" s="202"/>
    </row>
    <row r="13990" spans="13:13">
      <c r="M13990" s="202"/>
    </row>
    <row r="13991" spans="13:13">
      <c r="M13991" s="202"/>
    </row>
    <row r="13992" spans="13:13">
      <c r="M13992" s="202"/>
    </row>
    <row r="13993" spans="13:13">
      <c r="M13993" s="202"/>
    </row>
    <row r="13994" spans="13:13">
      <c r="M13994" s="202"/>
    </row>
    <row r="13995" spans="13:13">
      <c r="M13995" s="202"/>
    </row>
    <row r="13996" spans="13:13">
      <c r="M13996" s="202"/>
    </row>
    <row r="13997" spans="13:13">
      <c r="M13997" s="202"/>
    </row>
    <row r="13998" spans="13:13">
      <c r="M13998" s="202"/>
    </row>
    <row r="13999" spans="13:13">
      <c r="M13999" s="202"/>
    </row>
    <row r="14000" spans="13:13">
      <c r="M14000" s="202"/>
    </row>
    <row r="14001" spans="13:13">
      <c r="M14001" s="202"/>
    </row>
    <row r="14002" spans="13:13">
      <c r="M14002" s="202"/>
    </row>
    <row r="14003" spans="13:13">
      <c r="M14003" s="202"/>
    </row>
    <row r="14004" spans="13:13">
      <c r="M14004" s="202"/>
    </row>
    <row r="14005" spans="13:13">
      <c r="M14005" s="202"/>
    </row>
    <row r="14006" spans="13:13">
      <c r="M14006" s="202"/>
    </row>
    <row r="14007" spans="13:13">
      <c r="M14007" s="202"/>
    </row>
    <row r="14008" spans="13:13">
      <c r="M14008" s="202"/>
    </row>
    <row r="14009" spans="13:13">
      <c r="M14009" s="202"/>
    </row>
    <row r="14010" spans="13:13">
      <c r="M14010" s="202"/>
    </row>
    <row r="14011" spans="13:13">
      <c r="M14011" s="202"/>
    </row>
    <row r="14012" spans="13:13">
      <c r="M14012" s="202"/>
    </row>
    <row r="14013" spans="13:13">
      <c r="M14013" s="202"/>
    </row>
    <row r="14014" spans="13:13">
      <c r="M14014" s="202"/>
    </row>
    <row r="14015" spans="13:13">
      <c r="M14015" s="202"/>
    </row>
    <row r="14016" spans="13:13">
      <c r="M14016" s="202"/>
    </row>
    <row r="14017" spans="13:13">
      <c r="M14017" s="202"/>
    </row>
    <row r="14018" spans="13:13">
      <c r="M14018" s="202"/>
    </row>
    <row r="14019" spans="13:13">
      <c r="M14019" s="202"/>
    </row>
    <row r="14020" spans="13:13">
      <c r="M14020" s="202"/>
    </row>
    <row r="14021" spans="13:13">
      <c r="M14021" s="202"/>
    </row>
    <row r="14022" spans="13:13">
      <c r="M14022" s="202"/>
    </row>
    <row r="14023" spans="13:13">
      <c r="M14023" s="202"/>
    </row>
    <row r="14024" spans="13:13">
      <c r="M14024" s="202"/>
    </row>
    <row r="14025" spans="13:13">
      <c r="M14025" s="202"/>
    </row>
    <row r="14026" spans="13:13">
      <c r="M14026" s="202"/>
    </row>
    <row r="14027" spans="13:13">
      <c r="M14027" s="202"/>
    </row>
    <row r="14028" spans="13:13">
      <c r="M14028" s="202"/>
    </row>
    <row r="14029" spans="13:13">
      <c r="M14029" s="202"/>
    </row>
    <row r="14030" spans="13:13">
      <c r="M14030" s="202"/>
    </row>
    <row r="14031" spans="13:13">
      <c r="M14031" s="202"/>
    </row>
    <row r="14032" spans="13:13">
      <c r="M14032" s="202"/>
    </row>
    <row r="14033" spans="13:13">
      <c r="M14033" s="202"/>
    </row>
    <row r="14034" spans="13:13">
      <c r="M14034" s="202"/>
    </row>
    <row r="14035" spans="13:13">
      <c r="M14035" s="202"/>
    </row>
    <row r="14036" spans="13:13">
      <c r="M14036" s="202"/>
    </row>
    <row r="14037" spans="13:13">
      <c r="M14037" s="202"/>
    </row>
    <row r="14038" spans="13:13">
      <c r="M14038" s="202"/>
    </row>
    <row r="14039" spans="13:13">
      <c r="M14039" s="202"/>
    </row>
    <row r="14040" spans="13:13">
      <c r="M14040" s="202"/>
    </row>
    <row r="14041" spans="13:13">
      <c r="M14041" s="202"/>
    </row>
    <row r="14042" spans="13:13">
      <c r="M14042" s="202"/>
    </row>
    <row r="14043" spans="13:13">
      <c r="M14043" s="202"/>
    </row>
    <row r="14044" spans="13:13">
      <c r="M14044" s="202"/>
    </row>
    <row r="14045" spans="13:13">
      <c r="M14045" s="202"/>
    </row>
    <row r="14046" spans="13:13">
      <c r="M14046" s="202"/>
    </row>
    <row r="14047" spans="13:13">
      <c r="M14047" s="202"/>
    </row>
    <row r="14048" spans="13:13">
      <c r="M14048" s="202"/>
    </row>
    <row r="14049" spans="13:13">
      <c r="M14049" s="202"/>
    </row>
    <row r="14050" spans="13:13">
      <c r="M14050" s="202"/>
    </row>
    <row r="14051" spans="13:13">
      <c r="M14051" s="202"/>
    </row>
    <row r="14052" spans="13:13">
      <c r="M14052" s="202"/>
    </row>
    <row r="14053" spans="13:13">
      <c r="M14053" s="202"/>
    </row>
    <row r="14054" spans="13:13">
      <c r="M14054" s="202"/>
    </row>
    <row r="14055" spans="13:13">
      <c r="M14055" s="202"/>
    </row>
    <row r="14056" spans="13:13">
      <c r="M14056" s="202"/>
    </row>
    <row r="14057" spans="13:13">
      <c r="M14057" s="202"/>
    </row>
    <row r="14058" spans="13:13">
      <c r="M14058" s="202"/>
    </row>
    <row r="14059" spans="13:13">
      <c r="M14059" s="202"/>
    </row>
    <row r="14060" spans="13:13">
      <c r="M14060" s="202"/>
    </row>
    <row r="14061" spans="13:13">
      <c r="M14061" s="202"/>
    </row>
    <row r="14062" spans="13:13">
      <c r="M14062" s="202"/>
    </row>
    <row r="14063" spans="13:13">
      <c r="M14063" s="202"/>
    </row>
    <row r="14064" spans="13:13">
      <c r="M14064" s="202"/>
    </row>
    <row r="14065" spans="13:13">
      <c r="M14065" s="202"/>
    </row>
    <row r="14066" spans="13:13">
      <c r="M14066" s="202"/>
    </row>
    <row r="14067" spans="13:13">
      <c r="M14067" s="202"/>
    </row>
    <row r="14068" spans="13:13">
      <c r="M14068" s="202"/>
    </row>
    <row r="14069" spans="13:13">
      <c r="M14069" s="202"/>
    </row>
    <row r="14070" spans="13:13">
      <c r="M14070" s="202"/>
    </row>
    <row r="14071" spans="13:13">
      <c r="M14071" s="202"/>
    </row>
    <row r="14072" spans="13:13">
      <c r="M14072" s="202"/>
    </row>
    <row r="14073" spans="13:13">
      <c r="M14073" s="202"/>
    </row>
    <row r="14074" spans="13:13">
      <c r="M14074" s="202"/>
    </row>
    <row r="14075" spans="13:13">
      <c r="M14075" s="202"/>
    </row>
    <row r="14076" spans="13:13">
      <c r="M14076" s="202"/>
    </row>
    <row r="14077" spans="13:13">
      <c r="M14077" s="202"/>
    </row>
    <row r="14078" spans="13:13">
      <c r="M14078" s="202"/>
    </row>
    <row r="14079" spans="13:13">
      <c r="M14079" s="202"/>
    </row>
    <row r="14080" spans="13:13">
      <c r="M14080" s="202"/>
    </row>
    <row r="14081" spans="13:13">
      <c r="M14081" s="202"/>
    </row>
    <row r="14082" spans="13:13">
      <c r="M14082" s="202"/>
    </row>
    <row r="14083" spans="13:13">
      <c r="M14083" s="202"/>
    </row>
    <row r="14084" spans="13:13">
      <c r="M14084" s="202"/>
    </row>
    <row r="14085" spans="13:13">
      <c r="M14085" s="202"/>
    </row>
    <row r="14086" spans="13:13">
      <c r="M14086" s="202"/>
    </row>
    <row r="14087" spans="13:13">
      <c r="M14087" s="202"/>
    </row>
    <row r="14088" spans="13:13">
      <c r="M14088" s="202"/>
    </row>
    <row r="14089" spans="13:13">
      <c r="M14089" s="202"/>
    </row>
    <row r="14090" spans="13:13">
      <c r="M14090" s="202"/>
    </row>
    <row r="14091" spans="13:13">
      <c r="M14091" s="202"/>
    </row>
    <row r="14092" spans="13:13">
      <c r="M14092" s="202"/>
    </row>
    <row r="14093" spans="13:13">
      <c r="M14093" s="202"/>
    </row>
    <row r="14094" spans="13:13">
      <c r="M14094" s="202"/>
    </row>
    <row r="14095" spans="13:13">
      <c r="M14095" s="202"/>
    </row>
    <row r="14096" spans="13:13">
      <c r="M14096" s="202"/>
    </row>
    <row r="14097" spans="13:13">
      <c r="M14097" s="202"/>
    </row>
    <row r="14098" spans="13:13">
      <c r="M14098" s="202"/>
    </row>
    <row r="14099" spans="13:13">
      <c r="M14099" s="202"/>
    </row>
    <row r="14100" spans="13:13">
      <c r="M14100" s="202"/>
    </row>
    <row r="14101" spans="13:13">
      <c r="M14101" s="202"/>
    </row>
    <row r="14102" spans="13:13">
      <c r="M14102" s="202"/>
    </row>
    <row r="14103" spans="13:13">
      <c r="M14103" s="202"/>
    </row>
    <row r="14104" spans="13:13">
      <c r="M14104" s="202"/>
    </row>
    <row r="14105" spans="13:13">
      <c r="M14105" s="202"/>
    </row>
    <row r="14106" spans="13:13">
      <c r="M14106" s="202"/>
    </row>
    <row r="14107" spans="13:13">
      <c r="M14107" s="202"/>
    </row>
    <row r="14108" spans="13:13">
      <c r="M14108" s="202"/>
    </row>
    <row r="14109" spans="13:13">
      <c r="M14109" s="202"/>
    </row>
    <row r="14110" spans="13:13">
      <c r="M14110" s="202"/>
    </row>
    <row r="14111" spans="13:13">
      <c r="M14111" s="202"/>
    </row>
    <row r="14112" spans="13:13">
      <c r="M14112" s="202"/>
    </row>
    <row r="14113" spans="13:13">
      <c r="M14113" s="202"/>
    </row>
    <row r="14114" spans="13:13">
      <c r="M14114" s="202"/>
    </row>
    <row r="14115" spans="13:13">
      <c r="M14115" s="202"/>
    </row>
    <row r="14116" spans="13:13">
      <c r="M14116" s="202"/>
    </row>
    <row r="14117" spans="13:13">
      <c r="M14117" s="202"/>
    </row>
    <row r="14118" spans="13:13">
      <c r="M14118" s="202"/>
    </row>
    <row r="14119" spans="13:13">
      <c r="M14119" s="202"/>
    </row>
    <row r="14120" spans="13:13">
      <c r="M14120" s="202"/>
    </row>
    <row r="14121" spans="13:13">
      <c r="M14121" s="202"/>
    </row>
    <row r="14122" spans="13:13">
      <c r="M14122" s="202"/>
    </row>
    <row r="14123" spans="13:13">
      <c r="M14123" s="202"/>
    </row>
    <row r="14124" spans="13:13">
      <c r="M14124" s="202"/>
    </row>
    <row r="14125" spans="13:13">
      <c r="M14125" s="202"/>
    </row>
    <row r="14126" spans="13:13">
      <c r="M14126" s="202"/>
    </row>
    <row r="14127" spans="13:13">
      <c r="M14127" s="202"/>
    </row>
    <row r="14128" spans="13:13">
      <c r="M14128" s="202"/>
    </row>
    <row r="14129" spans="13:13">
      <c r="M14129" s="202"/>
    </row>
    <row r="14130" spans="13:13">
      <c r="M14130" s="202"/>
    </row>
    <row r="14131" spans="13:13">
      <c r="M14131" s="202"/>
    </row>
    <row r="14132" spans="13:13">
      <c r="M14132" s="202"/>
    </row>
    <row r="14133" spans="13:13">
      <c r="M14133" s="202"/>
    </row>
    <row r="14134" spans="13:13">
      <c r="M14134" s="202"/>
    </row>
    <row r="14135" spans="13:13">
      <c r="M14135" s="202"/>
    </row>
    <row r="14136" spans="13:13">
      <c r="M14136" s="202"/>
    </row>
    <row r="14137" spans="13:13">
      <c r="M14137" s="202"/>
    </row>
    <row r="14138" spans="13:13">
      <c r="M14138" s="202"/>
    </row>
    <row r="14139" spans="13:13">
      <c r="M14139" s="202"/>
    </row>
    <row r="14140" spans="13:13">
      <c r="M14140" s="202"/>
    </row>
    <row r="14141" spans="13:13">
      <c r="M14141" s="202"/>
    </row>
    <row r="14142" spans="13:13">
      <c r="M14142" s="202"/>
    </row>
    <row r="14143" spans="13:13">
      <c r="M14143" s="202"/>
    </row>
    <row r="14144" spans="13:13">
      <c r="M14144" s="202"/>
    </row>
    <row r="14145" spans="13:13">
      <c r="M14145" s="202"/>
    </row>
    <row r="14146" spans="13:13">
      <c r="M14146" s="202"/>
    </row>
    <row r="14147" spans="13:13">
      <c r="M14147" s="202"/>
    </row>
    <row r="14148" spans="13:13">
      <c r="M14148" s="202"/>
    </row>
    <row r="14149" spans="13:13">
      <c r="M14149" s="202"/>
    </row>
    <row r="14150" spans="13:13">
      <c r="M14150" s="202"/>
    </row>
    <row r="14151" spans="13:13">
      <c r="M14151" s="202"/>
    </row>
    <row r="14152" spans="13:13">
      <c r="M14152" s="202"/>
    </row>
    <row r="14153" spans="13:13">
      <c r="M14153" s="202"/>
    </row>
    <row r="14154" spans="13:13">
      <c r="M14154" s="202"/>
    </row>
    <row r="14155" spans="13:13">
      <c r="M14155" s="202"/>
    </row>
    <row r="14156" spans="13:13">
      <c r="M14156" s="202"/>
    </row>
    <row r="14157" spans="13:13">
      <c r="M14157" s="202"/>
    </row>
    <row r="14158" spans="13:13">
      <c r="M14158" s="202"/>
    </row>
    <row r="14159" spans="13:13">
      <c r="M14159" s="202"/>
    </row>
    <row r="14160" spans="13:13">
      <c r="M14160" s="202"/>
    </row>
    <row r="14161" spans="13:13">
      <c r="M14161" s="202"/>
    </row>
    <row r="14162" spans="13:13">
      <c r="M14162" s="202"/>
    </row>
    <row r="14163" spans="13:13">
      <c r="M14163" s="202"/>
    </row>
    <row r="14164" spans="13:13">
      <c r="M14164" s="202"/>
    </row>
    <row r="14165" spans="13:13">
      <c r="M14165" s="202"/>
    </row>
    <row r="14166" spans="13:13">
      <c r="M14166" s="202"/>
    </row>
    <row r="14167" spans="13:13">
      <c r="M14167" s="202"/>
    </row>
    <row r="14168" spans="13:13">
      <c r="M14168" s="202"/>
    </row>
    <row r="14169" spans="13:13">
      <c r="M14169" s="202"/>
    </row>
    <row r="14170" spans="13:13">
      <c r="M14170" s="202"/>
    </row>
    <row r="14171" spans="13:13">
      <c r="M14171" s="202"/>
    </row>
    <row r="14172" spans="13:13">
      <c r="M14172" s="202"/>
    </row>
    <row r="14173" spans="13:13">
      <c r="M14173" s="202"/>
    </row>
    <row r="14174" spans="13:13">
      <c r="M14174" s="202"/>
    </row>
    <row r="14175" spans="13:13">
      <c r="M14175" s="202"/>
    </row>
    <row r="14176" spans="13:13">
      <c r="M14176" s="202"/>
    </row>
    <row r="14177" spans="13:13">
      <c r="M14177" s="202"/>
    </row>
    <row r="14178" spans="13:13">
      <c r="M14178" s="202"/>
    </row>
    <row r="14179" spans="13:13">
      <c r="M14179" s="202"/>
    </row>
    <row r="14180" spans="13:13">
      <c r="M14180" s="202"/>
    </row>
    <row r="14181" spans="13:13">
      <c r="M14181" s="202"/>
    </row>
    <row r="14182" spans="13:13">
      <c r="M14182" s="202"/>
    </row>
    <row r="14183" spans="13:13">
      <c r="M14183" s="202"/>
    </row>
    <row r="14184" spans="13:13">
      <c r="M14184" s="202"/>
    </row>
    <row r="14185" spans="13:13">
      <c r="M14185" s="202"/>
    </row>
    <row r="14186" spans="13:13">
      <c r="M14186" s="202"/>
    </row>
    <row r="14187" spans="13:13">
      <c r="M14187" s="202"/>
    </row>
    <row r="14188" spans="13:13">
      <c r="M14188" s="202"/>
    </row>
    <row r="14189" spans="13:13">
      <c r="M14189" s="202"/>
    </row>
    <row r="14190" spans="13:13">
      <c r="M14190" s="202"/>
    </row>
    <row r="14191" spans="13:13">
      <c r="M14191" s="202"/>
    </row>
    <row r="14192" spans="13:13">
      <c r="M14192" s="202"/>
    </row>
    <row r="14193" spans="13:13">
      <c r="M14193" s="202"/>
    </row>
    <row r="14194" spans="13:13">
      <c r="M14194" s="202"/>
    </row>
    <row r="14195" spans="13:13">
      <c r="M14195" s="202"/>
    </row>
    <row r="14196" spans="13:13">
      <c r="M14196" s="202"/>
    </row>
    <row r="14197" spans="13:13">
      <c r="M14197" s="202"/>
    </row>
    <row r="14198" spans="13:13">
      <c r="M14198" s="202"/>
    </row>
    <row r="14199" spans="13:13">
      <c r="M14199" s="202"/>
    </row>
    <row r="14200" spans="13:13">
      <c r="M14200" s="202"/>
    </row>
    <row r="14201" spans="13:13">
      <c r="M14201" s="202"/>
    </row>
    <row r="14202" spans="13:13">
      <c r="M14202" s="202"/>
    </row>
    <row r="14203" spans="13:13">
      <c r="M14203" s="202"/>
    </row>
    <row r="14204" spans="13:13">
      <c r="M14204" s="202"/>
    </row>
    <row r="14205" spans="13:13">
      <c r="M14205" s="202"/>
    </row>
    <row r="14206" spans="13:13">
      <c r="M14206" s="202"/>
    </row>
    <row r="14207" spans="13:13">
      <c r="M14207" s="202"/>
    </row>
    <row r="14208" spans="13:13">
      <c r="M14208" s="202"/>
    </row>
    <row r="14209" spans="13:13">
      <c r="M14209" s="202"/>
    </row>
    <row r="14210" spans="13:13">
      <c r="M14210" s="202"/>
    </row>
    <row r="14211" spans="13:13">
      <c r="M14211" s="202"/>
    </row>
    <row r="14212" spans="13:13">
      <c r="M14212" s="202"/>
    </row>
    <row r="14213" spans="13:13">
      <c r="M14213" s="202"/>
    </row>
    <row r="14214" spans="13:13">
      <c r="M14214" s="202"/>
    </row>
    <row r="14215" spans="13:13">
      <c r="M14215" s="202"/>
    </row>
    <row r="14216" spans="13:13">
      <c r="M14216" s="202"/>
    </row>
    <row r="14217" spans="13:13">
      <c r="M14217" s="202"/>
    </row>
    <row r="14218" spans="13:13">
      <c r="M14218" s="202"/>
    </row>
    <row r="14219" spans="13:13">
      <c r="M14219" s="202"/>
    </row>
    <row r="14220" spans="13:13">
      <c r="M14220" s="202"/>
    </row>
    <row r="14221" spans="13:13">
      <c r="M14221" s="202"/>
    </row>
    <row r="14222" spans="13:13">
      <c r="M14222" s="202"/>
    </row>
    <row r="14223" spans="13:13">
      <c r="M14223" s="202"/>
    </row>
    <row r="14224" spans="13:13">
      <c r="M14224" s="202"/>
    </row>
    <row r="14225" spans="13:13">
      <c r="M14225" s="202"/>
    </row>
    <row r="14226" spans="13:13">
      <c r="M14226" s="202"/>
    </row>
    <row r="14227" spans="13:13">
      <c r="M14227" s="202"/>
    </row>
    <row r="14228" spans="13:13">
      <c r="M14228" s="202"/>
    </row>
    <row r="14229" spans="13:13">
      <c r="M14229" s="202"/>
    </row>
    <row r="14230" spans="13:13">
      <c r="M14230" s="202"/>
    </row>
    <row r="14231" spans="13:13">
      <c r="M14231" s="202"/>
    </row>
    <row r="14232" spans="13:13">
      <c r="M14232" s="202"/>
    </row>
    <row r="14233" spans="13:13">
      <c r="M14233" s="202"/>
    </row>
    <row r="14234" spans="13:13">
      <c r="M14234" s="202"/>
    </row>
    <row r="14235" spans="13:13">
      <c r="M14235" s="202"/>
    </row>
    <row r="14236" spans="13:13">
      <c r="M14236" s="202"/>
    </row>
    <row r="14237" spans="13:13">
      <c r="M14237" s="202"/>
    </row>
    <row r="14238" spans="13:13">
      <c r="M14238" s="202"/>
    </row>
    <row r="14239" spans="13:13">
      <c r="M14239" s="202"/>
    </row>
    <row r="14240" spans="13:13">
      <c r="M14240" s="202"/>
    </row>
    <row r="14241" spans="13:13">
      <c r="M14241" s="202"/>
    </row>
    <row r="14242" spans="13:13">
      <c r="M14242" s="202"/>
    </row>
    <row r="14243" spans="13:13">
      <c r="M14243" s="202"/>
    </row>
    <row r="14244" spans="13:13">
      <c r="M14244" s="202"/>
    </row>
    <row r="14245" spans="13:13">
      <c r="M14245" s="202"/>
    </row>
    <row r="14246" spans="13:13">
      <c r="M14246" s="202"/>
    </row>
    <row r="14247" spans="13:13">
      <c r="M14247" s="202"/>
    </row>
    <row r="14248" spans="13:13">
      <c r="M14248" s="202"/>
    </row>
    <row r="14249" spans="13:13">
      <c r="M14249" s="202"/>
    </row>
    <row r="14250" spans="13:13">
      <c r="M14250" s="202"/>
    </row>
    <row r="14251" spans="13:13">
      <c r="M14251" s="202"/>
    </row>
    <row r="14252" spans="13:13">
      <c r="M14252" s="202"/>
    </row>
    <row r="14253" spans="13:13">
      <c r="M14253" s="202"/>
    </row>
    <row r="14254" spans="13:13">
      <c r="M14254" s="202"/>
    </row>
    <row r="14255" spans="13:13">
      <c r="M14255" s="202"/>
    </row>
    <row r="14256" spans="13:13">
      <c r="M14256" s="202"/>
    </row>
    <row r="14257" spans="13:13">
      <c r="M14257" s="202"/>
    </row>
    <row r="14258" spans="13:13">
      <c r="M14258" s="202"/>
    </row>
    <row r="14259" spans="13:13">
      <c r="M14259" s="202"/>
    </row>
    <row r="14260" spans="13:13">
      <c r="M14260" s="202"/>
    </row>
    <row r="14261" spans="13:13">
      <c r="M14261" s="202"/>
    </row>
    <row r="14262" spans="13:13">
      <c r="M14262" s="202"/>
    </row>
    <row r="14263" spans="13:13">
      <c r="M14263" s="202"/>
    </row>
    <row r="14264" spans="13:13">
      <c r="M14264" s="202"/>
    </row>
    <row r="14265" spans="13:13">
      <c r="M14265" s="202"/>
    </row>
    <row r="14266" spans="13:13">
      <c r="M14266" s="202"/>
    </row>
    <row r="14267" spans="13:13">
      <c r="M14267" s="202"/>
    </row>
    <row r="14268" spans="13:13">
      <c r="M14268" s="202"/>
    </row>
    <row r="14269" spans="13:13">
      <c r="M14269" s="202"/>
    </row>
    <row r="14270" spans="13:13">
      <c r="M14270" s="202"/>
    </row>
    <row r="14271" spans="13:13">
      <c r="M14271" s="202"/>
    </row>
    <row r="14272" spans="13:13">
      <c r="M14272" s="202"/>
    </row>
    <row r="14273" spans="13:13">
      <c r="M14273" s="202"/>
    </row>
    <row r="14274" spans="13:13">
      <c r="M14274" s="202"/>
    </row>
    <row r="14275" spans="13:13">
      <c r="M14275" s="202"/>
    </row>
    <row r="14276" spans="13:13">
      <c r="M14276" s="202"/>
    </row>
    <row r="14277" spans="13:13">
      <c r="M14277" s="202"/>
    </row>
    <row r="14278" spans="13:13">
      <c r="M14278" s="202"/>
    </row>
    <row r="14279" spans="13:13">
      <c r="M14279" s="202"/>
    </row>
    <row r="14280" spans="13:13">
      <c r="M14280" s="202"/>
    </row>
    <row r="14281" spans="13:13">
      <c r="M14281" s="202"/>
    </row>
    <row r="14282" spans="13:13">
      <c r="M14282" s="202"/>
    </row>
    <row r="14283" spans="13:13">
      <c r="M14283" s="202"/>
    </row>
    <row r="14284" spans="13:13">
      <c r="M14284" s="202"/>
    </row>
    <row r="14285" spans="13:13">
      <c r="M14285" s="202"/>
    </row>
    <row r="14286" spans="13:13">
      <c r="M14286" s="202"/>
    </row>
    <row r="14287" spans="13:13">
      <c r="M14287" s="202"/>
    </row>
    <row r="14288" spans="13:13">
      <c r="M14288" s="202"/>
    </row>
    <row r="14289" spans="13:13">
      <c r="M14289" s="202"/>
    </row>
    <row r="14290" spans="13:13">
      <c r="M14290" s="202"/>
    </row>
    <row r="14291" spans="13:13">
      <c r="M14291" s="202"/>
    </row>
    <row r="14292" spans="13:13">
      <c r="M14292" s="202"/>
    </row>
    <row r="14293" spans="13:13">
      <c r="M14293" s="202"/>
    </row>
    <row r="14294" spans="13:13">
      <c r="M14294" s="202"/>
    </row>
    <row r="14295" spans="13:13">
      <c r="M14295" s="202"/>
    </row>
    <row r="14296" spans="13:13">
      <c r="M14296" s="202"/>
    </row>
    <row r="14297" spans="13:13">
      <c r="M14297" s="202"/>
    </row>
    <row r="14298" spans="13:13">
      <c r="M14298" s="202"/>
    </row>
    <row r="14299" spans="13:13">
      <c r="M14299" s="202"/>
    </row>
    <row r="14300" spans="13:13">
      <c r="M14300" s="202"/>
    </row>
    <row r="14301" spans="13:13">
      <c r="M14301" s="202"/>
    </row>
    <row r="14302" spans="13:13">
      <c r="M14302" s="202"/>
    </row>
    <row r="14303" spans="13:13">
      <c r="M14303" s="202"/>
    </row>
    <row r="14304" spans="13:13">
      <c r="M14304" s="202"/>
    </row>
    <row r="14305" spans="13:13">
      <c r="M14305" s="202"/>
    </row>
    <row r="14306" spans="13:13">
      <c r="M14306" s="202"/>
    </row>
    <row r="14307" spans="13:13">
      <c r="M14307" s="202"/>
    </row>
    <row r="14308" spans="13:13">
      <c r="M14308" s="202"/>
    </row>
    <row r="14309" spans="13:13">
      <c r="M14309" s="202"/>
    </row>
    <row r="14310" spans="13:13">
      <c r="M14310" s="202"/>
    </row>
    <row r="14311" spans="13:13">
      <c r="M14311" s="202"/>
    </row>
    <row r="14312" spans="13:13">
      <c r="M14312" s="202"/>
    </row>
    <row r="14313" spans="13:13">
      <c r="M14313" s="202"/>
    </row>
    <row r="14314" spans="13:13">
      <c r="M14314" s="202"/>
    </row>
    <row r="14315" spans="13:13">
      <c r="M14315" s="202"/>
    </row>
    <row r="14316" spans="13:13">
      <c r="M14316" s="202"/>
    </row>
    <row r="14317" spans="13:13">
      <c r="M14317" s="202"/>
    </row>
    <row r="14318" spans="13:13">
      <c r="M14318" s="202"/>
    </row>
    <row r="14319" spans="13:13">
      <c r="M14319" s="202"/>
    </row>
    <row r="14320" spans="13:13">
      <c r="M14320" s="202"/>
    </row>
    <row r="14321" spans="13:13">
      <c r="M14321" s="202"/>
    </row>
    <row r="14322" spans="13:13">
      <c r="M14322" s="202"/>
    </row>
    <row r="14323" spans="13:13">
      <c r="M14323" s="202"/>
    </row>
    <row r="14324" spans="13:13">
      <c r="M14324" s="202"/>
    </row>
    <row r="14325" spans="13:13">
      <c r="M14325" s="202"/>
    </row>
    <row r="14326" spans="13:13">
      <c r="M14326" s="202"/>
    </row>
    <row r="14327" spans="13:13">
      <c r="M14327" s="202"/>
    </row>
    <row r="14328" spans="13:13">
      <c r="M14328" s="202"/>
    </row>
    <row r="14329" spans="13:13">
      <c r="M14329" s="202"/>
    </row>
    <row r="14330" spans="13:13">
      <c r="M14330" s="202"/>
    </row>
    <row r="14331" spans="13:13">
      <c r="M14331" s="202"/>
    </row>
    <row r="14332" spans="13:13">
      <c r="M14332" s="202"/>
    </row>
    <row r="14333" spans="13:13">
      <c r="M14333" s="202"/>
    </row>
    <row r="14334" spans="13:13">
      <c r="M14334" s="202"/>
    </row>
    <row r="14335" spans="13:13">
      <c r="M14335" s="202"/>
    </row>
    <row r="14336" spans="13:13">
      <c r="M14336" s="202"/>
    </row>
    <row r="14337" spans="13:13">
      <c r="M14337" s="202"/>
    </row>
    <row r="14338" spans="13:13">
      <c r="M14338" s="202"/>
    </row>
    <row r="14339" spans="13:13">
      <c r="M14339" s="202"/>
    </row>
    <row r="14340" spans="13:13">
      <c r="M14340" s="202"/>
    </row>
    <row r="14341" spans="13:13">
      <c r="M14341" s="202"/>
    </row>
    <row r="14342" spans="13:13">
      <c r="M14342" s="202"/>
    </row>
    <row r="14343" spans="13:13">
      <c r="M14343" s="202"/>
    </row>
    <row r="14344" spans="13:13">
      <c r="M14344" s="202"/>
    </row>
    <row r="14345" spans="13:13">
      <c r="M14345" s="202"/>
    </row>
    <row r="14346" spans="13:13">
      <c r="M14346" s="202"/>
    </row>
    <row r="14347" spans="13:13">
      <c r="M14347" s="202"/>
    </row>
    <row r="14348" spans="13:13">
      <c r="M14348" s="202"/>
    </row>
    <row r="14349" spans="13:13">
      <c r="M14349" s="202"/>
    </row>
    <row r="14350" spans="13:13">
      <c r="M14350" s="202"/>
    </row>
    <row r="14351" spans="13:13">
      <c r="M14351" s="202"/>
    </row>
    <row r="14352" spans="13:13">
      <c r="M14352" s="202"/>
    </row>
    <row r="14353" spans="13:13">
      <c r="M14353" s="202"/>
    </row>
    <row r="14354" spans="13:13">
      <c r="M14354" s="202"/>
    </row>
    <row r="14355" spans="13:13">
      <c r="M14355" s="202"/>
    </row>
    <row r="14356" spans="13:13">
      <c r="M14356" s="202"/>
    </row>
    <row r="14357" spans="13:13">
      <c r="M14357" s="202"/>
    </row>
    <row r="14358" spans="13:13">
      <c r="M14358" s="202"/>
    </row>
    <row r="14359" spans="13:13">
      <c r="M14359" s="202"/>
    </row>
    <row r="14360" spans="13:13">
      <c r="M14360" s="202"/>
    </row>
    <row r="14361" spans="13:13">
      <c r="M14361" s="202"/>
    </row>
    <row r="14362" spans="13:13">
      <c r="M14362" s="202"/>
    </row>
    <row r="14363" spans="13:13">
      <c r="M14363" s="202"/>
    </row>
    <row r="14364" spans="13:13">
      <c r="M14364" s="202"/>
    </row>
    <row r="14365" spans="13:13">
      <c r="M14365" s="202"/>
    </row>
    <row r="14366" spans="13:13">
      <c r="M14366" s="202"/>
    </row>
    <row r="14367" spans="13:13">
      <c r="M14367" s="202"/>
    </row>
    <row r="14368" spans="13:13">
      <c r="M14368" s="202"/>
    </row>
    <row r="14369" spans="13:13">
      <c r="M14369" s="202"/>
    </row>
    <row r="14370" spans="13:13">
      <c r="M14370" s="202"/>
    </row>
    <row r="14371" spans="13:13">
      <c r="M14371" s="202"/>
    </row>
    <row r="14372" spans="13:13">
      <c r="M14372" s="202"/>
    </row>
    <row r="14373" spans="13:13">
      <c r="M14373" s="202"/>
    </row>
    <row r="14374" spans="13:13">
      <c r="M14374" s="202"/>
    </row>
    <row r="14375" spans="13:13">
      <c r="M14375" s="202"/>
    </row>
    <row r="14376" spans="13:13">
      <c r="M14376" s="202"/>
    </row>
    <row r="14377" spans="13:13">
      <c r="M14377" s="202"/>
    </row>
    <row r="14378" spans="13:13">
      <c r="M14378" s="202"/>
    </row>
    <row r="14379" spans="13:13">
      <c r="M14379" s="202"/>
    </row>
    <row r="14380" spans="13:13">
      <c r="M14380" s="202"/>
    </row>
    <row r="14381" spans="13:13">
      <c r="M14381" s="202"/>
    </row>
    <row r="14382" spans="13:13">
      <c r="M14382" s="202"/>
    </row>
    <row r="14383" spans="13:13">
      <c r="M14383" s="202"/>
    </row>
    <row r="14384" spans="13:13">
      <c r="M14384" s="202"/>
    </row>
    <row r="14385" spans="13:13">
      <c r="M14385" s="202"/>
    </row>
    <row r="14386" spans="13:13">
      <c r="M14386" s="202"/>
    </row>
    <row r="14387" spans="13:13">
      <c r="M14387" s="202"/>
    </row>
    <row r="14388" spans="13:13">
      <c r="M14388" s="202"/>
    </row>
    <row r="14389" spans="13:13">
      <c r="M14389" s="202"/>
    </row>
    <row r="14390" spans="13:13">
      <c r="M14390" s="202"/>
    </row>
    <row r="14391" spans="13:13">
      <c r="M14391" s="202"/>
    </row>
    <row r="14392" spans="13:13">
      <c r="M14392" s="202"/>
    </row>
    <row r="14393" spans="13:13">
      <c r="M14393" s="202"/>
    </row>
    <row r="14394" spans="13:13">
      <c r="M14394" s="202"/>
    </row>
    <row r="14395" spans="13:13">
      <c r="M14395" s="202"/>
    </row>
    <row r="14396" spans="13:13">
      <c r="M14396" s="202"/>
    </row>
    <row r="14397" spans="13:13">
      <c r="M14397" s="202"/>
    </row>
    <row r="14398" spans="13:13">
      <c r="M14398" s="202"/>
    </row>
    <row r="14399" spans="13:13">
      <c r="M14399" s="202"/>
    </row>
    <row r="14400" spans="13:13">
      <c r="M14400" s="202"/>
    </row>
    <row r="14401" spans="13:13">
      <c r="M14401" s="202"/>
    </row>
    <row r="14402" spans="13:13">
      <c r="M14402" s="202"/>
    </row>
    <row r="14403" spans="13:13">
      <c r="M14403" s="202"/>
    </row>
    <row r="14404" spans="13:13">
      <c r="M14404" s="202"/>
    </row>
    <row r="14405" spans="13:13">
      <c r="M14405" s="202"/>
    </row>
    <row r="14406" spans="13:13">
      <c r="M14406" s="202"/>
    </row>
    <row r="14407" spans="13:13">
      <c r="M14407" s="202"/>
    </row>
    <row r="14408" spans="13:13">
      <c r="M14408" s="202"/>
    </row>
    <row r="14409" spans="13:13">
      <c r="M14409" s="202"/>
    </row>
    <row r="14410" spans="13:13">
      <c r="M14410" s="202"/>
    </row>
    <row r="14411" spans="13:13">
      <c r="M14411" s="202"/>
    </row>
    <row r="14412" spans="13:13">
      <c r="M14412" s="202"/>
    </row>
    <row r="14413" spans="13:13">
      <c r="M14413" s="202"/>
    </row>
    <row r="14414" spans="13:13">
      <c r="M14414" s="202"/>
    </row>
    <row r="14415" spans="13:13">
      <c r="M14415" s="202"/>
    </row>
    <row r="14416" spans="13:13">
      <c r="M14416" s="202"/>
    </row>
    <row r="14417" spans="13:13">
      <c r="M14417" s="202"/>
    </row>
    <row r="14418" spans="13:13">
      <c r="M14418" s="202"/>
    </row>
    <row r="14419" spans="13:13">
      <c r="M14419" s="202"/>
    </row>
    <row r="14420" spans="13:13">
      <c r="M14420" s="202"/>
    </row>
    <row r="14421" spans="13:13">
      <c r="M14421" s="202"/>
    </row>
    <row r="14422" spans="13:13">
      <c r="M14422" s="202"/>
    </row>
    <row r="14423" spans="13:13">
      <c r="M14423" s="202"/>
    </row>
    <row r="14424" spans="13:13">
      <c r="M14424" s="202"/>
    </row>
    <row r="14425" spans="13:13">
      <c r="M14425" s="202"/>
    </row>
    <row r="14426" spans="13:13">
      <c r="M14426" s="202"/>
    </row>
    <row r="14427" spans="13:13">
      <c r="M14427" s="202"/>
    </row>
    <row r="14428" spans="13:13">
      <c r="M14428" s="202"/>
    </row>
    <row r="14429" spans="13:13">
      <c r="M14429" s="202"/>
    </row>
    <row r="14430" spans="13:13">
      <c r="M14430" s="202"/>
    </row>
    <row r="14431" spans="13:13">
      <c r="M14431" s="202"/>
    </row>
    <row r="14432" spans="13:13">
      <c r="M14432" s="202"/>
    </row>
    <row r="14433" spans="13:13">
      <c r="M14433" s="202"/>
    </row>
    <row r="14434" spans="13:13">
      <c r="M14434" s="202"/>
    </row>
    <row r="14435" spans="13:13">
      <c r="M14435" s="202"/>
    </row>
    <row r="14436" spans="13:13">
      <c r="M14436" s="202"/>
    </row>
    <row r="14437" spans="13:13">
      <c r="M14437" s="202"/>
    </row>
    <row r="14438" spans="13:13">
      <c r="M14438" s="202"/>
    </row>
    <row r="14439" spans="13:13">
      <c r="M14439" s="202"/>
    </row>
    <row r="14440" spans="13:13">
      <c r="M14440" s="202"/>
    </row>
    <row r="14441" spans="13:13">
      <c r="M14441" s="202"/>
    </row>
    <row r="14442" spans="13:13">
      <c r="M14442" s="202"/>
    </row>
    <row r="14443" spans="13:13">
      <c r="M14443" s="202"/>
    </row>
    <row r="14444" spans="13:13">
      <c r="M14444" s="202"/>
    </row>
    <row r="14445" spans="13:13">
      <c r="M14445" s="202"/>
    </row>
    <row r="14446" spans="13:13">
      <c r="M14446" s="202"/>
    </row>
    <row r="14447" spans="13:13">
      <c r="M14447" s="202"/>
    </row>
    <row r="14448" spans="13:13">
      <c r="M14448" s="202"/>
    </row>
    <row r="14449" spans="13:13">
      <c r="M14449" s="202"/>
    </row>
    <row r="14450" spans="13:13">
      <c r="M14450" s="202"/>
    </row>
    <row r="14451" spans="13:13">
      <c r="M14451" s="202"/>
    </row>
    <row r="14452" spans="13:13">
      <c r="M14452" s="202"/>
    </row>
    <row r="14453" spans="13:13">
      <c r="M14453" s="202"/>
    </row>
    <row r="14454" spans="13:13">
      <c r="M14454" s="202"/>
    </row>
    <row r="14455" spans="13:13">
      <c r="M14455" s="202"/>
    </row>
    <row r="14456" spans="13:13">
      <c r="M14456" s="202"/>
    </row>
    <row r="14457" spans="13:13">
      <c r="M14457" s="202"/>
    </row>
    <row r="14458" spans="13:13">
      <c r="M14458" s="202"/>
    </row>
    <row r="14459" spans="13:13">
      <c r="M14459" s="202"/>
    </row>
    <row r="14460" spans="13:13">
      <c r="M14460" s="202"/>
    </row>
    <row r="14461" spans="13:13">
      <c r="M14461" s="202"/>
    </row>
    <row r="14462" spans="13:13">
      <c r="M14462" s="202"/>
    </row>
    <row r="14463" spans="13:13">
      <c r="M14463" s="202"/>
    </row>
    <row r="14464" spans="13:13">
      <c r="M14464" s="202"/>
    </row>
    <row r="14465" spans="13:13">
      <c r="M14465" s="202"/>
    </row>
    <row r="14466" spans="13:13">
      <c r="M14466" s="202"/>
    </row>
    <row r="14467" spans="13:13">
      <c r="M14467" s="202"/>
    </row>
    <row r="14468" spans="13:13">
      <c r="M14468" s="202"/>
    </row>
    <row r="14469" spans="13:13">
      <c r="M14469" s="202"/>
    </row>
    <row r="14470" spans="13:13">
      <c r="M14470" s="202"/>
    </row>
    <row r="14471" spans="13:13">
      <c r="M14471" s="202"/>
    </row>
    <row r="14472" spans="13:13">
      <c r="M14472" s="202"/>
    </row>
    <row r="14473" spans="13:13">
      <c r="M14473" s="202"/>
    </row>
    <row r="14474" spans="13:13">
      <c r="M14474" s="202"/>
    </row>
    <row r="14475" spans="13:13">
      <c r="M14475" s="202"/>
    </row>
    <row r="14476" spans="13:13">
      <c r="M14476" s="202"/>
    </row>
    <row r="14477" spans="13:13">
      <c r="M14477" s="202"/>
    </row>
    <row r="14478" spans="13:13">
      <c r="M14478" s="202"/>
    </row>
    <row r="14479" spans="13:13">
      <c r="M14479" s="202"/>
    </row>
    <row r="14480" spans="13:13">
      <c r="M14480" s="202"/>
    </row>
    <row r="14481" spans="13:13">
      <c r="M14481" s="202"/>
    </row>
    <row r="14482" spans="13:13">
      <c r="M14482" s="202"/>
    </row>
    <row r="14483" spans="13:13">
      <c r="M14483" s="202"/>
    </row>
    <row r="14484" spans="13:13">
      <c r="M14484" s="202"/>
    </row>
    <row r="14485" spans="13:13">
      <c r="M14485" s="202"/>
    </row>
    <row r="14486" spans="13:13">
      <c r="M14486" s="202"/>
    </row>
    <row r="14487" spans="13:13">
      <c r="M14487" s="202"/>
    </row>
    <row r="14488" spans="13:13">
      <c r="M14488" s="202"/>
    </row>
    <row r="14489" spans="13:13">
      <c r="M14489" s="202"/>
    </row>
    <row r="14490" spans="13:13">
      <c r="M14490" s="202"/>
    </row>
    <row r="14491" spans="13:13">
      <c r="M14491" s="202"/>
    </row>
    <row r="14492" spans="13:13">
      <c r="M14492" s="202"/>
    </row>
    <row r="14493" spans="13:13">
      <c r="M14493" s="202"/>
    </row>
    <row r="14494" spans="13:13">
      <c r="M14494" s="202"/>
    </row>
    <row r="14495" spans="13:13">
      <c r="M14495" s="202"/>
    </row>
    <row r="14496" spans="13:13">
      <c r="M14496" s="202"/>
    </row>
    <row r="14497" spans="13:13">
      <c r="M14497" s="202"/>
    </row>
    <row r="14498" spans="13:13">
      <c r="M14498" s="202"/>
    </row>
    <row r="14499" spans="13:13">
      <c r="M14499" s="202"/>
    </row>
    <row r="14500" spans="13:13">
      <c r="M14500" s="202"/>
    </row>
    <row r="14501" spans="13:13">
      <c r="M14501" s="202"/>
    </row>
    <row r="14502" spans="13:13">
      <c r="M14502" s="202"/>
    </row>
    <row r="14503" spans="13:13">
      <c r="M14503" s="202"/>
    </row>
    <row r="14504" spans="13:13">
      <c r="M14504" s="202"/>
    </row>
    <row r="14505" spans="13:13">
      <c r="M14505" s="202"/>
    </row>
    <row r="14506" spans="13:13">
      <c r="M14506" s="202"/>
    </row>
    <row r="14507" spans="13:13">
      <c r="M14507" s="202"/>
    </row>
    <row r="14508" spans="13:13">
      <c r="M14508" s="202"/>
    </row>
    <row r="14509" spans="13:13">
      <c r="M14509" s="202"/>
    </row>
    <row r="14510" spans="13:13">
      <c r="M14510" s="202"/>
    </row>
    <row r="14511" spans="13:13">
      <c r="M14511" s="202"/>
    </row>
    <row r="14512" spans="13:13">
      <c r="M14512" s="202"/>
    </row>
    <row r="14513" spans="13:13">
      <c r="M14513" s="202"/>
    </row>
    <row r="14514" spans="13:13">
      <c r="M14514" s="202"/>
    </row>
    <row r="14515" spans="13:13">
      <c r="M14515" s="202"/>
    </row>
    <row r="14516" spans="13:13">
      <c r="M14516" s="202"/>
    </row>
    <row r="14517" spans="13:13">
      <c r="M14517" s="202"/>
    </row>
    <row r="14518" spans="13:13">
      <c r="M14518" s="202"/>
    </row>
    <row r="14519" spans="13:13">
      <c r="M14519" s="202"/>
    </row>
    <row r="14520" spans="13:13">
      <c r="M14520" s="202"/>
    </row>
    <row r="14521" spans="13:13">
      <c r="M14521" s="202"/>
    </row>
    <row r="14522" spans="13:13">
      <c r="M14522" s="202"/>
    </row>
    <row r="14523" spans="13:13">
      <c r="M14523" s="202"/>
    </row>
    <row r="14524" spans="13:13">
      <c r="M14524" s="202"/>
    </row>
    <row r="14525" spans="13:13">
      <c r="M14525" s="202"/>
    </row>
    <row r="14526" spans="13:13">
      <c r="M14526" s="202"/>
    </row>
    <row r="14527" spans="13:13">
      <c r="M14527" s="202"/>
    </row>
    <row r="14528" spans="13:13">
      <c r="M14528" s="202"/>
    </row>
    <row r="14529" spans="13:13">
      <c r="M14529" s="202"/>
    </row>
    <row r="14530" spans="13:13">
      <c r="M14530" s="202"/>
    </row>
    <row r="14531" spans="13:13">
      <c r="M14531" s="202"/>
    </row>
    <row r="14532" spans="13:13">
      <c r="M14532" s="202"/>
    </row>
    <row r="14533" spans="13:13">
      <c r="M14533" s="202"/>
    </row>
    <row r="14534" spans="13:13">
      <c r="M14534" s="202"/>
    </row>
    <row r="14535" spans="13:13">
      <c r="M14535" s="202"/>
    </row>
    <row r="14536" spans="13:13">
      <c r="M14536" s="202"/>
    </row>
    <row r="14537" spans="13:13">
      <c r="M14537" s="202"/>
    </row>
    <row r="14538" spans="13:13">
      <c r="M14538" s="202"/>
    </row>
    <row r="14539" spans="13:13">
      <c r="M14539" s="202"/>
    </row>
    <row r="14540" spans="13:13">
      <c r="M14540" s="202"/>
    </row>
    <row r="14541" spans="13:13">
      <c r="M14541" s="202"/>
    </row>
    <row r="14542" spans="13:13">
      <c r="M14542" s="202"/>
    </row>
    <row r="14543" spans="13:13">
      <c r="M14543" s="202"/>
    </row>
    <row r="14544" spans="13:13">
      <c r="M14544" s="202"/>
    </row>
    <row r="14545" spans="13:13">
      <c r="M14545" s="202"/>
    </row>
    <row r="14546" spans="13:13">
      <c r="M14546" s="202"/>
    </row>
    <row r="14547" spans="13:13">
      <c r="M14547" s="202"/>
    </row>
    <row r="14548" spans="13:13">
      <c r="M14548" s="202"/>
    </row>
    <row r="14549" spans="13:13">
      <c r="M14549" s="202"/>
    </row>
    <row r="14550" spans="13:13">
      <c r="M14550" s="202"/>
    </row>
    <row r="14551" spans="13:13">
      <c r="M14551" s="202"/>
    </row>
    <row r="14552" spans="13:13">
      <c r="M14552" s="202"/>
    </row>
    <row r="14553" spans="13:13">
      <c r="M14553" s="202"/>
    </row>
    <row r="14554" spans="13:13">
      <c r="M14554" s="202"/>
    </row>
    <row r="14555" spans="13:13">
      <c r="M14555" s="202"/>
    </row>
    <row r="14556" spans="13:13">
      <c r="M14556" s="202"/>
    </row>
    <row r="14557" spans="13:13">
      <c r="M14557" s="202"/>
    </row>
    <row r="14558" spans="13:13">
      <c r="M14558" s="202"/>
    </row>
    <row r="14559" spans="13:13">
      <c r="M14559" s="202"/>
    </row>
    <row r="14560" spans="13:13">
      <c r="M14560" s="202"/>
    </row>
    <row r="14561" spans="13:13">
      <c r="M14561" s="202"/>
    </row>
    <row r="14562" spans="13:13">
      <c r="M14562" s="202"/>
    </row>
    <row r="14563" spans="13:13">
      <c r="M14563" s="202"/>
    </row>
    <row r="14564" spans="13:13">
      <c r="M14564" s="202"/>
    </row>
    <row r="14565" spans="13:13">
      <c r="M14565" s="202"/>
    </row>
    <row r="14566" spans="13:13">
      <c r="M14566" s="202"/>
    </row>
    <row r="14567" spans="13:13">
      <c r="M14567" s="202"/>
    </row>
    <row r="14568" spans="13:13">
      <c r="M14568" s="202"/>
    </row>
    <row r="14569" spans="13:13">
      <c r="M14569" s="202"/>
    </row>
    <row r="14570" spans="13:13">
      <c r="M14570" s="202"/>
    </row>
    <row r="14571" spans="13:13">
      <c r="M14571" s="202"/>
    </row>
    <row r="14572" spans="13:13">
      <c r="M14572" s="202"/>
    </row>
    <row r="14573" spans="13:13">
      <c r="M14573" s="202"/>
    </row>
    <row r="14574" spans="13:13">
      <c r="M14574" s="202"/>
    </row>
    <row r="14575" spans="13:13">
      <c r="M14575" s="202"/>
    </row>
    <row r="14576" spans="13:13">
      <c r="M14576" s="202"/>
    </row>
    <row r="14577" spans="13:13">
      <c r="M14577" s="202"/>
    </row>
    <row r="14578" spans="13:13">
      <c r="M14578" s="202"/>
    </row>
    <row r="14579" spans="13:13">
      <c r="M14579" s="202"/>
    </row>
    <row r="14580" spans="13:13">
      <c r="M14580" s="202"/>
    </row>
    <row r="14581" spans="13:13">
      <c r="M14581" s="202"/>
    </row>
    <row r="14582" spans="13:13">
      <c r="M14582" s="202"/>
    </row>
    <row r="14583" spans="13:13">
      <c r="M14583" s="202"/>
    </row>
    <row r="14584" spans="13:13">
      <c r="M14584" s="202"/>
    </row>
    <row r="14585" spans="13:13">
      <c r="M14585" s="202"/>
    </row>
    <row r="14586" spans="13:13">
      <c r="M14586" s="202"/>
    </row>
    <row r="14587" spans="13:13">
      <c r="M14587" s="202"/>
    </row>
    <row r="14588" spans="13:13">
      <c r="M14588" s="202"/>
    </row>
    <row r="14589" spans="13:13">
      <c r="M14589" s="202"/>
    </row>
    <row r="14590" spans="13:13">
      <c r="M14590" s="202"/>
    </row>
    <row r="14591" spans="13:13">
      <c r="M14591" s="202"/>
    </row>
    <row r="14592" spans="13:13">
      <c r="M14592" s="202"/>
    </row>
    <row r="14593" spans="13:13">
      <c r="M14593" s="202"/>
    </row>
    <row r="14594" spans="13:13">
      <c r="M14594" s="202"/>
    </row>
    <row r="14595" spans="13:13">
      <c r="M14595" s="202"/>
    </row>
    <row r="14596" spans="13:13">
      <c r="M14596" s="202"/>
    </row>
    <row r="14597" spans="13:13">
      <c r="M14597" s="202"/>
    </row>
    <row r="14598" spans="13:13">
      <c r="M14598" s="202"/>
    </row>
    <row r="14599" spans="13:13">
      <c r="M14599" s="202"/>
    </row>
    <row r="14600" spans="13:13">
      <c r="M14600" s="202"/>
    </row>
    <row r="14601" spans="13:13">
      <c r="M14601" s="202"/>
    </row>
    <row r="14602" spans="13:13">
      <c r="M14602" s="202"/>
    </row>
    <row r="14603" spans="13:13">
      <c r="M14603" s="202"/>
    </row>
    <row r="14604" spans="13:13">
      <c r="M14604" s="202"/>
    </row>
    <row r="14605" spans="13:13">
      <c r="M14605" s="202"/>
    </row>
    <row r="14606" spans="13:13">
      <c r="M14606" s="202"/>
    </row>
    <row r="14607" spans="13:13">
      <c r="M14607" s="202"/>
    </row>
    <row r="14608" spans="13:13">
      <c r="M14608" s="202"/>
    </row>
    <row r="14609" spans="13:13">
      <c r="M14609" s="202"/>
    </row>
    <row r="14610" spans="13:13">
      <c r="M14610" s="202"/>
    </row>
    <row r="14611" spans="13:13">
      <c r="M14611" s="202"/>
    </row>
    <row r="14612" spans="13:13">
      <c r="M14612" s="202"/>
    </row>
    <row r="14613" spans="13:13">
      <c r="M14613" s="202"/>
    </row>
    <row r="14614" spans="13:13">
      <c r="M14614" s="202"/>
    </row>
    <row r="14615" spans="13:13">
      <c r="M14615" s="202"/>
    </row>
    <row r="14616" spans="13:13">
      <c r="M14616" s="202"/>
    </row>
    <row r="14617" spans="13:13">
      <c r="M14617" s="202"/>
    </row>
    <row r="14618" spans="13:13">
      <c r="M14618" s="202"/>
    </row>
    <row r="14619" spans="13:13">
      <c r="M14619" s="202"/>
    </row>
    <row r="14620" spans="13:13">
      <c r="M14620" s="202"/>
    </row>
    <row r="14621" spans="13:13">
      <c r="M14621" s="202"/>
    </row>
    <row r="14622" spans="13:13">
      <c r="M14622" s="202"/>
    </row>
    <row r="14623" spans="13:13">
      <c r="M14623" s="202"/>
    </row>
    <row r="14624" spans="13:13">
      <c r="M14624" s="202"/>
    </row>
    <row r="14625" spans="13:13">
      <c r="M14625" s="202"/>
    </row>
    <row r="14626" spans="13:13">
      <c r="M14626" s="202"/>
    </row>
    <row r="14627" spans="13:13">
      <c r="M14627" s="202"/>
    </row>
    <row r="14628" spans="13:13">
      <c r="M14628" s="202"/>
    </row>
    <row r="14629" spans="13:13">
      <c r="M14629" s="202"/>
    </row>
    <row r="14630" spans="13:13">
      <c r="M14630" s="202"/>
    </row>
    <row r="14631" spans="13:13">
      <c r="M14631" s="202"/>
    </row>
    <row r="14632" spans="13:13">
      <c r="M14632" s="202"/>
    </row>
    <row r="14633" spans="13:13">
      <c r="M14633" s="202"/>
    </row>
    <row r="14634" spans="13:13">
      <c r="M14634" s="202"/>
    </row>
    <row r="14635" spans="13:13">
      <c r="M14635" s="202"/>
    </row>
    <row r="14636" spans="13:13">
      <c r="M14636" s="202"/>
    </row>
    <row r="14637" spans="13:13">
      <c r="M14637" s="202"/>
    </row>
    <row r="14638" spans="13:13">
      <c r="M14638" s="202"/>
    </row>
    <row r="14639" spans="13:13">
      <c r="M14639" s="202"/>
    </row>
    <row r="14640" spans="13:13">
      <c r="M14640" s="202"/>
    </row>
    <row r="14641" spans="13:13">
      <c r="M14641" s="202"/>
    </row>
    <row r="14642" spans="13:13">
      <c r="M14642" s="202"/>
    </row>
    <row r="14643" spans="13:13">
      <c r="M14643" s="202"/>
    </row>
    <row r="14644" spans="13:13">
      <c r="M14644" s="202"/>
    </row>
    <row r="14645" spans="13:13">
      <c r="M14645" s="202"/>
    </row>
    <row r="14646" spans="13:13">
      <c r="M14646" s="202"/>
    </row>
    <row r="14647" spans="13:13">
      <c r="M14647" s="202"/>
    </row>
    <row r="14648" spans="13:13">
      <c r="M14648" s="202"/>
    </row>
    <row r="14649" spans="13:13">
      <c r="M14649" s="202"/>
    </row>
    <row r="14650" spans="13:13">
      <c r="M14650" s="202"/>
    </row>
    <row r="14651" spans="13:13">
      <c r="M14651" s="202"/>
    </row>
    <row r="14652" spans="13:13">
      <c r="M14652" s="202"/>
    </row>
    <row r="14653" spans="13:13">
      <c r="M14653" s="202"/>
    </row>
    <row r="14654" spans="13:13">
      <c r="M14654" s="202"/>
    </row>
    <row r="14655" spans="13:13">
      <c r="M14655" s="202"/>
    </row>
    <row r="14656" spans="13:13">
      <c r="M14656" s="202"/>
    </row>
    <row r="14657" spans="13:13">
      <c r="M14657" s="202"/>
    </row>
    <row r="14658" spans="13:13">
      <c r="M14658" s="202"/>
    </row>
    <row r="14659" spans="13:13">
      <c r="M14659" s="202"/>
    </row>
    <row r="14660" spans="13:13">
      <c r="M14660" s="202"/>
    </row>
    <row r="14661" spans="13:13">
      <c r="M14661" s="202"/>
    </row>
    <row r="14662" spans="13:13">
      <c r="M14662" s="202"/>
    </row>
    <row r="14663" spans="13:13">
      <c r="M14663" s="202"/>
    </row>
    <row r="14664" spans="13:13">
      <c r="M14664" s="202"/>
    </row>
    <row r="14665" spans="13:13">
      <c r="M14665" s="202"/>
    </row>
    <row r="14666" spans="13:13">
      <c r="M14666" s="202"/>
    </row>
    <row r="14667" spans="13:13">
      <c r="M14667" s="202"/>
    </row>
    <row r="14668" spans="13:13">
      <c r="M14668" s="202"/>
    </row>
    <row r="14669" spans="13:13">
      <c r="M14669" s="202"/>
    </row>
    <row r="14670" spans="13:13">
      <c r="M14670" s="202"/>
    </row>
    <row r="14671" spans="13:13">
      <c r="M14671" s="202"/>
    </row>
    <row r="14672" spans="13:13">
      <c r="M14672" s="202"/>
    </row>
    <row r="14673" spans="13:13">
      <c r="M14673" s="202"/>
    </row>
    <row r="14674" spans="13:13">
      <c r="M14674" s="202"/>
    </row>
    <row r="14675" spans="13:13">
      <c r="M14675" s="202"/>
    </row>
    <row r="14676" spans="13:13">
      <c r="M14676" s="202"/>
    </row>
    <row r="14677" spans="13:13">
      <c r="M14677" s="202"/>
    </row>
    <row r="14678" spans="13:13">
      <c r="M14678" s="202"/>
    </row>
    <row r="14679" spans="13:13">
      <c r="M14679" s="202"/>
    </row>
    <row r="14680" spans="13:13">
      <c r="M14680" s="202"/>
    </row>
    <row r="14681" spans="13:13">
      <c r="M14681" s="202"/>
    </row>
    <row r="14682" spans="13:13">
      <c r="M14682" s="202"/>
    </row>
    <row r="14683" spans="13:13">
      <c r="M14683" s="202"/>
    </row>
    <row r="14684" spans="13:13">
      <c r="M14684" s="202"/>
    </row>
    <row r="14685" spans="13:13">
      <c r="M14685" s="202"/>
    </row>
    <row r="14686" spans="13:13">
      <c r="M14686" s="202"/>
    </row>
    <row r="14687" spans="13:13">
      <c r="M14687" s="202"/>
    </row>
    <row r="14688" spans="13:13">
      <c r="M14688" s="202"/>
    </row>
    <row r="14689" spans="13:13">
      <c r="M14689" s="202"/>
    </row>
    <row r="14690" spans="13:13">
      <c r="M14690" s="202"/>
    </row>
    <row r="14691" spans="13:13">
      <c r="M14691" s="202"/>
    </row>
    <row r="14692" spans="13:13">
      <c r="M14692" s="202"/>
    </row>
    <row r="14693" spans="13:13">
      <c r="M14693" s="202"/>
    </row>
    <row r="14694" spans="13:13">
      <c r="M14694" s="202"/>
    </row>
    <row r="14695" spans="13:13">
      <c r="M14695" s="202"/>
    </row>
    <row r="14696" spans="13:13">
      <c r="M14696" s="202"/>
    </row>
    <row r="14697" spans="13:13">
      <c r="M14697" s="202"/>
    </row>
    <row r="14698" spans="13:13">
      <c r="M14698" s="202"/>
    </row>
    <row r="14699" spans="13:13">
      <c r="M14699" s="202"/>
    </row>
    <row r="14700" spans="13:13">
      <c r="M14700" s="202"/>
    </row>
    <row r="14701" spans="13:13">
      <c r="M14701" s="202"/>
    </row>
    <row r="14702" spans="13:13">
      <c r="M14702" s="202"/>
    </row>
    <row r="14703" spans="13:13">
      <c r="M14703" s="202"/>
    </row>
    <row r="14704" spans="13:13">
      <c r="M14704" s="202"/>
    </row>
    <row r="14705" spans="13:13">
      <c r="M14705" s="202"/>
    </row>
    <row r="14706" spans="13:13">
      <c r="M14706" s="202"/>
    </row>
    <row r="14707" spans="13:13">
      <c r="M14707" s="202"/>
    </row>
    <row r="14708" spans="13:13">
      <c r="M14708" s="202"/>
    </row>
    <row r="14709" spans="13:13">
      <c r="M14709" s="202"/>
    </row>
    <row r="14710" spans="13:13">
      <c r="M14710" s="202"/>
    </row>
    <row r="14711" spans="13:13">
      <c r="M14711" s="202"/>
    </row>
    <row r="14712" spans="13:13">
      <c r="M14712" s="202"/>
    </row>
    <row r="14713" spans="13:13">
      <c r="M14713" s="202"/>
    </row>
    <row r="14714" spans="13:13">
      <c r="M14714" s="202"/>
    </row>
    <row r="14715" spans="13:13">
      <c r="M14715" s="202"/>
    </row>
    <row r="14716" spans="13:13">
      <c r="M14716" s="202"/>
    </row>
    <row r="14717" spans="13:13">
      <c r="M14717" s="202"/>
    </row>
    <row r="14718" spans="13:13">
      <c r="M14718" s="202"/>
    </row>
    <row r="14719" spans="13:13">
      <c r="M14719" s="202"/>
    </row>
    <row r="14720" spans="13:13">
      <c r="M14720" s="202"/>
    </row>
    <row r="14721" spans="13:13">
      <c r="M14721" s="202"/>
    </row>
    <row r="14722" spans="13:13">
      <c r="M14722" s="202"/>
    </row>
    <row r="14723" spans="13:13">
      <c r="M14723" s="202"/>
    </row>
    <row r="14724" spans="13:13">
      <c r="M14724" s="202"/>
    </row>
    <row r="14725" spans="13:13">
      <c r="M14725" s="202"/>
    </row>
    <row r="14726" spans="13:13">
      <c r="M14726" s="202"/>
    </row>
    <row r="14727" spans="13:13">
      <c r="M14727" s="202"/>
    </row>
    <row r="14728" spans="13:13">
      <c r="M14728" s="202"/>
    </row>
    <row r="14729" spans="13:13">
      <c r="M14729" s="202"/>
    </row>
    <row r="14730" spans="13:13">
      <c r="M14730" s="202"/>
    </row>
    <row r="14731" spans="13:13">
      <c r="M14731" s="202"/>
    </row>
    <row r="14732" spans="13:13">
      <c r="M14732" s="202"/>
    </row>
    <row r="14733" spans="13:13">
      <c r="M14733" s="202"/>
    </row>
    <row r="14734" spans="13:13">
      <c r="M14734" s="202"/>
    </row>
    <row r="14735" spans="13:13">
      <c r="M14735" s="202"/>
    </row>
    <row r="14736" spans="13:13">
      <c r="M14736" s="202"/>
    </row>
    <row r="14737" spans="13:13">
      <c r="M14737" s="202"/>
    </row>
    <row r="14738" spans="13:13">
      <c r="M14738" s="202"/>
    </row>
    <row r="14739" spans="13:13">
      <c r="M14739" s="202"/>
    </row>
    <row r="14740" spans="13:13">
      <c r="M14740" s="202"/>
    </row>
    <row r="14741" spans="13:13">
      <c r="M14741" s="202"/>
    </row>
    <row r="14742" spans="13:13">
      <c r="M14742" s="202"/>
    </row>
    <row r="14743" spans="13:13">
      <c r="M14743" s="202"/>
    </row>
    <row r="14744" spans="13:13">
      <c r="M14744" s="202"/>
    </row>
    <row r="14745" spans="13:13">
      <c r="M14745" s="202"/>
    </row>
    <row r="14746" spans="13:13">
      <c r="M14746" s="202"/>
    </row>
    <row r="14747" spans="13:13">
      <c r="M14747" s="202"/>
    </row>
    <row r="14748" spans="13:13">
      <c r="M14748" s="202"/>
    </row>
    <row r="14749" spans="13:13">
      <c r="M14749" s="202"/>
    </row>
    <row r="14750" spans="13:13">
      <c r="M14750" s="202"/>
    </row>
    <row r="14751" spans="13:13">
      <c r="M14751" s="202"/>
    </row>
    <row r="14752" spans="13:13">
      <c r="M14752" s="202"/>
    </row>
    <row r="14753" spans="13:13">
      <c r="M14753" s="202"/>
    </row>
    <row r="14754" spans="13:13">
      <c r="M14754" s="202"/>
    </row>
    <row r="14755" spans="13:13">
      <c r="M14755" s="202"/>
    </row>
    <row r="14756" spans="13:13">
      <c r="M14756" s="202"/>
    </row>
    <row r="14757" spans="13:13">
      <c r="M14757" s="202"/>
    </row>
    <row r="14758" spans="13:13">
      <c r="M14758" s="202"/>
    </row>
    <row r="14759" spans="13:13">
      <c r="M14759" s="202"/>
    </row>
    <row r="14760" spans="13:13">
      <c r="M14760" s="202"/>
    </row>
    <row r="14761" spans="13:13">
      <c r="M14761" s="202"/>
    </row>
    <row r="14762" spans="13:13">
      <c r="M14762" s="202"/>
    </row>
    <row r="14763" spans="13:13">
      <c r="M14763" s="202"/>
    </row>
    <row r="14764" spans="13:13">
      <c r="M14764" s="202"/>
    </row>
    <row r="14765" spans="13:13">
      <c r="M14765" s="202"/>
    </row>
    <row r="14766" spans="13:13">
      <c r="M14766" s="202"/>
    </row>
    <row r="14767" spans="13:13">
      <c r="M14767" s="202"/>
    </row>
    <row r="14768" spans="13:13">
      <c r="M14768" s="202"/>
    </row>
    <row r="14769" spans="13:13">
      <c r="M14769" s="202"/>
    </row>
    <row r="14770" spans="13:13">
      <c r="M14770" s="202"/>
    </row>
    <row r="14771" spans="13:13">
      <c r="M14771" s="202"/>
    </row>
    <row r="14772" spans="13:13">
      <c r="M14772" s="202"/>
    </row>
    <row r="14773" spans="13:13">
      <c r="M14773" s="202"/>
    </row>
    <row r="14774" spans="13:13">
      <c r="M14774" s="202"/>
    </row>
    <row r="14775" spans="13:13">
      <c r="M14775" s="202"/>
    </row>
    <row r="14776" spans="13:13">
      <c r="M14776" s="202"/>
    </row>
    <row r="14777" spans="13:13">
      <c r="M14777" s="202"/>
    </row>
    <row r="14778" spans="13:13">
      <c r="M14778" s="202"/>
    </row>
    <row r="14779" spans="13:13">
      <c r="M14779" s="202"/>
    </row>
    <row r="14780" spans="13:13">
      <c r="M14780" s="202"/>
    </row>
    <row r="14781" spans="13:13">
      <c r="M14781" s="202"/>
    </row>
    <row r="14782" spans="13:13">
      <c r="M14782" s="202"/>
    </row>
    <row r="14783" spans="13:13">
      <c r="M14783" s="202"/>
    </row>
    <row r="14784" spans="13:13">
      <c r="M14784" s="202"/>
    </row>
    <row r="14785" spans="13:13">
      <c r="M14785" s="202"/>
    </row>
    <row r="14786" spans="13:13">
      <c r="M14786" s="202"/>
    </row>
    <row r="14787" spans="13:13">
      <c r="M14787" s="202"/>
    </row>
    <row r="14788" spans="13:13">
      <c r="M14788" s="202"/>
    </row>
    <row r="14789" spans="13:13">
      <c r="M14789" s="202"/>
    </row>
    <row r="14790" spans="13:13">
      <c r="M14790" s="202"/>
    </row>
    <row r="14791" spans="13:13">
      <c r="M14791" s="202"/>
    </row>
    <row r="14792" spans="13:13">
      <c r="M14792" s="202"/>
    </row>
    <row r="14793" spans="13:13">
      <c r="M14793" s="202"/>
    </row>
    <row r="14794" spans="13:13">
      <c r="M14794" s="202"/>
    </row>
    <row r="14795" spans="13:13">
      <c r="M14795" s="202"/>
    </row>
    <row r="14796" spans="13:13">
      <c r="M14796" s="202"/>
    </row>
    <row r="14797" spans="13:13">
      <c r="M14797" s="202"/>
    </row>
    <row r="14798" spans="13:13">
      <c r="M14798" s="202"/>
    </row>
    <row r="14799" spans="13:13">
      <c r="M14799" s="202"/>
    </row>
    <row r="14800" spans="13:13">
      <c r="M14800" s="202"/>
    </row>
    <row r="14801" spans="13:13">
      <c r="M14801" s="202"/>
    </row>
    <row r="14802" spans="13:13">
      <c r="M14802" s="202"/>
    </row>
    <row r="14803" spans="13:13">
      <c r="M14803" s="202"/>
    </row>
    <row r="14804" spans="13:13">
      <c r="M14804" s="202"/>
    </row>
    <row r="14805" spans="13:13">
      <c r="M14805" s="202"/>
    </row>
    <row r="14806" spans="13:13">
      <c r="M14806" s="202"/>
    </row>
    <row r="14807" spans="13:13">
      <c r="M14807" s="202"/>
    </row>
    <row r="14808" spans="13:13">
      <c r="M14808" s="202"/>
    </row>
    <row r="14809" spans="13:13">
      <c r="M14809" s="202"/>
    </row>
    <row r="14810" spans="13:13">
      <c r="M14810" s="202"/>
    </row>
    <row r="14811" spans="13:13">
      <c r="M14811" s="202"/>
    </row>
    <row r="14812" spans="13:13">
      <c r="M14812" s="202"/>
    </row>
    <row r="14813" spans="13:13">
      <c r="M14813" s="202"/>
    </row>
    <row r="14814" spans="13:13">
      <c r="M14814" s="202"/>
    </row>
    <row r="14815" spans="13:13">
      <c r="M14815" s="202"/>
    </row>
    <row r="14816" spans="13:13">
      <c r="M14816" s="202"/>
    </row>
    <row r="14817" spans="13:13">
      <c r="M14817" s="202"/>
    </row>
    <row r="14818" spans="13:13">
      <c r="M14818" s="202"/>
    </row>
    <row r="14819" spans="13:13">
      <c r="M14819" s="202"/>
    </row>
    <row r="14820" spans="13:13">
      <c r="M14820" s="202"/>
    </row>
    <row r="14821" spans="13:13">
      <c r="M14821" s="202"/>
    </row>
    <row r="14822" spans="13:13">
      <c r="M14822" s="202"/>
    </row>
    <row r="14823" spans="13:13">
      <c r="M14823" s="202"/>
    </row>
    <row r="14824" spans="13:13">
      <c r="M14824" s="202"/>
    </row>
    <row r="14825" spans="13:13">
      <c r="M14825" s="202"/>
    </row>
    <row r="14826" spans="13:13">
      <c r="M14826" s="202"/>
    </row>
    <row r="14827" spans="13:13">
      <c r="M14827" s="202"/>
    </row>
    <row r="14828" spans="13:13">
      <c r="M14828" s="202"/>
    </row>
    <row r="14829" spans="13:13">
      <c r="M14829" s="202"/>
    </row>
    <row r="14830" spans="13:13">
      <c r="M14830" s="202"/>
    </row>
    <row r="14831" spans="13:13">
      <c r="M14831" s="202"/>
    </row>
    <row r="14832" spans="13:13">
      <c r="M14832" s="202"/>
    </row>
    <row r="14833" spans="13:13">
      <c r="M14833" s="202"/>
    </row>
    <row r="14834" spans="13:13">
      <c r="M14834" s="202"/>
    </row>
    <row r="14835" spans="13:13">
      <c r="M14835" s="202"/>
    </row>
    <row r="14836" spans="13:13">
      <c r="M14836" s="202"/>
    </row>
    <row r="14837" spans="13:13">
      <c r="M14837" s="202"/>
    </row>
    <row r="14838" spans="13:13">
      <c r="M14838" s="202"/>
    </row>
    <row r="14839" spans="13:13">
      <c r="M14839" s="202"/>
    </row>
    <row r="14840" spans="13:13">
      <c r="M14840" s="202"/>
    </row>
    <row r="14841" spans="13:13">
      <c r="M14841" s="202"/>
    </row>
    <row r="14842" spans="13:13">
      <c r="M14842" s="202"/>
    </row>
    <row r="14843" spans="13:13">
      <c r="M14843" s="202"/>
    </row>
    <row r="14844" spans="13:13">
      <c r="M14844" s="202"/>
    </row>
    <row r="14845" spans="13:13">
      <c r="M14845" s="202"/>
    </row>
    <row r="14846" spans="13:13">
      <c r="M14846" s="202"/>
    </row>
    <row r="14847" spans="13:13">
      <c r="M14847" s="202"/>
    </row>
    <row r="14848" spans="13:13">
      <c r="M14848" s="202"/>
    </row>
    <row r="14849" spans="13:13">
      <c r="M14849" s="202"/>
    </row>
    <row r="14850" spans="13:13">
      <c r="M14850" s="202"/>
    </row>
    <row r="14851" spans="13:13">
      <c r="M14851" s="202"/>
    </row>
    <row r="14852" spans="13:13">
      <c r="M14852" s="202"/>
    </row>
    <row r="14853" spans="13:13">
      <c r="M14853" s="202"/>
    </row>
    <row r="14854" spans="13:13">
      <c r="M14854" s="202"/>
    </row>
    <row r="14855" spans="13:13">
      <c r="M14855" s="202"/>
    </row>
    <row r="14856" spans="13:13">
      <c r="M14856" s="202"/>
    </row>
    <row r="14857" spans="13:13">
      <c r="M14857" s="202"/>
    </row>
    <row r="14858" spans="13:13">
      <c r="M14858" s="202"/>
    </row>
    <row r="14859" spans="13:13">
      <c r="M14859" s="202"/>
    </row>
    <row r="14860" spans="13:13">
      <c r="M14860" s="202"/>
    </row>
    <row r="14861" spans="13:13">
      <c r="M14861" s="202"/>
    </row>
    <row r="14862" spans="13:13">
      <c r="M14862" s="202"/>
    </row>
    <row r="14863" spans="13:13">
      <c r="M14863" s="202"/>
    </row>
    <row r="14864" spans="13:13">
      <c r="M14864" s="202"/>
    </row>
    <row r="14865" spans="13:13">
      <c r="M14865" s="202"/>
    </row>
    <row r="14866" spans="13:13">
      <c r="M14866" s="202"/>
    </row>
    <row r="14867" spans="13:13">
      <c r="M14867" s="202"/>
    </row>
    <row r="14868" spans="13:13">
      <c r="M14868" s="202"/>
    </row>
    <row r="14869" spans="13:13">
      <c r="M14869" s="202"/>
    </row>
    <row r="14870" spans="13:13">
      <c r="M14870" s="202"/>
    </row>
    <row r="14871" spans="13:13">
      <c r="M14871" s="202"/>
    </row>
    <row r="14872" spans="13:13">
      <c r="M14872" s="202"/>
    </row>
    <row r="14873" spans="13:13">
      <c r="M14873" s="202"/>
    </row>
    <row r="14874" spans="13:13">
      <c r="M14874" s="202"/>
    </row>
    <row r="14875" spans="13:13">
      <c r="M14875" s="202"/>
    </row>
    <row r="14876" spans="13:13">
      <c r="M14876" s="202"/>
    </row>
    <row r="14877" spans="13:13">
      <c r="M14877" s="202"/>
    </row>
    <row r="14878" spans="13:13">
      <c r="M14878" s="202"/>
    </row>
    <row r="14879" spans="13:13">
      <c r="M14879" s="202"/>
    </row>
    <row r="14880" spans="13:13">
      <c r="M14880" s="202"/>
    </row>
    <row r="14881" spans="13:13">
      <c r="M14881" s="202"/>
    </row>
    <row r="14882" spans="13:13">
      <c r="M14882" s="202"/>
    </row>
    <row r="14883" spans="13:13">
      <c r="M14883" s="202"/>
    </row>
    <row r="14884" spans="13:13">
      <c r="M14884" s="202"/>
    </row>
    <row r="14885" spans="13:13">
      <c r="M14885" s="202"/>
    </row>
    <row r="14886" spans="13:13">
      <c r="M14886" s="202"/>
    </row>
    <row r="14887" spans="13:13">
      <c r="M14887" s="202"/>
    </row>
    <row r="14888" spans="13:13">
      <c r="M14888" s="202"/>
    </row>
    <row r="14889" spans="13:13">
      <c r="M14889" s="202"/>
    </row>
    <row r="14890" spans="13:13">
      <c r="M14890" s="202"/>
    </row>
    <row r="14891" spans="13:13">
      <c r="M14891" s="202"/>
    </row>
    <row r="14892" spans="13:13">
      <c r="M14892" s="202"/>
    </row>
    <row r="14893" spans="13:13">
      <c r="M14893" s="202"/>
    </row>
    <row r="14894" spans="13:13">
      <c r="M14894" s="202"/>
    </row>
    <row r="14895" spans="13:13">
      <c r="M14895" s="202"/>
    </row>
    <row r="14896" spans="13:13">
      <c r="M14896" s="202"/>
    </row>
    <row r="14897" spans="13:13">
      <c r="M14897" s="202"/>
    </row>
    <row r="14898" spans="13:13">
      <c r="M14898" s="202"/>
    </row>
    <row r="14899" spans="13:13">
      <c r="M14899" s="202"/>
    </row>
    <row r="14900" spans="13:13">
      <c r="M14900" s="202"/>
    </row>
    <row r="14901" spans="13:13">
      <c r="M14901" s="202"/>
    </row>
    <row r="14902" spans="13:13">
      <c r="M14902" s="202"/>
    </row>
    <row r="14903" spans="13:13">
      <c r="M14903" s="202"/>
    </row>
    <row r="14904" spans="13:13">
      <c r="M14904" s="202"/>
    </row>
    <row r="14905" spans="13:13">
      <c r="M14905" s="202"/>
    </row>
    <row r="14906" spans="13:13">
      <c r="M14906" s="202"/>
    </row>
    <row r="14907" spans="13:13">
      <c r="M14907" s="202"/>
    </row>
    <row r="14908" spans="13:13">
      <c r="M14908" s="202"/>
    </row>
    <row r="14909" spans="13:13">
      <c r="M14909" s="202"/>
    </row>
    <row r="14910" spans="13:13">
      <c r="M14910" s="202"/>
    </row>
    <row r="14911" spans="13:13">
      <c r="M14911" s="202"/>
    </row>
    <row r="14912" spans="13:13">
      <c r="M14912" s="202"/>
    </row>
    <row r="14913" spans="13:13">
      <c r="M14913" s="202"/>
    </row>
    <row r="14914" spans="13:13">
      <c r="M14914" s="202"/>
    </row>
    <row r="14915" spans="13:13">
      <c r="M14915" s="202"/>
    </row>
    <row r="14916" spans="13:13">
      <c r="M14916" s="202"/>
    </row>
    <row r="14917" spans="13:13">
      <c r="M14917" s="202"/>
    </row>
    <row r="14918" spans="13:13">
      <c r="M14918" s="202"/>
    </row>
    <row r="14919" spans="13:13">
      <c r="M14919" s="202"/>
    </row>
    <row r="14920" spans="13:13">
      <c r="M14920" s="202"/>
    </row>
    <row r="14921" spans="13:13">
      <c r="M14921" s="202"/>
    </row>
    <row r="14922" spans="13:13">
      <c r="M14922" s="202"/>
    </row>
    <row r="14923" spans="13:13">
      <c r="M14923" s="202"/>
    </row>
    <row r="14924" spans="13:13">
      <c r="M14924" s="202"/>
    </row>
    <row r="14925" spans="13:13">
      <c r="M14925" s="202"/>
    </row>
    <row r="14926" spans="13:13">
      <c r="M14926" s="202"/>
    </row>
    <row r="14927" spans="13:13">
      <c r="M14927" s="202"/>
    </row>
    <row r="14928" spans="13:13">
      <c r="M14928" s="202"/>
    </row>
    <row r="14929" spans="13:13">
      <c r="M14929" s="202"/>
    </row>
    <row r="14930" spans="13:13">
      <c r="M14930" s="202"/>
    </row>
    <row r="14931" spans="13:13">
      <c r="M14931" s="202"/>
    </row>
    <row r="14932" spans="13:13">
      <c r="M14932" s="202"/>
    </row>
    <row r="14933" spans="13:13">
      <c r="M14933" s="202"/>
    </row>
    <row r="14934" spans="13:13">
      <c r="M14934" s="202"/>
    </row>
    <row r="14935" spans="13:13">
      <c r="M14935" s="202"/>
    </row>
    <row r="14936" spans="13:13">
      <c r="M14936" s="202"/>
    </row>
    <row r="14937" spans="13:13">
      <c r="M14937" s="202"/>
    </row>
    <row r="14938" spans="13:13">
      <c r="M14938" s="202"/>
    </row>
    <row r="14939" spans="13:13">
      <c r="M14939" s="202"/>
    </row>
    <row r="14940" spans="13:13">
      <c r="M14940" s="202"/>
    </row>
    <row r="14941" spans="13:13">
      <c r="M14941" s="202"/>
    </row>
    <row r="14942" spans="13:13">
      <c r="M14942" s="202"/>
    </row>
    <row r="14943" spans="13:13">
      <c r="M14943" s="202"/>
    </row>
    <row r="14944" spans="13:13">
      <c r="M14944" s="202"/>
    </row>
    <row r="14945" spans="13:13">
      <c r="M14945" s="202"/>
    </row>
    <row r="14946" spans="13:13">
      <c r="M14946" s="202"/>
    </row>
    <row r="14947" spans="13:13">
      <c r="M14947" s="202"/>
    </row>
    <row r="14948" spans="13:13">
      <c r="M14948" s="202"/>
    </row>
    <row r="14949" spans="13:13">
      <c r="M14949" s="202"/>
    </row>
    <row r="14950" spans="13:13">
      <c r="M14950" s="202"/>
    </row>
    <row r="14951" spans="13:13">
      <c r="M14951" s="202"/>
    </row>
    <row r="14952" spans="13:13">
      <c r="M14952" s="202"/>
    </row>
    <row r="14953" spans="13:13">
      <c r="M14953" s="202"/>
    </row>
    <row r="14954" spans="13:13">
      <c r="M14954" s="202"/>
    </row>
    <row r="14955" spans="13:13">
      <c r="M14955" s="202"/>
    </row>
    <row r="14956" spans="13:13">
      <c r="M14956" s="202"/>
    </row>
    <row r="14957" spans="13:13">
      <c r="M14957" s="202"/>
    </row>
    <row r="14958" spans="13:13">
      <c r="M14958" s="202"/>
    </row>
    <row r="14959" spans="13:13">
      <c r="M14959" s="202"/>
    </row>
    <row r="14960" spans="13:13">
      <c r="M14960" s="202"/>
    </row>
    <row r="14961" spans="13:13">
      <c r="M14961" s="202"/>
    </row>
    <row r="14962" spans="13:13">
      <c r="M14962" s="202"/>
    </row>
    <row r="14963" spans="13:13">
      <c r="M14963" s="202"/>
    </row>
    <row r="14964" spans="13:13">
      <c r="M14964" s="202"/>
    </row>
    <row r="14965" spans="13:13">
      <c r="M14965" s="202"/>
    </row>
    <row r="14966" spans="13:13">
      <c r="M14966" s="202"/>
    </row>
    <row r="14967" spans="13:13">
      <c r="M14967" s="202"/>
    </row>
    <row r="14968" spans="13:13">
      <c r="M14968" s="202"/>
    </row>
    <row r="14969" spans="13:13">
      <c r="M14969" s="202"/>
    </row>
    <row r="14970" spans="13:13">
      <c r="M14970" s="202"/>
    </row>
    <row r="14971" spans="13:13">
      <c r="M14971" s="202"/>
    </row>
    <row r="14972" spans="13:13">
      <c r="M14972" s="202"/>
    </row>
    <row r="14973" spans="13:13">
      <c r="M14973" s="202"/>
    </row>
    <row r="14974" spans="13:13">
      <c r="M14974" s="202"/>
    </row>
    <row r="14975" spans="13:13">
      <c r="M14975" s="202"/>
    </row>
    <row r="14976" spans="13:13">
      <c r="M14976" s="202"/>
    </row>
    <row r="14977" spans="13:13">
      <c r="M14977" s="202"/>
    </row>
    <row r="14978" spans="13:13">
      <c r="M14978" s="202"/>
    </row>
    <row r="14979" spans="13:13">
      <c r="M14979" s="202"/>
    </row>
    <row r="14980" spans="13:13">
      <c r="M14980" s="202"/>
    </row>
    <row r="14981" spans="13:13">
      <c r="M14981" s="202"/>
    </row>
    <row r="14982" spans="13:13">
      <c r="M14982" s="202"/>
    </row>
    <row r="14983" spans="13:13">
      <c r="M14983" s="202"/>
    </row>
    <row r="14984" spans="13:13">
      <c r="M14984" s="202"/>
    </row>
    <row r="14985" spans="13:13">
      <c r="M14985" s="202"/>
    </row>
    <row r="14986" spans="13:13">
      <c r="M14986" s="202"/>
    </row>
    <row r="14987" spans="13:13">
      <c r="M14987" s="202"/>
    </row>
    <row r="14988" spans="13:13">
      <c r="M14988" s="202"/>
    </row>
    <row r="14989" spans="13:13">
      <c r="M14989" s="202"/>
    </row>
    <row r="14990" spans="13:13">
      <c r="M14990" s="202"/>
    </row>
    <row r="14991" spans="13:13">
      <c r="M14991" s="202"/>
    </row>
    <row r="14992" spans="13:13">
      <c r="M14992" s="202"/>
    </row>
    <row r="14993" spans="13:13">
      <c r="M14993" s="202"/>
    </row>
    <row r="14994" spans="13:13">
      <c r="M14994" s="202"/>
    </row>
    <row r="14995" spans="13:13">
      <c r="M14995" s="202"/>
    </row>
    <row r="14996" spans="13:13">
      <c r="M14996" s="202"/>
    </row>
    <row r="14997" spans="13:13">
      <c r="M14997" s="202"/>
    </row>
    <row r="14998" spans="13:13">
      <c r="M14998" s="202"/>
    </row>
    <row r="14999" spans="13:13">
      <c r="M14999" s="202"/>
    </row>
    <row r="15000" spans="13:13">
      <c r="M15000" s="202"/>
    </row>
    <row r="15001" spans="13:13">
      <c r="M15001" s="202"/>
    </row>
    <row r="15002" spans="13:13">
      <c r="M15002" s="202"/>
    </row>
    <row r="15003" spans="13:13">
      <c r="M15003" s="202"/>
    </row>
    <row r="15004" spans="13:13">
      <c r="M15004" s="202"/>
    </row>
    <row r="15005" spans="13:13">
      <c r="M15005" s="202"/>
    </row>
    <row r="15006" spans="13:13">
      <c r="M15006" s="202"/>
    </row>
    <row r="15007" spans="13:13">
      <c r="M15007" s="202"/>
    </row>
    <row r="15008" spans="13:13">
      <c r="M15008" s="202"/>
    </row>
    <row r="15009" spans="13:13">
      <c r="M15009" s="202"/>
    </row>
    <row r="15010" spans="13:13">
      <c r="M15010" s="202"/>
    </row>
    <row r="15011" spans="13:13">
      <c r="M15011" s="202"/>
    </row>
    <row r="15012" spans="13:13">
      <c r="M15012" s="202"/>
    </row>
    <row r="15013" spans="13:13">
      <c r="M15013" s="202"/>
    </row>
    <row r="15014" spans="13:13">
      <c r="M15014" s="202"/>
    </row>
    <row r="15015" spans="13:13">
      <c r="M15015" s="202"/>
    </row>
    <row r="15016" spans="13:13">
      <c r="M15016" s="202"/>
    </row>
    <row r="15017" spans="13:13">
      <c r="M15017" s="202"/>
    </row>
    <row r="15018" spans="13:13">
      <c r="M15018" s="202"/>
    </row>
    <row r="15019" spans="13:13">
      <c r="M15019" s="202"/>
    </row>
    <row r="15020" spans="13:13">
      <c r="M15020" s="202"/>
    </row>
    <row r="15021" spans="13:13">
      <c r="M15021" s="202"/>
    </row>
    <row r="15022" spans="13:13">
      <c r="M15022" s="202"/>
    </row>
    <row r="15023" spans="13:13">
      <c r="M15023" s="202"/>
    </row>
    <row r="15024" spans="13:13">
      <c r="M15024" s="202"/>
    </row>
    <row r="15025" spans="13:13">
      <c r="M15025" s="202"/>
    </row>
    <row r="15026" spans="13:13">
      <c r="M15026" s="202"/>
    </row>
    <row r="15027" spans="13:13">
      <c r="M15027" s="202"/>
    </row>
    <row r="15028" spans="13:13">
      <c r="M15028" s="202"/>
    </row>
    <row r="15029" spans="13:13">
      <c r="M15029" s="202"/>
    </row>
    <row r="15030" spans="13:13">
      <c r="M15030" s="202"/>
    </row>
    <row r="15031" spans="13:13">
      <c r="M15031" s="202"/>
    </row>
    <row r="15032" spans="13:13">
      <c r="M15032" s="202"/>
    </row>
    <row r="15033" spans="13:13">
      <c r="M15033" s="202"/>
    </row>
    <row r="15034" spans="13:13">
      <c r="M15034" s="202"/>
    </row>
    <row r="15035" spans="13:13">
      <c r="M15035" s="202"/>
    </row>
    <row r="15036" spans="13:13">
      <c r="M15036" s="202"/>
    </row>
    <row r="15037" spans="13:13">
      <c r="M15037" s="202"/>
    </row>
    <row r="15038" spans="13:13">
      <c r="M15038" s="202"/>
    </row>
    <row r="15039" spans="13:13">
      <c r="M15039" s="202"/>
    </row>
    <row r="15040" spans="13:13">
      <c r="M15040" s="202"/>
    </row>
    <row r="15041" spans="13:13">
      <c r="M15041" s="202"/>
    </row>
    <row r="15042" spans="13:13">
      <c r="M15042" s="202"/>
    </row>
    <row r="15043" spans="13:13">
      <c r="M15043" s="202"/>
    </row>
    <row r="15044" spans="13:13">
      <c r="M15044" s="202"/>
    </row>
    <row r="15045" spans="13:13">
      <c r="M15045" s="202"/>
    </row>
    <row r="15046" spans="13:13">
      <c r="M15046" s="202"/>
    </row>
    <row r="15047" spans="13:13">
      <c r="M15047" s="202"/>
    </row>
    <row r="15048" spans="13:13">
      <c r="M15048" s="202"/>
    </row>
    <row r="15049" spans="13:13">
      <c r="M15049" s="202"/>
    </row>
    <row r="15050" spans="13:13">
      <c r="M15050" s="202"/>
    </row>
    <row r="15051" spans="13:13">
      <c r="M15051" s="202"/>
    </row>
    <row r="15052" spans="13:13">
      <c r="M15052" s="202"/>
    </row>
    <row r="15053" spans="13:13">
      <c r="M15053" s="202"/>
    </row>
    <row r="15054" spans="13:13">
      <c r="M15054" s="202"/>
    </row>
    <row r="15055" spans="13:13">
      <c r="M15055" s="202"/>
    </row>
    <row r="15056" spans="13:13">
      <c r="M15056" s="202"/>
    </row>
    <row r="15057" spans="13:13">
      <c r="M15057" s="202"/>
    </row>
    <row r="15058" spans="13:13">
      <c r="M15058" s="202"/>
    </row>
    <row r="15059" spans="13:13">
      <c r="M15059" s="202"/>
    </row>
    <row r="15060" spans="13:13">
      <c r="M15060" s="202"/>
    </row>
    <row r="15061" spans="13:13">
      <c r="M15061" s="202"/>
    </row>
    <row r="15062" spans="13:13">
      <c r="M15062" s="202"/>
    </row>
    <row r="15063" spans="13:13">
      <c r="M15063" s="202"/>
    </row>
    <row r="15064" spans="13:13">
      <c r="M15064" s="202"/>
    </row>
    <row r="15065" spans="13:13">
      <c r="M15065" s="202"/>
    </row>
    <row r="15066" spans="13:13">
      <c r="M15066" s="202"/>
    </row>
    <row r="15067" spans="13:13">
      <c r="M15067" s="202"/>
    </row>
    <row r="15068" spans="13:13">
      <c r="M15068" s="202"/>
    </row>
    <row r="15069" spans="13:13">
      <c r="M15069" s="202"/>
    </row>
    <row r="15070" spans="13:13">
      <c r="M15070" s="202"/>
    </row>
    <row r="15071" spans="13:13">
      <c r="M15071" s="202"/>
    </row>
    <row r="15072" spans="13:13">
      <c r="M15072" s="202"/>
    </row>
    <row r="15073" spans="13:13">
      <c r="M15073" s="202"/>
    </row>
    <row r="15074" spans="13:13">
      <c r="M15074" s="202"/>
    </row>
    <row r="15075" spans="13:13">
      <c r="M15075" s="202"/>
    </row>
    <row r="15076" spans="13:13">
      <c r="M15076" s="202"/>
    </row>
    <row r="15077" spans="13:13">
      <c r="M15077" s="202"/>
    </row>
    <row r="15078" spans="13:13">
      <c r="M15078" s="202"/>
    </row>
    <row r="15079" spans="13:13">
      <c r="M15079" s="202"/>
    </row>
    <row r="15080" spans="13:13">
      <c r="M15080" s="202"/>
    </row>
    <row r="15081" spans="13:13">
      <c r="M15081" s="202"/>
    </row>
    <row r="15082" spans="13:13">
      <c r="M15082" s="202"/>
    </row>
    <row r="15083" spans="13:13">
      <c r="M15083" s="202"/>
    </row>
    <row r="15084" spans="13:13">
      <c r="M15084" s="202"/>
    </row>
    <row r="15085" spans="13:13">
      <c r="M15085" s="202"/>
    </row>
    <row r="15086" spans="13:13">
      <c r="M15086" s="202"/>
    </row>
    <row r="15087" spans="13:13">
      <c r="M15087" s="202"/>
    </row>
    <row r="15088" spans="13:13">
      <c r="M15088" s="202"/>
    </row>
    <row r="15089" spans="13:13">
      <c r="M15089" s="202"/>
    </row>
    <row r="15090" spans="13:13">
      <c r="M15090" s="202"/>
    </row>
    <row r="15091" spans="13:13">
      <c r="M15091" s="202"/>
    </row>
    <row r="15092" spans="13:13">
      <c r="M15092" s="202"/>
    </row>
    <row r="15093" spans="13:13">
      <c r="M15093" s="202"/>
    </row>
    <row r="15094" spans="13:13">
      <c r="M15094" s="202"/>
    </row>
    <row r="15095" spans="13:13">
      <c r="M15095" s="202"/>
    </row>
    <row r="15096" spans="13:13">
      <c r="M15096" s="202"/>
    </row>
    <row r="15097" spans="13:13">
      <c r="M15097" s="202"/>
    </row>
    <row r="15098" spans="13:13">
      <c r="M15098" s="202"/>
    </row>
    <row r="15099" spans="13:13">
      <c r="M15099" s="202"/>
    </row>
    <row r="15100" spans="13:13">
      <c r="M15100" s="202"/>
    </row>
    <row r="15101" spans="13:13">
      <c r="M15101" s="202"/>
    </row>
    <row r="15102" spans="13:13">
      <c r="M15102" s="202"/>
    </row>
    <row r="15103" spans="13:13">
      <c r="M15103" s="202"/>
    </row>
    <row r="15104" spans="13:13">
      <c r="M15104" s="202"/>
    </row>
    <row r="15105" spans="13:13">
      <c r="M15105" s="202"/>
    </row>
    <row r="15106" spans="13:13">
      <c r="M15106" s="202"/>
    </row>
    <row r="15107" spans="13:13">
      <c r="M15107" s="202"/>
    </row>
    <row r="15108" spans="13:13">
      <c r="M15108" s="202"/>
    </row>
    <row r="15109" spans="13:13">
      <c r="M15109" s="202"/>
    </row>
    <row r="15110" spans="13:13">
      <c r="M15110" s="202"/>
    </row>
    <row r="15111" spans="13:13">
      <c r="M15111" s="202"/>
    </row>
    <row r="15112" spans="13:13">
      <c r="M15112" s="202"/>
    </row>
    <row r="15113" spans="13:13">
      <c r="M15113" s="202"/>
    </row>
    <row r="15114" spans="13:13">
      <c r="M15114" s="202"/>
    </row>
    <row r="15115" spans="13:13">
      <c r="M15115" s="202"/>
    </row>
    <row r="15116" spans="13:13">
      <c r="M15116" s="202"/>
    </row>
    <row r="15117" spans="13:13">
      <c r="M15117" s="202"/>
    </row>
    <row r="15118" spans="13:13">
      <c r="M15118" s="202"/>
    </row>
    <row r="15119" spans="13:13">
      <c r="M15119" s="202"/>
    </row>
    <row r="15120" spans="13:13">
      <c r="M15120" s="202"/>
    </row>
    <row r="15121" spans="13:13">
      <c r="M15121" s="202"/>
    </row>
    <row r="15122" spans="13:13">
      <c r="M15122" s="202"/>
    </row>
    <row r="15123" spans="13:13">
      <c r="M15123" s="202"/>
    </row>
    <row r="15124" spans="13:13">
      <c r="M15124" s="202"/>
    </row>
    <row r="15125" spans="13:13">
      <c r="M15125" s="202"/>
    </row>
    <row r="15126" spans="13:13">
      <c r="M15126" s="202"/>
    </row>
    <row r="15127" spans="13:13">
      <c r="M15127" s="202"/>
    </row>
    <row r="15128" spans="13:13">
      <c r="M15128" s="202"/>
    </row>
    <row r="15129" spans="13:13">
      <c r="M15129" s="202"/>
    </row>
    <row r="15130" spans="13:13">
      <c r="M15130" s="202"/>
    </row>
    <row r="15131" spans="13:13">
      <c r="M15131" s="202"/>
    </row>
    <row r="15132" spans="13:13">
      <c r="M15132" s="202"/>
    </row>
    <row r="15133" spans="13:13">
      <c r="M15133" s="202"/>
    </row>
    <row r="15134" spans="13:13">
      <c r="M15134" s="202"/>
    </row>
    <row r="15135" spans="13:13">
      <c r="M15135" s="202"/>
    </row>
    <row r="15136" spans="13:13">
      <c r="M15136" s="202"/>
    </row>
    <row r="15137" spans="13:13">
      <c r="M15137" s="202"/>
    </row>
    <row r="15138" spans="13:13">
      <c r="M15138" s="202"/>
    </row>
    <row r="15139" spans="13:13">
      <c r="M15139" s="202"/>
    </row>
    <row r="15140" spans="13:13">
      <c r="M15140" s="202"/>
    </row>
    <row r="15141" spans="13:13">
      <c r="M15141" s="202"/>
    </row>
    <row r="15142" spans="13:13">
      <c r="M15142" s="202"/>
    </row>
    <row r="15143" spans="13:13">
      <c r="M15143" s="202"/>
    </row>
    <row r="15144" spans="13:13">
      <c r="M15144" s="202"/>
    </row>
    <row r="15145" spans="13:13">
      <c r="M15145" s="202"/>
    </row>
    <row r="15146" spans="13:13">
      <c r="M15146" s="202"/>
    </row>
    <row r="15147" spans="13:13">
      <c r="M15147" s="202"/>
    </row>
    <row r="15148" spans="13:13">
      <c r="M15148" s="202"/>
    </row>
    <row r="15149" spans="13:13">
      <c r="M15149" s="202"/>
    </row>
    <row r="15150" spans="13:13">
      <c r="M15150" s="202"/>
    </row>
    <row r="15151" spans="13:13">
      <c r="M15151" s="202"/>
    </row>
    <row r="15152" spans="13:13">
      <c r="M15152" s="202"/>
    </row>
    <row r="15153" spans="13:13">
      <c r="M15153" s="202"/>
    </row>
    <row r="15154" spans="13:13">
      <c r="M15154" s="202"/>
    </row>
    <row r="15155" spans="13:13">
      <c r="M15155" s="202"/>
    </row>
    <row r="15156" spans="13:13">
      <c r="M15156" s="202"/>
    </row>
    <row r="15157" spans="13:13">
      <c r="M15157" s="202"/>
    </row>
    <row r="15158" spans="13:13">
      <c r="M15158" s="202"/>
    </row>
    <row r="15159" spans="13:13">
      <c r="M15159" s="202"/>
    </row>
    <row r="15160" spans="13:13">
      <c r="M15160" s="202"/>
    </row>
    <row r="15161" spans="13:13">
      <c r="M15161" s="202"/>
    </row>
    <row r="15162" spans="13:13">
      <c r="M15162" s="202"/>
    </row>
    <row r="15163" spans="13:13">
      <c r="M15163" s="202"/>
    </row>
    <row r="15164" spans="13:13">
      <c r="M15164" s="202"/>
    </row>
    <row r="15165" spans="13:13">
      <c r="M15165" s="202"/>
    </row>
    <row r="15166" spans="13:13">
      <c r="M15166" s="202"/>
    </row>
    <row r="15167" spans="13:13">
      <c r="M15167" s="202"/>
    </row>
    <row r="15168" spans="13:13">
      <c r="M15168" s="202"/>
    </row>
    <row r="15169" spans="13:13">
      <c r="M15169" s="202"/>
    </row>
    <row r="15170" spans="13:13">
      <c r="M15170" s="202"/>
    </row>
    <row r="15171" spans="13:13">
      <c r="M15171" s="202"/>
    </row>
    <row r="15172" spans="13:13">
      <c r="M15172" s="202"/>
    </row>
    <row r="15173" spans="13:13">
      <c r="M15173" s="202"/>
    </row>
    <row r="15174" spans="13:13">
      <c r="M15174" s="202"/>
    </row>
    <row r="15175" spans="13:13">
      <c r="M15175" s="202"/>
    </row>
    <row r="15176" spans="13:13">
      <c r="M15176" s="202"/>
    </row>
    <row r="15177" spans="13:13">
      <c r="M15177" s="202"/>
    </row>
    <row r="15178" spans="13:13">
      <c r="M15178" s="202"/>
    </row>
    <row r="15179" spans="13:13">
      <c r="M15179" s="202"/>
    </row>
    <row r="15180" spans="13:13">
      <c r="M15180" s="202"/>
    </row>
    <row r="15181" spans="13:13">
      <c r="M15181" s="202"/>
    </row>
    <row r="15182" spans="13:13">
      <c r="M15182" s="202"/>
    </row>
    <row r="15183" spans="13:13">
      <c r="M15183" s="202"/>
    </row>
    <row r="15184" spans="13:13">
      <c r="M15184" s="202"/>
    </row>
    <row r="15185" spans="13:13">
      <c r="M15185" s="202"/>
    </row>
    <row r="15186" spans="13:13">
      <c r="M15186" s="202"/>
    </row>
    <row r="15187" spans="13:13">
      <c r="M15187" s="202"/>
    </row>
    <row r="15188" spans="13:13">
      <c r="M15188" s="202"/>
    </row>
    <row r="15189" spans="13:13">
      <c r="M15189" s="202"/>
    </row>
    <row r="15190" spans="13:13">
      <c r="M15190" s="202"/>
    </row>
    <row r="15191" spans="13:13">
      <c r="M15191" s="202"/>
    </row>
    <row r="15192" spans="13:13">
      <c r="M15192" s="202"/>
    </row>
    <row r="15193" spans="13:13">
      <c r="M15193" s="202"/>
    </row>
    <row r="15194" spans="13:13">
      <c r="M15194" s="202"/>
    </row>
    <row r="15195" spans="13:13">
      <c r="M15195" s="202"/>
    </row>
    <row r="15196" spans="13:13">
      <c r="M15196" s="202"/>
    </row>
    <row r="15197" spans="13:13">
      <c r="M15197" s="202"/>
    </row>
    <row r="15198" spans="13:13">
      <c r="M15198" s="202"/>
    </row>
    <row r="15199" spans="13:13">
      <c r="M15199" s="202"/>
    </row>
    <row r="15200" spans="13:13">
      <c r="M15200" s="202"/>
    </row>
    <row r="15201" spans="13:13">
      <c r="M15201" s="202"/>
    </row>
    <row r="15202" spans="13:13">
      <c r="M15202" s="202"/>
    </row>
    <row r="15203" spans="13:13">
      <c r="M15203" s="202"/>
    </row>
    <row r="15204" spans="13:13">
      <c r="M15204" s="202"/>
    </row>
    <row r="15205" spans="13:13">
      <c r="M15205" s="202"/>
    </row>
    <row r="15206" spans="13:13">
      <c r="M15206" s="202"/>
    </row>
    <row r="15207" spans="13:13">
      <c r="M15207" s="202"/>
    </row>
    <row r="15208" spans="13:13">
      <c r="M15208" s="202"/>
    </row>
    <row r="15209" spans="13:13">
      <c r="M15209" s="202"/>
    </row>
    <row r="15210" spans="13:13">
      <c r="M15210" s="202"/>
    </row>
    <row r="15211" spans="13:13">
      <c r="M15211" s="202"/>
    </row>
    <row r="15212" spans="13:13">
      <c r="M15212" s="202"/>
    </row>
    <row r="15213" spans="13:13">
      <c r="M15213" s="202"/>
    </row>
    <row r="15214" spans="13:13">
      <c r="M15214" s="202"/>
    </row>
    <row r="15215" spans="13:13">
      <c r="M15215" s="202"/>
    </row>
    <row r="15216" spans="13:13">
      <c r="M15216" s="202"/>
    </row>
    <row r="15217" spans="13:13">
      <c r="M15217" s="202"/>
    </row>
    <row r="15218" spans="13:13">
      <c r="M15218" s="202"/>
    </row>
    <row r="15219" spans="13:13">
      <c r="M15219" s="202"/>
    </row>
    <row r="15220" spans="13:13">
      <c r="M15220" s="202"/>
    </row>
    <row r="15221" spans="13:13">
      <c r="M15221" s="202"/>
    </row>
    <row r="15222" spans="13:13">
      <c r="M15222" s="202"/>
    </row>
    <row r="15223" spans="13:13">
      <c r="M15223" s="202"/>
    </row>
    <row r="15224" spans="13:13">
      <c r="M15224" s="202"/>
    </row>
    <row r="15225" spans="13:13">
      <c r="M15225" s="202"/>
    </row>
    <row r="15226" spans="13:13">
      <c r="M15226" s="202"/>
    </row>
    <row r="15227" spans="13:13">
      <c r="M15227" s="202"/>
    </row>
    <row r="15228" spans="13:13">
      <c r="M15228" s="202"/>
    </row>
    <row r="15229" spans="13:13">
      <c r="M15229" s="202"/>
    </row>
    <row r="15230" spans="13:13">
      <c r="M15230" s="202"/>
    </row>
    <row r="15231" spans="13:13">
      <c r="M15231" s="202"/>
    </row>
    <row r="15232" spans="13:13">
      <c r="M15232" s="202"/>
    </row>
    <row r="15233" spans="13:13">
      <c r="M15233" s="202"/>
    </row>
    <row r="15234" spans="13:13">
      <c r="M15234" s="202"/>
    </row>
    <row r="15235" spans="13:13">
      <c r="M15235" s="202"/>
    </row>
    <row r="15236" spans="13:13">
      <c r="M15236" s="202"/>
    </row>
    <row r="15237" spans="13:13">
      <c r="M15237" s="202"/>
    </row>
    <row r="15238" spans="13:13">
      <c r="M15238" s="202"/>
    </row>
    <row r="15239" spans="13:13">
      <c r="M15239" s="202"/>
    </row>
    <row r="15240" spans="13:13">
      <c r="M15240" s="202"/>
    </row>
    <row r="15241" spans="13:13">
      <c r="M15241" s="202"/>
    </row>
    <row r="15242" spans="13:13">
      <c r="M15242" s="202"/>
    </row>
    <row r="15243" spans="13:13">
      <c r="M15243" s="202"/>
    </row>
    <row r="15244" spans="13:13">
      <c r="M15244" s="202"/>
    </row>
    <row r="15245" spans="13:13">
      <c r="M15245" s="202"/>
    </row>
    <row r="15246" spans="13:13">
      <c r="M15246" s="202"/>
    </row>
    <row r="15247" spans="13:13">
      <c r="M15247" s="202"/>
    </row>
    <row r="15248" spans="13:13">
      <c r="M15248" s="202"/>
    </row>
    <row r="15249" spans="13:13">
      <c r="M15249" s="202"/>
    </row>
    <row r="15250" spans="13:13">
      <c r="M15250" s="202"/>
    </row>
    <row r="15251" spans="13:13">
      <c r="M15251" s="202"/>
    </row>
    <row r="15252" spans="13:13">
      <c r="M15252" s="202"/>
    </row>
    <row r="15253" spans="13:13">
      <c r="M15253" s="202"/>
    </row>
    <row r="15254" spans="13:13">
      <c r="M15254" s="202"/>
    </row>
    <row r="15255" spans="13:13">
      <c r="M15255" s="202"/>
    </row>
    <row r="15256" spans="13:13">
      <c r="M15256" s="202"/>
    </row>
    <row r="15257" spans="13:13">
      <c r="M15257" s="202"/>
    </row>
    <row r="15258" spans="13:13">
      <c r="M15258" s="202"/>
    </row>
    <row r="15259" spans="13:13">
      <c r="M15259" s="202"/>
    </row>
    <row r="15260" spans="13:13">
      <c r="M15260" s="202"/>
    </row>
    <row r="15261" spans="13:13">
      <c r="M15261" s="202"/>
    </row>
    <row r="15262" spans="13:13">
      <c r="M15262" s="202"/>
    </row>
    <row r="15263" spans="13:13">
      <c r="M15263" s="202"/>
    </row>
    <row r="15264" spans="13:13">
      <c r="M15264" s="202"/>
    </row>
    <row r="15265" spans="13:13">
      <c r="M15265" s="202"/>
    </row>
    <row r="15266" spans="13:13">
      <c r="M15266" s="202"/>
    </row>
    <row r="15267" spans="13:13">
      <c r="M15267" s="202"/>
    </row>
    <row r="15268" spans="13:13">
      <c r="M15268" s="202"/>
    </row>
    <row r="15269" spans="13:13">
      <c r="M15269" s="202"/>
    </row>
    <row r="15270" spans="13:13">
      <c r="M15270" s="202"/>
    </row>
    <row r="15271" spans="13:13">
      <c r="M15271" s="202"/>
    </row>
    <row r="15272" spans="13:13">
      <c r="M15272" s="202"/>
    </row>
    <row r="15273" spans="13:13">
      <c r="M15273" s="202"/>
    </row>
    <row r="15274" spans="13:13">
      <c r="M15274" s="202"/>
    </row>
    <row r="15275" spans="13:13">
      <c r="M15275" s="202"/>
    </row>
    <row r="15276" spans="13:13">
      <c r="M15276" s="202"/>
    </row>
    <row r="15277" spans="13:13">
      <c r="M15277" s="202"/>
    </row>
    <row r="15278" spans="13:13">
      <c r="M15278" s="202"/>
    </row>
    <row r="15279" spans="13:13">
      <c r="M15279" s="202"/>
    </row>
    <row r="15280" spans="13:13">
      <c r="M15280" s="202"/>
    </row>
    <row r="15281" spans="13:13">
      <c r="M15281" s="202"/>
    </row>
    <row r="15282" spans="13:13">
      <c r="M15282" s="202"/>
    </row>
    <row r="15283" spans="13:13">
      <c r="M15283" s="202"/>
    </row>
    <row r="15284" spans="13:13">
      <c r="M15284" s="202"/>
    </row>
    <row r="15285" spans="13:13">
      <c r="M15285" s="202"/>
    </row>
    <row r="15286" spans="13:13">
      <c r="M15286" s="202"/>
    </row>
    <row r="15287" spans="13:13">
      <c r="M15287" s="202"/>
    </row>
    <row r="15288" spans="13:13">
      <c r="M15288" s="202"/>
    </row>
    <row r="15289" spans="13:13">
      <c r="M15289" s="202"/>
    </row>
    <row r="15290" spans="13:13">
      <c r="M15290" s="202"/>
    </row>
    <row r="15291" spans="13:13">
      <c r="M15291" s="202"/>
    </row>
    <row r="15292" spans="13:13">
      <c r="M15292" s="202"/>
    </row>
    <row r="15293" spans="13:13">
      <c r="M15293" s="202"/>
    </row>
    <row r="15294" spans="13:13">
      <c r="M15294" s="202"/>
    </row>
    <row r="15295" spans="13:13">
      <c r="M15295" s="202"/>
    </row>
    <row r="15296" spans="13:13">
      <c r="M15296" s="202"/>
    </row>
    <row r="15297" spans="13:13">
      <c r="M15297" s="202"/>
    </row>
    <row r="15298" spans="13:13">
      <c r="M15298" s="202"/>
    </row>
    <row r="15299" spans="13:13">
      <c r="M15299" s="202"/>
    </row>
    <row r="15300" spans="13:13">
      <c r="M15300" s="202"/>
    </row>
    <row r="15301" spans="13:13">
      <c r="M15301" s="202"/>
    </row>
    <row r="15302" spans="13:13">
      <c r="M15302" s="202"/>
    </row>
    <row r="15303" spans="13:13">
      <c r="M15303" s="202"/>
    </row>
    <row r="15304" spans="13:13">
      <c r="M15304" s="202"/>
    </row>
    <row r="15305" spans="13:13">
      <c r="M15305" s="202"/>
    </row>
    <row r="15306" spans="13:13">
      <c r="M15306" s="202"/>
    </row>
    <row r="15307" spans="13:13">
      <c r="M15307" s="202"/>
    </row>
    <row r="15308" spans="13:13">
      <c r="M15308" s="202"/>
    </row>
    <row r="15309" spans="13:13">
      <c r="M15309" s="202"/>
    </row>
    <row r="15310" spans="13:13">
      <c r="M15310" s="202"/>
    </row>
    <row r="15311" spans="13:13">
      <c r="M15311" s="202"/>
    </row>
    <row r="15312" spans="13:13">
      <c r="M15312" s="202"/>
    </row>
    <row r="15313" spans="13:13">
      <c r="M15313" s="202"/>
    </row>
    <row r="15314" spans="13:13">
      <c r="M15314" s="202"/>
    </row>
    <row r="15315" spans="13:13">
      <c r="M15315" s="202"/>
    </row>
    <row r="15316" spans="13:13">
      <c r="M15316" s="202"/>
    </row>
    <row r="15317" spans="13:13">
      <c r="M15317" s="202"/>
    </row>
    <row r="15318" spans="13:13">
      <c r="M15318" s="202"/>
    </row>
    <row r="15319" spans="13:13">
      <c r="M15319" s="202"/>
    </row>
    <row r="15320" spans="13:13">
      <c r="M15320" s="202"/>
    </row>
    <row r="15321" spans="13:13">
      <c r="M15321" s="202"/>
    </row>
    <row r="15322" spans="13:13">
      <c r="M15322" s="202"/>
    </row>
    <row r="15323" spans="13:13">
      <c r="M15323" s="202"/>
    </row>
    <row r="15324" spans="13:13">
      <c r="M15324" s="202"/>
    </row>
    <row r="15325" spans="13:13">
      <c r="M15325" s="202"/>
    </row>
    <row r="15326" spans="13:13">
      <c r="M15326" s="202"/>
    </row>
    <row r="15327" spans="13:13">
      <c r="M15327" s="202"/>
    </row>
    <row r="15328" spans="13:13">
      <c r="M15328" s="202"/>
    </row>
    <row r="15329" spans="13:13">
      <c r="M15329" s="202"/>
    </row>
    <row r="15330" spans="13:13">
      <c r="M15330" s="202"/>
    </row>
    <row r="15331" spans="13:13">
      <c r="M15331" s="202"/>
    </row>
    <row r="15332" spans="13:13">
      <c r="M15332" s="202"/>
    </row>
    <row r="15333" spans="13:13">
      <c r="M15333" s="202"/>
    </row>
    <row r="15334" spans="13:13">
      <c r="M15334" s="202"/>
    </row>
    <row r="15335" spans="13:13">
      <c r="M15335" s="202"/>
    </row>
    <row r="15336" spans="13:13">
      <c r="M15336" s="202"/>
    </row>
    <row r="15337" spans="13:13">
      <c r="M15337" s="202"/>
    </row>
    <row r="15338" spans="13:13">
      <c r="M15338" s="202"/>
    </row>
    <row r="15339" spans="13:13">
      <c r="M15339" s="202"/>
    </row>
    <row r="15340" spans="13:13">
      <c r="M15340" s="202"/>
    </row>
    <row r="15341" spans="13:13">
      <c r="M15341" s="202"/>
    </row>
    <row r="15342" spans="13:13">
      <c r="M15342" s="202"/>
    </row>
    <row r="15343" spans="13:13">
      <c r="M15343" s="202"/>
    </row>
    <row r="15344" spans="13:13">
      <c r="M15344" s="202"/>
    </row>
    <row r="15345" spans="13:13">
      <c r="M15345" s="202"/>
    </row>
    <row r="15346" spans="13:13">
      <c r="M15346" s="202"/>
    </row>
    <row r="15347" spans="13:13">
      <c r="M15347" s="202"/>
    </row>
    <row r="15348" spans="13:13">
      <c r="M15348" s="202"/>
    </row>
    <row r="15349" spans="13:13">
      <c r="M15349" s="202"/>
    </row>
    <row r="15350" spans="13:13">
      <c r="M15350" s="202"/>
    </row>
    <row r="15351" spans="13:13">
      <c r="M15351" s="202"/>
    </row>
    <row r="15352" spans="13:13">
      <c r="M15352" s="202"/>
    </row>
    <row r="15353" spans="13:13">
      <c r="M15353" s="202"/>
    </row>
    <row r="15354" spans="13:13">
      <c r="M15354" s="202"/>
    </row>
    <row r="15355" spans="13:13">
      <c r="M15355" s="202"/>
    </row>
    <row r="15356" spans="13:13">
      <c r="M15356" s="202"/>
    </row>
    <row r="15357" spans="13:13">
      <c r="M15357" s="202"/>
    </row>
    <row r="15358" spans="13:13">
      <c r="M15358" s="202"/>
    </row>
    <row r="15359" spans="13:13">
      <c r="M15359" s="202"/>
    </row>
    <row r="15360" spans="13:13">
      <c r="M15360" s="202"/>
    </row>
    <row r="15361" spans="13:13">
      <c r="M15361" s="202"/>
    </row>
    <row r="15362" spans="13:13">
      <c r="M15362" s="202"/>
    </row>
    <row r="15363" spans="13:13">
      <c r="M15363" s="202"/>
    </row>
    <row r="15364" spans="13:13">
      <c r="M15364" s="202"/>
    </row>
    <row r="15365" spans="13:13">
      <c r="M15365" s="202"/>
    </row>
    <row r="15366" spans="13:13">
      <c r="M15366" s="202"/>
    </row>
    <row r="15367" spans="13:13">
      <c r="M15367" s="202"/>
    </row>
    <row r="15368" spans="13:13">
      <c r="M15368" s="202"/>
    </row>
    <row r="15369" spans="13:13">
      <c r="M15369" s="202"/>
    </row>
    <row r="15370" spans="13:13">
      <c r="M15370" s="202"/>
    </row>
    <row r="15371" spans="13:13">
      <c r="M15371" s="202"/>
    </row>
    <row r="15372" spans="13:13">
      <c r="M15372" s="202"/>
    </row>
    <row r="15373" spans="13:13">
      <c r="M15373" s="202"/>
    </row>
    <row r="15374" spans="13:13">
      <c r="M15374" s="202"/>
    </row>
    <row r="15375" spans="13:13">
      <c r="M15375" s="202"/>
    </row>
    <row r="15376" spans="13:13">
      <c r="M15376" s="202"/>
    </row>
    <row r="15377" spans="13:13">
      <c r="M15377" s="202"/>
    </row>
    <row r="15378" spans="13:13">
      <c r="M15378" s="202"/>
    </row>
    <row r="15379" spans="13:13">
      <c r="M15379" s="202"/>
    </row>
    <row r="15380" spans="13:13">
      <c r="M15380" s="202"/>
    </row>
    <row r="15381" spans="13:13">
      <c r="M15381" s="202"/>
    </row>
    <row r="15382" spans="13:13">
      <c r="M15382" s="202"/>
    </row>
    <row r="15383" spans="13:13">
      <c r="M15383" s="202"/>
    </row>
    <row r="15384" spans="13:13">
      <c r="M15384" s="202"/>
    </row>
    <row r="15385" spans="13:13">
      <c r="M15385" s="202"/>
    </row>
    <row r="15386" spans="13:13">
      <c r="M15386" s="202"/>
    </row>
    <row r="15387" spans="13:13">
      <c r="M15387" s="202"/>
    </row>
    <row r="15388" spans="13:13">
      <c r="M15388" s="202"/>
    </row>
    <row r="15389" spans="13:13">
      <c r="M15389" s="202"/>
    </row>
    <row r="15390" spans="13:13">
      <c r="M15390" s="202"/>
    </row>
    <row r="15391" spans="13:13">
      <c r="M15391" s="202"/>
    </row>
    <row r="15392" spans="13:13">
      <c r="M15392" s="202"/>
    </row>
    <row r="15393" spans="13:13">
      <c r="M15393" s="202"/>
    </row>
    <row r="15394" spans="13:13">
      <c r="M15394" s="202"/>
    </row>
    <row r="15395" spans="13:13">
      <c r="M15395" s="202"/>
    </row>
    <row r="15396" spans="13:13">
      <c r="M15396" s="202"/>
    </row>
    <row r="15397" spans="13:13">
      <c r="M15397" s="202"/>
    </row>
    <row r="15398" spans="13:13">
      <c r="M15398" s="202"/>
    </row>
    <row r="15399" spans="13:13">
      <c r="M15399" s="202"/>
    </row>
    <row r="15400" spans="13:13">
      <c r="M15400" s="202"/>
    </row>
    <row r="15401" spans="13:13">
      <c r="M15401" s="202"/>
    </row>
    <row r="15402" spans="13:13">
      <c r="M15402" s="202"/>
    </row>
    <row r="15403" spans="13:13">
      <c r="M15403" s="202"/>
    </row>
    <row r="15404" spans="13:13">
      <c r="M15404" s="202"/>
    </row>
    <row r="15405" spans="13:13">
      <c r="M15405" s="202"/>
    </row>
    <row r="15406" spans="13:13">
      <c r="M15406" s="202"/>
    </row>
    <row r="15407" spans="13:13">
      <c r="M15407" s="202"/>
    </row>
    <row r="15408" spans="13:13">
      <c r="M15408" s="202"/>
    </row>
    <row r="15409" spans="13:13">
      <c r="M15409" s="202"/>
    </row>
    <row r="15410" spans="13:13">
      <c r="M15410" s="202"/>
    </row>
    <row r="15411" spans="13:13">
      <c r="M15411" s="202"/>
    </row>
    <row r="15412" spans="13:13">
      <c r="M15412" s="202"/>
    </row>
    <row r="15413" spans="13:13">
      <c r="M15413" s="202"/>
    </row>
    <row r="15414" spans="13:13">
      <c r="M15414" s="202"/>
    </row>
    <row r="15415" spans="13:13">
      <c r="M15415" s="202"/>
    </row>
    <row r="15416" spans="13:13">
      <c r="M15416" s="202"/>
    </row>
    <row r="15417" spans="13:13">
      <c r="M15417" s="202"/>
    </row>
    <row r="15418" spans="13:13">
      <c r="M15418" s="202"/>
    </row>
    <row r="15419" spans="13:13">
      <c r="M15419" s="202"/>
    </row>
    <row r="15420" spans="13:13">
      <c r="M15420" s="202"/>
    </row>
    <row r="15421" spans="13:13">
      <c r="M15421" s="202"/>
    </row>
    <row r="15422" spans="13:13">
      <c r="M15422" s="202"/>
    </row>
    <row r="15423" spans="13:13">
      <c r="M15423" s="202"/>
    </row>
    <row r="15424" spans="13:13">
      <c r="M15424" s="202"/>
    </row>
    <row r="15425" spans="13:13">
      <c r="M15425" s="202"/>
    </row>
    <row r="15426" spans="13:13">
      <c r="M15426" s="202"/>
    </row>
    <row r="15427" spans="13:13">
      <c r="M15427" s="202"/>
    </row>
    <row r="15428" spans="13:13">
      <c r="M15428" s="202"/>
    </row>
    <row r="15429" spans="13:13">
      <c r="M15429" s="202"/>
    </row>
    <row r="15430" spans="13:13">
      <c r="M15430" s="202"/>
    </row>
    <row r="15431" spans="13:13">
      <c r="M15431" s="202"/>
    </row>
    <row r="15432" spans="13:13">
      <c r="M15432" s="202"/>
    </row>
    <row r="15433" spans="13:13">
      <c r="M15433" s="202"/>
    </row>
    <row r="15434" spans="13:13">
      <c r="M15434" s="202"/>
    </row>
    <row r="15435" spans="13:13">
      <c r="M15435" s="202"/>
    </row>
    <row r="15436" spans="13:13">
      <c r="M15436" s="202"/>
    </row>
    <row r="15437" spans="13:13">
      <c r="M15437" s="202"/>
    </row>
    <row r="15438" spans="13:13">
      <c r="M15438" s="202"/>
    </row>
    <row r="15439" spans="13:13">
      <c r="M15439" s="202"/>
    </row>
    <row r="15440" spans="13:13">
      <c r="M15440" s="202"/>
    </row>
    <row r="15441" spans="13:13">
      <c r="M15441" s="202"/>
    </row>
    <row r="15442" spans="13:13">
      <c r="M15442" s="202"/>
    </row>
    <row r="15443" spans="13:13">
      <c r="M15443" s="202"/>
    </row>
    <row r="15444" spans="13:13">
      <c r="M15444" s="202"/>
    </row>
    <row r="15445" spans="13:13">
      <c r="M15445" s="202"/>
    </row>
    <row r="15446" spans="13:13">
      <c r="M15446" s="202"/>
    </row>
    <row r="15447" spans="13:13">
      <c r="M15447" s="202"/>
    </row>
    <row r="15448" spans="13:13">
      <c r="M15448" s="202"/>
    </row>
    <row r="15449" spans="13:13">
      <c r="M15449" s="202"/>
    </row>
    <row r="15450" spans="13:13">
      <c r="M15450" s="202"/>
    </row>
    <row r="15451" spans="13:13">
      <c r="M15451" s="202"/>
    </row>
    <row r="15452" spans="13:13">
      <c r="M15452" s="202"/>
    </row>
    <row r="15453" spans="13:13">
      <c r="M15453" s="202"/>
    </row>
    <row r="15454" spans="13:13">
      <c r="M15454" s="202"/>
    </row>
    <row r="15455" spans="13:13">
      <c r="M15455" s="202"/>
    </row>
    <row r="15456" spans="13:13">
      <c r="M15456" s="202"/>
    </row>
    <row r="15457" spans="13:13">
      <c r="M15457" s="202"/>
    </row>
    <row r="15458" spans="13:13">
      <c r="M15458" s="202"/>
    </row>
    <row r="15459" spans="13:13">
      <c r="M15459" s="202"/>
    </row>
    <row r="15460" spans="13:13">
      <c r="M15460" s="202"/>
    </row>
    <row r="15461" spans="13:13">
      <c r="M15461" s="202"/>
    </row>
    <row r="15462" spans="13:13">
      <c r="M15462" s="202"/>
    </row>
    <row r="15463" spans="13:13">
      <c r="M15463" s="202"/>
    </row>
    <row r="15464" spans="13:13">
      <c r="M15464" s="202"/>
    </row>
    <row r="15465" spans="13:13">
      <c r="M15465" s="202"/>
    </row>
    <row r="15466" spans="13:13">
      <c r="M15466" s="202"/>
    </row>
    <row r="15467" spans="13:13">
      <c r="M15467" s="202"/>
    </row>
    <row r="15468" spans="13:13">
      <c r="M15468" s="202"/>
    </row>
    <row r="15469" spans="13:13">
      <c r="M15469" s="202"/>
    </row>
    <row r="15470" spans="13:13">
      <c r="M15470" s="202"/>
    </row>
    <row r="15471" spans="13:13">
      <c r="M15471" s="202"/>
    </row>
    <row r="15472" spans="13:13">
      <c r="M15472" s="202"/>
    </row>
    <row r="15473" spans="13:13">
      <c r="M15473" s="202"/>
    </row>
    <row r="15474" spans="13:13">
      <c r="M15474" s="202"/>
    </row>
    <row r="15475" spans="13:13">
      <c r="M15475" s="202"/>
    </row>
    <row r="15476" spans="13:13">
      <c r="M15476" s="202"/>
    </row>
    <row r="15477" spans="13:13">
      <c r="M15477" s="202"/>
    </row>
    <row r="15478" spans="13:13">
      <c r="M15478" s="202"/>
    </row>
    <row r="15479" spans="13:13">
      <c r="M15479" s="202"/>
    </row>
    <row r="15480" spans="13:13">
      <c r="M15480" s="202"/>
    </row>
    <row r="15481" spans="13:13">
      <c r="M15481" s="202"/>
    </row>
    <row r="15482" spans="13:13">
      <c r="M15482" s="202"/>
    </row>
    <row r="15483" spans="13:13">
      <c r="M15483" s="202"/>
    </row>
    <row r="15484" spans="13:13">
      <c r="M15484" s="202"/>
    </row>
    <row r="15485" spans="13:13">
      <c r="M15485" s="202"/>
    </row>
    <row r="15486" spans="13:13">
      <c r="M15486" s="202"/>
    </row>
    <row r="15487" spans="13:13">
      <c r="M15487" s="202"/>
    </row>
    <row r="15488" spans="13:13">
      <c r="M15488" s="202"/>
    </row>
    <row r="15489" spans="13:13">
      <c r="M15489" s="202"/>
    </row>
    <row r="15490" spans="13:13">
      <c r="M15490" s="202"/>
    </row>
    <row r="15491" spans="13:13">
      <c r="M15491" s="202"/>
    </row>
    <row r="15492" spans="13:13">
      <c r="M15492" s="202"/>
    </row>
    <row r="15493" spans="13:13">
      <c r="M15493" s="202"/>
    </row>
    <row r="15494" spans="13:13">
      <c r="M15494" s="202"/>
    </row>
    <row r="15495" spans="13:13">
      <c r="M15495" s="202"/>
    </row>
    <row r="15496" spans="13:13">
      <c r="M15496" s="202"/>
    </row>
    <row r="15497" spans="13:13">
      <c r="M15497" s="202"/>
    </row>
    <row r="15498" spans="13:13">
      <c r="M15498" s="202"/>
    </row>
    <row r="15499" spans="13:13">
      <c r="M15499" s="202"/>
    </row>
    <row r="15500" spans="13:13">
      <c r="M15500" s="202"/>
    </row>
    <row r="15501" spans="13:13">
      <c r="M15501" s="202"/>
    </row>
    <row r="15502" spans="13:13">
      <c r="M15502" s="202"/>
    </row>
    <row r="15503" spans="13:13">
      <c r="M15503" s="202"/>
    </row>
    <row r="15504" spans="13:13">
      <c r="M15504" s="202"/>
    </row>
    <row r="15505" spans="13:13">
      <c r="M15505" s="202"/>
    </row>
    <row r="15506" spans="13:13">
      <c r="M15506" s="202"/>
    </row>
    <row r="15507" spans="13:13">
      <c r="M15507" s="202"/>
    </row>
    <row r="15508" spans="13:13">
      <c r="M15508" s="202"/>
    </row>
    <row r="15509" spans="13:13">
      <c r="M15509" s="202"/>
    </row>
    <row r="15510" spans="13:13">
      <c r="M15510" s="202"/>
    </row>
    <row r="15511" spans="13:13">
      <c r="M15511" s="202"/>
    </row>
    <row r="15512" spans="13:13">
      <c r="M15512" s="202"/>
    </row>
    <row r="15513" spans="13:13">
      <c r="M15513" s="202"/>
    </row>
    <row r="15514" spans="13:13">
      <c r="M15514" s="202"/>
    </row>
    <row r="15515" spans="13:13">
      <c r="M15515" s="202"/>
    </row>
    <row r="15516" spans="13:13">
      <c r="M15516" s="202"/>
    </row>
    <row r="15517" spans="13:13">
      <c r="M15517" s="202"/>
    </row>
    <row r="15518" spans="13:13">
      <c r="M15518" s="202"/>
    </row>
    <row r="15519" spans="13:13">
      <c r="M15519" s="202"/>
    </row>
    <row r="15520" spans="13:13">
      <c r="M15520" s="202"/>
    </row>
    <row r="15521" spans="13:13">
      <c r="M15521" s="202"/>
    </row>
    <row r="15522" spans="13:13">
      <c r="M15522" s="202"/>
    </row>
    <row r="15523" spans="13:13">
      <c r="M15523" s="202"/>
    </row>
    <row r="15524" spans="13:13">
      <c r="M15524" s="202"/>
    </row>
    <row r="15525" spans="13:13">
      <c r="M15525" s="202"/>
    </row>
    <row r="15526" spans="13:13">
      <c r="M15526" s="202"/>
    </row>
    <row r="15527" spans="13:13">
      <c r="M15527" s="202"/>
    </row>
    <row r="15528" spans="13:13">
      <c r="M15528" s="202"/>
    </row>
    <row r="15529" spans="13:13">
      <c r="M15529" s="202"/>
    </row>
    <row r="15530" spans="13:13">
      <c r="M15530" s="202"/>
    </row>
    <row r="15531" spans="13:13">
      <c r="M15531" s="202"/>
    </row>
    <row r="15532" spans="13:13">
      <c r="M15532" s="202"/>
    </row>
    <row r="15533" spans="13:13">
      <c r="M15533" s="202"/>
    </row>
    <row r="15534" spans="13:13">
      <c r="M15534" s="202"/>
    </row>
    <row r="15535" spans="13:13">
      <c r="M15535" s="202"/>
    </row>
    <row r="15536" spans="13:13">
      <c r="M15536" s="202"/>
    </row>
    <row r="15537" spans="13:13">
      <c r="M15537" s="202"/>
    </row>
    <row r="15538" spans="13:13">
      <c r="M15538" s="202"/>
    </row>
    <row r="15539" spans="13:13">
      <c r="M15539" s="202"/>
    </row>
    <row r="15540" spans="13:13">
      <c r="M15540" s="202"/>
    </row>
    <row r="15541" spans="13:13">
      <c r="M15541" s="202"/>
    </row>
    <row r="15542" spans="13:13">
      <c r="M15542" s="202"/>
    </row>
    <row r="15543" spans="13:13">
      <c r="M15543" s="202"/>
    </row>
    <row r="15544" spans="13:13">
      <c r="M15544" s="202"/>
    </row>
    <row r="15545" spans="13:13">
      <c r="M15545" s="202"/>
    </row>
    <row r="15546" spans="13:13">
      <c r="M15546" s="202"/>
    </row>
    <row r="15547" spans="13:13">
      <c r="M15547" s="202"/>
    </row>
    <row r="15548" spans="13:13">
      <c r="M15548" s="202"/>
    </row>
    <row r="15549" spans="13:13">
      <c r="M15549" s="202"/>
    </row>
    <row r="15550" spans="13:13">
      <c r="M15550" s="202"/>
    </row>
    <row r="15551" spans="13:13">
      <c r="M15551" s="202"/>
    </row>
    <row r="15552" spans="13:13">
      <c r="M15552" s="202"/>
    </row>
    <row r="15553" spans="13:13">
      <c r="M15553" s="202"/>
    </row>
    <row r="15554" spans="13:13">
      <c r="M15554" s="202"/>
    </row>
    <row r="15555" spans="13:13">
      <c r="M15555" s="202"/>
    </row>
    <row r="15556" spans="13:13">
      <c r="M15556" s="202"/>
    </row>
    <row r="15557" spans="13:13">
      <c r="M15557" s="202"/>
    </row>
    <row r="15558" spans="13:13">
      <c r="M15558" s="202"/>
    </row>
    <row r="15559" spans="13:13">
      <c r="M15559" s="202"/>
    </row>
    <row r="15560" spans="13:13">
      <c r="M15560" s="202"/>
    </row>
    <row r="15561" spans="13:13">
      <c r="M15561" s="202"/>
    </row>
    <row r="15562" spans="13:13">
      <c r="M15562" s="202"/>
    </row>
    <row r="15563" spans="13:13">
      <c r="M15563" s="202"/>
    </row>
    <row r="15564" spans="13:13">
      <c r="M15564" s="202"/>
    </row>
    <row r="15565" spans="13:13">
      <c r="M15565" s="202"/>
    </row>
    <row r="15566" spans="13:13">
      <c r="M15566" s="202"/>
    </row>
    <row r="15567" spans="13:13">
      <c r="M15567" s="202"/>
    </row>
    <row r="15568" spans="13:13">
      <c r="M15568" s="202"/>
    </row>
    <row r="15569" spans="13:13">
      <c r="M15569" s="202"/>
    </row>
    <row r="15570" spans="13:13">
      <c r="M15570" s="202"/>
    </row>
    <row r="15571" spans="13:13">
      <c r="M15571" s="202"/>
    </row>
    <row r="15572" spans="13:13">
      <c r="M15572" s="202"/>
    </row>
    <row r="15573" spans="13:13">
      <c r="M15573" s="202"/>
    </row>
    <row r="15574" spans="13:13">
      <c r="M15574" s="202"/>
    </row>
    <row r="15575" spans="13:13">
      <c r="M15575" s="202"/>
    </row>
    <row r="15576" spans="13:13">
      <c r="M15576" s="202"/>
    </row>
    <row r="15577" spans="13:13">
      <c r="M15577" s="202"/>
    </row>
    <row r="15578" spans="13:13">
      <c r="M15578" s="202"/>
    </row>
    <row r="15579" spans="13:13">
      <c r="M15579" s="202"/>
    </row>
    <row r="15580" spans="13:13">
      <c r="M15580" s="202"/>
    </row>
    <row r="15581" spans="13:13">
      <c r="M15581" s="202"/>
    </row>
    <row r="15582" spans="13:13">
      <c r="M15582" s="202"/>
    </row>
    <row r="15583" spans="13:13">
      <c r="M15583" s="202"/>
    </row>
    <row r="15584" spans="13:13">
      <c r="M15584" s="202"/>
    </row>
    <row r="15585" spans="13:13">
      <c r="M15585" s="202"/>
    </row>
    <row r="15586" spans="13:13">
      <c r="M15586" s="202"/>
    </row>
    <row r="15587" spans="13:13">
      <c r="M15587" s="202"/>
    </row>
    <row r="15588" spans="13:13">
      <c r="M15588" s="202"/>
    </row>
    <row r="15589" spans="13:13">
      <c r="M15589" s="202"/>
    </row>
    <row r="15590" spans="13:13">
      <c r="M15590" s="202"/>
    </row>
    <row r="15591" spans="13:13">
      <c r="M15591" s="202"/>
    </row>
    <row r="15592" spans="13:13">
      <c r="M15592" s="202"/>
    </row>
    <row r="15593" spans="13:13">
      <c r="M15593" s="202"/>
    </row>
    <row r="15594" spans="13:13">
      <c r="M15594" s="202"/>
    </row>
    <row r="15595" spans="13:13">
      <c r="M15595" s="202"/>
    </row>
    <row r="15596" spans="13:13">
      <c r="M15596" s="202"/>
    </row>
    <row r="15597" spans="13:13">
      <c r="M15597" s="202"/>
    </row>
    <row r="15598" spans="13:13">
      <c r="M15598" s="202"/>
    </row>
    <row r="15599" spans="13:13">
      <c r="M15599" s="202"/>
    </row>
    <row r="15600" spans="13:13">
      <c r="M15600" s="202"/>
    </row>
    <row r="15601" spans="13:13">
      <c r="M15601" s="202"/>
    </row>
    <row r="15602" spans="13:13">
      <c r="M15602" s="202"/>
    </row>
    <row r="15603" spans="13:13">
      <c r="M15603" s="202"/>
    </row>
    <row r="15604" spans="13:13">
      <c r="M15604" s="202"/>
    </row>
    <row r="15605" spans="13:13">
      <c r="M15605" s="202"/>
    </row>
    <row r="15606" spans="13:13">
      <c r="M15606" s="202"/>
    </row>
    <row r="15607" spans="13:13">
      <c r="M15607" s="202"/>
    </row>
    <row r="15608" spans="13:13">
      <c r="M15608" s="202"/>
    </row>
    <row r="15609" spans="13:13">
      <c r="M15609" s="202"/>
    </row>
    <row r="15610" spans="13:13">
      <c r="M15610" s="202"/>
    </row>
    <row r="15611" spans="13:13">
      <c r="M15611" s="202"/>
    </row>
    <row r="15612" spans="13:13">
      <c r="M15612" s="202"/>
    </row>
    <row r="15613" spans="13:13">
      <c r="M15613" s="202"/>
    </row>
    <row r="15614" spans="13:13">
      <c r="M15614" s="202"/>
    </row>
    <row r="15615" spans="13:13">
      <c r="M15615" s="202"/>
    </row>
    <row r="15616" spans="13:13">
      <c r="M15616" s="202"/>
    </row>
    <row r="15617" spans="13:13">
      <c r="M15617" s="202"/>
    </row>
    <row r="15618" spans="13:13">
      <c r="M15618" s="202"/>
    </row>
    <row r="15619" spans="13:13">
      <c r="M15619" s="202"/>
    </row>
    <row r="15620" spans="13:13">
      <c r="M15620" s="202"/>
    </row>
    <row r="15621" spans="13:13">
      <c r="M15621" s="202"/>
    </row>
    <row r="15622" spans="13:13">
      <c r="M15622" s="202"/>
    </row>
    <row r="15623" spans="13:13">
      <c r="M15623" s="202"/>
    </row>
    <row r="15624" spans="13:13">
      <c r="M15624" s="202"/>
    </row>
    <row r="15625" spans="13:13">
      <c r="M15625" s="202"/>
    </row>
    <row r="15626" spans="13:13">
      <c r="M15626" s="202"/>
    </row>
    <row r="15627" spans="13:13">
      <c r="M15627" s="202"/>
    </row>
    <row r="15628" spans="13:13">
      <c r="M15628" s="202"/>
    </row>
    <row r="15629" spans="13:13">
      <c r="M15629" s="202"/>
    </row>
    <row r="15630" spans="13:13">
      <c r="M15630" s="202"/>
    </row>
    <row r="15631" spans="13:13">
      <c r="M15631" s="202"/>
    </row>
    <row r="15632" spans="13:13">
      <c r="M15632" s="202"/>
    </row>
    <row r="15633" spans="13:13">
      <c r="M15633" s="202"/>
    </row>
    <row r="15634" spans="13:13">
      <c r="M15634" s="202"/>
    </row>
    <row r="15635" spans="13:13">
      <c r="M15635" s="202"/>
    </row>
    <row r="15636" spans="13:13">
      <c r="M15636" s="202"/>
    </row>
    <row r="15637" spans="13:13">
      <c r="M15637" s="202"/>
    </row>
    <row r="15638" spans="13:13">
      <c r="M15638" s="202"/>
    </row>
    <row r="15639" spans="13:13">
      <c r="M15639" s="202"/>
    </row>
    <row r="15640" spans="13:13">
      <c r="M15640" s="202"/>
    </row>
    <row r="15641" spans="13:13">
      <c r="M15641" s="202"/>
    </row>
    <row r="15642" spans="13:13">
      <c r="M15642" s="202"/>
    </row>
    <row r="15643" spans="13:13">
      <c r="M15643" s="202"/>
    </row>
    <row r="15644" spans="13:13">
      <c r="M15644" s="202"/>
    </row>
    <row r="15645" spans="13:13">
      <c r="M15645" s="202"/>
    </row>
    <row r="15646" spans="13:13">
      <c r="M15646" s="202"/>
    </row>
    <row r="15647" spans="13:13">
      <c r="M15647" s="202"/>
    </row>
    <row r="15648" spans="13:13">
      <c r="M15648" s="202"/>
    </row>
    <row r="15649" spans="13:13">
      <c r="M15649" s="202"/>
    </row>
    <row r="15650" spans="13:13">
      <c r="M15650" s="202"/>
    </row>
    <row r="15651" spans="13:13">
      <c r="M15651" s="202"/>
    </row>
    <row r="15652" spans="13:13">
      <c r="M15652" s="202"/>
    </row>
    <row r="15653" spans="13:13">
      <c r="M15653" s="202"/>
    </row>
    <row r="15654" spans="13:13">
      <c r="M15654" s="202"/>
    </row>
    <row r="15655" spans="13:13">
      <c r="M15655" s="202"/>
    </row>
    <row r="15656" spans="13:13">
      <c r="M15656" s="202"/>
    </row>
    <row r="15657" spans="13:13">
      <c r="M15657" s="202"/>
    </row>
    <row r="15658" spans="13:13">
      <c r="M15658" s="202"/>
    </row>
    <row r="15659" spans="13:13">
      <c r="M15659" s="202"/>
    </row>
    <row r="15660" spans="13:13">
      <c r="M15660" s="202"/>
    </row>
    <row r="15661" spans="13:13">
      <c r="M15661" s="202"/>
    </row>
    <row r="15662" spans="13:13">
      <c r="M15662" s="202"/>
    </row>
    <row r="15663" spans="13:13">
      <c r="M15663" s="202"/>
    </row>
    <row r="15664" spans="13:13">
      <c r="M15664" s="202"/>
    </row>
    <row r="15665" spans="13:13">
      <c r="M15665" s="202"/>
    </row>
    <row r="15666" spans="13:13">
      <c r="M15666" s="202"/>
    </row>
    <row r="15667" spans="13:13">
      <c r="M15667" s="202"/>
    </row>
    <row r="15668" spans="13:13">
      <c r="M15668" s="202"/>
    </row>
    <row r="15669" spans="13:13">
      <c r="M15669" s="202"/>
    </row>
    <row r="15670" spans="13:13">
      <c r="M15670" s="202"/>
    </row>
    <row r="15671" spans="13:13">
      <c r="M15671" s="202"/>
    </row>
    <row r="15672" spans="13:13">
      <c r="M15672" s="202"/>
    </row>
    <row r="15673" spans="13:13">
      <c r="M15673" s="202"/>
    </row>
    <row r="15674" spans="13:13">
      <c r="M15674" s="202"/>
    </row>
    <row r="15675" spans="13:13">
      <c r="M15675" s="202"/>
    </row>
    <row r="15676" spans="13:13">
      <c r="M15676" s="202"/>
    </row>
    <row r="15677" spans="13:13">
      <c r="M15677" s="202"/>
    </row>
    <row r="15678" spans="13:13">
      <c r="M15678" s="202"/>
    </row>
    <row r="15679" spans="13:13">
      <c r="M15679" s="202"/>
    </row>
    <row r="15680" spans="13:13">
      <c r="M15680" s="202"/>
    </row>
    <row r="15681" spans="13:13">
      <c r="M15681" s="202"/>
    </row>
    <row r="15682" spans="13:13">
      <c r="M15682" s="202"/>
    </row>
    <row r="15683" spans="13:13">
      <c r="M15683" s="202"/>
    </row>
    <row r="15684" spans="13:13">
      <c r="M15684" s="202"/>
    </row>
    <row r="15685" spans="13:13">
      <c r="M15685" s="202"/>
    </row>
    <row r="15686" spans="13:13">
      <c r="M15686" s="202"/>
    </row>
    <row r="15687" spans="13:13">
      <c r="M15687" s="202"/>
    </row>
    <row r="15688" spans="13:13">
      <c r="M15688" s="202"/>
    </row>
    <row r="15689" spans="13:13">
      <c r="M15689" s="202"/>
    </row>
    <row r="15690" spans="13:13">
      <c r="M15690" s="202"/>
    </row>
    <row r="15691" spans="13:13">
      <c r="M15691" s="202"/>
    </row>
    <row r="15692" spans="13:13">
      <c r="M15692" s="202"/>
    </row>
    <row r="15693" spans="13:13">
      <c r="M15693" s="202"/>
    </row>
    <row r="15694" spans="13:13">
      <c r="M15694" s="202"/>
    </row>
    <row r="15695" spans="13:13">
      <c r="M15695" s="202"/>
    </row>
    <row r="15696" spans="13:13">
      <c r="M15696" s="202"/>
    </row>
    <row r="15697" spans="13:13">
      <c r="M15697" s="202"/>
    </row>
    <row r="15698" spans="13:13">
      <c r="M15698" s="202"/>
    </row>
    <row r="15699" spans="13:13">
      <c r="M15699" s="202"/>
    </row>
    <row r="15700" spans="13:13">
      <c r="M15700" s="202"/>
    </row>
    <row r="15701" spans="13:13">
      <c r="M15701" s="202"/>
    </row>
    <row r="15702" spans="13:13">
      <c r="M15702" s="202"/>
    </row>
    <row r="15703" spans="13:13">
      <c r="M15703" s="202"/>
    </row>
    <row r="15704" spans="13:13">
      <c r="M15704" s="202"/>
    </row>
    <row r="15705" spans="13:13">
      <c r="M15705" s="202"/>
    </row>
    <row r="15706" spans="13:13">
      <c r="M15706" s="202"/>
    </row>
    <row r="15707" spans="13:13">
      <c r="M15707" s="202"/>
    </row>
    <row r="15708" spans="13:13">
      <c r="M15708" s="202"/>
    </row>
    <row r="15709" spans="13:13">
      <c r="M15709" s="202"/>
    </row>
    <row r="15710" spans="13:13">
      <c r="M15710" s="202"/>
    </row>
    <row r="15711" spans="13:13">
      <c r="M15711" s="202"/>
    </row>
    <row r="15712" spans="13:13">
      <c r="M15712" s="202"/>
    </row>
    <row r="15713" spans="13:13">
      <c r="M15713" s="202"/>
    </row>
    <row r="15714" spans="13:13">
      <c r="M15714" s="202"/>
    </row>
    <row r="15715" spans="13:13">
      <c r="M15715" s="202"/>
    </row>
    <row r="15716" spans="13:13">
      <c r="M15716" s="202"/>
    </row>
    <row r="15717" spans="13:13">
      <c r="M15717" s="202"/>
    </row>
    <row r="15718" spans="13:13">
      <c r="M15718" s="202"/>
    </row>
    <row r="15719" spans="13:13">
      <c r="M15719" s="202"/>
    </row>
    <row r="15720" spans="13:13">
      <c r="M15720" s="202"/>
    </row>
    <row r="15721" spans="13:13">
      <c r="M15721" s="202"/>
    </row>
    <row r="15722" spans="13:13">
      <c r="M15722" s="202"/>
    </row>
    <row r="15723" spans="13:13">
      <c r="M15723" s="202"/>
    </row>
    <row r="15724" spans="13:13">
      <c r="M15724" s="202"/>
    </row>
    <row r="15725" spans="13:13">
      <c r="M15725" s="202"/>
    </row>
    <row r="15726" spans="13:13">
      <c r="M15726" s="202"/>
    </row>
    <row r="15727" spans="13:13">
      <c r="M15727" s="202"/>
    </row>
    <row r="15728" spans="13:13">
      <c r="M15728" s="202"/>
    </row>
    <row r="15729" spans="13:13">
      <c r="M15729" s="202"/>
    </row>
    <row r="15730" spans="13:13">
      <c r="M15730" s="202"/>
    </row>
    <row r="15731" spans="13:13">
      <c r="M15731" s="202"/>
    </row>
    <row r="15732" spans="13:13">
      <c r="M15732" s="202"/>
    </row>
    <row r="15733" spans="13:13">
      <c r="M15733" s="202"/>
    </row>
    <row r="15734" spans="13:13">
      <c r="M15734" s="202"/>
    </row>
    <row r="15735" spans="13:13">
      <c r="M15735" s="202"/>
    </row>
    <row r="15736" spans="13:13">
      <c r="M15736" s="202"/>
    </row>
    <row r="15737" spans="13:13">
      <c r="M15737" s="202"/>
    </row>
    <row r="15738" spans="13:13">
      <c r="M15738" s="202"/>
    </row>
    <row r="15739" spans="13:13">
      <c r="M15739" s="202"/>
    </row>
    <row r="15740" spans="13:13">
      <c r="M15740" s="202"/>
    </row>
    <row r="15741" spans="13:13">
      <c r="M15741" s="202"/>
    </row>
    <row r="15742" spans="13:13">
      <c r="M15742" s="202"/>
    </row>
    <row r="15743" spans="13:13">
      <c r="M15743" s="202"/>
    </row>
    <row r="15744" spans="13:13">
      <c r="M15744" s="202"/>
    </row>
    <row r="15745" spans="13:13">
      <c r="M15745" s="202"/>
    </row>
    <row r="15746" spans="13:13">
      <c r="M15746" s="202"/>
    </row>
    <row r="15747" spans="13:13">
      <c r="M15747" s="202"/>
    </row>
    <row r="15748" spans="13:13">
      <c r="M15748" s="202"/>
    </row>
    <row r="15749" spans="13:13">
      <c r="M15749" s="202"/>
    </row>
    <row r="15750" spans="13:13">
      <c r="M15750" s="202"/>
    </row>
    <row r="15751" spans="13:13">
      <c r="M15751" s="202"/>
    </row>
    <row r="15752" spans="13:13">
      <c r="M15752" s="202"/>
    </row>
    <row r="15753" spans="13:13">
      <c r="M15753" s="202"/>
    </row>
    <row r="15754" spans="13:13">
      <c r="M15754" s="202"/>
    </row>
    <row r="15755" spans="13:13">
      <c r="M15755" s="202"/>
    </row>
    <row r="15756" spans="13:13">
      <c r="M15756" s="202"/>
    </row>
    <row r="15757" spans="13:13">
      <c r="M15757" s="202"/>
    </row>
    <row r="15758" spans="13:13">
      <c r="M15758" s="202"/>
    </row>
    <row r="15759" spans="13:13">
      <c r="M15759" s="202"/>
    </row>
    <row r="15760" spans="13:13">
      <c r="M15760" s="202"/>
    </row>
    <row r="15761" spans="13:13">
      <c r="M15761" s="202"/>
    </row>
    <row r="15762" spans="13:13">
      <c r="M15762" s="202"/>
    </row>
    <row r="15763" spans="13:13">
      <c r="M15763" s="202"/>
    </row>
    <row r="15764" spans="13:13">
      <c r="M15764" s="202"/>
    </row>
    <row r="15765" spans="13:13">
      <c r="M15765" s="202"/>
    </row>
    <row r="15766" spans="13:13">
      <c r="M15766" s="202"/>
    </row>
    <row r="15767" spans="13:13">
      <c r="M15767" s="202"/>
    </row>
    <row r="15768" spans="13:13">
      <c r="M15768" s="202"/>
    </row>
    <row r="15769" spans="13:13">
      <c r="M15769" s="202"/>
    </row>
    <row r="15770" spans="13:13">
      <c r="M15770" s="202"/>
    </row>
    <row r="15771" spans="13:13">
      <c r="M15771" s="202"/>
    </row>
    <row r="15772" spans="13:13">
      <c r="M15772" s="202"/>
    </row>
    <row r="15773" spans="13:13">
      <c r="M15773" s="202"/>
    </row>
    <row r="15774" spans="13:13">
      <c r="M15774" s="202"/>
    </row>
    <row r="15775" spans="13:13">
      <c r="M15775" s="202"/>
    </row>
    <row r="15776" spans="13:13">
      <c r="M15776" s="202"/>
    </row>
    <row r="15777" spans="13:13">
      <c r="M15777" s="202"/>
    </row>
    <row r="15778" spans="13:13">
      <c r="M15778" s="202"/>
    </row>
    <row r="15779" spans="13:13">
      <c r="M15779" s="202"/>
    </row>
    <row r="15780" spans="13:13">
      <c r="M15780" s="202"/>
    </row>
    <row r="15781" spans="13:13">
      <c r="M15781" s="202"/>
    </row>
    <row r="15782" spans="13:13">
      <c r="M15782" s="202"/>
    </row>
    <row r="15783" spans="13:13">
      <c r="M15783" s="202"/>
    </row>
    <row r="15784" spans="13:13">
      <c r="M15784" s="202"/>
    </row>
    <row r="15785" spans="13:13">
      <c r="M15785" s="202"/>
    </row>
    <row r="15786" spans="13:13">
      <c r="M15786" s="202"/>
    </row>
    <row r="15787" spans="13:13">
      <c r="M15787" s="202"/>
    </row>
    <row r="15788" spans="13:13">
      <c r="M15788" s="202"/>
    </row>
    <row r="15789" spans="13:13">
      <c r="M15789" s="202"/>
    </row>
    <row r="15790" spans="13:13">
      <c r="M15790" s="202"/>
    </row>
    <row r="15791" spans="13:13">
      <c r="M15791" s="202"/>
    </row>
    <row r="15792" spans="13:13">
      <c r="M15792" s="202"/>
    </row>
    <row r="15793" spans="13:13">
      <c r="M15793" s="202"/>
    </row>
    <row r="15794" spans="13:13">
      <c r="M15794" s="202"/>
    </row>
    <row r="15795" spans="13:13">
      <c r="M15795" s="202"/>
    </row>
    <row r="15796" spans="13:13">
      <c r="M15796" s="202"/>
    </row>
    <row r="15797" spans="13:13">
      <c r="M15797" s="202"/>
    </row>
    <row r="15798" spans="13:13">
      <c r="M15798" s="202"/>
    </row>
    <row r="15799" spans="13:13">
      <c r="M15799" s="202"/>
    </row>
    <row r="15800" spans="13:13">
      <c r="M15800" s="202"/>
    </row>
    <row r="15801" spans="13:13">
      <c r="M15801" s="202"/>
    </row>
    <row r="15802" spans="13:13">
      <c r="M15802" s="202"/>
    </row>
    <row r="15803" spans="13:13">
      <c r="M15803" s="202"/>
    </row>
    <row r="15804" spans="13:13">
      <c r="M15804" s="202"/>
    </row>
    <row r="15805" spans="13:13">
      <c r="M15805" s="202"/>
    </row>
    <row r="15806" spans="13:13">
      <c r="M15806" s="202"/>
    </row>
    <row r="15807" spans="13:13">
      <c r="M15807" s="202"/>
    </row>
    <row r="15808" spans="13:13">
      <c r="M15808" s="202"/>
    </row>
    <row r="15809" spans="13:13">
      <c r="M15809" s="202"/>
    </row>
    <row r="15810" spans="13:13">
      <c r="M15810" s="202"/>
    </row>
    <row r="15811" spans="13:13">
      <c r="M15811" s="202"/>
    </row>
    <row r="15812" spans="13:13">
      <c r="M15812" s="202"/>
    </row>
    <row r="15813" spans="13:13">
      <c r="M15813" s="202"/>
    </row>
    <row r="15814" spans="13:13">
      <c r="M15814" s="202"/>
    </row>
    <row r="15815" spans="13:13">
      <c r="M15815" s="202"/>
    </row>
    <row r="15816" spans="13:13">
      <c r="M15816" s="202"/>
    </row>
    <row r="15817" spans="13:13">
      <c r="M15817" s="202"/>
    </row>
    <row r="15818" spans="13:13">
      <c r="M15818" s="202"/>
    </row>
    <row r="15819" spans="13:13">
      <c r="M15819" s="202"/>
    </row>
    <row r="15820" spans="13:13">
      <c r="M15820" s="202"/>
    </row>
    <row r="15821" spans="13:13">
      <c r="M15821" s="202"/>
    </row>
    <row r="15822" spans="13:13">
      <c r="M15822" s="202"/>
    </row>
    <row r="15823" spans="13:13">
      <c r="M15823" s="202"/>
    </row>
    <row r="15824" spans="13:13">
      <c r="M15824" s="202"/>
    </row>
    <row r="15825" spans="13:13">
      <c r="M15825" s="202"/>
    </row>
    <row r="15826" spans="13:13">
      <c r="M15826" s="202"/>
    </row>
    <row r="15827" spans="13:13">
      <c r="M15827" s="202"/>
    </row>
    <row r="15828" spans="13:13">
      <c r="M15828" s="202"/>
    </row>
    <row r="15829" spans="13:13">
      <c r="M15829" s="202"/>
    </row>
    <row r="15830" spans="13:13">
      <c r="M15830" s="202"/>
    </row>
    <row r="15831" spans="13:13">
      <c r="M15831" s="202"/>
    </row>
    <row r="15832" spans="13:13">
      <c r="M15832" s="202"/>
    </row>
    <row r="15833" spans="13:13">
      <c r="M15833" s="202"/>
    </row>
    <row r="15834" spans="13:13">
      <c r="M15834" s="202"/>
    </row>
    <row r="15835" spans="13:13">
      <c r="M15835" s="202"/>
    </row>
    <row r="15836" spans="13:13">
      <c r="M15836" s="202"/>
    </row>
    <row r="15837" spans="13:13">
      <c r="M15837" s="202"/>
    </row>
    <row r="15838" spans="13:13">
      <c r="M15838" s="202"/>
    </row>
    <row r="15839" spans="13:13">
      <c r="M15839" s="202"/>
    </row>
    <row r="15840" spans="13:13">
      <c r="M15840" s="202"/>
    </row>
    <row r="15841" spans="13:13">
      <c r="M15841" s="202"/>
    </row>
    <row r="15842" spans="13:13">
      <c r="M15842" s="202"/>
    </row>
    <row r="15843" spans="13:13">
      <c r="M15843" s="202"/>
    </row>
    <row r="15844" spans="13:13">
      <c r="M15844" s="202"/>
    </row>
    <row r="15845" spans="13:13">
      <c r="M15845" s="202"/>
    </row>
    <row r="15846" spans="13:13">
      <c r="M15846" s="202"/>
    </row>
    <row r="15847" spans="13:13">
      <c r="M15847" s="202"/>
    </row>
    <row r="15848" spans="13:13">
      <c r="M15848" s="202"/>
    </row>
    <row r="15849" spans="13:13">
      <c r="M15849" s="202"/>
    </row>
    <row r="15850" spans="13:13">
      <c r="M15850" s="202"/>
    </row>
    <row r="15851" spans="13:13">
      <c r="M15851" s="202"/>
    </row>
    <row r="15852" spans="13:13">
      <c r="M15852" s="202"/>
    </row>
    <row r="15853" spans="13:13">
      <c r="M15853" s="202"/>
    </row>
    <row r="15854" spans="13:13">
      <c r="M15854" s="202"/>
    </row>
    <row r="15855" spans="13:13">
      <c r="M15855" s="202"/>
    </row>
    <row r="15856" spans="13:13">
      <c r="M15856" s="202"/>
    </row>
    <row r="15857" spans="13:13">
      <c r="M15857" s="202"/>
    </row>
    <row r="15858" spans="13:13">
      <c r="M15858" s="202"/>
    </row>
    <row r="15859" spans="13:13">
      <c r="M15859" s="202"/>
    </row>
    <row r="15860" spans="13:13">
      <c r="M15860" s="202"/>
    </row>
    <row r="15861" spans="13:13">
      <c r="M15861" s="202"/>
    </row>
    <row r="15862" spans="13:13">
      <c r="M15862" s="202"/>
    </row>
    <row r="15863" spans="13:13">
      <c r="M15863" s="202"/>
    </row>
    <row r="15864" spans="13:13">
      <c r="M15864" s="202"/>
    </row>
    <row r="15865" spans="13:13">
      <c r="M15865" s="202"/>
    </row>
    <row r="15866" spans="13:13">
      <c r="M15866" s="202"/>
    </row>
    <row r="15867" spans="13:13">
      <c r="M15867" s="202"/>
    </row>
    <row r="15868" spans="13:13">
      <c r="M15868" s="202"/>
    </row>
    <row r="15869" spans="13:13">
      <c r="M15869" s="202"/>
    </row>
    <row r="15870" spans="13:13">
      <c r="M15870" s="202"/>
    </row>
    <row r="15871" spans="13:13">
      <c r="M15871" s="202"/>
    </row>
    <row r="15872" spans="13:13">
      <c r="M15872" s="202"/>
    </row>
    <row r="15873" spans="13:13">
      <c r="M15873" s="202"/>
    </row>
    <row r="15874" spans="13:13">
      <c r="M15874" s="202"/>
    </row>
    <row r="15875" spans="13:13">
      <c r="M15875" s="202"/>
    </row>
    <row r="15876" spans="13:13">
      <c r="M15876" s="202"/>
    </row>
    <row r="15877" spans="13:13">
      <c r="M15877" s="202"/>
    </row>
    <row r="15878" spans="13:13">
      <c r="M15878" s="202"/>
    </row>
    <row r="15879" spans="13:13">
      <c r="M15879" s="202"/>
    </row>
    <row r="15880" spans="13:13">
      <c r="M15880" s="202"/>
    </row>
    <row r="15881" spans="13:13">
      <c r="M15881" s="202"/>
    </row>
    <row r="15882" spans="13:13">
      <c r="M15882" s="202"/>
    </row>
    <row r="15883" spans="13:13">
      <c r="M15883" s="202"/>
    </row>
    <row r="15884" spans="13:13">
      <c r="M15884" s="202"/>
    </row>
    <row r="15885" spans="13:13">
      <c r="M15885" s="202"/>
    </row>
    <row r="15886" spans="13:13">
      <c r="M15886" s="202"/>
    </row>
    <row r="15887" spans="13:13">
      <c r="M15887" s="202"/>
    </row>
    <row r="15888" spans="13:13">
      <c r="M15888" s="202"/>
    </row>
    <row r="15889" spans="13:13">
      <c r="M15889" s="202"/>
    </row>
    <row r="15890" spans="13:13">
      <c r="M15890" s="202"/>
    </row>
    <row r="15891" spans="13:13">
      <c r="M15891" s="202"/>
    </row>
    <row r="15892" spans="13:13">
      <c r="M15892" s="202"/>
    </row>
    <row r="15893" spans="13:13">
      <c r="M15893" s="202"/>
    </row>
    <row r="15894" spans="13:13">
      <c r="M15894" s="202"/>
    </row>
    <row r="15895" spans="13:13">
      <c r="M15895" s="202"/>
    </row>
    <row r="15896" spans="13:13">
      <c r="M15896" s="202"/>
    </row>
    <row r="15897" spans="13:13">
      <c r="M15897" s="202"/>
    </row>
    <row r="15898" spans="13:13">
      <c r="M15898" s="202"/>
    </row>
    <row r="15899" spans="13:13">
      <c r="M15899" s="202"/>
    </row>
    <row r="15900" spans="13:13">
      <c r="M15900" s="202"/>
    </row>
    <row r="15901" spans="13:13">
      <c r="M15901" s="202"/>
    </row>
    <row r="15902" spans="13:13">
      <c r="M15902" s="202"/>
    </row>
    <row r="15903" spans="13:13">
      <c r="M15903" s="202"/>
    </row>
    <row r="15904" spans="13:13">
      <c r="M15904" s="202"/>
    </row>
    <row r="15905" spans="13:13">
      <c r="M15905" s="202"/>
    </row>
    <row r="15906" spans="13:13">
      <c r="M15906" s="202"/>
    </row>
    <row r="15907" spans="13:13">
      <c r="M15907" s="202"/>
    </row>
    <row r="15908" spans="13:13">
      <c r="M15908" s="202"/>
    </row>
    <row r="15909" spans="13:13">
      <c r="M15909" s="202"/>
    </row>
    <row r="15910" spans="13:13">
      <c r="M15910" s="202"/>
    </row>
    <row r="15911" spans="13:13">
      <c r="M15911" s="202"/>
    </row>
    <row r="15912" spans="13:13">
      <c r="M15912" s="202"/>
    </row>
    <row r="15913" spans="13:13">
      <c r="M15913" s="202"/>
    </row>
    <row r="15914" spans="13:13">
      <c r="M15914" s="202"/>
    </row>
    <row r="15915" spans="13:13">
      <c r="M15915" s="202"/>
    </row>
    <row r="15916" spans="13:13">
      <c r="M15916" s="202"/>
    </row>
    <row r="15917" spans="13:13">
      <c r="M15917" s="202"/>
    </row>
    <row r="15918" spans="13:13">
      <c r="M15918" s="202"/>
    </row>
    <row r="15919" spans="13:13">
      <c r="M15919" s="202"/>
    </row>
    <row r="15920" spans="13:13">
      <c r="M15920" s="202"/>
    </row>
    <row r="15921" spans="13:13">
      <c r="M15921" s="202"/>
    </row>
    <row r="15922" spans="13:13">
      <c r="M15922" s="202"/>
    </row>
    <row r="15923" spans="13:13">
      <c r="M15923" s="202"/>
    </row>
    <row r="15924" spans="13:13">
      <c r="M15924" s="202"/>
    </row>
    <row r="15925" spans="13:13">
      <c r="M15925" s="202"/>
    </row>
    <row r="15926" spans="13:13">
      <c r="M15926" s="202"/>
    </row>
    <row r="15927" spans="13:13">
      <c r="M15927" s="202"/>
    </row>
    <row r="15928" spans="13:13">
      <c r="M15928" s="202"/>
    </row>
    <row r="15929" spans="13:13">
      <c r="M15929" s="202"/>
    </row>
    <row r="15930" spans="13:13">
      <c r="M15930" s="202"/>
    </row>
    <row r="15931" spans="13:13">
      <c r="M15931" s="202"/>
    </row>
    <row r="15932" spans="13:13">
      <c r="M15932" s="202"/>
    </row>
    <row r="15933" spans="13:13">
      <c r="M15933" s="202"/>
    </row>
    <row r="15934" spans="13:13">
      <c r="M15934" s="202"/>
    </row>
    <row r="15935" spans="13:13">
      <c r="M15935" s="202"/>
    </row>
    <row r="15936" spans="13:13">
      <c r="M15936" s="202"/>
    </row>
    <row r="15937" spans="13:13">
      <c r="M15937" s="202"/>
    </row>
    <row r="15938" spans="13:13">
      <c r="M15938" s="202"/>
    </row>
    <row r="15939" spans="13:13">
      <c r="M15939" s="202"/>
    </row>
    <row r="15940" spans="13:13">
      <c r="M15940" s="202"/>
    </row>
    <row r="15941" spans="13:13">
      <c r="M15941" s="202"/>
    </row>
    <row r="15942" spans="13:13">
      <c r="M15942" s="202"/>
    </row>
    <row r="15943" spans="13:13">
      <c r="M15943" s="202"/>
    </row>
    <row r="15944" spans="13:13">
      <c r="M15944" s="202"/>
    </row>
    <row r="15945" spans="13:13">
      <c r="M15945" s="202"/>
    </row>
    <row r="15946" spans="13:13">
      <c r="M15946" s="202"/>
    </row>
    <row r="15947" spans="13:13">
      <c r="M15947" s="202"/>
    </row>
    <row r="15948" spans="13:13">
      <c r="M15948" s="202"/>
    </row>
    <row r="15949" spans="13:13">
      <c r="M15949" s="202"/>
    </row>
    <row r="15950" spans="13:13">
      <c r="M15950" s="202"/>
    </row>
    <row r="15951" spans="13:13">
      <c r="M15951" s="202"/>
    </row>
    <row r="15952" spans="13:13">
      <c r="M15952" s="202"/>
    </row>
    <row r="15953" spans="13:13">
      <c r="M15953" s="202"/>
    </row>
    <row r="15954" spans="13:13">
      <c r="M15954" s="202"/>
    </row>
    <row r="15955" spans="13:13">
      <c r="M15955" s="202"/>
    </row>
    <row r="15956" spans="13:13">
      <c r="M15956" s="202"/>
    </row>
    <row r="15957" spans="13:13">
      <c r="M15957" s="202"/>
    </row>
    <row r="15958" spans="13:13">
      <c r="M15958" s="202"/>
    </row>
    <row r="15959" spans="13:13">
      <c r="M15959" s="202"/>
    </row>
    <row r="15960" spans="13:13">
      <c r="M15960" s="202"/>
    </row>
    <row r="15961" spans="13:13">
      <c r="M15961" s="202"/>
    </row>
    <row r="15962" spans="13:13">
      <c r="M15962" s="202"/>
    </row>
    <row r="15963" spans="13:13">
      <c r="M15963" s="202"/>
    </row>
    <row r="15964" spans="13:13">
      <c r="M15964" s="202"/>
    </row>
    <row r="15965" spans="13:13">
      <c r="M15965" s="202"/>
    </row>
    <row r="15966" spans="13:13">
      <c r="M15966" s="202"/>
    </row>
    <row r="15967" spans="13:13">
      <c r="M15967" s="202"/>
    </row>
    <row r="15968" spans="13:13">
      <c r="M15968" s="202"/>
    </row>
    <row r="15969" spans="13:13">
      <c r="M15969" s="202"/>
    </row>
    <row r="15970" spans="13:13">
      <c r="M15970" s="202"/>
    </row>
    <row r="15971" spans="13:13">
      <c r="M15971" s="202"/>
    </row>
    <row r="15972" spans="13:13">
      <c r="M15972" s="202"/>
    </row>
    <row r="15973" spans="13:13">
      <c r="M15973" s="202"/>
    </row>
    <row r="15974" spans="13:13">
      <c r="M15974" s="202"/>
    </row>
    <row r="15975" spans="13:13">
      <c r="M15975" s="202"/>
    </row>
    <row r="15976" spans="13:13">
      <c r="M15976" s="202"/>
    </row>
    <row r="15977" spans="13:13">
      <c r="M15977" s="202"/>
    </row>
    <row r="15978" spans="13:13">
      <c r="M15978" s="202"/>
    </row>
    <row r="15979" spans="13:13">
      <c r="M15979" s="202"/>
    </row>
    <row r="15980" spans="13:13">
      <c r="M15980" s="202"/>
    </row>
    <row r="15981" spans="13:13">
      <c r="M15981" s="202"/>
    </row>
    <row r="15982" spans="13:13">
      <c r="M15982" s="202"/>
    </row>
    <row r="15983" spans="13:13">
      <c r="M15983" s="202"/>
    </row>
    <row r="15984" spans="13:13">
      <c r="M15984" s="202"/>
    </row>
    <row r="15985" spans="13:13">
      <c r="M15985" s="202"/>
    </row>
    <row r="15986" spans="13:13">
      <c r="M15986" s="202"/>
    </row>
    <row r="15987" spans="13:13">
      <c r="M15987" s="202"/>
    </row>
    <row r="15988" spans="13:13">
      <c r="M15988" s="202"/>
    </row>
    <row r="15989" spans="13:13">
      <c r="M15989" s="202"/>
    </row>
    <row r="15990" spans="13:13">
      <c r="M15990" s="202"/>
    </row>
    <row r="15991" spans="13:13">
      <c r="M15991" s="202"/>
    </row>
    <row r="15992" spans="13:13">
      <c r="M15992" s="202"/>
    </row>
    <row r="15993" spans="13:13">
      <c r="M15993" s="202"/>
    </row>
    <row r="15994" spans="13:13">
      <c r="M15994" s="202"/>
    </row>
    <row r="15995" spans="13:13">
      <c r="M15995" s="202"/>
    </row>
    <row r="15996" spans="13:13">
      <c r="M15996" s="202"/>
    </row>
    <row r="15997" spans="13:13">
      <c r="M15997" s="202"/>
    </row>
    <row r="15998" spans="13:13">
      <c r="M15998" s="202"/>
    </row>
    <row r="15999" spans="13:13">
      <c r="M15999" s="202"/>
    </row>
    <row r="16000" spans="13:13">
      <c r="M16000" s="202"/>
    </row>
    <row r="16001" spans="13:13">
      <c r="M16001" s="202"/>
    </row>
    <row r="16002" spans="13:13">
      <c r="M16002" s="202"/>
    </row>
    <row r="16003" spans="13:13">
      <c r="M16003" s="202"/>
    </row>
    <row r="16004" spans="13:13">
      <c r="M16004" s="202"/>
    </row>
    <row r="16005" spans="13:13">
      <c r="M16005" s="202"/>
    </row>
    <row r="16006" spans="13:13">
      <c r="M16006" s="202"/>
    </row>
    <row r="16007" spans="13:13">
      <c r="M16007" s="202"/>
    </row>
    <row r="16008" spans="13:13">
      <c r="M16008" s="202"/>
    </row>
    <row r="16009" spans="13:13">
      <c r="M16009" s="202"/>
    </row>
    <row r="16010" spans="13:13">
      <c r="M16010" s="202"/>
    </row>
    <row r="16011" spans="13:13">
      <c r="M16011" s="202"/>
    </row>
    <row r="16012" spans="13:13">
      <c r="M16012" s="202"/>
    </row>
    <row r="16013" spans="13:13">
      <c r="M16013" s="202"/>
    </row>
    <row r="16014" spans="13:13">
      <c r="M16014" s="202"/>
    </row>
    <row r="16015" spans="13:13">
      <c r="M16015" s="202"/>
    </row>
    <row r="16016" spans="13:13">
      <c r="M16016" s="202"/>
    </row>
    <row r="16017" spans="13:13">
      <c r="M16017" s="202"/>
    </row>
    <row r="16018" spans="13:13">
      <c r="M16018" s="202"/>
    </row>
    <row r="16019" spans="13:13">
      <c r="M16019" s="202"/>
    </row>
    <row r="16020" spans="13:13">
      <c r="M16020" s="202"/>
    </row>
    <row r="16021" spans="13:13">
      <c r="M16021" s="202"/>
    </row>
    <row r="16022" spans="13:13">
      <c r="M16022" s="202"/>
    </row>
    <row r="16023" spans="13:13">
      <c r="M16023" s="202"/>
    </row>
    <row r="16024" spans="13:13">
      <c r="M16024" s="202"/>
    </row>
    <row r="16025" spans="13:13">
      <c r="M16025" s="202"/>
    </row>
    <row r="16026" spans="13:13">
      <c r="M16026" s="202"/>
    </row>
    <row r="16027" spans="13:13">
      <c r="M16027" s="202"/>
    </row>
    <row r="16028" spans="13:13">
      <c r="M16028" s="202"/>
    </row>
    <row r="16029" spans="13:13">
      <c r="M16029" s="202"/>
    </row>
    <row r="16030" spans="13:13">
      <c r="M16030" s="202"/>
    </row>
    <row r="16031" spans="13:13">
      <c r="M16031" s="202"/>
    </row>
    <row r="16032" spans="13:13">
      <c r="M16032" s="202"/>
    </row>
    <row r="16033" spans="13:13">
      <c r="M16033" s="202"/>
    </row>
    <row r="16034" spans="13:13">
      <c r="M16034" s="202"/>
    </row>
    <row r="16035" spans="13:13">
      <c r="M16035" s="202"/>
    </row>
    <row r="16036" spans="13:13">
      <c r="M16036" s="202"/>
    </row>
    <row r="16037" spans="13:13">
      <c r="M16037" s="202"/>
    </row>
    <row r="16038" spans="13:13">
      <c r="M16038" s="202"/>
    </row>
    <row r="16039" spans="13:13">
      <c r="M16039" s="202"/>
    </row>
    <row r="16040" spans="13:13">
      <c r="M16040" s="202"/>
    </row>
    <row r="16041" spans="13:13">
      <c r="M16041" s="202"/>
    </row>
    <row r="16042" spans="13:13">
      <c r="M16042" s="202"/>
    </row>
    <row r="16043" spans="13:13">
      <c r="M16043" s="202"/>
    </row>
    <row r="16044" spans="13:13">
      <c r="M16044" s="202"/>
    </row>
    <row r="16045" spans="13:13">
      <c r="M16045" s="202"/>
    </row>
    <row r="16046" spans="13:13">
      <c r="M16046" s="202"/>
    </row>
    <row r="16047" spans="13:13">
      <c r="M16047" s="202"/>
    </row>
    <row r="16048" spans="13:13">
      <c r="M16048" s="202"/>
    </row>
    <row r="16049" spans="13:13">
      <c r="M16049" s="202"/>
    </row>
    <row r="16050" spans="13:13">
      <c r="M16050" s="202"/>
    </row>
    <row r="16051" spans="13:13">
      <c r="M16051" s="202"/>
    </row>
    <row r="16052" spans="13:13">
      <c r="M16052" s="202"/>
    </row>
    <row r="16053" spans="13:13">
      <c r="M16053" s="202"/>
    </row>
    <row r="16054" spans="13:13">
      <c r="M16054" s="202"/>
    </row>
    <row r="16055" spans="13:13">
      <c r="M16055" s="202"/>
    </row>
    <row r="16056" spans="13:13">
      <c r="M16056" s="202"/>
    </row>
    <row r="16057" spans="13:13">
      <c r="M16057" s="202"/>
    </row>
    <row r="16058" spans="13:13">
      <c r="M16058" s="202"/>
    </row>
    <row r="16059" spans="13:13">
      <c r="M16059" s="202"/>
    </row>
    <row r="16060" spans="13:13">
      <c r="M16060" s="202"/>
    </row>
    <row r="16061" spans="13:13">
      <c r="M16061" s="202"/>
    </row>
    <row r="16062" spans="13:13">
      <c r="M16062" s="202"/>
    </row>
    <row r="16063" spans="13:13">
      <c r="M16063" s="202"/>
    </row>
    <row r="16064" spans="13:13">
      <c r="M16064" s="202"/>
    </row>
    <row r="16065" spans="13:13">
      <c r="M16065" s="202"/>
    </row>
    <row r="16066" spans="13:13">
      <c r="M16066" s="202"/>
    </row>
    <row r="16067" spans="13:13">
      <c r="M16067" s="202"/>
    </row>
    <row r="16068" spans="13:13">
      <c r="M16068" s="202"/>
    </row>
    <row r="16069" spans="13:13">
      <c r="M16069" s="202"/>
    </row>
    <row r="16070" spans="13:13">
      <c r="M16070" s="202"/>
    </row>
    <row r="16071" spans="13:13">
      <c r="M16071" s="202"/>
    </row>
    <row r="16072" spans="13:13">
      <c r="M16072" s="202"/>
    </row>
    <row r="16073" spans="13:13">
      <c r="M16073" s="202"/>
    </row>
    <row r="16074" spans="13:13">
      <c r="M16074" s="202"/>
    </row>
    <row r="16075" spans="13:13">
      <c r="M16075" s="202"/>
    </row>
    <row r="16076" spans="13:13">
      <c r="M16076" s="202"/>
    </row>
    <row r="16077" spans="13:13">
      <c r="M16077" s="202"/>
    </row>
    <row r="16078" spans="13:13">
      <c r="M16078" s="202"/>
    </row>
    <row r="16079" spans="13:13">
      <c r="M16079" s="202"/>
    </row>
    <row r="16080" spans="13:13">
      <c r="M16080" s="202"/>
    </row>
    <row r="16081" spans="13:13">
      <c r="M16081" s="202"/>
    </row>
    <row r="16082" spans="13:13">
      <c r="M16082" s="202"/>
    </row>
    <row r="16083" spans="13:13">
      <c r="M16083" s="202"/>
    </row>
    <row r="16084" spans="13:13">
      <c r="M16084" s="202"/>
    </row>
    <row r="16085" spans="13:13">
      <c r="M16085" s="202"/>
    </row>
    <row r="16086" spans="13:13">
      <c r="M16086" s="202"/>
    </row>
    <row r="16087" spans="13:13">
      <c r="M16087" s="202"/>
    </row>
    <row r="16088" spans="13:13">
      <c r="M16088" s="202"/>
    </row>
    <row r="16089" spans="13:13">
      <c r="M16089" s="202"/>
    </row>
    <row r="16090" spans="13:13">
      <c r="M16090" s="202"/>
    </row>
    <row r="16091" spans="13:13">
      <c r="M16091" s="202"/>
    </row>
    <row r="16092" spans="13:13">
      <c r="M16092" s="202"/>
    </row>
    <row r="16093" spans="13:13">
      <c r="M16093" s="202"/>
    </row>
    <row r="16094" spans="13:13">
      <c r="M16094" s="202"/>
    </row>
    <row r="16095" spans="13:13">
      <c r="M16095" s="202"/>
    </row>
    <row r="16096" spans="13:13">
      <c r="M16096" s="202"/>
    </row>
    <row r="16097" spans="13:13">
      <c r="M16097" s="202"/>
    </row>
    <row r="16098" spans="13:13">
      <c r="M16098" s="202"/>
    </row>
    <row r="16099" spans="13:13">
      <c r="M16099" s="202"/>
    </row>
    <row r="16100" spans="13:13">
      <c r="M16100" s="202"/>
    </row>
    <row r="16101" spans="13:13">
      <c r="M16101" s="202"/>
    </row>
    <row r="16102" spans="13:13">
      <c r="M16102" s="202"/>
    </row>
    <row r="16103" spans="13:13">
      <c r="M16103" s="202"/>
    </row>
    <row r="16104" spans="13:13">
      <c r="M16104" s="202"/>
    </row>
    <row r="16105" spans="13:13">
      <c r="M16105" s="202"/>
    </row>
    <row r="16106" spans="13:13">
      <c r="M16106" s="202"/>
    </row>
    <row r="16107" spans="13:13">
      <c r="M16107" s="202"/>
    </row>
    <row r="16108" spans="13:13">
      <c r="M16108" s="202"/>
    </row>
    <row r="16109" spans="13:13">
      <c r="M16109" s="202"/>
    </row>
    <row r="16110" spans="13:13">
      <c r="M16110" s="202"/>
    </row>
    <row r="16111" spans="13:13">
      <c r="M16111" s="202"/>
    </row>
    <row r="16112" spans="13:13">
      <c r="M16112" s="202"/>
    </row>
    <row r="16113" spans="13:13">
      <c r="M16113" s="202"/>
    </row>
    <row r="16114" spans="13:13">
      <c r="M16114" s="202"/>
    </row>
    <row r="16115" spans="13:13">
      <c r="M16115" s="202"/>
    </row>
    <row r="16116" spans="13:13">
      <c r="M16116" s="202"/>
    </row>
    <row r="16117" spans="13:13">
      <c r="M16117" s="202"/>
    </row>
    <row r="16118" spans="13:13">
      <c r="M16118" s="202"/>
    </row>
    <row r="16119" spans="13:13">
      <c r="M16119" s="202"/>
    </row>
    <row r="16120" spans="13:13">
      <c r="M16120" s="202"/>
    </row>
    <row r="16121" spans="13:13">
      <c r="M16121" s="202"/>
    </row>
    <row r="16122" spans="13:13">
      <c r="M16122" s="202"/>
    </row>
    <row r="16123" spans="13:13">
      <c r="M16123" s="202"/>
    </row>
    <row r="16124" spans="13:13">
      <c r="M16124" s="202"/>
    </row>
    <row r="16125" spans="13:13">
      <c r="M16125" s="202"/>
    </row>
    <row r="16126" spans="13:13">
      <c r="M16126" s="202"/>
    </row>
    <row r="16127" spans="13:13">
      <c r="M16127" s="202"/>
    </row>
    <row r="16128" spans="13:13">
      <c r="M16128" s="202"/>
    </row>
    <row r="16129" spans="13:13">
      <c r="M16129" s="202"/>
    </row>
    <row r="16130" spans="13:13">
      <c r="M16130" s="202"/>
    </row>
    <row r="16131" spans="13:13">
      <c r="M16131" s="202"/>
    </row>
    <row r="16132" spans="13:13">
      <c r="M16132" s="202"/>
    </row>
    <row r="16133" spans="13:13">
      <c r="M16133" s="202"/>
    </row>
    <row r="16134" spans="13:13">
      <c r="M16134" s="202"/>
    </row>
    <row r="16135" spans="13:13">
      <c r="M16135" s="202"/>
    </row>
    <row r="16136" spans="13:13">
      <c r="M16136" s="202"/>
    </row>
    <row r="16137" spans="13:13">
      <c r="M16137" s="202"/>
    </row>
    <row r="16138" spans="13:13">
      <c r="M16138" s="202"/>
    </row>
    <row r="16139" spans="13:13">
      <c r="M16139" s="202"/>
    </row>
    <row r="16140" spans="13:13">
      <c r="M16140" s="202"/>
    </row>
    <row r="16141" spans="13:13">
      <c r="M16141" s="202"/>
    </row>
    <row r="16142" spans="13:13">
      <c r="M16142" s="202"/>
    </row>
    <row r="16143" spans="13:13">
      <c r="M16143" s="202"/>
    </row>
    <row r="16144" spans="13:13">
      <c r="M16144" s="202"/>
    </row>
    <row r="16145" spans="13:13">
      <c r="M16145" s="202"/>
    </row>
    <row r="16146" spans="13:13">
      <c r="M16146" s="202"/>
    </row>
    <row r="16147" spans="13:13">
      <c r="M16147" s="202"/>
    </row>
    <row r="16148" spans="13:13">
      <c r="M16148" s="202"/>
    </row>
    <row r="16149" spans="13:13">
      <c r="M16149" s="202"/>
    </row>
    <row r="16150" spans="13:13">
      <c r="M16150" s="202"/>
    </row>
    <row r="16151" spans="13:13">
      <c r="M16151" s="202"/>
    </row>
    <row r="16152" spans="13:13">
      <c r="M16152" s="202"/>
    </row>
    <row r="16153" spans="13:13">
      <c r="M16153" s="202"/>
    </row>
    <row r="16154" spans="13:13">
      <c r="M16154" s="202"/>
    </row>
    <row r="16155" spans="13:13">
      <c r="M16155" s="202"/>
    </row>
    <row r="16156" spans="13:13">
      <c r="M16156" s="202"/>
    </row>
    <row r="16157" spans="13:13">
      <c r="M16157" s="202"/>
    </row>
    <row r="16158" spans="13:13">
      <c r="M16158" s="202"/>
    </row>
    <row r="16159" spans="13:13">
      <c r="M16159" s="202"/>
    </row>
    <row r="16160" spans="13:13">
      <c r="M16160" s="202"/>
    </row>
    <row r="16161" spans="13:13">
      <c r="M16161" s="202"/>
    </row>
    <row r="16162" spans="13:13">
      <c r="M16162" s="202"/>
    </row>
    <row r="16163" spans="13:13">
      <c r="M16163" s="202"/>
    </row>
    <row r="16164" spans="13:13">
      <c r="M16164" s="202"/>
    </row>
    <row r="16165" spans="13:13">
      <c r="M16165" s="202"/>
    </row>
    <row r="16166" spans="13:13">
      <c r="M16166" s="202"/>
    </row>
    <row r="16167" spans="13:13">
      <c r="M16167" s="202"/>
    </row>
    <row r="16168" spans="13:13">
      <c r="M16168" s="202"/>
    </row>
    <row r="16169" spans="13:13">
      <c r="M16169" s="202"/>
    </row>
    <row r="16170" spans="13:13">
      <c r="M16170" s="202"/>
    </row>
    <row r="16171" spans="13:13">
      <c r="M16171" s="202"/>
    </row>
    <row r="16172" spans="13:13">
      <c r="M16172" s="202"/>
    </row>
    <row r="16173" spans="13:13">
      <c r="M16173" s="202"/>
    </row>
    <row r="16174" spans="13:13">
      <c r="M16174" s="202"/>
    </row>
    <row r="16175" spans="13:13">
      <c r="M16175" s="202"/>
    </row>
    <row r="16176" spans="13:13">
      <c r="M16176" s="202"/>
    </row>
    <row r="16177" spans="13:13">
      <c r="M16177" s="202"/>
    </row>
    <row r="16178" spans="13:13">
      <c r="M16178" s="202"/>
    </row>
    <row r="16179" spans="13:13">
      <c r="M16179" s="202"/>
    </row>
    <row r="16180" spans="13:13">
      <c r="M16180" s="202"/>
    </row>
    <row r="16181" spans="13:13">
      <c r="M16181" s="202"/>
    </row>
    <row r="16182" spans="13:13">
      <c r="M16182" s="202"/>
    </row>
    <row r="16183" spans="13:13">
      <c r="M16183" s="202"/>
    </row>
    <row r="16184" spans="13:13">
      <c r="M16184" s="202"/>
    </row>
    <row r="16185" spans="13:13">
      <c r="M16185" s="202"/>
    </row>
    <row r="16186" spans="13:13">
      <c r="M16186" s="202"/>
    </row>
    <row r="16187" spans="13:13">
      <c r="M16187" s="202"/>
    </row>
    <row r="16188" spans="13:13">
      <c r="M16188" s="202"/>
    </row>
    <row r="16189" spans="13:13">
      <c r="M16189" s="202"/>
    </row>
    <row r="16190" spans="13:13">
      <c r="M16190" s="202"/>
    </row>
    <row r="16191" spans="13:13">
      <c r="M16191" s="202"/>
    </row>
    <row r="16192" spans="13:13">
      <c r="M16192" s="202"/>
    </row>
    <row r="16193" spans="13:13">
      <c r="M16193" s="202"/>
    </row>
    <row r="16194" spans="13:13">
      <c r="M16194" s="202"/>
    </row>
    <row r="16195" spans="13:13">
      <c r="M16195" s="202"/>
    </row>
    <row r="16196" spans="13:13">
      <c r="M16196" s="202"/>
    </row>
    <row r="16197" spans="13:13">
      <c r="M16197" s="202"/>
    </row>
    <row r="16198" spans="13:13">
      <c r="M16198" s="202"/>
    </row>
    <row r="16199" spans="13:13">
      <c r="M16199" s="202"/>
    </row>
    <row r="16200" spans="13:13">
      <c r="M16200" s="202"/>
    </row>
    <row r="16201" spans="13:13">
      <c r="M16201" s="202"/>
    </row>
    <row r="16202" spans="13:13">
      <c r="M16202" s="202"/>
    </row>
    <row r="16203" spans="13:13">
      <c r="M16203" s="202"/>
    </row>
    <row r="16204" spans="13:13">
      <c r="M16204" s="202"/>
    </row>
    <row r="16205" spans="13:13">
      <c r="M16205" s="202"/>
    </row>
    <row r="16206" spans="13:13">
      <c r="M16206" s="202"/>
    </row>
    <row r="16207" spans="13:13">
      <c r="M16207" s="202"/>
    </row>
    <row r="16208" spans="13:13">
      <c r="M16208" s="202"/>
    </row>
    <row r="16209" spans="13:13">
      <c r="M16209" s="202"/>
    </row>
    <row r="16210" spans="13:13">
      <c r="M16210" s="202"/>
    </row>
    <row r="16211" spans="13:13">
      <c r="M16211" s="202"/>
    </row>
    <row r="16212" spans="13:13">
      <c r="M16212" s="202"/>
    </row>
    <row r="16213" spans="13:13">
      <c r="M16213" s="202"/>
    </row>
    <row r="16214" spans="13:13">
      <c r="M16214" s="202"/>
    </row>
    <row r="16215" spans="13:13">
      <c r="M16215" s="202"/>
    </row>
    <row r="16216" spans="13:13">
      <c r="M16216" s="202"/>
    </row>
    <row r="16217" spans="13:13">
      <c r="M16217" s="202"/>
    </row>
    <row r="16218" spans="13:13">
      <c r="M16218" s="202"/>
    </row>
    <row r="16219" spans="13:13">
      <c r="M16219" s="202"/>
    </row>
    <row r="16220" spans="13:13">
      <c r="M16220" s="202"/>
    </row>
    <row r="16221" spans="13:13">
      <c r="M16221" s="202"/>
    </row>
    <row r="16222" spans="13:13">
      <c r="M16222" s="202"/>
    </row>
    <row r="16223" spans="13:13">
      <c r="M16223" s="202"/>
    </row>
    <row r="16224" spans="13:13">
      <c r="M16224" s="202"/>
    </row>
    <row r="16225" spans="13:13">
      <c r="M16225" s="202"/>
    </row>
    <row r="16226" spans="13:13">
      <c r="M16226" s="202"/>
    </row>
    <row r="16227" spans="13:13">
      <c r="M16227" s="202"/>
    </row>
    <row r="16228" spans="13:13">
      <c r="M16228" s="202"/>
    </row>
    <row r="16229" spans="13:13">
      <c r="M16229" s="202"/>
    </row>
    <row r="16230" spans="13:13">
      <c r="M16230" s="202"/>
    </row>
    <row r="16231" spans="13:13">
      <c r="M16231" s="202"/>
    </row>
    <row r="16232" spans="13:13">
      <c r="M16232" s="202"/>
    </row>
    <row r="16233" spans="13:13">
      <c r="M16233" s="202"/>
    </row>
    <row r="16234" spans="13:13">
      <c r="M16234" s="202"/>
    </row>
    <row r="16235" spans="13:13">
      <c r="M16235" s="202"/>
    </row>
    <row r="16236" spans="13:13">
      <c r="M16236" s="202"/>
    </row>
    <row r="16237" spans="13:13">
      <c r="M16237" s="202"/>
    </row>
    <row r="16238" spans="13:13">
      <c r="M16238" s="202"/>
    </row>
    <row r="16239" spans="13:13">
      <c r="M16239" s="202"/>
    </row>
    <row r="16240" spans="13:13">
      <c r="M16240" s="202"/>
    </row>
    <row r="16241" spans="13:13">
      <c r="M16241" s="202"/>
    </row>
    <row r="16242" spans="13:13">
      <c r="M16242" s="202"/>
    </row>
    <row r="16243" spans="13:13">
      <c r="M16243" s="202"/>
    </row>
    <row r="16244" spans="13:13">
      <c r="M16244" s="202"/>
    </row>
    <row r="16245" spans="13:13">
      <c r="M16245" s="202"/>
    </row>
    <row r="16246" spans="13:13">
      <c r="M16246" s="202"/>
    </row>
    <row r="16247" spans="13:13">
      <c r="M16247" s="202"/>
    </row>
    <row r="16248" spans="13:13">
      <c r="M16248" s="202"/>
    </row>
    <row r="16249" spans="13:13">
      <c r="M16249" s="202"/>
    </row>
    <row r="16250" spans="13:13">
      <c r="M16250" s="202"/>
    </row>
    <row r="16251" spans="13:13">
      <c r="M16251" s="202"/>
    </row>
    <row r="16252" spans="13:13">
      <c r="M16252" s="202"/>
    </row>
    <row r="16253" spans="13:13">
      <c r="M16253" s="202"/>
    </row>
    <row r="16254" spans="13:13">
      <c r="M16254" s="202"/>
    </row>
    <row r="16255" spans="13:13">
      <c r="M16255" s="202"/>
    </row>
    <row r="16256" spans="13:13">
      <c r="M16256" s="202"/>
    </row>
    <row r="16257" spans="13:13">
      <c r="M16257" s="202"/>
    </row>
    <row r="16258" spans="13:13">
      <c r="M16258" s="202"/>
    </row>
    <row r="16259" spans="13:13">
      <c r="M16259" s="202"/>
    </row>
    <row r="16260" spans="13:13">
      <c r="M16260" s="202"/>
    </row>
    <row r="16261" spans="13:13">
      <c r="M16261" s="202"/>
    </row>
    <row r="16262" spans="13:13">
      <c r="M16262" s="202"/>
    </row>
    <row r="16263" spans="13:13">
      <c r="M16263" s="202"/>
    </row>
    <row r="16264" spans="13:13">
      <c r="M16264" s="202"/>
    </row>
    <row r="16265" spans="13:13">
      <c r="M16265" s="202"/>
    </row>
    <row r="16266" spans="13:13">
      <c r="M16266" s="202"/>
    </row>
    <row r="16267" spans="13:13">
      <c r="M16267" s="202"/>
    </row>
    <row r="16268" spans="13:13">
      <c r="M16268" s="202"/>
    </row>
    <row r="16269" spans="13:13">
      <c r="M16269" s="202"/>
    </row>
    <row r="16270" spans="13:13">
      <c r="M16270" s="202"/>
    </row>
    <row r="16271" spans="13:13">
      <c r="M16271" s="202"/>
    </row>
    <row r="16272" spans="13:13">
      <c r="M16272" s="202"/>
    </row>
    <row r="16273" spans="13:13">
      <c r="M16273" s="202"/>
    </row>
    <row r="16274" spans="13:13">
      <c r="M16274" s="202"/>
    </row>
    <row r="16275" spans="13:13">
      <c r="M16275" s="202"/>
    </row>
    <row r="16276" spans="13:13">
      <c r="M16276" s="202"/>
    </row>
    <row r="16277" spans="13:13">
      <c r="M16277" s="202"/>
    </row>
    <row r="16278" spans="13:13">
      <c r="M16278" s="202"/>
    </row>
    <row r="16279" spans="13:13">
      <c r="M16279" s="202"/>
    </row>
    <row r="16280" spans="13:13">
      <c r="M16280" s="202"/>
    </row>
    <row r="16281" spans="13:13">
      <c r="M16281" s="202"/>
    </row>
    <row r="16282" spans="13:13">
      <c r="M16282" s="202"/>
    </row>
    <row r="16283" spans="13:13">
      <c r="M16283" s="202"/>
    </row>
    <row r="16284" spans="13:13">
      <c r="M16284" s="202"/>
    </row>
    <row r="16285" spans="13:13">
      <c r="M16285" s="202"/>
    </row>
    <row r="16286" spans="13:13">
      <c r="M16286" s="202"/>
    </row>
    <row r="16287" spans="13:13">
      <c r="M16287" s="202"/>
    </row>
    <row r="16288" spans="13:13">
      <c r="M16288" s="202"/>
    </row>
    <row r="16289" spans="13:13">
      <c r="M16289" s="202"/>
    </row>
    <row r="16290" spans="13:13">
      <c r="M16290" s="202"/>
    </row>
    <row r="16291" spans="13:13">
      <c r="M16291" s="202"/>
    </row>
    <row r="16292" spans="13:13">
      <c r="M16292" s="202"/>
    </row>
    <row r="16293" spans="13:13">
      <c r="M16293" s="202"/>
    </row>
    <row r="16294" spans="13:13">
      <c r="M16294" s="202"/>
    </row>
    <row r="16295" spans="13:13">
      <c r="M16295" s="202"/>
    </row>
    <row r="16296" spans="13:13">
      <c r="M16296" s="202"/>
    </row>
    <row r="16297" spans="13:13">
      <c r="M16297" s="202"/>
    </row>
    <row r="16298" spans="13:13">
      <c r="M16298" s="202"/>
    </row>
    <row r="16299" spans="13:13">
      <c r="M16299" s="202"/>
    </row>
    <row r="16300" spans="13:13">
      <c r="M16300" s="202"/>
    </row>
    <row r="16301" spans="13:13">
      <c r="M16301" s="202"/>
    </row>
    <row r="16302" spans="13:13">
      <c r="M16302" s="202"/>
    </row>
    <row r="16303" spans="13:13">
      <c r="M16303" s="202"/>
    </row>
    <row r="16304" spans="13:13">
      <c r="M16304" s="202"/>
    </row>
    <row r="16305" spans="13:13">
      <c r="M16305" s="202"/>
    </row>
    <row r="16306" spans="13:13">
      <c r="M16306" s="202"/>
    </row>
    <row r="16307" spans="13:13">
      <c r="M16307" s="202"/>
    </row>
    <row r="16308" spans="13:13">
      <c r="M16308" s="202"/>
    </row>
    <row r="16309" spans="13:13">
      <c r="M16309" s="202"/>
    </row>
    <row r="16310" spans="13:13">
      <c r="M16310" s="202"/>
    </row>
    <row r="16311" spans="13:13">
      <c r="M16311" s="202"/>
    </row>
    <row r="16312" spans="13:13">
      <c r="M16312" s="202"/>
    </row>
    <row r="16313" spans="13:13">
      <c r="M16313" s="202"/>
    </row>
    <row r="16314" spans="13:13">
      <c r="M16314" s="202"/>
    </row>
    <row r="16315" spans="13:13">
      <c r="M16315" s="202"/>
    </row>
    <row r="16316" spans="13:13">
      <c r="M16316" s="202"/>
    </row>
    <row r="16317" spans="13:13">
      <c r="M16317" s="202"/>
    </row>
    <row r="16318" spans="13:13">
      <c r="M16318" s="202"/>
    </row>
    <row r="16319" spans="13:13">
      <c r="M16319" s="202"/>
    </row>
    <row r="16320" spans="13:13">
      <c r="M16320" s="202"/>
    </row>
    <row r="16321" spans="13:13">
      <c r="M16321" s="202"/>
    </row>
    <row r="16322" spans="13:13">
      <c r="M16322" s="202"/>
    </row>
    <row r="16323" spans="13:13">
      <c r="M16323" s="202"/>
    </row>
    <row r="16324" spans="13:13">
      <c r="M16324" s="202"/>
    </row>
    <row r="16325" spans="13:13">
      <c r="M16325" s="202"/>
    </row>
    <row r="16326" spans="13:13">
      <c r="M16326" s="202"/>
    </row>
    <row r="16327" spans="13:13">
      <c r="M16327" s="202"/>
    </row>
    <row r="16328" spans="13:13">
      <c r="M16328" s="202"/>
    </row>
    <row r="16329" spans="13:13">
      <c r="M16329" s="202"/>
    </row>
    <row r="16330" spans="13:13">
      <c r="M16330" s="202"/>
    </row>
    <row r="16331" spans="13:13">
      <c r="M16331" s="202"/>
    </row>
    <row r="16332" spans="13:13">
      <c r="M16332" s="202"/>
    </row>
    <row r="16333" spans="13:13">
      <c r="M16333" s="202"/>
    </row>
    <row r="16334" spans="13:13">
      <c r="M16334" s="202"/>
    </row>
    <row r="16335" spans="13:13">
      <c r="M16335" s="202"/>
    </row>
    <row r="16336" spans="13:13">
      <c r="M16336" s="202"/>
    </row>
    <row r="16337" spans="13:13">
      <c r="M16337" s="202"/>
    </row>
    <row r="16338" spans="13:13">
      <c r="M16338" s="202"/>
    </row>
    <row r="16339" spans="13:13">
      <c r="M16339" s="202"/>
    </row>
    <row r="16340" spans="13:13">
      <c r="M16340" s="202"/>
    </row>
    <row r="16341" spans="13:13">
      <c r="M16341" s="202"/>
    </row>
    <row r="16342" spans="13:13">
      <c r="M16342" s="202"/>
    </row>
    <row r="16343" spans="13:13">
      <c r="M16343" s="202"/>
    </row>
    <row r="16344" spans="13:13">
      <c r="M16344" s="202"/>
    </row>
    <row r="16345" spans="13:13">
      <c r="M16345" s="202"/>
    </row>
    <row r="16346" spans="13:13">
      <c r="M16346" s="202"/>
    </row>
    <row r="16347" spans="13:13">
      <c r="M16347" s="202"/>
    </row>
    <row r="16348" spans="13:13">
      <c r="M16348" s="202"/>
    </row>
    <row r="16349" spans="13:13">
      <c r="M16349" s="202"/>
    </row>
    <row r="16350" spans="13:13">
      <c r="M16350" s="202"/>
    </row>
    <row r="16351" spans="13:13">
      <c r="M16351" s="202"/>
    </row>
    <row r="16352" spans="13:13">
      <c r="M16352" s="202"/>
    </row>
    <row r="16353" spans="13:13">
      <c r="M16353" s="202"/>
    </row>
    <row r="16354" spans="13:13">
      <c r="M16354" s="202"/>
    </row>
    <row r="16355" spans="13:13">
      <c r="M16355" s="202"/>
    </row>
    <row r="16356" spans="13:13">
      <c r="M16356" s="202"/>
    </row>
    <row r="16357" spans="13:13">
      <c r="M16357" s="202"/>
    </row>
    <row r="16358" spans="13:13">
      <c r="M16358" s="202"/>
    </row>
    <row r="16359" spans="13:13">
      <c r="M16359" s="202"/>
    </row>
    <row r="16360" spans="13:13">
      <c r="M16360" s="202"/>
    </row>
    <row r="16361" spans="13:13">
      <c r="M16361" s="202"/>
    </row>
    <row r="16362" spans="13:13">
      <c r="M16362" s="202"/>
    </row>
    <row r="16363" spans="13:13">
      <c r="M16363" s="202"/>
    </row>
    <row r="16364" spans="13:13">
      <c r="M16364" s="202"/>
    </row>
    <row r="16365" spans="13:13">
      <c r="M16365" s="202"/>
    </row>
    <row r="16366" spans="13:13">
      <c r="M16366" s="202"/>
    </row>
    <row r="16367" spans="13:13">
      <c r="M16367" s="202"/>
    </row>
    <row r="16368" spans="13:13">
      <c r="M16368" s="202"/>
    </row>
    <row r="16369" spans="13:13">
      <c r="M16369" s="202"/>
    </row>
    <row r="16370" spans="13:13">
      <c r="M16370" s="202"/>
    </row>
    <row r="16371" spans="13:13">
      <c r="M16371" s="202"/>
    </row>
    <row r="16372" spans="13:13">
      <c r="M16372" s="202"/>
    </row>
    <row r="16373" spans="13:13">
      <c r="M16373" s="202"/>
    </row>
    <row r="16374" spans="13:13">
      <c r="M16374" s="202"/>
    </row>
    <row r="16375" spans="13:13">
      <c r="M16375" s="202"/>
    </row>
    <row r="16376" spans="13:13">
      <c r="M16376" s="202"/>
    </row>
    <row r="16377" spans="13:13">
      <c r="M16377" s="202"/>
    </row>
    <row r="16378" spans="13:13">
      <c r="M16378" s="202"/>
    </row>
    <row r="16379" spans="13:13">
      <c r="M16379" s="202"/>
    </row>
    <row r="16380" spans="13:13">
      <c r="M16380" s="202"/>
    </row>
    <row r="16381" spans="13:13">
      <c r="M16381" s="202"/>
    </row>
    <row r="16382" spans="13:13">
      <c r="M16382" s="202"/>
    </row>
    <row r="16383" spans="13:13">
      <c r="M16383" s="202"/>
    </row>
    <row r="16384" spans="13:13">
      <c r="M16384" s="202"/>
    </row>
    <row r="16385" spans="13:13">
      <c r="M16385" s="202"/>
    </row>
    <row r="16386" spans="13:13">
      <c r="M16386" s="202"/>
    </row>
    <row r="16387" spans="13:13">
      <c r="M16387" s="202"/>
    </row>
    <row r="16388" spans="13:13">
      <c r="M16388" s="202"/>
    </row>
    <row r="16389" spans="13:13">
      <c r="M16389" s="202"/>
    </row>
    <row r="16390" spans="13:13">
      <c r="M16390" s="202"/>
    </row>
    <row r="16391" spans="13:13">
      <c r="M16391" s="202"/>
    </row>
    <row r="16392" spans="13:13">
      <c r="M16392" s="202"/>
    </row>
    <row r="16393" spans="13:13">
      <c r="M16393" s="202"/>
    </row>
    <row r="16394" spans="13:13">
      <c r="M16394" s="202"/>
    </row>
    <row r="16395" spans="13:13">
      <c r="M16395" s="202"/>
    </row>
    <row r="16396" spans="13:13">
      <c r="M16396" s="202"/>
    </row>
    <row r="16397" spans="13:13">
      <c r="M16397" s="202"/>
    </row>
    <row r="16398" spans="13:13">
      <c r="M16398" s="202"/>
    </row>
    <row r="16399" spans="13:13">
      <c r="M16399" s="202"/>
    </row>
    <row r="16400" spans="13:13">
      <c r="M16400" s="202"/>
    </row>
    <row r="16401" spans="13:13">
      <c r="M16401" s="202"/>
    </row>
    <row r="16402" spans="13:13">
      <c r="M16402" s="202"/>
    </row>
    <row r="16403" spans="13:13">
      <c r="M16403" s="202"/>
    </row>
    <row r="16404" spans="13:13">
      <c r="M16404" s="202"/>
    </row>
    <row r="16405" spans="13:13">
      <c r="M16405" s="202"/>
    </row>
    <row r="16406" spans="13:13">
      <c r="M16406" s="202"/>
    </row>
    <row r="16407" spans="13:13">
      <c r="M16407" s="202"/>
    </row>
    <row r="16408" spans="13:13">
      <c r="M16408" s="202"/>
    </row>
    <row r="16409" spans="13:13">
      <c r="M16409" s="202"/>
    </row>
    <row r="16410" spans="13:13">
      <c r="M16410" s="202"/>
    </row>
    <row r="16411" spans="13:13">
      <c r="M16411" s="202"/>
    </row>
    <row r="16412" spans="13:13">
      <c r="M16412" s="202"/>
    </row>
    <row r="16413" spans="13:13">
      <c r="M16413" s="202"/>
    </row>
    <row r="16414" spans="13:13">
      <c r="M16414" s="202"/>
    </row>
    <row r="16415" spans="13:13">
      <c r="M16415" s="202"/>
    </row>
    <row r="16416" spans="13:13">
      <c r="M16416" s="202"/>
    </row>
    <row r="16417" spans="13:13">
      <c r="M16417" s="202"/>
    </row>
    <row r="16418" spans="13:13">
      <c r="M16418" s="202"/>
    </row>
    <row r="16419" spans="13:13">
      <c r="M16419" s="202"/>
    </row>
    <row r="16420" spans="13:13">
      <c r="M16420" s="202"/>
    </row>
    <row r="16421" spans="13:13">
      <c r="M16421" s="202"/>
    </row>
    <row r="16422" spans="13:13">
      <c r="M16422" s="202"/>
    </row>
    <row r="16423" spans="13:13">
      <c r="M16423" s="202"/>
    </row>
    <row r="16424" spans="13:13">
      <c r="M16424" s="202"/>
    </row>
    <row r="16425" spans="13:13">
      <c r="M16425" s="202"/>
    </row>
    <row r="16426" spans="13:13">
      <c r="M16426" s="202"/>
    </row>
    <row r="16427" spans="13:13">
      <c r="M16427" s="202"/>
    </row>
    <row r="16428" spans="13:13">
      <c r="M16428" s="202"/>
    </row>
    <row r="16429" spans="13:13">
      <c r="M16429" s="202"/>
    </row>
    <row r="16430" spans="13:13">
      <c r="M16430" s="202"/>
    </row>
    <row r="16431" spans="13:13">
      <c r="M16431" s="202"/>
    </row>
    <row r="16432" spans="13:13">
      <c r="M16432" s="202"/>
    </row>
    <row r="16433" spans="13:13">
      <c r="M16433" s="202"/>
    </row>
    <row r="16434" spans="13:13">
      <c r="M16434" s="202"/>
    </row>
    <row r="16435" spans="13:13">
      <c r="M16435" s="202"/>
    </row>
    <row r="16436" spans="13:13">
      <c r="M16436" s="202"/>
    </row>
    <row r="16437" spans="13:13">
      <c r="M16437" s="202"/>
    </row>
    <row r="16438" spans="13:13">
      <c r="M16438" s="202"/>
    </row>
    <row r="16439" spans="13:13">
      <c r="M16439" s="202"/>
    </row>
    <row r="16440" spans="13:13">
      <c r="M16440" s="202"/>
    </row>
    <row r="16441" spans="13:13">
      <c r="M16441" s="202"/>
    </row>
    <row r="16442" spans="13:13">
      <c r="M16442" s="202"/>
    </row>
    <row r="16443" spans="13:13">
      <c r="M16443" s="202"/>
    </row>
    <row r="16444" spans="13:13">
      <c r="M16444" s="202"/>
    </row>
    <row r="16445" spans="13:13">
      <c r="M16445" s="202"/>
    </row>
    <row r="16446" spans="13:13">
      <c r="M16446" s="202"/>
    </row>
    <row r="16447" spans="13:13">
      <c r="M16447" s="202"/>
    </row>
    <row r="16448" spans="13:13">
      <c r="M16448" s="202"/>
    </row>
    <row r="16449" spans="13:13">
      <c r="M16449" s="202"/>
    </row>
    <row r="16450" spans="13:13">
      <c r="M16450" s="202"/>
    </row>
    <row r="16451" spans="13:13">
      <c r="M16451" s="202"/>
    </row>
    <row r="16452" spans="13:13">
      <c r="M16452" s="202"/>
    </row>
    <row r="16453" spans="13:13">
      <c r="M16453" s="202"/>
    </row>
    <row r="16454" spans="13:13">
      <c r="M16454" s="202"/>
    </row>
    <row r="16455" spans="13:13">
      <c r="M16455" s="202"/>
    </row>
    <row r="16456" spans="13:13">
      <c r="M16456" s="202"/>
    </row>
    <row r="16457" spans="13:13">
      <c r="M16457" s="202"/>
    </row>
    <row r="16458" spans="13:13">
      <c r="M16458" s="202"/>
    </row>
    <row r="16459" spans="13:13">
      <c r="M16459" s="202"/>
    </row>
    <row r="16460" spans="13:13">
      <c r="M16460" s="202"/>
    </row>
    <row r="16461" spans="13:13">
      <c r="M16461" s="202"/>
    </row>
    <row r="16462" spans="13:13">
      <c r="M16462" s="202"/>
    </row>
    <row r="16463" spans="13:13">
      <c r="M16463" s="202"/>
    </row>
    <row r="16464" spans="13:13">
      <c r="M16464" s="202"/>
    </row>
    <row r="16465" spans="13:13">
      <c r="M16465" s="202"/>
    </row>
    <row r="16466" spans="13:13">
      <c r="M16466" s="202"/>
    </row>
    <row r="16467" spans="13:13">
      <c r="M16467" s="202"/>
    </row>
    <row r="16468" spans="13:13">
      <c r="M16468" s="202"/>
    </row>
    <row r="16469" spans="13:13">
      <c r="M16469" s="202"/>
    </row>
    <row r="16470" spans="13:13">
      <c r="M16470" s="202"/>
    </row>
    <row r="16471" spans="13:13">
      <c r="M16471" s="202"/>
    </row>
    <row r="16472" spans="13:13">
      <c r="M16472" s="202"/>
    </row>
    <row r="16473" spans="13:13">
      <c r="M16473" s="202"/>
    </row>
    <row r="16474" spans="13:13">
      <c r="M16474" s="202"/>
    </row>
    <row r="16475" spans="13:13">
      <c r="M16475" s="202"/>
    </row>
    <row r="16476" spans="13:13">
      <c r="M16476" s="202"/>
    </row>
    <row r="16477" spans="13:13">
      <c r="M16477" s="202"/>
    </row>
    <row r="16478" spans="13:13">
      <c r="M16478" s="202"/>
    </row>
    <row r="16479" spans="13:13">
      <c r="M16479" s="202"/>
    </row>
    <row r="16480" spans="13:13">
      <c r="M16480" s="202"/>
    </row>
    <row r="16481" spans="13:13">
      <c r="M16481" s="202"/>
    </row>
    <row r="16482" spans="13:13">
      <c r="M16482" s="202"/>
    </row>
    <row r="16483" spans="13:13">
      <c r="M16483" s="202"/>
    </row>
    <row r="16484" spans="13:13">
      <c r="M16484" s="202"/>
    </row>
    <row r="16485" spans="13:13">
      <c r="M16485" s="202"/>
    </row>
    <row r="16486" spans="13:13">
      <c r="M16486" s="202"/>
    </row>
    <row r="16487" spans="13:13">
      <c r="M16487" s="202"/>
    </row>
    <row r="16488" spans="13:13">
      <c r="M16488" s="202"/>
    </row>
    <row r="16489" spans="13:13">
      <c r="M16489" s="202"/>
    </row>
    <row r="16490" spans="13:13">
      <c r="M16490" s="202"/>
    </row>
    <row r="16491" spans="13:13">
      <c r="M16491" s="202"/>
    </row>
    <row r="16492" spans="13:13">
      <c r="M16492" s="202"/>
    </row>
    <row r="16493" spans="13:13">
      <c r="M16493" s="202"/>
    </row>
    <row r="16494" spans="13:13">
      <c r="M16494" s="202"/>
    </row>
    <row r="16495" spans="13:13">
      <c r="M16495" s="202"/>
    </row>
    <row r="16496" spans="13:13">
      <c r="M16496" s="202"/>
    </row>
    <row r="16497" spans="13:13">
      <c r="M16497" s="202"/>
    </row>
    <row r="16498" spans="13:13">
      <c r="M16498" s="202"/>
    </row>
    <row r="16499" spans="13:13">
      <c r="M16499" s="202"/>
    </row>
    <row r="16500" spans="13:13">
      <c r="M16500" s="202"/>
    </row>
    <row r="16501" spans="13:13">
      <c r="M16501" s="202"/>
    </row>
    <row r="16502" spans="13:13">
      <c r="M16502" s="202"/>
    </row>
    <row r="16503" spans="13:13">
      <c r="M16503" s="202"/>
    </row>
    <row r="16504" spans="13:13">
      <c r="M16504" s="202"/>
    </row>
    <row r="16505" spans="13:13">
      <c r="M16505" s="202"/>
    </row>
    <row r="16506" spans="13:13">
      <c r="M16506" s="202"/>
    </row>
    <row r="16507" spans="13:13">
      <c r="M16507" s="202"/>
    </row>
    <row r="16508" spans="13:13">
      <c r="M16508" s="202"/>
    </row>
    <row r="16509" spans="13:13">
      <c r="M16509" s="202"/>
    </row>
    <row r="16510" spans="13:13">
      <c r="M16510" s="202"/>
    </row>
    <row r="16511" spans="13:13">
      <c r="M16511" s="202"/>
    </row>
    <row r="16512" spans="13:13">
      <c r="M16512" s="202"/>
    </row>
    <row r="16513" spans="13:13">
      <c r="M16513" s="202"/>
    </row>
    <row r="16514" spans="13:13">
      <c r="M16514" s="202"/>
    </row>
    <row r="16515" spans="13:13">
      <c r="M16515" s="202"/>
    </row>
    <row r="16516" spans="13:13">
      <c r="M16516" s="202"/>
    </row>
    <row r="16517" spans="13:13">
      <c r="M16517" s="202"/>
    </row>
    <row r="16518" spans="13:13">
      <c r="M16518" s="202"/>
    </row>
    <row r="16519" spans="13:13">
      <c r="M16519" s="202"/>
    </row>
    <row r="16520" spans="13:13">
      <c r="M16520" s="202"/>
    </row>
    <row r="16521" spans="13:13">
      <c r="M16521" s="202"/>
    </row>
    <row r="16522" spans="13:13">
      <c r="M16522" s="202"/>
    </row>
    <row r="16523" spans="13:13">
      <c r="M16523" s="202"/>
    </row>
    <row r="16524" spans="13:13">
      <c r="M16524" s="202"/>
    </row>
    <row r="16525" spans="13:13">
      <c r="M16525" s="202"/>
    </row>
    <row r="16526" spans="13:13">
      <c r="M16526" s="202"/>
    </row>
    <row r="16527" spans="13:13">
      <c r="M16527" s="202"/>
    </row>
    <row r="16528" spans="13:13">
      <c r="M16528" s="202"/>
    </row>
    <row r="16529" spans="13:13">
      <c r="M16529" s="202"/>
    </row>
    <row r="16530" spans="13:13">
      <c r="M16530" s="202"/>
    </row>
    <row r="16531" spans="13:13">
      <c r="M16531" s="202"/>
    </row>
    <row r="16532" spans="13:13">
      <c r="M16532" s="202"/>
    </row>
    <row r="16533" spans="13:13">
      <c r="M16533" s="202"/>
    </row>
    <row r="16534" spans="13:13">
      <c r="M16534" s="202"/>
    </row>
    <row r="16535" spans="13:13">
      <c r="M16535" s="202"/>
    </row>
    <row r="16536" spans="13:13">
      <c r="M16536" s="202"/>
    </row>
    <row r="16537" spans="13:13">
      <c r="M16537" s="202"/>
    </row>
    <row r="16538" spans="13:13">
      <c r="M16538" s="202"/>
    </row>
    <row r="16539" spans="13:13">
      <c r="M16539" s="202"/>
    </row>
    <row r="16540" spans="13:13">
      <c r="M16540" s="202"/>
    </row>
    <row r="16541" spans="13:13">
      <c r="M16541" s="202"/>
    </row>
    <row r="16542" spans="13:13">
      <c r="M16542" s="202"/>
    </row>
    <row r="16543" spans="13:13">
      <c r="M16543" s="202"/>
    </row>
    <row r="16544" spans="13:13">
      <c r="M16544" s="202"/>
    </row>
    <row r="16545" spans="13:13">
      <c r="M16545" s="202"/>
    </row>
    <row r="16546" spans="13:13">
      <c r="M16546" s="202"/>
    </row>
    <row r="16547" spans="13:13">
      <c r="M16547" s="202"/>
    </row>
    <row r="16548" spans="13:13">
      <c r="M16548" s="202"/>
    </row>
    <row r="16549" spans="13:13">
      <c r="M16549" s="202"/>
    </row>
    <row r="16550" spans="13:13">
      <c r="M16550" s="202"/>
    </row>
    <row r="16551" spans="13:13">
      <c r="M16551" s="202"/>
    </row>
    <row r="16552" spans="13:13">
      <c r="M16552" s="202"/>
    </row>
    <row r="16553" spans="13:13">
      <c r="M16553" s="202"/>
    </row>
    <row r="16554" spans="13:13">
      <c r="M16554" s="202"/>
    </row>
    <row r="16555" spans="13:13">
      <c r="M16555" s="202"/>
    </row>
    <row r="16556" spans="13:13">
      <c r="M16556" s="202"/>
    </row>
    <row r="16557" spans="13:13">
      <c r="M16557" s="202"/>
    </row>
    <row r="16558" spans="13:13">
      <c r="M16558" s="202"/>
    </row>
    <row r="16559" spans="13:13">
      <c r="M16559" s="202"/>
    </row>
    <row r="16560" spans="13:13">
      <c r="M16560" s="202"/>
    </row>
    <row r="16561" spans="13:13">
      <c r="M16561" s="202"/>
    </row>
    <row r="16562" spans="13:13">
      <c r="M16562" s="202"/>
    </row>
    <row r="16563" spans="13:13">
      <c r="M16563" s="202"/>
    </row>
    <row r="16564" spans="13:13">
      <c r="M16564" s="202"/>
    </row>
    <row r="16565" spans="13:13">
      <c r="M16565" s="202"/>
    </row>
    <row r="16566" spans="13:13">
      <c r="M16566" s="202"/>
    </row>
    <row r="16567" spans="13:13">
      <c r="M16567" s="202"/>
    </row>
    <row r="16568" spans="13:13">
      <c r="M16568" s="202"/>
    </row>
    <row r="16569" spans="13:13">
      <c r="M16569" s="202"/>
    </row>
    <row r="16570" spans="13:13">
      <c r="M16570" s="202"/>
    </row>
    <row r="16571" spans="13:13">
      <c r="M16571" s="202"/>
    </row>
    <row r="16572" spans="13:13">
      <c r="M16572" s="202"/>
    </row>
    <row r="16573" spans="13:13">
      <c r="M16573" s="202"/>
    </row>
    <row r="16574" spans="13:13">
      <c r="M16574" s="202"/>
    </row>
    <row r="16575" spans="13:13">
      <c r="M16575" s="202"/>
    </row>
    <row r="16576" spans="13:13">
      <c r="M16576" s="202"/>
    </row>
    <row r="16577" spans="13:13">
      <c r="M16577" s="202"/>
    </row>
    <row r="16578" spans="13:13">
      <c r="M16578" s="202"/>
    </row>
    <row r="16579" spans="13:13">
      <c r="M16579" s="202"/>
    </row>
    <row r="16580" spans="13:13">
      <c r="M16580" s="202"/>
    </row>
    <row r="16581" spans="13:13">
      <c r="M16581" s="202"/>
    </row>
    <row r="16582" spans="13:13">
      <c r="M16582" s="202"/>
    </row>
    <row r="16583" spans="13:13">
      <c r="M16583" s="202"/>
    </row>
    <row r="16584" spans="13:13">
      <c r="M16584" s="202"/>
    </row>
    <row r="16585" spans="13:13">
      <c r="M16585" s="202"/>
    </row>
    <row r="16586" spans="13:13">
      <c r="M16586" s="202"/>
    </row>
    <row r="16587" spans="13:13">
      <c r="M16587" s="202"/>
    </row>
    <row r="16588" spans="13:13">
      <c r="M16588" s="202"/>
    </row>
    <row r="16589" spans="13:13">
      <c r="M16589" s="202"/>
    </row>
    <row r="16590" spans="13:13">
      <c r="M16590" s="202"/>
    </row>
    <row r="16591" spans="13:13">
      <c r="M16591" s="202"/>
    </row>
    <row r="16592" spans="13:13">
      <c r="M16592" s="202"/>
    </row>
    <row r="16593" spans="13:13">
      <c r="M16593" s="202"/>
    </row>
    <row r="16594" spans="13:13">
      <c r="M16594" s="202"/>
    </row>
    <row r="16595" spans="13:13">
      <c r="M16595" s="202"/>
    </row>
    <row r="16596" spans="13:13">
      <c r="M16596" s="202"/>
    </row>
    <row r="16597" spans="13:13">
      <c r="M16597" s="202"/>
    </row>
    <row r="16598" spans="13:13">
      <c r="M16598" s="202"/>
    </row>
    <row r="16599" spans="13:13">
      <c r="M16599" s="202"/>
    </row>
    <row r="16600" spans="13:13">
      <c r="M16600" s="202"/>
    </row>
    <row r="16601" spans="13:13">
      <c r="M16601" s="202"/>
    </row>
    <row r="16602" spans="13:13">
      <c r="M16602" s="202"/>
    </row>
    <row r="16603" spans="13:13">
      <c r="M16603" s="202"/>
    </row>
    <row r="16604" spans="13:13">
      <c r="M16604" s="202"/>
    </row>
    <row r="16605" spans="13:13">
      <c r="M16605" s="202"/>
    </row>
    <row r="16606" spans="13:13">
      <c r="M16606" s="202"/>
    </row>
    <row r="16607" spans="13:13">
      <c r="M16607" s="202"/>
    </row>
    <row r="16608" spans="13:13">
      <c r="M16608" s="202"/>
    </row>
    <row r="16609" spans="13:13">
      <c r="M16609" s="202"/>
    </row>
    <row r="16610" spans="13:13">
      <c r="M16610" s="202"/>
    </row>
    <row r="16611" spans="13:13">
      <c r="M16611" s="202"/>
    </row>
    <row r="16612" spans="13:13">
      <c r="M16612" s="202"/>
    </row>
    <row r="16613" spans="13:13">
      <c r="M16613" s="202"/>
    </row>
    <row r="16614" spans="13:13">
      <c r="M16614" s="202"/>
    </row>
    <row r="16615" spans="13:13">
      <c r="M16615" s="202"/>
    </row>
    <row r="16616" spans="13:13">
      <c r="M16616" s="202"/>
    </row>
    <row r="16617" spans="13:13">
      <c r="M16617" s="202"/>
    </row>
    <row r="16618" spans="13:13">
      <c r="M16618" s="202"/>
    </row>
    <row r="16619" spans="13:13">
      <c r="M16619" s="202"/>
    </row>
    <row r="16620" spans="13:13">
      <c r="M16620" s="202"/>
    </row>
    <row r="16621" spans="13:13">
      <c r="M16621" s="202"/>
    </row>
    <row r="16622" spans="13:13">
      <c r="M16622" s="202"/>
    </row>
    <row r="16623" spans="13:13">
      <c r="M16623" s="202"/>
    </row>
    <row r="16624" spans="13:13">
      <c r="M16624" s="202"/>
    </row>
    <row r="16625" spans="13:13">
      <c r="M16625" s="202"/>
    </row>
    <row r="16626" spans="13:13">
      <c r="M16626" s="202"/>
    </row>
    <row r="16627" spans="13:13">
      <c r="M16627" s="202"/>
    </row>
    <row r="16628" spans="13:13">
      <c r="M16628" s="202"/>
    </row>
    <row r="16629" spans="13:13">
      <c r="M16629" s="202"/>
    </row>
    <row r="16630" spans="13:13">
      <c r="M16630" s="202"/>
    </row>
    <row r="16631" spans="13:13">
      <c r="M16631" s="202"/>
    </row>
    <row r="16632" spans="13:13">
      <c r="M16632" s="202"/>
    </row>
    <row r="16633" spans="13:13">
      <c r="M16633" s="202"/>
    </row>
    <row r="16634" spans="13:13">
      <c r="M16634" s="202"/>
    </row>
    <row r="16635" spans="13:13">
      <c r="M16635" s="202"/>
    </row>
    <row r="16636" spans="13:13">
      <c r="M16636" s="202"/>
    </row>
    <row r="16637" spans="13:13">
      <c r="M16637" s="202"/>
    </row>
    <row r="16638" spans="13:13">
      <c r="M16638" s="202"/>
    </row>
    <row r="16639" spans="13:13">
      <c r="M16639" s="202"/>
    </row>
    <row r="16640" spans="13:13">
      <c r="M16640" s="202"/>
    </row>
    <row r="16641" spans="13:13">
      <c r="M16641" s="202"/>
    </row>
    <row r="16642" spans="13:13">
      <c r="M16642" s="202"/>
    </row>
    <row r="16643" spans="13:13">
      <c r="M16643" s="202"/>
    </row>
    <row r="16644" spans="13:13">
      <c r="M16644" s="202"/>
    </row>
    <row r="16645" spans="13:13">
      <c r="M16645" s="202"/>
    </row>
    <row r="16646" spans="13:13">
      <c r="M16646" s="202"/>
    </row>
    <row r="16647" spans="13:13">
      <c r="M16647" s="202"/>
    </row>
    <row r="16648" spans="13:13">
      <c r="M16648" s="202"/>
    </row>
    <row r="16649" spans="13:13">
      <c r="M16649" s="202"/>
    </row>
    <row r="16650" spans="13:13">
      <c r="M16650" s="202"/>
    </row>
    <row r="16651" spans="13:13">
      <c r="M16651" s="202"/>
    </row>
    <row r="16652" spans="13:13">
      <c r="M16652" s="202"/>
    </row>
    <row r="16653" spans="13:13">
      <c r="M16653" s="202"/>
    </row>
    <row r="16654" spans="13:13">
      <c r="M16654" s="202"/>
    </row>
    <row r="16655" spans="13:13">
      <c r="M16655" s="202"/>
    </row>
    <row r="16656" spans="13:13">
      <c r="M16656" s="202"/>
    </row>
    <row r="16657" spans="13:13">
      <c r="M16657" s="202"/>
    </row>
    <row r="16658" spans="13:13">
      <c r="M16658" s="202"/>
    </row>
    <row r="16659" spans="13:13">
      <c r="M16659" s="202"/>
    </row>
    <row r="16660" spans="13:13">
      <c r="M16660" s="202"/>
    </row>
    <row r="16661" spans="13:13">
      <c r="M16661" s="202"/>
    </row>
    <row r="16662" spans="13:13">
      <c r="M16662" s="202"/>
    </row>
    <row r="16663" spans="13:13">
      <c r="M16663" s="202"/>
    </row>
    <row r="16664" spans="13:13">
      <c r="M16664" s="202"/>
    </row>
    <row r="16665" spans="13:13">
      <c r="M16665" s="202"/>
    </row>
    <row r="16666" spans="13:13">
      <c r="M16666" s="202"/>
    </row>
    <row r="16667" spans="13:13">
      <c r="M16667" s="202"/>
    </row>
    <row r="16668" spans="13:13">
      <c r="M16668" s="202"/>
    </row>
    <row r="16669" spans="13:13">
      <c r="M16669" s="202"/>
    </row>
    <row r="16670" spans="13:13">
      <c r="M16670" s="202"/>
    </row>
    <row r="16671" spans="13:13">
      <c r="M16671" s="202"/>
    </row>
    <row r="16672" spans="13:13">
      <c r="M16672" s="202"/>
    </row>
    <row r="16673" spans="13:13">
      <c r="M16673" s="202"/>
    </row>
    <row r="16674" spans="13:13">
      <c r="M16674" s="202"/>
    </row>
    <row r="16675" spans="13:13">
      <c r="M16675" s="202"/>
    </row>
    <row r="16676" spans="13:13">
      <c r="M16676" s="202"/>
    </row>
    <row r="16677" spans="13:13">
      <c r="M16677" s="202"/>
    </row>
    <row r="16678" spans="13:13">
      <c r="M16678" s="202"/>
    </row>
    <row r="16679" spans="13:13">
      <c r="M16679" s="202"/>
    </row>
    <row r="16680" spans="13:13">
      <c r="M16680" s="202"/>
    </row>
    <row r="16681" spans="13:13">
      <c r="M16681" s="202"/>
    </row>
    <row r="16682" spans="13:13">
      <c r="M16682" s="202"/>
    </row>
    <row r="16683" spans="13:13">
      <c r="M16683" s="202"/>
    </row>
    <row r="16684" spans="13:13">
      <c r="M16684" s="202"/>
    </row>
    <row r="16685" spans="13:13">
      <c r="M16685" s="202"/>
    </row>
    <row r="16686" spans="13:13">
      <c r="M16686" s="202"/>
    </row>
    <row r="16687" spans="13:13">
      <c r="M16687" s="202"/>
    </row>
    <row r="16688" spans="13:13">
      <c r="M16688" s="202"/>
    </row>
    <row r="16689" spans="13:13">
      <c r="M16689" s="202"/>
    </row>
    <row r="16690" spans="13:13">
      <c r="M16690" s="202"/>
    </row>
    <row r="16691" spans="13:13">
      <c r="M16691" s="202"/>
    </row>
    <row r="16692" spans="13:13">
      <c r="M16692" s="202"/>
    </row>
    <row r="16693" spans="13:13">
      <c r="M16693" s="202"/>
    </row>
    <row r="16694" spans="13:13">
      <c r="M16694" s="202"/>
    </row>
    <row r="16695" spans="13:13">
      <c r="M16695" s="202"/>
    </row>
    <row r="16696" spans="13:13">
      <c r="M16696" s="202"/>
    </row>
    <row r="16697" spans="13:13">
      <c r="M16697" s="202"/>
    </row>
    <row r="16698" spans="13:13">
      <c r="M16698" s="202"/>
    </row>
    <row r="16699" spans="13:13">
      <c r="M16699" s="202"/>
    </row>
    <row r="16700" spans="13:13">
      <c r="M16700" s="202"/>
    </row>
    <row r="16701" spans="13:13">
      <c r="M16701" s="202"/>
    </row>
    <row r="16702" spans="13:13">
      <c r="M16702" s="202"/>
    </row>
    <row r="16703" spans="13:13">
      <c r="M16703" s="202"/>
    </row>
    <row r="16704" spans="13:13">
      <c r="M16704" s="202"/>
    </row>
    <row r="16705" spans="13:13">
      <c r="M16705" s="202"/>
    </row>
    <row r="16706" spans="13:13">
      <c r="M16706" s="202"/>
    </row>
    <row r="16707" spans="13:13">
      <c r="M16707" s="202"/>
    </row>
    <row r="16708" spans="13:13">
      <c r="M16708" s="202"/>
    </row>
    <row r="16709" spans="13:13">
      <c r="M16709" s="202"/>
    </row>
    <row r="16710" spans="13:13">
      <c r="M16710" s="202"/>
    </row>
    <row r="16711" spans="13:13">
      <c r="M16711" s="202"/>
    </row>
    <row r="16712" spans="13:13">
      <c r="M16712" s="202"/>
    </row>
    <row r="16713" spans="13:13">
      <c r="M16713" s="202"/>
    </row>
    <row r="16714" spans="13:13">
      <c r="M16714" s="202"/>
    </row>
    <row r="16715" spans="13:13">
      <c r="M16715" s="202"/>
    </row>
    <row r="16716" spans="13:13">
      <c r="M16716" s="202"/>
    </row>
    <row r="16717" spans="13:13">
      <c r="M16717" s="202"/>
    </row>
    <row r="16718" spans="13:13">
      <c r="M16718" s="202"/>
    </row>
    <row r="16719" spans="13:13">
      <c r="M16719" s="202"/>
    </row>
    <row r="16720" spans="13:13">
      <c r="M16720" s="202"/>
    </row>
    <row r="16721" spans="13:13">
      <c r="M16721" s="202"/>
    </row>
    <row r="16722" spans="13:13">
      <c r="M16722" s="202"/>
    </row>
    <row r="16723" spans="13:13">
      <c r="M16723" s="202"/>
    </row>
    <row r="16724" spans="13:13">
      <c r="M16724" s="202"/>
    </row>
    <row r="16725" spans="13:13">
      <c r="M16725" s="202"/>
    </row>
    <row r="16726" spans="13:13">
      <c r="M16726" s="202"/>
    </row>
    <row r="16727" spans="13:13">
      <c r="M16727" s="202"/>
    </row>
    <row r="16728" spans="13:13">
      <c r="M16728" s="202"/>
    </row>
    <row r="16729" spans="13:13">
      <c r="M16729" s="202"/>
    </row>
    <row r="16730" spans="13:13">
      <c r="M16730" s="202"/>
    </row>
    <row r="16731" spans="13:13">
      <c r="M16731" s="202"/>
    </row>
    <row r="16732" spans="13:13">
      <c r="M16732" s="202"/>
    </row>
    <row r="16733" spans="13:13">
      <c r="M16733" s="202"/>
    </row>
    <row r="16734" spans="13:13">
      <c r="M16734" s="202"/>
    </row>
    <row r="16735" spans="13:13">
      <c r="M16735" s="202"/>
    </row>
    <row r="16736" spans="13:13">
      <c r="M16736" s="202"/>
    </row>
    <row r="16737" spans="13:13">
      <c r="M16737" s="202"/>
    </row>
    <row r="16738" spans="13:13">
      <c r="M16738" s="202"/>
    </row>
    <row r="16739" spans="13:13">
      <c r="M16739" s="202"/>
    </row>
    <row r="16740" spans="13:13">
      <c r="M16740" s="202"/>
    </row>
    <row r="16741" spans="13:13">
      <c r="M16741" s="202"/>
    </row>
    <row r="16742" spans="13:13">
      <c r="M16742" s="202"/>
    </row>
    <row r="16743" spans="13:13">
      <c r="M16743" s="202"/>
    </row>
    <row r="16744" spans="13:13">
      <c r="M16744" s="202"/>
    </row>
    <row r="16745" spans="13:13">
      <c r="M16745" s="202"/>
    </row>
    <row r="16746" spans="13:13">
      <c r="M16746" s="202"/>
    </row>
    <row r="16747" spans="13:13">
      <c r="M16747" s="202"/>
    </row>
    <row r="16748" spans="13:13">
      <c r="M16748" s="202"/>
    </row>
    <row r="16749" spans="13:13">
      <c r="M16749" s="202"/>
    </row>
    <row r="16750" spans="13:13">
      <c r="M16750" s="202"/>
    </row>
    <row r="16751" spans="13:13">
      <c r="M16751" s="202"/>
    </row>
    <row r="16752" spans="13:13">
      <c r="M16752" s="202"/>
    </row>
    <row r="16753" spans="13:13">
      <c r="M16753" s="202"/>
    </row>
    <row r="16754" spans="13:13">
      <c r="M16754" s="202"/>
    </row>
    <row r="16755" spans="13:13">
      <c r="M16755" s="202"/>
    </row>
    <row r="16756" spans="13:13">
      <c r="M16756" s="202"/>
    </row>
    <row r="16757" spans="13:13">
      <c r="M16757" s="202"/>
    </row>
    <row r="16758" spans="13:13">
      <c r="M16758" s="202"/>
    </row>
    <row r="16759" spans="13:13">
      <c r="M16759" s="202"/>
    </row>
    <row r="16760" spans="13:13">
      <c r="M16760" s="202"/>
    </row>
    <row r="16761" spans="13:13">
      <c r="M16761" s="202"/>
    </row>
    <row r="16762" spans="13:13">
      <c r="M16762" s="202"/>
    </row>
    <row r="16763" spans="13:13">
      <c r="M16763" s="202"/>
    </row>
    <row r="16764" spans="13:13">
      <c r="M16764" s="202"/>
    </row>
    <row r="16765" spans="13:13">
      <c r="M16765" s="202"/>
    </row>
    <row r="16766" spans="13:13">
      <c r="M16766" s="202"/>
    </row>
    <row r="16767" spans="13:13">
      <c r="M16767" s="202"/>
    </row>
    <row r="16768" spans="13:13">
      <c r="M16768" s="202"/>
    </row>
    <row r="16769" spans="13:13">
      <c r="M16769" s="202"/>
    </row>
    <row r="16770" spans="13:13">
      <c r="M16770" s="202"/>
    </row>
    <row r="16771" spans="13:13">
      <c r="M16771" s="202"/>
    </row>
    <row r="16772" spans="13:13">
      <c r="M16772" s="202"/>
    </row>
    <row r="16773" spans="13:13">
      <c r="M16773" s="202"/>
    </row>
    <row r="16774" spans="13:13">
      <c r="M16774" s="202"/>
    </row>
    <row r="16775" spans="13:13">
      <c r="M16775" s="202"/>
    </row>
    <row r="16776" spans="13:13">
      <c r="M16776" s="202"/>
    </row>
    <row r="16777" spans="13:13">
      <c r="M16777" s="202"/>
    </row>
    <row r="16778" spans="13:13">
      <c r="M16778" s="202"/>
    </row>
    <row r="16779" spans="13:13">
      <c r="M16779" s="202"/>
    </row>
    <row r="16780" spans="13:13">
      <c r="M16780" s="202"/>
    </row>
    <row r="16781" spans="13:13">
      <c r="M16781" s="202"/>
    </row>
    <row r="16782" spans="13:13">
      <c r="M16782" s="202"/>
    </row>
    <row r="16783" spans="13:13">
      <c r="M16783" s="202"/>
    </row>
    <row r="16784" spans="13:13">
      <c r="M16784" s="202"/>
    </row>
    <row r="16785" spans="13:13">
      <c r="M16785" s="202"/>
    </row>
    <row r="16786" spans="13:13">
      <c r="M16786" s="202"/>
    </row>
    <row r="16787" spans="13:13">
      <c r="M16787" s="202"/>
    </row>
    <row r="16788" spans="13:13">
      <c r="M16788" s="202"/>
    </row>
    <row r="16789" spans="13:13">
      <c r="M16789" s="202"/>
    </row>
    <row r="16790" spans="13:13">
      <c r="M16790" s="202"/>
    </row>
    <row r="16791" spans="13:13">
      <c r="M16791" s="202"/>
    </row>
    <row r="16792" spans="13:13">
      <c r="M16792" s="202"/>
    </row>
    <row r="16793" spans="13:13">
      <c r="M16793" s="202"/>
    </row>
    <row r="16794" spans="13:13">
      <c r="M16794" s="202"/>
    </row>
    <row r="16795" spans="13:13">
      <c r="M16795" s="202"/>
    </row>
    <row r="16796" spans="13:13">
      <c r="M16796" s="202"/>
    </row>
    <row r="16797" spans="13:13">
      <c r="M16797" s="202"/>
    </row>
    <row r="16798" spans="13:13">
      <c r="M16798" s="202"/>
    </row>
    <row r="16799" spans="13:13">
      <c r="M16799" s="202"/>
    </row>
    <row r="16800" spans="13:13">
      <c r="M16800" s="202"/>
    </row>
    <row r="16801" spans="13:13">
      <c r="M16801" s="202"/>
    </row>
    <row r="16802" spans="13:13">
      <c r="M16802" s="202"/>
    </row>
    <row r="16803" spans="13:13">
      <c r="M16803" s="202"/>
    </row>
    <row r="16804" spans="13:13">
      <c r="M16804" s="202"/>
    </row>
    <row r="16805" spans="13:13">
      <c r="M16805" s="202"/>
    </row>
    <row r="16806" spans="13:13">
      <c r="M16806" s="202"/>
    </row>
    <row r="16807" spans="13:13">
      <c r="M16807" s="202"/>
    </row>
    <row r="16808" spans="13:13">
      <c r="M16808" s="202"/>
    </row>
    <row r="16809" spans="13:13">
      <c r="M16809" s="202"/>
    </row>
    <row r="16810" spans="13:13">
      <c r="M16810" s="202"/>
    </row>
    <row r="16811" spans="13:13">
      <c r="M16811" s="202"/>
    </row>
    <row r="16812" spans="13:13">
      <c r="M16812" s="202"/>
    </row>
    <row r="16813" spans="13:13">
      <c r="M16813" s="202"/>
    </row>
    <row r="16814" spans="13:13">
      <c r="M16814" s="202"/>
    </row>
    <row r="16815" spans="13:13">
      <c r="M16815" s="202"/>
    </row>
    <row r="16816" spans="13:13">
      <c r="M16816" s="202"/>
    </row>
    <row r="16817" spans="13:13">
      <c r="M16817" s="202"/>
    </row>
    <row r="16818" spans="13:13">
      <c r="M16818" s="202"/>
    </row>
    <row r="16819" spans="13:13">
      <c r="M16819" s="202"/>
    </row>
    <row r="16820" spans="13:13">
      <c r="M16820" s="202"/>
    </row>
    <row r="16821" spans="13:13">
      <c r="M16821" s="202"/>
    </row>
    <row r="16822" spans="13:13">
      <c r="M16822" s="202"/>
    </row>
    <row r="16823" spans="13:13">
      <c r="M16823" s="202"/>
    </row>
    <row r="16824" spans="13:13">
      <c r="M16824" s="202"/>
    </row>
    <row r="16825" spans="13:13">
      <c r="M16825" s="202"/>
    </row>
    <row r="16826" spans="13:13">
      <c r="M16826" s="202"/>
    </row>
    <row r="16827" spans="13:13">
      <c r="M16827" s="202"/>
    </row>
    <row r="16828" spans="13:13">
      <c r="M16828" s="202"/>
    </row>
    <row r="16829" spans="13:13">
      <c r="M16829" s="202"/>
    </row>
    <row r="16830" spans="13:13">
      <c r="M16830" s="202"/>
    </row>
    <row r="16831" spans="13:13">
      <c r="M16831" s="202"/>
    </row>
    <row r="16832" spans="13:13">
      <c r="M16832" s="202"/>
    </row>
    <row r="16833" spans="13:13">
      <c r="M16833" s="202"/>
    </row>
    <row r="16834" spans="13:13">
      <c r="M16834" s="202"/>
    </row>
    <row r="16835" spans="13:13">
      <c r="M16835" s="202"/>
    </row>
    <row r="16836" spans="13:13">
      <c r="M16836" s="202"/>
    </row>
    <row r="16837" spans="13:13">
      <c r="M16837" s="202"/>
    </row>
    <row r="16838" spans="13:13">
      <c r="M16838" s="202"/>
    </row>
    <row r="16839" spans="13:13">
      <c r="M16839" s="202"/>
    </row>
    <row r="16840" spans="13:13">
      <c r="M16840" s="202"/>
    </row>
    <row r="16841" spans="13:13">
      <c r="M16841" s="202"/>
    </row>
    <row r="16842" spans="13:13">
      <c r="M16842" s="202"/>
    </row>
    <row r="16843" spans="13:13">
      <c r="M16843" s="202"/>
    </row>
    <row r="16844" spans="13:13">
      <c r="M16844" s="202"/>
    </row>
    <row r="16845" spans="13:13">
      <c r="M16845" s="202"/>
    </row>
    <row r="16846" spans="13:13">
      <c r="M16846" s="202"/>
    </row>
    <row r="16847" spans="13:13">
      <c r="M16847" s="202"/>
    </row>
    <row r="16848" spans="13:13">
      <c r="M16848" s="202"/>
    </row>
    <row r="16849" spans="13:13">
      <c r="M16849" s="202"/>
    </row>
    <row r="16850" spans="13:13">
      <c r="M16850" s="202"/>
    </row>
    <row r="16851" spans="13:13">
      <c r="M16851" s="202"/>
    </row>
    <row r="16852" spans="13:13">
      <c r="M16852" s="202"/>
    </row>
    <row r="16853" spans="13:13">
      <c r="M16853" s="202"/>
    </row>
    <row r="16854" spans="13:13">
      <c r="M16854" s="202"/>
    </row>
    <row r="16855" spans="13:13">
      <c r="M16855" s="202"/>
    </row>
    <row r="16856" spans="13:13">
      <c r="M16856" s="202"/>
    </row>
    <row r="16857" spans="13:13">
      <c r="M16857" s="202"/>
    </row>
    <row r="16858" spans="13:13">
      <c r="M16858" s="202"/>
    </row>
    <row r="16859" spans="13:13">
      <c r="M16859" s="202"/>
    </row>
    <row r="16860" spans="13:13">
      <c r="M16860" s="202"/>
    </row>
    <row r="16861" spans="13:13">
      <c r="M16861" s="202"/>
    </row>
    <row r="16862" spans="13:13">
      <c r="M16862" s="202"/>
    </row>
    <row r="16863" spans="13:13">
      <c r="M16863" s="202"/>
    </row>
    <row r="16864" spans="13:13">
      <c r="M16864" s="202"/>
    </row>
    <row r="16865" spans="13:13">
      <c r="M16865" s="202"/>
    </row>
    <row r="16866" spans="13:13">
      <c r="M16866" s="202"/>
    </row>
    <row r="16867" spans="13:13">
      <c r="M16867" s="202"/>
    </row>
    <row r="16868" spans="13:13">
      <c r="M16868" s="202"/>
    </row>
    <row r="16869" spans="13:13">
      <c r="M16869" s="202"/>
    </row>
    <row r="16870" spans="13:13">
      <c r="M16870" s="202"/>
    </row>
    <row r="16871" spans="13:13">
      <c r="M16871" s="202"/>
    </row>
    <row r="16872" spans="13:13">
      <c r="M16872" s="202"/>
    </row>
    <row r="16873" spans="13:13">
      <c r="M16873" s="202"/>
    </row>
    <row r="16874" spans="13:13">
      <c r="M16874" s="202"/>
    </row>
    <row r="16875" spans="13:13">
      <c r="M16875" s="202"/>
    </row>
    <row r="16876" spans="13:13">
      <c r="M16876" s="202"/>
    </row>
    <row r="16877" spans="13:13">
      <c r="M16877" s="202"/>
    </row>
    <row r="16878" spans="13:13">
      <c r="M16878" s="202"/>
    </row>
    <row r="16879" spans="13:13">
      <c r="M16879" s="202"/>
    </row>
    <row r="16880" spans="13:13">
      <c r="M16880" s="202"/>
    </row>
    <row r="16881" spans="13:13">
      <c r="M16881" s="202"/>
    </row>
    <row r="16882" spans="13:13">
      <c r="M16882" s="202"/>
    </row>
    <row r="16883" spans="13:13">
      <c r="M16883" s="202"/>
    </row>
    <row r="16884" spans="13:13">
      <c r="M16884" s="202"/>
    </row>
    <row r="16885" spans="13:13">
      <c r="M16885" s="202"/>
    </row>
    <row r="16886" spans="13:13">
      <c r="M16886" s="202"/>
    </row>
    <row r="16887" spans="13:13">
      <c r="M16887" s="202"/>
    </row>
    <row r="16888" spans="13:13">
      <c r="M16888" s="202"/>
    </row>
    <row r="16889" spans="13:13">
      <c r="M16889" s="202"/>
    </row>
    <row r="16890" spans="13:13">
      <c r="M16890" s="202"/>
    </row>
    <row r="16891" spans="13:13">
      <c r="M16891" s="202"/>
    </row>
    <row r="16892" spans="13:13">
      <c r="M16892" s="202"/>
    </row>
    <row r="16893" spans="13:13">
      <c r="M16893" s="202"/>
    </row>
    <row r="16894" spans="13:13">
      <c r="M16894" s="202"/>
    </row>
    <row r="16895" spans="13:13">
      <c r="M16895" s="202"/>
    </row>
    <row r="16896" spans="13:13">
      <c r="M16896" s="202"/>
    </row>
    <row r="16897" spans="13:13">
      <c r="M16897" s="202"/>
    </row>
    <row r="16898" spans="13:13">
      <c r="M16898" s="202"/>
    </row>
    <row r="16899" spans="13:13">
      <c r="M16899" s="202"/>
    </row>
    <row r="16900" spans="13:13">
      <c r="M16900" s="202"/>
    </row>
    <row r="16901" spans="13:13">
      <c r="M16901" s="202"/>
    </row>
    <row r="16902" spans="13:13">
      <c r="M16902" s="202"/>
    </row>
    <row r="16903" spans="13:13">
      <c r="M16903" s="202"/>
    </row>
    <row r="16904" spans="13:13">
      <c r="M16904" s="202"/>
    </row>
    <row r="16905" spans="13:13">
      <c r="M16905" s="202"/>
    </row>
    <row r="16906" spans="13:13">
      <c r="M16906" s="202"/>
    </row>
    <row r="16907" spans="13:13">
      <c r="M16907" s="202"/>
    </row>
    <row r="16908" spans="13:13">
      <c r="M16908" s="202"/>
    </row>
    <row r="16909" spans="13:13">
      <c r="M16909" s="202"/>
    </row>
    <row r="16910" spans="13:13">
      <c r="M16910" s="202"/>
    </row>
    <row r="16911" spans="13:13">
      <c r="M16911" s="202"/>
    </row>
    <row r="16912" spans="13:13">
      <c r="M16912" s="202"/>
    </row>
    <row r="16913" spans="13:13">
      <c r="M16913" s="202"/>
    </row>
    <row r="16914" spans="13:13">
      <c r="M16914" s="202"/>
    </row>
    <row r="16915" spans="13:13">
      <c r="M16915" s="202"/>
    </row>
    <row r="16916" spans="13:13">
      <c r="M16916" s="202"/>
    </row>
    <row r="16917" spans="13:13">
      <c r="M16917" s="202"/>
    </row>
    <row r="16918" spans="13:13">
      <c r="M16918" s="202"/>
    </row>
    <row r="16919" spans="13:13">
      <c r="M16919" s="202"/>
    </row>
    <row r="16920" spans="13:13">
      <c r="M16920" s="202"/>
    </row>
    <row r="16921" spans="13:13">
      <c r="M16921" s="202"/>
    </row>
    <row r="16922" spans="13:13">
      <c r="M16922" s="202"/>
    </row>
    <row r="16923" spans="13:13">
      <c r="M16923" s="202"/>
    </row>
    <row r="16924" spans="13:13">
      <c r="M16924" s="202"/>
    </row>
    <row r="16925" spans="13:13">
      <c r="M16925" s="202"/>
    </row>
    <row r="16926" spans="13:13">
      <c r="M16926" s="202"/>
    </row>
    <row r="16927" spans="13:13">
      <c r="M16927" s="202"/>
    </row>
    <row r="16928" spans="13:13">
      <c r="M16928" s="202"/>
    </row>
    <row r="16929" spans="13:13">
      <c r="M16929" s="202"/>
    </row>
    <row r="16930" spans="13:13">
      <c r="M16930" s="202"/>
    </row>
    <row r="16931" spans="13:13">
      <c r="M16931" s="202"/>
    </row>
    <row r="16932" spans="13:13">
      <c r="M16932" s="202"/>
    </row>
    <row r="16933" spans="13:13">
      <c r="M16933" s="202"/>
    </row>
    <row r="16934" spans="13:13">
      <c r="M16934" s="202"/>
    </row>
    <row r="16935" spans="13:13">
      <c r="M16935" s="202"/>
    </row>
    <row r="16936" spans="13:13">
      <c r="M16936" s="202"/>
    </row>
    <row r="16937" spans="13:13">
      <c r="M16937" s="202"/>
    </row>
    <row r="16938" spans="13:13">
      <c r="M16938" s="202"/>
    </row>
    <row r="16939" spans="13:13">
      <c r="M16939" s="202"/>
    </row>
    <row r="16940" spans="13:13">
      <c r="M16940" s="202"/>
    </row>
    <row r="16941" spans="13:13">
      <c r="M16941" s="202"/>
    </row>
    <row r="16942" spans="13:13">
      <c r="M16942" s="202"/>
    </row>
    <row r="16943" spans="13:13">
      <c r="M16943" s="202"/>
    </row>
    <row r="16944" spans="13:13">
      <c r="M16944" s="202"/>
    </row>
    <row r="16945" spans="13:13">
      <c r="M16945" s="202"/>
    </row>
    <row r="16946" spans="13:13">
      <c r="M16946" s="202"/>
    </row>
    <row r="16947" spans="13:13">
      <c r="M16947" s="202"/>
    </row>
    <row r="16948" spans="13:13">
      <c r="M16948" s="202"/>
    </row>
    <row r="16949" spans="13:13">
      <c r="M16949" s="202"/>
    </row>
    <row r="16950" spans="13:13">
      <c r="M16950" s="202"/>
    </row>
    <row r="16951" spans="13:13">
      <c r="M16951" s="202"/>
    </row>
    <row r="16952" spans="13:13">
      <c r="M16952" s="202"/>
    </row>
    <row r="16953" spans="13:13">
      <c r="M16953" s="202"/>
    </row>
    <row r="16954" spans="13:13">
      <c r="M16954" s="202"/>
    </row>
    <row r="16955" spans="13:13">
      <c r="M16955" s="202"/>
    </row>
    <row r="16956" spans="13:13">
      <c r="M16956" s="202"/>
    </row>
    <row r="16957" spans="13:13">
      <c r="M16957" s="202"/>
    </row>
    <row r="16958" spans="13:13">
      <c r="M16958" s="202"/>
    </row>
    <row r="16959" spans="13:13">
      <c r="M16959" s="202"/>
    </row>
    <row r="16960" spans="13:13">
      <c r="M16960" s="202"/>
    </row>
    <row r="16961" spans="13:13">
      <c r="M16961" s="202"/>
    </row>
    <row r="16962" spans="13:13">
      <c r="M16962" s="202"/>
    </row>
    <row r="16963" spans="13:13">
      <c r="M16963" s="202"/>
    </row>
    <row r="16964" spans="13:13">
      <c r="M16964" s="202"/>
    </row>
    <row r="16965" spans="13:13">
      <c r="M16965" s="202"/>
    </row>
    <row r="16966" spans="13:13">
      <c r="M16966" s="202"/>
    </row>
    <row r="16967" spans="13:13">
      <c r="M16967" s="202"/>
    </row>
    <row r="16968" spans="13:13">
      <c r="M16968" s="202"/>
    </row>
    <row r="16969" spans="13:13">
      <c r="M16969" s="202"/>
    </row>
    <row r="16970" spans="13:13">
      <c r="M16970" s="202"/>
    </row>
    <row r="16971" spans="13:13">
      <c r="M16971" s="202"/>
    </row>
    <row r="16972" spans="13:13">
      <c r="M16972" s="202"/>
    </row>
    <row r="16973" spans="13:13">
      <c r="M16973" s="202"/>
    </row>
    <row r="16974" spans="13:13">
      <c r="M16974" s="202"/>
    </row>
    <row r="16975" spans="13:13">
      <c r="M16975" s="202"/>
    </row>
    <row r="16976" spans="13:13">
      <c r="M16976" s="202"/>
    </row>
    <row r="16977" spans="13:13">
      <c r="M16977" s="202"/>
    </row>
    <row r="16978" spans="13:13">
      <c r="M16978" s="202"/>
    </row>
    <row r="16979" spans="13:13">
      <c r="M16979" s="202"/>
    </row>
    <row r="16980" spans="13:13">
      <c r="M16980" s="202"/>
    </row>
    <row r="16981" spans="13:13">
      <c r="M16981" s="202"/>
    </row>
    <row r="16982" spans="13:13">
      <c r="M16982" s="202"/>
    </row>
    <row r="16983" spans="13:13">
      <c r="M16983" s="202"/>
    </row>
    <row r="16984" spans="13:13">
      <c r="M16984" s="202"/>
    </row>
    <row r="16985" spans="13:13">
      <c r="M16985" s="202"/>
    </row>
    <row r="16986" spans="13:13">
      <c r="M16986" s="202"/>
    </row>
    <row r="16987" spans="13:13">
      <c r="M16987" s="202"/>
    </row>
    <row r="16988" spans="13:13">
      <c r="M16988" s="202"/>
    </row>
    <row r="16989" spans="13:13">
      <c r="M16989" s="202"/>
    </row>
    <row r="16990" spans="13:13">
      <c r="M16990" s="202"/>
    </row>
    <row r="16991" spans="13:13">
      <c r="M16991" s="202"/>
    </row>
    <row r="16992" spans="13:13">
      <c r="M16992" s="202"/>
    </row>
    <row r="16993" spans="13:13">
      <c r="M16993" s="202"/>
    </row>
    <row r="16994" spans="13:13">
      <c r="M16994" s="202"/>
    </row>
    <row r="16995" spans="13:13">
      <c r="M16995" s="202"/>
    </row>
    <row r="16996" spans="13:13">
      <c r="M16996" s="202"/>
    </row>
    <row r="16997" spans="13:13">
      <c r="M16997" s="202"/>
    </row>
    <row r="16998" spans="13:13">
      <c r="M16998" s="202"/>
    </row>
    <row r="16999" spans="13:13">
      <c r="M16999" s="202"/>
    </row>
    <row r="17000" spans="13:13">
      <c r="M17000" s="202"/>
    </row>
    <row r="17001" spans="13:13">
      <c r="M17001" s="202"/>
    </row>
    <row r="17002" spans="13:13">
      <c r="M17002" s="202"/>
    </row>
    <row r="17003" spans="13:13">
      <c r="M17003" s="202"/>
    </row>
    <row r="17004" spans="13:13">
      <c r="M17004" s="202"/>
    </row>
    <row r="17005" spans="13:13">
      <c r="M17005" s="202"/>
    </row>
    <row r="17006" spans="13:13">
      <c r="M17006" s="202"/>
    </row>
    <row r="17007" spans="13:13">
      <c r="M17007" s="202"/>
    </row>
    <row r="17008" spans="13:13">
      <c r="M17008" s="202"/>
    </row>
    <row r="17009" spans="13:13">
      <c r="M17009" s="202"/>
    </row>
    <row r="17010" spans="13:13">
      <c r="M17010" s="202"/>
    </row>
    <row r="17011" spans="13:13">
      <c r="M17011" s="202"/>
    </row>
    <row r="17012" spans="13:13">
      <c r="M17012" s="202"/>
    </row>
    <row r="17013" spans="13:13">
      <c r="M17013" s="202"/>
    </row>
    <row r="17014" spans="13:13">
      <c r="M17014" s="202"/>
    </row>
    <row r="17015" spans="13:13">
      <c r="M17015" s="202"/>
    </row>
    <row r="17016" spans="13:13">
      <c r="M17016" s="202"/>
    </row>
    <row r="17017" spans="13:13">
      <c r="M17017" s="202"/>
    </row>
    <row r="17018" spans="13:13">
      <c r="M17018" s="202"/>
    </row>
    <row r="17019" spans="13:13">
      <c r="M17019" s="202"/>
    </row>
    <row r="17020" spans="13:13">
      <c r="M17020" s="202"/>
    </row>
    <row r="17021" spans="13:13">
      <c r="M17021" s="202"/>
    </row>
    <row r="17022" spans="13:13">
      <c r="M17022" s="202"/>
    </row>
    <row r="17023" spans="13:13">
      <c r="M17023" s="202"/>
    </row>
    <row r="17024" spans="13:13">
      <c r="M17024" s="202"/>
    </row>
    <row r="17025" spans="13:13">
      <c r="M17025" s="202"/>
    </row>
    <row r="17026" spans="13:13">
      <c r="M17026" s="202"/>
    </row>
    <row r="17027" spans="13:13">
      <c r="M17027" s="202"/>
    </row>
    <row r="17028" spans="13:13">
      <c r="M17028" s="202"/>
    </row>
    <row r="17029" spans="13:13">
      <c r="M17029" s="202"/>
    </row>
    <row r="17030" spans="13:13">
      <c r="M17030" s="202"/>
    </row>
    <row r="17031" spans="13:13">
      <c r="M17031" s="202"/>
    </row>
    <row r="17032" spans="13:13">
      <c r="M17032" s="202"/>
    </row>
    <row r="17033" spans="13:13">
      <c r="M17033" s="202"/>
    </row>
    <row r="17034" spans="13:13">
      <c r="M17034" s="202"/>
    </row>
    <row r="17035" spans="13:13">
      <c r="M17035" s="202"/>
    </row>
    <row r="17036" spans="13:13">
      <c r="M17036" s="202"/>
    </row>
    <row r="17037" spans="13:13">
      <c r="M17037" s="202"/>
    </row>
    <row r="17038" spans="13:13">
      <c r="M17038" s="202"/>
    </row>
    <row r="17039" spans="13:13">
      <c r="M17039" s="202"/>
    </row>
    <row r="17040" spans="13:13">
      <c r="M17040" s="202"/>
    </row>
    <row r="17041" spans="13:13">
      <c r="M17041" s="202"/>
    </row>
    <row r="17042" spans="13:13">
      <c r="M17042" s="202"/>
    </row>
    <row r="17043" spans="13:13">
      <c r="M17043" s="202"/>
    </row>
    <row r="17044" spans="13:13">
      <c r="M17044" s="202"/>
    </row>
    <row r="17045" spans="13:13">
      <c r="M17045" s="202"/>
    </row>
    <row r="17046" spans="13:13">
      <c r="M17046" s="202"/>
    </row>
    <row r="17047" spans="13:13">
      <c r="M17047" s="202"/>
    </row>
    <row r="17048" spans="13:13">
      <c r="M17048" s="202"/>
    </row>
    <row r="17049" spans="13:13">
      <c r="M17049" s="202"/>
    </row>
    <row r="17050" spans="13:13">
      <c r="M17050" s="202"/>
    </row>
    <row r="17051" spans="13:13">
      <c r="M17051" s="202"/>
    </row>
    <row r="17052" spans="13:13">
      <c r="M17052" s="202"/>
    </row>
    <row r="17053" spans="13:13">
      <c r="M17053" s="202"/>
    </row>
    <row r="17054" spans="13:13">
      <c r="M17054" s="202"/>
    </row>
    <row r="17055" spans="13:13">
      <c r="M17055" s="202"/>
    </row>
    <row r="17056" spans="13:13">
      <c r="M17056" s="202"/>
    </row>
    <row r="17057" spans="13:13">
      <c r="M17057" s="202"/>
    </row>
    <row r="17058" spans="13:13">
      <c r="M17058" s="202"/>
    </row>
    <row r="17059" spans="13:13">
      <c r="M17059" s="202"/>
    </row>
    <row r="17060" spans="13:13">
      <c r="M17060" s="202"/>
    </row>
    <row r="17061" spans="13:13">
      <c r="M17061" s="202"/>
    </row>
    <row r="17062" spans="13:13">
      <c r="M17062" s="202"/>
    </row>
    <row r="17063" spans="13:13">
      <c r="M17063" s="202"/>
    </row>
    <row r="17064" spans="13:13">
      <c r="M17064" s="202"/>
    </row>
    <row r="17065" spans="13:13">
      <c r="M17065" s="202"/>
    </row>
    <row r="17066" spans="13:13">
      <c r="M17066" s="202"/>
    </row>
    <row r="17067" spans="13:13">
      <c r="M17067" s="202"/>
    </row>
    <row r="17068" spans="13:13">
      <c r="M17068" s="202"/>
    </row>
    <row r="17069" spans="13:13">
      <c r="M17069" s="202"/>
    </row>
    <row r="17070" spans="13:13">
      <c r="M17070" s="202"/>
    </row>
    <row r="17071" spans="13:13">
      <c r="M17071" s="202"/>
    </row>
    <row r="17072" spans="13:13">
      <c r="M17072" s="202"/>
    </row>
    <row r="17073" spans="13:13">
      <c r="M17073" s="202"/>
    </row>
    <row r="17074" spans="13:13">
      <c r="M17074" s="202"/>
    </row>
    <row r="17075" spans="13:13">
      <c r="M17075" s="202"/>
    </row>
    <row r="17076" spans="13:13">
      <c r="M17076" s="202"/>
    </row>
    <row r="17077" spans="13:13">
      <c r="M17077" s="202"/>
    </row>
    <row r="17078" spans="13:13">
      <c r="M17078" s="202"/>
    </row>
    <row r="17079" spans="13:13">
      <c r="M17079" s="202"/>
    </row>
    <row r="17080" spans="13:13">
      <c r="M17080" s="202"/>
    </row>
    <row r="17081" spans="13:13">
      <c r="M17081" s="202"/>
    </row>
    <row r="17082" spans="13:13">
      <c r="M17082" s="202"/>
    </row>
    <row r="17083" spans="13:13">
      <c r="M17083" s="202"/>
    </row>
    <row r="17084" spans="13:13">
      <c r="M17084" s="202"/>
    </row>
    <row r="17085" spans="13:13">
      <c r="M17085" s="202"/>
    </row>
    <row r="17086" spans="13:13">
      <c r="M17086" s="202"/>
    </row>
    <row r="17087" spans="13:13">
      <c r="M17087" s="202"/>
    </row>
    <row r="17088" spans="13:13">
      <c r="M17088" s="202"/>
    </row>
    <row r="17089" spans="13:13">
      <c r="M17089" s="202"/>
    </row>
    <row r="17090" spans="13:13">
      <c r="M17090" s="202"/>
    </row>
    <row r="17091" spans="13:13">
      <c r="M17091" s="202"/>
    </row>
    <row r="17092" spans="13:13">
      <c r="M17092" s="202"/>
    </row>
    <row r="17093" spans="13:13">
      <c r="M17093" s="202"/>
    </row>
    <row r="17094" spans="13:13">
      <c r="M17094" s="202"/>
    </row>
    <row r="17095" spans="13:13">
      <c r="M17095" s="202"/>
    </row>
    <row r="17096" spans="13:13">
      <c r="M17096" s="202"/>
    </row>
    <row r="17097" spans="13:13">
      <c r="M17097" s="202"/>
    </row>
    <row r="17098" spans="13:13">
      <c r="M17098" s="202"/>
    </row>
    <row r="17099" spans="13:13">
      <c r="M17099" s="202"/>
    </row>
    <row r="17100" spans="13:13">
      <c r="M17100" s="202"/>
    </row>
    <row r="17101" spans="13:13">
      <c r="M17101" s="202"/>
    </row>
    <row r="17102" spans="13:13">
      <c r="M17102" s="202"/>
    </row>
    <row r="17103" spans="13:13">
      <c r="M17103" s="202"/>
    </row>
    <row r="17104" spans="13:13">
      <c r="M17104" s="202"/>
    </row>
    <row r="17105" spans="13:13">
      <c r="M17105" s="202"/>
    </row>
    <row r="17106" spans="13:13">
      <c r="M17106" s="202"/>
    </row>
    <row r="17107" spans="13:13">
      <c r="M17107" s="202"/>
    </row>
    <row r="17108" spans="13:13">
      <c r="M17108" s="202"/>
    </row>
    <row r="17109" spans="13:13">
      <c r="M17109" s="202"/>
    </row>
    <row r="17110" spans="13:13">
      <c r="M17110" s="202"/>
    </row>
    <row r="17111" spans="13:13">
      <c r="M17111" s="202"/>
    </row>
    <row r="17112" spans="13:13">
      <c r="M17112" s="202"/>
    </row>
    <row r="17113" spans="13:13">
      <c r="M17113" s="202"/>
    </row>
    <row r="17114" spans="13:13">
      <c r="M17114" s="202"/>
    </row>
    <row r="17115" spans="13:13">
      <c r="M17115" s="202"/>
    </row>
    <row r="17116" spans="13:13">
      <c r="M17116" s="202"/>
    </row>
    <row r="17117" spans="13:13">
      <c r="M17117" s="202"/>
    </row>
    <row r="17118" spans="13:13">
      <c r="M17118" s="202"/>
    </row>
    <row r="17119" spans="13:13">
      <c r="M17119" s="202"/>
    </row>
    <row r="17120" spans="13:13">
      <c r="M17120" s="202"/>
    </row>
    <row r="17121" spans="13:13">
      <c r="M17121" s="202"/>
    </row>
    <row r="17122" spans="13:13">
      <c r="M17122" s="202"/>
    </row>
    <row r="17123" spans="13:13">
      <c r="M17123" s="202"/>
    </row>
    <row r="17124" spans="13:13">
      <c r="M17124" s="202"/>
    </row>
    <row r="17125" spans="13:13">
      <c r="M17125" s="202"/>
    </row>
    <row r="17126" spans="13:13">
      <c r="M17126" s="202"/>
    </row>
    <row r="17127" spans="13:13">
      <c r="M17127" s="202"/>
    </row>
    <row r="17128" spans="13:13">
      <c r="M17128" s="202"/>
    </row>
    <row r="17129" spans="13:13">
      <c r="M17129" s="202"/>
    </row>
    <row r="17130" spans="13:13">
      <c r="M17130" s="202"/>
    </row>
    <row r="17131" spans="13:13">
      <c r="M17131" s="202"/>
    </row>
    <row r="17132" spans="13:13">
      <c r="M17132" s="202"/>
    </row>
    <row r="17133" spans="13:13">
      <c r="M17133" s="202"/>
    </row>
    <row r="17134" spans="13:13">
      <c r="M17134" s="202"/>
    </row>
    <row r="17135" spans="13:13">
      <c r="M17135" s="202"/>
    </row>
    <row r="17136" spans="13:13">
      <c r="M17136" s="202"/>
    </row>
    <row r="17137" spans="13:13">
      <c r="M17137" s="202"/>
    </row>
    <row r="17138" spans="13:13">
      <c r="M17138" s="202"/>
    </row>
    <row r="17139" spans="13:13">
      <c r="M17139" s="202"/>
    </row>
    <row r="17140" spans="13:13">
      <c r="M17140" s="202"/>
    </row>
    <row r="17141" spans="13:13">
      <c r="M17141" s="202"/>
    </row>
    <row r="17142" spans="13:13">
      <c r="M17142" s="202"/>
    </row>
    <row r="17143" spans="13:13">
      <c r="M17143" s="202"/>
    </row>
    <row r="17144" spans="13:13">
      <c r="M17144" s="202"/>
    </row>
    <row r="17145" spans="13:13">
      <c r="M17145" s="202"/>
    </row>
    <row r="17146" spans="13:13">
      <c r="M17146" s="202"/>
    </row>
    <row r="17147" spans="13:13">
      <c r="M17147" s="202"/>
    </row>
    <row r="17148" spans="13:13">
      <c r="M17148" s="202"/>
    </row>
    <row r="17149" spans="13:13">
      <c r="M17149" s="202"/>
    </row>
    <row r="17150" spans="13:13">
      <c r="M17150" s="202"/>
    </row>
    <row r="17151" spans="13:13">
      <c r="M17151" s="202"/>
    </row>
    <row r="17152" spans="13:13">
      <c r="M17152" s="202"/>
    </row>
    <row r="17153" spans="13:13">
      <c r="M17153" s="202"/>
    </row>
    <row r="17154" spans="13:13">
      <c r="M17154" s="202"/>
    </row>
    <row r="17155" spans="13:13">
      <c r="M17155" s="202"/>
    </row>
    <row r="17156" spans="13:13">
      <c r="M17156" s="202"/>
    </row>
    <row r="17157" spans="13:13">
      <c r="M17157" s="202"/>
    </row>
    <row r="17158" spans="13:13">
      <c r="M17158" s="202"/>
    </row>
    <row r="17159" spans="13:13">
      <c r="M17159" s="202"/>
    </row>
    <row r="17160" spans="13:13">
      <c r="M17160" s="202"/>
    </row>
    <row r="17161" spans="13:13">
      <c r="M17161" s="202"/>
    </row>
    <row r="17162" spans="13:13">
      <c r="M17162" s="202"/>
    </row>
    <row r="17163" spans="13:13">
      <c r="M17163" s="202"/>
    </row>
    <row r="17164" spans="13:13">
      <c r="M17164" s="202"/>
    </row>
    <row r="17165" spans="13:13">
      <c r="M17165" s="202"/>
    </row>
    <row r="17166" spans="13:13">
      <c r="M17166" s="202"/>
    </row>
    <row r="17167" spans="13:13">
      <c r="M17167" s="202"/>
    </row>
    <row r="17168" spans="13:13">
      <c r="M17168" s="202"/>
    </row>
    <row r="17169" spans="13:13">
      <c r="M17169" s="202"/>
    </row>
    <row r="17170" spans="13:13">
      <c r="M17170" s="202"/>
    </row>
    <row r="17171" spans="13:13">
      <c r="M17171" s="202"/>
    </row>
    <row r="17172" spans="13:13">
      <c r="M17172" s="202"/>
    </row>
    <row r="17173" spans="13:13">
      <c r="M17173" s="202"/>
    </row>
    <row r="17174" spans="13:13">
      <c r="M17174" s="202"/>
    </row>
    <row r="17175" spans="13:13">
      <c r="M17175" s="202"/>
    </row>
    <row r="17176" spans="13:13">
      <c r="M17176" s="202"/>
    </row>
    <row r="17177" spans="13:13">
      <c r="M17177" s="202"/>
    </row>
    <row r="17178" spans="13:13">
      <c r="M17178" s="202"/>
    </row>
    <row r="17179" spans="13:13">
      <c r="M17179" s="202"/>
    </row>
    <row r="17180" spans="13:13">
      <c r="M17180" s="202"/>
    </row>
    <row r="17181" spans="13:13">
      <c r="M17181" s="202"/>
    </row>
    <row r="17182" spans="13:13">
      <c r="M17182" s="202"/>
    </row>
    <row r="17183" spans="13:13">
      <c r="M17183" s="202"/>
    </row>
    <row r="17184" spans="13:13">
      <c r="M17184" s="202"/>
    </row>
    <row r="17185" spans="13:13">
      <c r="M17185" s="202"/>
    </row>
    <row r="17186" spans="13:13">
      <c r="M17186" s="202"/>
    </row>
    <row r="17187" spans="13:13">
      <c r="M17187" s="202"/>
    </row>
    <row r="17188" spans="13:13">
      <c r="M17188" s="202"/>
    </row>
    <row r="17189" spans="13:13">
      <c r="M17189" s="202"/>
    </row>
    <row r="17190" spans="13:13">
      <c r="M17190" s="202"/>
    </row>
    <row r="17191" spans="13:13">
      <c r="M17191" s="202"/>
    </row>
    <row r="17192" spans="13:13">
      <c r="M17192" s="202"/>
    </row>
    <row r="17193" spans="13:13">
      <c r="M17193" s="202"/>
    </row>
    <row r="17194" spans="13:13">
      <c r="M17194" s="202"/>
    </row>
    <row r="17195" spans="13:13">
      <c r="M17195" s="202"/>
    </row>
    <row r="17196" spans="13:13">
      <c r="M17196" s="202"/>
    </row>
    <row r="17197" spans="13:13">
      <c r="M17197" s="202"/>
    </row>
    <row r="17198" spans="13:13">
      <c r="M17198" s="202"/>
    </row>
    <row r="17199" spans="13:13">
      <c r="M17199" s="202"/>
    </row>
    <row r="17200" spans="13:13">
      <c r="M17200" s="202"/>
    </row>
    <row r="17201" spans="13:13">
      <c r="M17201" s="202"/>
    </row>
    <row r="17202" spans="13:13">
      <c r="M17202" s="202"/>
    </row>
    <row r="17203" spans="13:13">
      <c r="M17203" s="202"/>
    </row>
    <row r="17204" spans="13:13">
      <c r="M17204" s="202"/>
    </row>
    <row r="17205" spans="13:13">
      <c r="M17205" s="202"/>
    </row>
    <row r="17206" spans="13:13">
      <c r="M17206" s="202"/>
    </row>
    <row r="17207" spans="13:13">
      <c r="M17207" s="202"/>
    </row>
    <row r="17208" spans="13:13">
      <c r="M17208" s="202"/>
    </row>
    <row r="17209" spans="13:13">
      <c r="M17209" s="202"/>
    </row>
    <row r="17210" spans="13:13">
      <c r="M17210" s="202"/>
    </row>
    <row r="17211" spans="13:13">
      <c r="M17211" s="202"/>
    </row>
    <row r="17212" spans="13:13">
      <c r="M17212" s="202"/>
    </row>
    <row r="17213" spans="13:13">
      <c r="M17213" s="202"/>
    </row>
    <row r="17214" spans="13:13">
      <c r="M17214" s="202"/>
    </row>
    <row r="17215" spans="13:13">
      <c r="M17215" s="202"/>
    </row>
    <row r="17216" spans="13:13">
      <c r="M17216" s="202"/>
    </row>
    <row r="17217" spans="13:13">
      <c r="M17217" s="202"/>
    </row>
    <row r="17218" spans="13:13">
      <c r="M17218" s="202"/>
    </row>
    <row r="17219" spans="13:13">
      <c r="M17219" s="202"/>
    </row>
    <row r="17220" spans="13:13">
      <c r="M17220" s="202"/>
    </row>
    <row r="17221" spans="13:13">
      <c r="M17221" s="202"/>
    </row>
    <row r="17222" spans="13:13">
      <c r="M17222" s="202"/>
    </row>
    <row r="17223" spans="13:13">
      <c r="M17223" s="202"/>
    </row>
    <row r="17224" spans="13:13">
      <c r="M17224" s="202"/>
    </row>
    <row r="17225" spans="13:13">
      <c r="M17225" s="202"/>
    </row>
    <row r="17226" spans="13:13">
      <c r="M17226" s="202"/>
    </row>
    <row r="17227" spans="13:13">
      <c r="M17227" s="202"/>
    </row>
    <row r="17228" spans="13:13">
      <c r="M17228" s="202"/>
    </row>
    <row r="17229" spans="13:13">
      <c r="M17229" s="202"/>
    </row>
    <row r="17230" spans="13:13">
      <c r="M17230" s="202"/>
    </row>
    <row r="17231" spans="13:13">
      <c r="M17231" s="202"/>
    </row>
    <row r="17232" spans="13:13">
      <c r="M17232" s="202"/>
    </row>
    <row r="17233" spans="13:13">
      <c r="M17233" s="202"/>
    </row>
    <row r="17234" spans="13:13">
      <c r="M17234" s="202"/>
    </row>
    <row r="17235" spans="13:13">
      <c r="M17235" s="202"/>
    </row>
    <row r="17236" spans="13:13">
      <c r="M17236" s="202"/>
    </row>
    <row r="17237" spans="13:13">
      <c r="M17237" s="202"/>
    </row>
    <row r="17238" spans="13:13">
      <c r="M17238" s="202"/>
    </row>
    <row r="17239" spans="13:13">
      <c r="M17239" s="202"/>
    </row>
    <row r="17240" spans="13:13">
      <c r="M17240" s="202"/>
    </row>
    <row r="17241" spans="13:13">
      <c r="M17241" s="202"/>
    </row>
    <row r="17242" spans="13:13">
      <c r="M17242" s="202"/>
    </row>
    <row r="17243" spans="13:13">
      <c r="M17243" s="202"/>
    </row>
    <row r="17244" spans="13:13">
      <c r="M17244" s="202"/>
    </row>
    <row r="17245" spans="13:13">
      <c r="M17245" s="202"/>
    </row>
    <row r="17246" spans="13:13">
      <c r="M17246" s="202"/>
    </row>
    <row r="17247" spans="13:13">
      <c r="M17247" s="202"/>
    </row>
    <row r="17248" spans="13:13">
      <c r="M17248" s="202"/>
    </row>
    <row r="17249" spans="13:13">
      <c r="M17249" s="202"/>
    </row>
    <row r="17250" spans="13:13">
      <c r="M17250" s="202"/>
    </row>
    <row r="17251" spans="13:13">
      <c r="M17251" s="202"/>
    </row>
    <row r="17252" spans="13:13">
      <c r="M17252" s="202"/>
    </row>
    <row r="17253" spans="13:13">
      <c r="M17253" s="202"/>
    </row>
    <row r="17254" spans="13:13">
      <c r="M17254" s="202"/>
    </row>
    <row r="17255" spans="13:13">
      <c r="M17255" s="202"/>
    </row>
    <row r="17256" spans="13:13">
      <c r="M17256" s="202"/>
    </row>
    <row r="17257" spans="13:13">
      <c r="M17257" s="202"/>
    </row>
    <row r="17258" spans="13:13">
      <c r="M17258" s="202"/>
    </row>
    <row r="17259" spans="13:13">
      <c r="M17259" s="202"/>
    </row>
    <row r="17260" spans="13:13">
      <c r="M17260" s="202"/>
    </row>
    <row r="17261" spans="13:13">
      <c r="M17261" s="202"/>
    </row>
    <row r="17262" spans="13:13">
      <c r="M17262" s="202"/>
    </row>
    <row r="17263" spans="13:13">
      <c r="M17263" s="202"/>
    </row>
    <row r="17264" spans="13:13">
      <c r="M17264" s="202"/>
    </row>
    <row r="17265" spans="13:13">
      <c r="M17265" s="202"/>
    </row>
    <row r="17266" spans="13:13">
      <c r="M17266" s="202"/>
    </row>
    <row r="17267" spans="13:13">
      <c r="M17267" s="202"/>
    </row>
    <row r="17268" spans="13:13">
      <c r="M17268" s="202"/>
    </row>
    <row r="17269" spans="13:13">
      <c r="M17269" s="202"/>
    </row>
    <row r="17270" spans="13:13">
      <c r="M17270" s="202"/>
    </row>
    <row r="17271" spans="13:13">
      <c r="M17271" s="202"/>
    </row>
    <row r="17272" spans="13:13">
      <c r="M17272" s="202"/>
    </row>
    <row r="17273" spans="13:13">
      <c r="M17273" s="202"/>
    </row>
    <row r="17274" spans="13:13">
      <c r="M17274" s="202"/>
    </row>
    <row r="17275" spans="13:13">
      <c r="M17275" s="202"/>
    </row>
    <row r="17276" spans="13:13">
      <c r="M17276" s="202"/>
    </row>
    <row r="17277" spans="13:13">
      <c r="M17277" s="202"/>
    </row>
    <row r="17278" spans="13:13">
      <c r="M17278" s="202"/>
    </row>
    <row r="17279" spans="13:13">
      <c r="M17279" s="202"/>
    </row>
    <row r="17280" spans="13:13">
      <c r="M17280" s="202"/>
    </row>
    <row r="17281" spans="13:13">
      <c r="M17281" s="202"/>
    </row>
    <row r="17282" spans="13:13">
      <c r="M17282" s="202"/>
    </row>
    <row r="17283" spans="13:13">
      <c r="M17283" s="202"/>
    </row>
    <row r="17284" spans="13:13">
      <c r="M17284" s="202"/>
    </row>
    <row r="17285" spans="13:13">
      <c r="M17285" s="202"/>
    </row>
    <row r="17286" spans="13:13">
      <c r="M17286" s="202"/>
    </row>
    <row r="17287" spans="13:13">
      <c r="M17287" s="202"/>
    </row>
    <row r="17288" spans="13:13">
      <c r="M17288" s="202"/>
    </row>
    <row r="17289" spans="13:13">
      <c r="M17289" s="202"/>
    </row>
    <row r="17290" spans="13:13">
      <c r="M17290" s="202"/>
    </row>
    <row r="17291" spans="13:13">
      <c r="M17291" s="202"/>
    </row>
    <row r="17292" spans="13:13">
      <c r="M17292" s="202"/>
    </row>
    <row r="17293" spans="13:13">
      <c r="M17293" s="202"/>
    </row>
    <row r="17294" spans="13:13">
      <c r="M17294" s="202"/>
    </row>
    <row r="17295" spans="13:13">
      <c r="M17295" s="202"/>
    </row>
    <row r="17296" spans="13:13">
      <c r="M17296" s="202"/>
    </row>
    <row r="17297" spans="13:13">
      <c r="M17297" s="202"/>
    </row>
    <row r="17298" spans="13:13">
      <c r="M17298" s="202"/>
    </row>
    <row r="17299" spans="13:13">
      <c r="M17299" s="202"/>
    </row>
    <row r="17300" spans="13:13">
      <c r="M17300" s="202"/>
    </row>
    <row r="17301" spans="13:13">
      <c r="M17301" s="202"/>
    </row>
    <row r="17302" spans="13:13">
      <c r="M17302" s="202"/>
    </row>
    <row r="17303" spans="13:13">
      <c r="M17303" s="202"/>
    </row>
    <row r="17304" spans="13:13">
      <c r="M17304" s="202"/>
    </row>
    <row r="17305" spans="13:13">
      <c r="M17305" s="202"/>
    </row>
    <row r="17306" spans="13:13">
      <c r="M17306" s="202"/>
    </row>
    <row r="17307" spans="13:13">
      <c r="M17307" s="202"/>
    </row>
    <row r="17308" spans="13:13">
      <c r="M17308" s="202"/>
    </row>
    <row r="17309" spans="13:13">
      <c r="M17309" s="202"/>
    </row>
    <row r="17310" spans="13:13">
      <c r="M17310" s="202"/>
    </row>
    <row r="17311" spans="13:13">
      <c r="M17311" s="202"/>
    </row>
    <row r="17312" spans="13:13">
      <c r="M17312" s="202"/>
    </row>
    <row r="17313" spans="13:13">
      <c r="M17313" s="202"/>
    </row>
    <row r="17314" spans="13:13">
      <c r="M17314" s="202"/>
    </row>
    <row r="17315" spans="13:13">
      <c r="M17315" s="202"/>
    </row>
    <row r="17316" spans="13:13">
      <c r="M17316" s="202"/>
    </row>
    <row r="17317" spans="13:13">
      <c r="M17317" s="202"/>
    </row>
    <row r="17318" spans="13:13">
      <c r="M17318" s="202"/>
    </row>
    <row r="17319" spans="13:13">
      <c r="M17319" s="202"/>
    </row>
    <row r="17320" spans="13:13">
      <c r="M17320" s="202"/>
    </row>
    <row r="17321" spans="13:13">
      <c r="M17321" s="202"/>
    </row>
    <row r="17322" spans="13:13">
      <c r="M17322" s="202"/>
    </row>
    <row r="17323" spans="13:13">
      <c r="M17323" s="202"/>
    </row>
    <row r="17324" spans="13:13">
      <c r="M17324" s="202"/>
    </row>
    <row r="17325" spans="13:13">
      <c r="M17325" s="202"/>
    </row>
    <row r="17326" spans="13:13">
      <c r="M17326" s="202"/>
    </row>
    <row r="17327" spans="13:13">
      <c r="M17327" s="202"/>
    </row>
    <row r="17328" spans="13:13">
      <c r="M17328" s="202"/>
    </row>
    <row r="17329" spans="13:13">
      <c r="M17329" s="202"/>
    </row>
    <row r="17330" spans="13:13">
      <c r="M17330" s="202"/>
    </row>
    <row r="17331" spans="13:13">
      <c r="M17331" s="202"/>
    </row>
    <row r="17332" spans="13:13">
      <c r="M17332" s="202"/>
    </row>
    <row r="17333" spans="13:13">
      <c r="M17333" s="202"/>
    </row>
    <row r="17334" spans="13:13">
      <c r="M17334" s="202"/>
    </row>
    <row r="17335" spans="13:13">
      <c r="M17335" s="202"/>
    </row>
    <row r="17336" spans="13:13">
      <c r="M17336" s="202"/>
    </row>
    <row r="17337" spans="13:13">
      <c r="M17337" s="202"/>
    </row>
    <row r="17338" spans="13:13">
      <c r="M17338" s="202"/>
    </row>
    <row r="17339" spans="13:13">
      <c r="M17339" s="202"/>
    </row>
    <row r="17340" spans="13:13">
      <c r="M17340" s="202"/>
    </row>
    <row r="17341" spans="13:13">
      <c r="M17341" s="202"/>
    </row>
    <row r="17342" spans="13:13">
      <c r="M17342" s="202"/>
    </row>
    <row r="17343" spans="13:13">
      <c r="M17343" s="202"/>
    </row>
    <row r="17344" spans="13:13">
      <c r="M17344" s="202"/>
    </row>
    <row r="17345" spans="13:13">
      <c r="M17345" s="202"/>
    </row>
    <row r="17346" spans="13:13">
      <c r="M17346" s="202"/>
    </row>
    <row r="17347" spans="13:13">
      <c r="M17347" s="202"/>
    </row>
    <row r="17348" spans="13:13">
      <c r="M17348" s="202"/>
    </row>
    <row r="17349" spans="13:13">
      <c r="M17349" s="202"/>
    </row>
    <row r="17350" spans="13:13">
      <c r="M17350" s="202"/>
    </row>
    <row r="17351" spans="13:13">
      <c r="M17351" s="202"/>
    </row>
    <row r="17352" spans="13:13">
      <c r="M17352" s="202"/>
    </row>
    <row r="17353" spans="13:13">
      <c r="M17353" s="202"/>
    </row>
    <row r="17354" spans="13:13">
      <c r="M17354" s="202"/>
    </row>
    <row r="17355" spans="13:13">
      <c r="M17355" s="202"/>
    </row>
    <row r="17356" spans="13:13">
      <c r="M17356" s="202"/>
    </row>
    <row r="17357" spans="13:13">
      <c r="M17357" s="202"/>
    </row>
    <row r="17358" spans="13:13">
      <c r="M17358" s="202"/>
    </row>
    <row r="17359" spans="13:13">
      <c r="M17359" s="202"/>
    </row>
    <row r="17360" spans="13:13">
      <c r="M17360" s="202"/>
    </row>
    <row r="17361" spans="13:13">
      <c r="M17361" s="202"/>
    </row>
    <row r="17362" spans="13:13">
      <c r="M17362" s="202"/>
    </row>
    <row r="17363" spans="13:13">
      <c r="M17363" s="202"/>
    </row>
    <row r="17364" spans="13:13">
      <c r="M17364" s="202"/>
    </row>
    <row r="17365" spans="13:13">
      <c r="M17365" s="202"/>
    </row>
    <row r="17366" spans="13:13">
      <c r="M17366" s="202"/>
    </row>
    <row r="17367" spans="13:13">
      <c r="M17367" s="202"/>
    </row>
    <row r="17368" spans="13:13">
      <c r="M17368" s="202"/>
    </row>
    <row r="17369" spans="13:13">
      <c r="M17369" s="202"/>
    </row>
    <row r="17370" spans="13:13">
      <c r="M17370" s="202"/>
    </row>
    <row r="17371" spans="13:13">
      <c r="M17371" s="202"/>
    </row>
    <row r="17372" spans="13:13">
      <c r="M17372" s="202"/>
    </row>
    <row r="17373" spans="13:13">
      <c r="M17373" s="202"/>
    </row>
    <row r="17374" spans="13:13">
      <c r="M17374" s="202"/>
    </row>
    <row r="17375" spans="13:13">
      <c r="M17375" s="202"/>
    </row>
    <row r="17376" spans="13:13">
      <c r="M17376" s="202"/>
    </row>
    <row r="17377" spans="13:13">
      <c r="M17377" s="202"/>
    </row>
    <row r="17378" spans="13:13">
      <c r="M17378" s="202"/>
    </row>
    <row r="17379" spans="13:13">
      <c r="M17379" s="202"/>
    </row>
    <row r="17380" spans="13:13">
      <c r="M17380" s="202"/>
    </row>
    <row r="17381" spans="13:13">
      <c r="M17381" s="202"/>
    </row>
    <row r="17382" spans="13:13">
      <c r="M17382" s="202"/>
    </row>
    <row r="17383" spans="13:13">
      <c r="M17383" s="202"/>
    </row>
    <row r="17384" spans="13:13">
      <c r="M17384" s="202"/>
    </row>
    <row r="17385" spans="13:13">
      <c r="M17385" s="202"/>
    </row>
    <row r="17386" spans="13:13">
      <c r="M17386" s="202"/>
    </row>
    <row r="17387" spans="13:13">
      <c r="M17387" s="202"/>
    </row>
    <row r="17388" spans="13:13">
      <c r="M17388" s="202"/>
    </row>
    <row r="17389" spans="13:13">
      <c r="M17389" s="202"/>
    </row>
    <row r="17390" spans="13:13">
      <c r="M17390" s="202"/>
    </row>
    <row r="17391" spans="13:13">
      <c r="M17391" s="202"/>
    </row>
    <row r="17392" spans="13:13">
      <c r="M17392" s="202"/>
    </row>
    <row r="17393" spans="13:13">
      <c r="M17393" s="202"/>
    </row>
    <row r="17394" spans="13:13">
      <c r="M17394" s="202"/>
    </row>
    <row r="17395" spans="13:13">
      <c r="M17395" s="202"/>
    </row>
    <row r="17396" spans="13:13">
      <c r="M17396" s="202"/>
    </row>
    <row r="17397" spans="13:13">
      <c r="M17397" s="202"/>
    </row>
    <row r="17398" spans="13:13">
      <c r="M17398" s="202"/>
    </row>
    <row r="17399" spans="13:13">
      <c r="M17399" s="202"/>
    </row>
    <row r="17400" spans="13:13">
      <c r="M17400" s="202"/>
    </row>
    <row r="17401" spans="13:13">
      <c r="M17401" s="202"/>
    </row>
    <row r="17402" spans="13:13">
      <c r="M17402" s="202"/>
    </row>
    <row r="17403" spans="13:13">
      <c r="M17403" s="202"/>
    </row>
    <row r="17404" spans="13:13">
      <c r="M17404" s="202"/>
    </row>
    <row r="17405" spans="13:13">
      <c r="M17405" s="202"/>
    </row>
    <row r="17406" spans="13:13">
      <c r="M17406" s="202"/>
    </row>
    <row r="17407" spans="13:13">
      <c r="M17407" s="202"/>
    </row>
    <row r="17408" spans="13:13">
      <c r="M17408" s="202"/>
    </row>
    <row r="17409" spans="13:13">
      <c r="M17409" s="202"/>
    </row>
    <row r="17410" spans="13:13">
      <c r="M17410" s="202"/>
    </row>
    <row r="17411" spans="13:13">
      <c r="M17411" s="202"/>
    </row>
    <row r="17412" spans="13:13">
      <c r="M17412" s="202"/>
    </row>
    <row r="17413" spans="13:13">
      <c r="M17413" s="202"/>
    </row>
    <row r="17414" spans="13:13">
      <c r="M17414" s="202"/>
    </row>
    <row r="17415" spans="13:13">
      <c r="M17415" s="202"/>
    </row>
    <row r="17416" spans="13:13">
      <c r="M17416" s="202"/>
    </row>
    <row r="17417" spans="13:13">
      <c r="M17417" s="202"/>
    </row>
    <row r="17418" spans="13:13">
      <c r="M17418" s="202"/>
    </row>
    <row r="17419" spans="13:13">
      <c r="M17419" s="202"/>
    </row>
    <row r="17420" spans="13:13">
      <c r="M17420" s="202"/>
    </row>
    <row r="17421" spans="13:13">
      <c r="M17421" s="202"/>
    </row>
    <row r="17422" spans="13:13">
      <c r="M17422" s="202"/>
    </row>
    <row r="17423" spans="13:13">
      <c r="M17423" s="202"/>
    </row>
    <row r="17424" spans="13:13">
      <c r="M17424" s="202"/>
    </row>
    <row r="17425" spans="13:13">
      <c r="M17425" s="202"/>
    </row>
    <row r="17426" spans="13:13">
      <c r="M17426" s="202"/>
    </row>
    <row r="17427" spans="13:13">
      <c r="M17427" s="202"/>
    </row>
    <row r="17428" spans="13:13">
      <c r="M17428" s="202"/>
    </row>
    <row r="17429" spans="13:13">
      <c r="M17429" s="202"/>
    </row>
    <row r="17430" spans="13:13">
      <c r="M17430" s="202"/>
    </row>
    <row r="17431" spans="13:13">
      <c r="M17431" s="202"/>
    </row>
    <row r="17432" spans="13:13">
      <c r="M17432" s="202"/>
    </row>
    <row r="17433" spans="13:13">
      <c r="M17433" s="202"/>
    </row>
    <row r="17434" spans="13:13">
      <c r="M17434" s="202"/>
    </row>
    <row r="17435" spans="13:13">
      <c r="M17435" s="202"/>
    </row>
    <row r="17436" spans="13:13">
      <c r="M17436" s="202"/>
    </row>
    <row r="17437" spans="13:13">
      <c r="M17437" s="202"/>
    </row>
    <row r="17438" spans="13:13">
      <c r="M17438" s="202"/>
    </row>
    <row r="17439" spans="13:13">
      <c r="M17439" s="202"/>
    </row>
    <row r="17440" spans="13:13">
      <c r="M17440" s="202"/>
    </row>
    <row r="17441" spans="13:13">
      <c r="M17441" s="202"/>
    </row>
    <row r="17442" spans="13:13">
      <c r="M17442" s="202"/>
    </row>
    <row r="17443" spans="13:13">
      <c r="M17443" s="202"/>
    </row>
    <row r="17444" spans="13:13">
      <c r="M17444" s="202"/>
    </row>
    <row r="17445" spans="13:13">
      <c r="M17445" s="202"/>
    </row>
    <row r="17446" spans="13:13">
      <c r="M17446" s="202"/>
    </row>
    <row r="17447" spans="13:13">
      <c r="M17447" s="202"/>
    </row>
    <row r="17448" spans="13:13">
      <c r="M17448" s="202"/>
    </row>
    <row r="17449" spans="13:13">
      <c r="M17449" s="202"/>
    </row>
    <row r="17450" spans="13:13">
      <c r="M17450" s="202"/>
    </row>
    <row r="17451" spans="13:13">
      <c r="M17451" s="202"/>
    </row>
    <row r="17452" spans="13:13">
      <c r="M17452" s="202"/>
    </row>
    <row r="17453" spans="13:13">
      <c r="M17453" s="202"/>
    </row>
    <row r="17454" spans="13:13">
      <c r="M17454" s="202"/>
    </row>
    <row r="17455" spans="13:13">
      <c r="M17455" s="202"/>
    </row>
    <row r="17456" spans="13:13">
      <c r="M17456" s="202"/>
    </row>
    <row r="17457" spans="13:13">
      <c r="M17457" s="202"/>
    </row>
    <row r="17458" spans="13:13">
      <c r="M17458" s="202"/>
    </row>
    <row r="17459" spans="13:13">
      <c r="M17459" s="202"/>
    </row>
    <row r="17460" spans="13:13">
      <c r="M17460" s="202"/>
    </row>
    <row r="17461" spans="13:13">
      <c r="M17461" s="202"/>
    </row>
    <row r="17462" spans="13:13">
      <c r="M17462" s="202"/>
    </row>
    <row r="17463" spans="13:13">
      <c r="M17463" s="202"/>
    </row>
    <row r="17464" spans="13:13">
      <c r="M17464" s="202"/>
    </row>
    <row r="17465" spans="13:13">
      <c r="M17465" s="202"/>
    </row>
    <row r="17466" spans="13:13">
      <c r="M17466" s="202"/>
    </row>
    <row r="17467" spans="13:13">
      <c r="M17467" s="202"/>
    </row>
    <row r="17468" spans="13:13">
      <c r="M17468" s="202"/>
    </row>
    <row r="17469" spans="13:13">
      <c r="M17469" s="202"/>
    </row>
    <row r="17470" spans="13:13">
      <c r="M17470" s="202"/>
    </row>
    <row r="17471" spans="13:13">
      <c r="M17471" s="202"/>
    </row>
    <row r="17472" spans="13:13">
      <c r="M17472" s="202"/>
    </row>
    <row r="17473" spans="13:13">
      <c r="M17473" s="202"/>
    </row>
    <row r="17474" spans="13:13">
      <c r="M17474" s="202"/>
    </row>
    <row r="17475" spans="13:13">
      <c r="M17475" s="202"/>
    </row>
    <row r="17476" spans="13:13">
      <c r="M17476" s="202"/>
    </row>
    <row r="17477" spans="13:13">
      <c r="M17477" s="202"/>
    </row>
    <row r="17478" spans="13:13">
      <c r="M17478" s="202"/>
    </row>
    <row r="17479" spans="13:13">
      <c r="M17479" s="202"/>
    </row>
    <row r="17480" spans="13:13">
      <c r="M17480" s="202"/>
    </row>
    <row r="17481" spans="13:13">
      <c r="M17481" s="202"/>
    </row>
    <row r="17482" spans="13:13">
      <c r="M17482" s="202"/>
    </row>
    <row r="17483" spans="13:13">
      <c r="M17483" s="202"/>
    </row>
    <row r="17484" spans="13:13">
      <c r="M17484" s="202"/>
    </row>
    <row r="17485" spans="13:13">
      <c r="M17485" s="202"/>
    </row>
    <row r="17486" spans="13:13">
      <c r="M17486" s="202"/>
    </row>
    <row r="17487" spans="13:13">
      <c r="M17487" s="202"/>
    </row>
    <row r="17488" spans="13:13">
      <c r="M17488" s="202"/>
    </row>
    <row r="17489" spans="13:13">
      <c r="M17489" s="202"/>
    </row>
    <row r="17490" spans="13:13">
      <c r="M17490" s="202"/>
    </row>
    <row r="17491" spans="13:13">
      <c r="M17491" s="202"/>
    </row>
    <row r="17492" spans="13:13">
      <c r="M17492" s="202"/>
    </row>
    <row r="17493" spans="13:13">
      <c r="M17493" s="202"/>
    </row>
    <row r="17494" spans="13:13">
      <c r="M17494" s="202"/>
    </row>
    <row r="17495" spans="13:13">
      <c r="M17495" s="202"/>
    </row>
    <row r="17496" spans="13:13">
      <c r="M17496" s="202"/>
    </row>
    <row r="17497" spans="13:13">
      <c r="M17497" s="202"/>
    </row>
    <row r="17498" spans="13:13">
      <c r="M17498" s="202"/>
    </row>
    <row r="17499" spans="13:13">
      <c r="M17499" s="202"/>
    </row>
    <row r="17500" spans="13:13">
      <c r="M17500" s="202"/>
    </row>
    <row r="17501" spans="13:13">
      <c r="M17501" s="202"/>
    </row>
    <row r="17502" spans="13:13">
      <c r="M17502" s="202"/>
    </row>
    <row r="17503" spans="13:13">
      <c r="M17503" s="202"/>
    </row>
    <row r="17504" spans="13:13">
      <c r="M17504" s="202"/>
    </row>
    <row r="17505" spans="13:13">
      <c r="M17505" s="202"/>
    </row>
    <row r="17506" spans="13:13">
      <c r="M17506" s="202"/>
    </row>
    <row r="17507" spans="13:13">
      <c r="M17507" s="202"/>
    </row>
    <row r="17508" spans="13:13">
      <c r="M17508" s="202"/>
    </row>
    <row r="17509" spans="13:13">
      <c r="M17509" s="202"/>
    </row>
    <row r="17510" spans="13:13">
      <c r="M17510" s="202"/>
    </row>
    <row r="17511" spans="13:13">
      <c r="M17511" s="202"/>
    </row>
    <row r="17512" spans="13:13">
      <c r="M17512" s="202"/>
    </row>
    <row r="17513" spans="13:13">
      <c r="M17513" s="202"/>
    </row>
    <row r="17514" spans="13:13">
      <c r="M17514" s="202"/>
    </row>
    <row r="17515" spans="13:13">
      <c r="M17515" s="202"/>
    </row>
    <row r="17516" spans="13:13">
      <c r="M17516" s="202"/>
    </row>
    <row r="17517" spans="13:13">
      <c r="M17517" s="202"/>
    </row>
    <row r="17518" spans="13:13">
      <c r="M17518" s="202"/>
    </row>
    <row r="17519" spans="13:13">
      <c r="M17519" s="202"/>
    </row>
    <row r="17520" spans="13:13">
      <c r="M17520" s="202"/>
    </row>
    <row r="17521" spans="13:13">
      <c r="M17521" s="202"/>
    </row>
    <row r="17522" spans="13:13">
      <c r="M17522" s="202"/>
    </row>
    <row r="17523" spans="13:13">
      <c r="M17523" s="202"/>
    </row>
    <row r="17524" spans="13:13">
      <c r="M17524" s="202"/>
    </row>
    <row r="17525" spans="13:13">
      <c r="M17525" s="202"/>
    </row>
    <row r="17526" spans="13:13">
      <c r="M17526" s="202"/>
    </row>
    <row r="17527" spans="13:13">
      <c r="M17527" s="202"/>
    </row>
    <row r="17528" spans="13:13">
      <c r="M17528" s="202"/>
    </row>
    <row r="17529" spans="13:13">
      <c r="M17529" s="202"/>
    </row>
    <row r="17530" spans="13:13">
      <c r="M17530" s="202"/>
    </row>
    <row r="17531" spans="13:13">
      <c r="M17531" s="202"/>
    </row>
    <row r="17532" spans="13:13">
      <c r="M17532" s="202"/>
    </row>
    <row r="17533" spans="13:13">
      <c r="M17533" s="202"/>
    </row>
    <row r="17534" spans="13:13">
      <c r="M17534" s="202"/>
    </row>
    <row r="17535" spans="13:13">
      <c r="M17535" s="202"/>
    </row>
    <row r="17536" spans="13:13">
      <c r="M17536" s="202"/>
    </row>
    <row r="17537" spans="13:13">
      <c r="M17537" s="202"/>
    </row>
    <row r="17538" spans="13:13">
      <c r="M17538" s="202"/>
    </row>
    <row r="17539" spans="13:13">
      <c r="M17539" s="202"/>
    </row>
    <row r="17540" spans="13:13">
      <c r="M17540" s="202"/>
    </row>
    <row r="17541" spans="13:13">
      <c r="M17541" s="202"/>
    </row>
    <row r="17542" spans="13:13">
      <c r="M17542" s="202"/>
    </row>
    <row r="17543" spans="13:13">
      <c r="M17543" s="202"/>
    </row>
    <row r="17544" spans="13:13">
      <c r="M17544" s="202"/>
    </row>
    <row r="17545" spans="13:13">
      <c r="M17545" s="202"/>
    </row>
    <row r="17546" spans="13:13">
      <c r="M17546" s="202"/>
    </row>
    <row r="17547" spans="13:13">
      <c r="M17547" s="202"/>
    </row>
    <row r="17548" spans="13:13">
      <c r="M17548" s="202"/>
    </row>
    <row r="17549" spans="13:13">
      <c r="M17549" s="202"/>
    </row>
    <row r="17550" spans="13:13">
      <c r="M17550" s="202"/>
    </row>
    <row r="17551" spans="13:13">
      <c r="M17551" s="202"/>
    </row>
    <row r="17552" spans="13:13">
      <c r="M17552" s="202"/>
    </row>
    <row r="17553" spans="13:13">
      <c r="M17553" s="202"/>
    </row>
    <row r="17554" spans="13:13">
      <c r="M17554" s="202"/>
    </row>
    <row r="17555" spans="13:13">
      <c r="M17555" s="202"/>
    </row>
    <row r="17556" spans="13:13">
      <c r="M17556" s="202"/>
    </row>
    <row r="17557" spans="13:13">
      <c r="M17557" s="202"/>
    </row>
    <row r="17558" spans="13:13">
      <c r="M17558" s="202"/>
    </row>
    <row r="17559" spans="13:13">
      <c r="M17559" s="202"/>
    </row>
    <row r="17560" spans="13:13">
      <c r="M17560" s="202"/>
    </row>
    <row r="17561" spans="13:13">
      <c r="M17561" s="202"/>
    </row>
    <row r="17562" spans="13:13">
      <c r="M17562" s="202"/>
    </row>
    <row r="17563" spans="13:13">
      <c r="M17563" s="202"/>
    </row>
    <row r="17564" spans="13:13">
      <c r="M17564" s="202"/>
    </row>
    <row r="17565" spans="13:13">
      <c r="M17565" s="202"/>
    </row>
    <row r="17566" spans="13:13">
      <c r="M17566" s="202"/>
    </row>
    <row r="17567" spans="13:13">
      <c r="M17567" s="202"/>
    </row>
    <row r="17568" spans="13:13">
      <c r="M17568" s="202"/>
    </row>
    <row r="17569" spans="13:13">
      <c r="M17569" s="202"/>
    </row>
    <row r="17570" spans="13:13">
      <c r="M17570" s="202"/>
    </row>
    <row r="17571" spans="13:13">
      <c r="M17571" s="202"/>
    </row>
    <row r="17572" spans="13:13">
      <c r="M17572" s="202"/>
    </row>
    <row r="17573" spans="13:13">
      <c r="M17573" s="202"/>
    </row>
    <row r="17574" spans="13:13">
      <c r="M17574" s="202"/>
    </row>
    <row r="17575" spans="13:13">
      <c r="M17575" s="202"/>
    </row>
    <row r="17576" spans="13:13">
      <c r="M17576" s="202"/>
    </row>
    <row r="17577" spans="13:13">
      <c r="M17577" s="202"/>
    </row>
    <row r="17578" spans="13:13">
      <c r="M17578" s="202"/>
    </row>
    <row r="17579" spans="13:13">
      <c r="M17579" s="202"/>
    </row>
    <row r="17580" spans="13:13">
      <c r="M17580" s="202"/>
    </row>
    <row r="17581" spans="13:13">
      <c r="M17581" s="202"/>
    </row>
    <row r="17582" spans="13:13">
      <c r="M17582" s="202"/>
    </row>
    <row r="17583" spans="13:13">
      <c r="M17583" s="202"/>
    </row>
    <row r="17584" spans="13:13">
      <c r="M17584" s="202"/>
    </row>
    <row r="17585" spans="13:13">
      <c r="M17585" s="202"/>
    </row>
    <row r="17586" spans="13:13">
      <c r="M17586" s="202"/>
    </row>
    <row r="17587" spans="13:13">
      <c r="M17587" s="202"/>
    </row>
    <row r="17588" spans="13:13">
      <c r="M17588" s="202"/>
    </row>
    <row r="17589" spans="13:13">
      <c r="M17589" s="202"/>
    </row>
    <row r="17590" spans="13:13">
      <c r="M17590" s="202"/>
    </row>
    <row r="17591" spans="13:13">
      <c r="M17591" s="202"/>
    </row>
    <row r="17592" spans="13:13">
      <c r="M17592" s="202"/>
    </row>
    <row r="17593" spans="13:13">
      <c r="M17593" s="202"/>
    </row>
    <row r="17594" spans="13:13">
      <c r="M17594" s="202"/>
    </row>
    <row r="17595" spans="13:13">
      <c r="M17595" s="202"/>
    </row>
    <row r="17596" spans="13:13">
      <c r="M17596" s="202"/>
    </row>
    <row r="17597" spans="13:13">
      <c r="M17597" s="202"/>
    </row>
    <row r="17598" spans="13:13">
      <c r="M17598" s="202"/>
    </row>
    <row r="17599" spans="13:13">
      <c r="M17599" s="202"/>
    </row>
    <row r="17600" spans="13:13">
      <c r="M17600" s="202"/>
    </row>
    <row r="17601" spans="13:13">
      <c r="M17601" s="202"/>
    </row>
    <row r="17602" spans="13:13">
      <c r="M17602" s="202"/>
    </row>
    <row r="17603" spans="13:13">
      <c r="M17603" s="202"/>
    </row>
    <row r="17604" spans="13:13">
      <c r="M17604" s="202"/>
    </row>
    <row r="17605" spans="13:13">
      <c r="M17605" s="202"/>
    </row>
    <row r="17606" spans="13:13">
      <c r="M17606" s="202"/>
    </row>
    <row r="17607" spans="13:13">
      <c r="M17607" s="202"/>
    </row>
    <row r="17608" spans="13:13">
      <c r="M17608" s="202"/>
    </row>
    <row r="17609" spans="13:13">
      <c r="M17609" s="202"/>
    </row>
    <row r="17610" spans="13:13">
      <c r="M17610" s="202"/>
    </row>
    <row r="17611" spans="13:13">
      <c r="M17611" s="202"/>
    </row>
    <row r="17612" spans="13:13">
      <c r="M17612" s="202"/>
    </row>
    <row r="17613" spans="13:13">
      <c r="M17613" s="202"/>
    </row>
    <row r="17614" spans="13:13">
      <c r="M17614" s="202"/>
    </row>
    <row r="17615" spans="13:13">
      <c r="M17615" s="202"/>
    </row>
    <row r="17616" spans="13:13">
      <c r="M17616" s="202"/>
    </row>
    <row r="17617" spans="13:13">
      <c r="M17617" s="202"/>
    </row>
    <row r="17618" spans="13:13">
      <c r="M17618" s="202"/>
    </row>
    <row r="17619" spans="13:13">
      <c r="M17619" s="202"/>
    </row>
    <row r="17620" spans="13:13">
      <c r="M17620" s="202"/>
    </row>
    <row r="17621" spans="13:13">
      <c r="M17621" s="202"/>
    </row>
    <row r="17622" spans="13:13">
      <c r="M17622" s="202"/>
    </row>
    <row r="17623" spans="13:13">
      <c r="M17623" s="202"/>
    </row>
    <row r="17624" spans="13:13">
      <c r="M17624" s="202"/>
    </row>
    <row r="17625" spans="13:13">
      <c r="M17625" s="202"/>
    </row>
    <row r="17626" spans="13:13">
      <c r="M17626" s="202"/>
    </row>
    <row r="17627" spans="13:13">
      <c r="M17627" s="202"/>
    </row>
    <row r="17628" spans="13:13">
      <c r="M17628" s="202"/>
    </row>
    <row r="17629" spans="13:13">
      <c r="M17629" s="202"/>
    </row>
    <row r="17630" spans="13:13">
      <c r="M17630" s="202"/>
    </row>
    <row r="17631" spans="13:13">
      <c r="M17631" s="202"/>
    </row>
    <row r="17632" spans="13:13">
      <c r="M17632" s="202"/>
    </row>
    <row r="17633" spans="13:13">
      <c r="M17633" s="202"/>
    </row>
    <row r="17634" spans="13:13">
      <c r="M17634" s="202"/>
    </row>
    <row r="17635" spans="13:13">
      <c r="M17635" s="202"/>
    </row>
    <row r="17636" spans="13:13">
      <c r="M17636" s="202"/>
    </row>
    <row r="17637" spans="13:13">
      <c r="M17637" s="202"/>
    </row>
    <row r="17638" spans="13:13">
      <c r="M17638" s="202"/>
    </row>
    <row r="17639" spans="13:13">
      <c r="M17639" s="202"/>
    </row>
    <row r="17640" spans="13:13">
      <c r="M17640" s="202"/>
    </row>
    <row r="17641" spans="13:13">
      <c r="M17641" s="202"/>
    </row>
    <row r="17642" spans="13:13">
      <c r="M17642" s="202"/>
    </row>
    <row r="17643" spans="13:13">
      <c r="M17643" s="202"/>
    </row>
    <row r="17644" spans="13:13">
      <c r="M17644" s="202"/>
    </row>
    <row r="17645" spans="13:13">
      <c r="M17645" s="202"/>
    </row>
    <row r="17646" spans="13:13">
      <c r="M17646" s="202"/>
    </row>
    <row r="17647" spans="13:13">
      <c r="M17647" s="202"/>
    </row>
    <row r="17648" spans="13:13">
      <c r="M17648" s="202"/>
    </row>
    <row r="17649" spans="13:13">
      <c r="M17649" s="202"/>
    </row>
    <row r="17650" spans="13:13">
      <c r="M17650" s="202"/>
    </row>
    <row r="17651" spans="13:13">
      <c r="M17651" s="202"/>
    </row>
    <row r="17652" spans="13:13">
      <c r="M17652" s="202"/>
    </row>
    <row r="17653" spans="13:13">
      <c r="M17653" s="202"/>
    </row>
    <row r="17654" spans="13:13">
      <c r="M17654" s="202"/>
    </row>
    <row r="17655" spans="13:13">
      <c r="M17655" s="202"/>
    </row>
    <row r="17656" spans="13:13">
      <c r="M17656" s="202"/>
    </row>
    <row r="17657" spans="13:13">
      <c r="M17657" s="202"/>
    </row>
    <row r="17658" spans="13:13">
      <c r="M17658" s="202"/>
    </row>
    <row r="17659" spans="13:13">
      <c r="M17659" s="202"/>
    </row>
    <row r="17660" spans="13:13">
      <c r="M17660" s="202"/>
    </row>
    <row r="17661" spans="13:13">
      <c r="M17661" s="202"/>
    </row>
    <row r="17662" spans="13:13">
      <c r="M17662" s="202"/>
    </row>
    <row r="17663" spans="13:13">
      <c r="M17663" s="202"/>
    </row>
    <row r="17664" spans="13:13">
      <c r="M17664" s="202"/>
    </row>
    <row r="17665" spans="13:13">
      <c r="M17665" s="202"/>
    </row>
    <row r="17666" spans="13:13">
      <c r="M17666" s="202"/>
    </row>
    <row r="17667" spans="13:13">
      <c r="M17667" s="202"/>
    </row>
    <row r="17668" spans="13:13">
      <c r="M17668" s="202"/>
    </row>
    <row r="17669" spans="13:13">
      <c r="M17669" s="202"/>
    </row>
    <row r="17670" spans="13:13">
      <c r="M17670" s="202"/>
    </row>
    <row r="17671" spans="13:13">
      <c r="M17671" s="202"/>
    </row>
    <row r="17672" spans="13:13">
      <c r="M17672" s="202"/>
    </row>
    <row r="17673" spans="13:13">
      <c r="M17673" s="202"/>
    </row>
    <row r="17674" spans="13:13">
      <c r="M17674" s="202"/>
    </row>
    <row r="17675" spans="13:13">
      <c r="M17675" s="202"/>
    </row>
    <row r="17676" spans="13:13">
      <c r="M17676" s="202"/>
    </row>
    <row r="17677" spans="13:13">
      <c r="M17677" s="202"/>
    </row>
    <row r="17678" spans="13:13">
      <c r="M17678" s="202"/>
    </row>
    <row r="17679" spans="13:13">
      <c r="M17679" s="202"/>
    </row>
    <row r="17680" spans="13:13">
      <c r="M17680" s="202"/>
    </row>
    <row r="17681" spans="13:13">
      <c r="M17681" s="202"/>
    </row>
    <row r="17682" spans="13:13">
      <c r="M17682" s="202"/>
    </row>
    <row r="17683" spans="13:13">
      <c r="M17683" s="202"/>
    </row>
    <row r="17684" spans="13:13">
      <c r="M17684" s="202"/>
    </row>
    <row r="17685" spans="13:13">
      <c r="M17685" s="202"/>
    </row>
    <row r="17686" spans="13:13">
      <c r="M17686" s="202"/>
    </row>
    <row r="17687" spans="13:13">
      <c r="M17687" s="202"/>
    </row>
    <row r="17688" spans="13:13">
      <c r="M17688" s="202"/>
    </row>
    <row r="17689" spans="13:13">
      <c r="M17689" s="202"/>
    </row>
    <row r="17690" spans="13:13">
      <c r="M17690" s="202"/>
    </row>
    <row r="17691" spans="13:13">
      <c r="M17691" s="202"/>
    </row>
    <row r="17692" spans="13:13">
      <c r="M17692" s="202"/>
    </row>
    <row r="17693" spans="13:13">
      <c r="M17693" s="202"/>
    </row>
    <row r="17694" spans="13:13">
      <c r="M17694" s="202"/>
    </row>
    <row r="17695" spans="13:13">
      <c r="M17695" s="202"/>
    </row>
    <row r="17696" spans="13:13">
      <c r="M17696" s="202"/>
    </row>
    <row r="17697" spans="13:13">
      <c r="M17697" s="202"/>
    </row>
    <row r="17698" spans="13:13">
      <c r="M17698" s="202"/>
    </row>
    <row r="17699" spans="13:13">
      <c r="M17699" s="202"/>
    </row>
    <row r="17700" spans="13:13">
      <c r="M17700" s="202"/>
    </row>
    <row r="17701" spans="13:13">
      <c r="M17701" s="202"/>
    </row>
    <row r="17702" spans="13:13">
      <c r="M17702" s="202"/>
    </row>
    <row r="17703" spans="13:13">
      <c r="M17703" s="202"/>
    </row>
    <row r="17704" spans="13:13">
      <c r="M17704" s="202"/>
    </row>
    <row r="17705" spans="13:13">
      <c r="M17705" s="202"/>
    </row>
    <row r="17706" spans="13:13">
      <c r="M17706" s="202"/>
    </row>
    <row r="17707" spans="13:13">
      <c r="M17707" s="202"/>
    </row>
    <row r="17708" spans="13:13">
      <c r="M17708" s="202"/>
    </row>
    <row r="17709" spans="13:13">
      <c r="M17709" s="202"/>
    </row>
    <row r="17710" spans="13:13">
      <c r="M17710" s="202"/>
    </row>
    <row r="17711" spans="13:13">
      <c r="M17711" s="202"/>
    </row>
    <row r="17712" spans="13:13">
      <c r="M17712" s="202"/>
    </row>
    <row r="17713" spans="13:13">
      <c r="M17713" s="202"/>
    </row>
    <row r="17714" spans="13:13">
      <c r="M17714" s="202"/>
    </row>
    <row r="17715" spans="13:13">
      <c r="M17715" s="202"/>
    </row>
    <row r="17716" spans="13:13">
      <c r="M17716" s="202"/>
    </row>
    <row r="17717" spans="13:13">
      <c r="M17717" s="202"/>
    </row>
    <row r="17718" spans="13:13">
      <c r="M17718" s="202"/>
    </row>
    <row r="17719" spans="13:13">
      <c r="M17719" s="202"/>
    </row>
    <row r="17720" spans="13:13">
      <c r="M17720" s="202"/>
    </row>
    <row r="17721" spans="13:13">
      <c r="M17721" s="202"/>
    </row>
    <row r="17722" spans="13:13">
      <c r="M17722" s="202"/>
    </row>
    <row r="17723" spans="13:13">
      <c r="M17723" s="202"/>
    </row>
    <row r="17724" spans="13:13">
      <c r="M17724" s="202"/>
    </row>
    <row r="17725" spans="13:13">
      <c r="M17725" s="202"/>
    </row>
    <row r="17726" spans="13:13">
      <c r="M17726" s="202"/>
    </row>
    <row r="17727" spans="13:13">
      <c r="M17727" s="202"/>
    </row>
    <row r="17728" spans="13:13">
      <c r="M17728" s="202"/>
    </row>
    <row r="17729" spans="13:13">
      <c r="M17729" s="202"/>
    </row>
    <row r="17730" spans="13:13">
      <c r="M17730" s="202"/>
    </row>
    <row r="17731" spans="13:13">
      <c r="M17731" s="202"/>
    </row>
    <row r="17732" spans="13:13">
      <c r="M17732" s="202"/>
    </row>
    <row r="17733" spans="13:13">
      <c r="M17733" s="202"/>
    </row>
    <row r="17734" spans="13:13">
      <c r="M17734" s="202"/>
    </row>
    <row r="17735" spans="13:13">
      <c r="M17735" s="202"/>
    </row>
    <row r="17736" spans="13:13">
      <c r="M17736" s="202"/>
    </row>
    <row r="17737" spans="13:13">
      <c r="M17737" s="202"/>
    </row>
    <row r="17738" spans="13:13">
      <c r="M17738" s="202"/>
    </row>
    <row r="17739" spans="13:13">
      <c r="M17739" s="202"/>
    </row>
    <row r="17740" spans="13:13">
      <c r="M17740" s="202"/>
    </row>
    <row r="17741" spans="13:13">
      <c r="M17741" s="202"/>
    </row>
    <row r="17742" spans="13:13">
      <c r="M17742" s="202"/>
    </row>
    <row r="17743" spans="13:13">
      <c r="M17743" s="202"/>
    </row>
    <row r="17744" spans="13:13">
      <c r="M17744" s="202"/>
    </row>
    <row r="17745" spans="13:13">
      <c r="M17745" s="202"/>
    </row>
    <row r="17746" spans="13:13">
      <c r="M17746" s="202"/>
    </row>
    <row r="17747" spans="13:13">
      <c r="M17747" s="202"/>
    </row>
    <row r="17748" spans="13:13">
      <c r="M17748" s="202"/>
    </row>
    <row r="17749" spans="13:13">
      <c r="M17749" s="202"/>
    </row>
    <row r="17750" spans="13:13">
      <c r="M17750" s="202"/>
    </row>
    <row r="17751" spans="13:13">
      <c r="M17751" s="202"/>
    </row>
    <row r="17752" spans="13:13">
      <c r="M17752" s="202"/>
    </row>
    <row r="17753" spans="13:13">
      <c r="M17753" s="202"/>
    </row>
    <row r="17754" spans="13:13">
      <c r="M17754" s="202"/>
    </row>
    <row r="17755" spans="13:13">
      <c r="M17755" s="202"/>
    </row>
    <row r="17756" spans="13:13">
      <c r="M17756" s="202"/>
    </row>
    <row r="17757" spans="13:13">
      <c r="M17757" s="202"/>
    </row>
    <row r="17758" spans="13:13">
      <c r="M17758" s="202"/>
    </row>
    <row r="17759" spans="13:13">
      <c r="M17759" s="202"/>
    </row>
    <row r="17760" spans="13:13">
      <c r="M17760" s="202"/>
    </row>
    <row r="17761" spans="13:13">
      <c r="M17761" s="202"/>
    </row>
    <row r="17762" spans="13:13">
      <c r="M17762" s="202"/>
    </row>
    <row r="17763" spans="13:13">
      <c r="M17763" s="202"/>
    </row>
    <row r="17764" spans="13:13">
      <c r="M17764" s="202"/>
    </row>
    <row r="17765" spans="13:13">
      <c r="M17765" s="202"/>
    </row>
    <row r="17766" spans="13:13">
      <c r="M17766" s="202"/>
    </row>
    <row r="17767" spans="13:13">
      <c r="M17767" s="202"/>
    </row>
    <row r="17768" spans="13:13">
      <c r="M17768" s="202"/>
    </row>
    <row r="17769" spans="13:13">
      <c r="M17769" s="202"/>
    </row>
    <row r="17770" spans="13:13">
      <c r="M17770" s="202"/>
    </row>
    <row r="17771" spans="13:13">
      <c r="M17771" s="202"/>
    </row>
    <row r="17772" spans="13:13">
      <c r="M17772" s="202"/>
    </row>
    <row r="17773" spans="13:13">
      <c r="M17773" s="202"/>
    </row>
    <row r="17774" spans="13:13">
      <c r="M17774" s="202"/>
    </row>
    <row r="17775" spans="13:13">
      <c r="M17775" s="202"/>
    </row>
    <row r="17776" spans="13:13">
      <c r="M17776" s="202"/>
    </row>
    <row r="17777" spans="13:13">
      <c r="M17777" s="202"/>
    </row>
    <row r="17778" spans="13:13">
      <c r="M17778" s="202"/>
    </row>
    <row r="17779" spans="13:13">
      <c r="M17779" s="202"/>
    </row>
    <row r="17780" spans="13:13">
      <c r="M17780" s="202"/>
    </row>
    <row r="17781" spans="13:13">
      <c r="M17781" s="202"/>
    </row>
    <row r="17782" spans="13:13">
      <c r="M17782" s="202"/>
    </row>
    <row r="17783" spans="13:13">
      <c r="M17783" s="202"/>
    </row>
    <row r="17784" spans="13:13">
      <c r="M17784" s="202"/>
    </row>
    <row r="17785" spans="13:13">
      <c r="M17785" s="202"/>
    </row>
    <row r="17786" spans="13:13">
      <c r="M17786" s="202"/>
    </row>
    <row r="17787" spans="13:13">
      <c r="M17787" s="202"/>
    </row>
    <row r="17788" spans="13:13">
      <c r="M17788" s="202"/>
    </row>
    <row r="17789" spans="13:13">
      <c r="M17789" s="202"/>
    </row>
    <row r="17790" spans="13:13">
      <c r="M17790" s="202"/>
    </row>
    <row r="17791" spans="13:13">
      <c r="M17791" s="202"/>
    </row>
    <row r="17792" spans="13:13">
      <c r="M17792" s="202"/>
    </row>
    <row r="17793" spans="13:13">
      <c r="M17793" s="202"/>
    </row>
    <row r="17794" spans="13:13">
      <c r="M17794" s="202"/>
    </row>
    <row r="17795" spans="13:13">
      <c r="M17795" s="202"/>
    </row>
    <row r="17796" spans="13:13">
      <c r="M17796" s="202"/>
    </row>
    <row r="17797" spans="13:13">
      <c r="M17797" s="202"/>
    </row>
    <row r="17798" spans="13:13">
      <c r="M17798" s="202"/>
    </row>
    <row r="17799" spans="13:13">
      <c r="M17799" s="202"/>
    </row>
    <row r="17800" spans="13:13">
      <c r="M17800" s="202"/>
    </row>
    <row r="17801" spans="13:13">
      <c r="M17801" s="202"/>
    </row>
    <row r="17802" spans="13:13">
      <c r="M17802" s="202"/>
    </row>
    <row r="17803" spans="13:13">
      <c r="M17803" s="202"/>
    </row>
    <row r="17804" spans="13:13">
      <c r="M17804" s="202"/>
    </row>
    <row r="17805" spans="13:13">
      <c r="M17805" s="202"/>
    </row>
    <row r="17806" spans="13:13">
      <c r="M17806" s="202"/>
    </row>
    <row r="17807" spans="13:13">
      <c r="M17807" s="202"/>
    </row>
    <row r="17808" spans="13:13">
      <c r="M17808" s="202"/>
    </row>
    <row r="17809" spans="13:13">
      <c r="M17809" s="202"/>
    </row>
    <row r="17810" spans="13:13">
      <c r="M17810" s="202"/>
    </row>
    <row r="17811" spans="13:13">
      <c r="M17811" s="202"/>
    </row>
    <row r="17812" spans="13:13">
      <c r="M17812" s="202"/>
    </row>
    <row r="17813" spans="13:13">
      <c r="M17813" s="202"/>
    </row>
    <row r="17814" spans="13:13">
      <c r="M17814" s="202"/>
    </row>
    <row r="17815" spans="13:13">
      <c r="M17815" s="202"/>
    </row>
    <row r="17816" spans="13:13">
      <c r="M17816" s="202"/>
    </row>
    <row r="17817" spans="13:13">
      <c r="M17817" s="202"/>
    </row>
    <row r="17818" spans="13:13">
      <c r="M17818" s="202"/>
    </row>
    <row r="17819" spans="13:13">
      <c r="M17819" s="202"/>
    </row>
    <row r="17820" spans="13:13">
      <c r="M17820" s="202"/>
    </row>
    <row r="17821" spans="13:13">
      <c r="M17821" s="202"/>
    </row>
    <row r="17822" spans="13:13">
      <c r="M17822" s="202"/>
    </row>
    <row r="17823" spans="13:13">
      <c r="M17823" s="202"/>
    </row>
    <row r="17824" spans="13:13">
      <c r="M17824" s="202"/>
    </row>
    <row r="17825" spans="13:13">
      <c r="M17825" s="202"/>
    </row>
    <row r="17826" spans="13:13">
      <c r="M17826" s="202"/>
    </row>
    <row r="17827" spans="13:13">
      <c r="M17827" s="202"/>
    </row>
    <row r="17828" spans="13:13">
      <c r="M17828" s="202"/>
    </row>
    <row r="17829" spans="13:13">
      <c r="M17829" s="202"/>
    </row>
    <row r="17830" spans="13:13">
      <c r="M17830" s="202"/>
    </row>
    <row r="17831" spans="13:13">
      <c r="M17831" s="202"/>
    </row>
    <row r="17832" spans="13:13">
      <c r="M17832" s="202"/>
    </row>
    <row r="17833" spans="13:13">
      <c r="M17833" s="202"/>
    </row>
    <row r="17834" spans="13:13">
      <c r="M17834" s="202"/>
    </row>
    <row r="17835" spans="13:13">
      <c r="M17835" s="202"/>
    </row>
    <row r="17836" spans="13:13">
      <c r="M17836" s="202"/>
    </row>
    <row r="17837" spans="13:13">
      <c r="M17837" s="202"/>
    </row>
    <row r="17838" spans="13:13">
      <c r="M17838" s="202"/>
    </row>
    <row r="17839" spans="13:13">
      <c r="M17839" s="202"/>
    </row>
    <row r="17840" spans="13:13">
      <c r="M17840" s="202"/>
    </row>
    <row r="17841" spans="13:13">
      <c r="M17841" s="202"/>
    </row>
    <row r="17842" spans="13:13">
      <c r="M17842" s="202"/>
    </row>
    <row r="17843" spans="13:13">
      <c r="M17843" s="202"/>
    </row>
    <row r="17844" spans="13:13">
      <c r="M17844" s="202"/>
    </row>
    <row r="17845" spans="13:13">
      <c r="M17845" s="202"/>
    </row>
    <row r="17846" spans="13:13">
      <c r="M17846" s="202"/>
    </row>
    <row r="17847" spans="13:13">
      <c r="M17847" s="202"/>
    </row>
    <row r="17848" spans="13:13">
      <c r="M17848" s="202"/>
    </row>
    <row r="17849" spans="13:13">
      <c r="M17849" s="202"/>
    </row>
    <row r="17850" spans="13:13">
      <c r="M17850" s="202"/>
    </row>
    <row r="17851" spans="13:13">
      <c r="M17851" s="202"/>
    </row>
    <row r="17852" spans="13:13">
      <c r="M17852" s="202"/>
    </row>
    <row r="17853" spans="13:13">
      <c r="M17853" s="202"/>
    </row>
    <row r="17854" spans="13:13">
      <c r="M17854" s="202"/>
    </row>
    <row r="17855" spans="13:13">
      <c r="M17855" s="202"/>
    </row>
    <row r="17856" spans="13:13">
      <c r="M17856" s="202"/>
    </row>
    <row r="17857" spans="13:13">
      <c r="M17857" s="202"/>
    </row>
    <row r="17858" spans="13:13">
      <c r="M17858" s="202"/>
    </row>
    <row r="17859" spans="13:13">
      <c r="M17859" s="202"/>
    </row>
    <row r="17860" spans="13:13">
      <c r="M17860" s="202"/>
    </row>
    <row r="17861" spans="13:13">
      <c r="M17861" s="202"/>
    </row>
    <row r="17862" spans="13:13">
      <c r="M17862" s="202"/>
    </row>
    <row r="17863" spans="13:13">
      <c r="M17863" s="202"/>
    </row>
    <row r="17864" spans="13:13">
      <c r="M17864" s="202"/>
    </row>
    <row r="17865" spans="13:13">
      <c r="M17865" s="202"/>
    </row>
    <row r="17866" spans="13:13">
      <c r="M17866" s="202"/>
    </row>
    <row r="17867" spans="13:13">
      <c r="M17867" s="202"/>
    </row>
    <row r="17868" spans="13:13">
      <c r="M17868" s="202"/>
    </row>
    <row r="17869" spans="13:13">
      <c r="M17869" s="202"/>
    </row>
    <row r="17870" spans="13:13">
      <c r="M17870" s="202"/>
    </row>
    <row r="17871" spans="13:13">
      <c r="M17871" s="202"/>
    </row>
    <row r="17872" spans="13:13">
      <c r="M17872" s="202"/>
    </row>
    <row r="17873" spans="13:13">
      <c r="M17873" s="202"/>
    </row>
    <row r="17874" spans="13:13">
      <c r="M17874" s="202"/>
    </row>
    <row r="17875" spans="13:13">
      <c r="M17875" s="202"/>
    </row>
    <row r="17876" spans="13:13">
      <c r="M17876" s="202"/>
    </row>
    <row r="17877" spans="13:13">
      <c r="M17877" s="202"/>
    </row>
    <row r="17878" spans="13:13">
      <c r="M17878" s="202"/>
    </row>
    <row r="17879" spans="13:13">
      <c r="M17879" s="202"/>
    </row>
    <row r="17880" spans="13:13">
      <c r="M17880" s="202"/>
    </row>
    <row r="17881" spans="13:13">
      <c r="M17881" s="202"/>
    </row>
    <row r="17882" spans="13:13">
      <c r="M17882" s="202"/>
    </row>
    <row r="17883" spans="13:13">
      <c r="M17883" s="202"/>
    </row>
    <row r="17884" spans="13:13">
      <c r="M17884" s="202"/>
    </row>
    <row r="17885" spans="13:13">
      <c r="M17885" s="202"/>
    </row>
    <row r="17886" spans="13:13">
      <c r="M17886" s="202"/>
    </row>
    <row r="17887" spans="13:13">
      <c r="M17887" s="202"/>
    </row>
    <row r="17888" spans="13:13">
      <c r="M17888" s="202"/>
    </row>
    <row r="17889" spans="13:13">
      <c r="M17889" s="202"/>
    </row>
    <row r="17890" spans="13:13">
      <c r="M17890" s="202"/>
    </row>
    <row r="17891" spans="13:13">
      <c r="M17891" s="202"/>
    </row>
    <row r="17892" spans="13:13">
      <c r="M17892" s="202"/>
    </row>
    <row r="17893" spans="13:13">
      <c r="M17893" s="202"/>
    </row>
    <row r="17894" spans="13:13">
      <c r="M17894" s="202"/>
    </row>
    <row r="17895" spans="13:13">
      <c r="M17895" s="202"/>
    </row>
    <row r="17896" spans="13:13">
      <c r="M17896" s="202"/>
    </row>
    <row r="17897" spans="13:13">
      <c r="M17897" s="202"/>
    </row>
    <row r="17898" spans="13:13">
      <c r="M17898" s="202"/>
    </row>
    <row r="17899" spans="13:13">
      <c r="M17899" s="202"/>
    </row>
    <row r="17900" spans="13:13">
      <c r="M17900" s="202"/>
    </row>
    <row r="17901" spans="13:13">
      <c r="M17901" s="202"/>
    </row>
    <row r="17902" spans="13:13">
      <c r="M17902" s="202"/>
    </row>
    <row r="17903" spans="13:13">
      <c r="M17903" s="202"/>
    </row>
    <row r="17904" spans="13:13">
      <c r="M17904" s="202"/>
    </row>
    <row r="17905" spans="13:13">
      <c r="M17905" s="202"/>
    </row>
    <row r="17906" spans="13:13">
      <c r="M17906" s="202"/>
    </row>
    <row r="17907" spans="13:13">
      <c r="M17907" s="202"/>
    </row>
    <row r="17908" spans="13:13">
      <c r="M17908" s="202"/>
    </row>
    <row r="17909" spans="13:13">
      <c r="M17909" s="202"/>
    </row>
    <row r="17910" spans="13:13">
      <c r="M17910" s="202"/>
    </row>
    <row r="17911" spans="13:13">
      <c r="M17911" s="202"/>
    </row>
    <row r="17912" spans="13:13">
      <c r="M17912" s="202"/>
    </row>
    <row r="17913" spans="13:13">
      <c r="M17913" s="202"/>
    </row>
    <row r="17914" spans="13:13">
      <c r="M17914" s="202"/>
    </row>
    <row r="17915" spans="13:13">
      <c r="M17915" s="202"/>
    </row>
    <row r="17916" spans="13:13">
      <c r="M17916" s="202"/>
    </row>
    <row r="17917" spans="13:13">
      <c r="M17917" s="202"/>
    </row>
    <row r="17918" spans="13:13">
      <c r="M17918" s="202"/>
    </row>
    <row r="17919" spans="13:13">
      <c r="M17919" s="202"/>
    </row>
    <row r="17920" spans="13:13">
      <c r="M17920" s="202"/>
    </row>
    <row r="17921" spans="13:13">
      <c r="M17921" s="202"/>
    </row>
    <row r="17922" spans="13:13">
      <c r="M17922" s="202"/>
    </row>
    <row r="17923" spans="13:13">
      <c r="M17923" s="202"/>
    </row>
    <row r="17924" spans="13:13">
      <c r="M17924" s="202"/>
    </row>
    <row r="17925" spans="13:13">
      <c r="M17925" s="202"/>
    </row>
    <row r="17926" spans="13:13">
      <c r="M17926" s="202"/>
    </row>
    <row r="17927" spans="13:13">
      <c r="M17927" s="202"/>
    </row>
    <row r="17928" spans="13:13">
      <c r="M17928" s="202"/>
    </row>
    <row r="17929" spans="13:13">
      <c r="M17929" s="202"/>
    </row>
    <row r="17930" spans="13:13">
      <c r="M17930" s="202"/>
    </row>
    <row r="17931" spans="13:13">
      <c r="M17931" s="202"/>
    </row>
    <row r="17932" spans="13:13">
      <c r="M17932" s="202"/>
    </row>
    <row r="17933" spans="13:13">
      <c r="M17933" s="202"/>
    </row>
    <row r="17934" spans="13:13">
      <c r="M17934" s="202"/>
    </row>
    <row r="17935" spans="13:13">
      <c r="M17935" s="202"/>
    </row>
    <row r="17936" spans="13:13">
      <c r="M17936" s="202"/>
    </row>
    <row r="17937" spans="13:13">
      <c r="M17937" s="202"/>
    </row>
    <row r="17938" spans="13:13">
      <c r="M17938" s="202"/>
    </row>
    <row r="17939" spans="13:13">
      <c r="M17939" s="202"/>
    </row>
    <row r="17940" spans="13:13">
      <c r="M17940" s="202"/>
    </row>
    <row r="17941" spans="13:13">
      <c r="M17941" s="202"/>
    </row>
    <row r="17942" spans="13:13">
      <c r="M17942" s="202"/>
    </row>
    <row r="17943" spans="13:13">
      <c r="M17943" s="202"/>
    </row>
    <row r="17944" spans="13:13">
      <c r="M17944" s="202"/>
    </row>
    <row r="17945" spans="13:13">
      <c r="M17945" s="202"/>
    </row>
    <row r="17946" spans="13:13">
      <c r="M17946" s="202"/>
    </row>
    <row r="17947" spans="13:13">
      <c r="M17947" s="202"/>
    </row>
    <row r="17948" spans="13:13">
      <c r="M17948" s="202"/>
    </row>
    <row r="17949" spans="13:13">
      <c r="M17949" s="202"/>
    </row>
    <row r="17950" spans="13:13">
      <c r="M17950" s="202"/>
    </row>
    <row r="17951" spans="13:13">
      <c r="M17951" s="202"/>
    </row>
    <row r="17952" spans="13:13">
      <c r="M17952" s="202"/>
    </row>
    <row r="17953" spans="13:13">
      <c r="M17953" s="202"/>
    </row>
    <row r="17954" spans="13:13">
      <c r="M17954" s="202"/>
    </row>
    <row r="17955" spans="13:13">
      <c r="M17955" s="202"/>
    </row>
    <row r="17956" spans="13:13">
      <c r="M17956" s="202"/>
    </row>
    <row r="17957" spans="13:13">
      <c r="M17957" s="202"/>
    </row>
    <row r="17958" spans="13:13">
      <c r="M17958" s="202"/>
    </row>
    <row r="17959" spans="13:13">
      <c r="M17959" s="202"/>
    </row>
    <row r="17960" spans="13:13">
      <c r="M17960" s="202"/>
    </row>
    <row r="17961" spans="13:13">
      <c r="M17961" s="202"/>
    </row>
    <row r="17962" spans="13:13">
      <c r="M17962" s="202"/>
    </row>
    <row r="17963" spans="13:13">
      <c r="M17963" s="202"/>
    </row>
    <row r="17964" spans="13:13">
      <c r="M17964" s="202"/>
    </row>
    <row r="17965" spans="13:13">
      <c r="M17965" s="202"/>
    </row>
    <row r="17966" spans="13:13">
      <c r="M17966" s="202"/>
    </row>
    <row r="17967" spans="13:13">
      <c r="M17967" s="202"/>
    </row>
    <row r="17968" spans="13:13">
      <c r="M17968" s="202"/>
    </row>
    <row r="17969" spans="13:13">
      <c r="M17969" s="202"/>
    </row>
    <row r="17970" spans="13:13">
      <c r="M17970" s="202"/>
    </row>
    <row r="17971" spans="13:13">
      <c r="M17971" s="202"/>
    </row>
    <row r="17972" spans="13:13">
      <c r="M17972" s="202"/>
    </row>
    <row r="17973" spans="13:13">
      <c r="M17973" s="202"/>
    </row>
    <row r="17974" spans="13:13">
      <c r="M17974" s="202"/>
    </row>
    <row r="17975" spans="13:13">
      <c r="M17975" s="202"/>
    </row>
    <row r="17976" spans="13:13">
      <c r="M17976" s="202"/>
    </row>
    <row r="17977" spans="13:13">
      <c r="M17977" s="202"/>
    </row>
    <row r="17978" spans="13:13">
      <c r="M17978" s="202"/>
    </row>
    <row r="17979" spans="13:13">
      <c r="M17979" s="202"/>
    </row>
    <row r="17980" spans="13:13">
      <c r="M17980" s="202"/>
    </row>
    <row r="17981" spans="13:13">
      <c r="M17981" s="202"/>
    </row>
    <row r="17982" spans="13:13">
      <c r="M17982" s="202"/>
    </row>
    <row r="17983" spans="13:13">
      <c r="M17983" s="202"/>
    </row>
    <row r="17984" spans="13:13">
      <c r="M17984" s="202"/>
    </row>
    <row r="17985" spans="13:13">
      <c r="M17985" s="202"/>
    </row>
    <row r="17986" spans="13:13">
      <c r="M17986" s="202"/>
    </row>
    <row r="17987" spans="13:13">
      <c r="M17987" s="202"/>
    </row>
    <row r="17988" spans="13:13">
      <c r="M17988" s="202"/>
    </row>
    <row r="17989" spans="13:13">
      <c r="M17989" s="202"/>
    </row>
    <row r="17990" spans="13:13">
      <c r="M17990" s="202"/>
    </row>
    <row r="17991" spans="13:13">
      <c r="M17991" s="202"/>
    </row>
    <row r="17992" spans="13:13">
      <c r="M17992" s="202"/>
    </row>
    <row r="17993" spans="13:13">
      <c r="M17993" s="202"/>
    </row>
    <row r="17994" spans="13:13">
      <c r="M17994" s="202"/>
    </row>
    <row r="17995" spans="13:13">
      <c r="M17995" s="202"/>
    </row>
    <row r="17996" spans="13:13">
      <c r="M17996" s="202"/>
    </row>
    <row r="17997" spans="13:13">
      <c r="M17997" s="202"/>
    </row>
    <row r="17998" spans="13:13">
      <c r="M17998" s="202"/>
    </row>
    <row r="17999" spans="13:13">
      <c r="M17999" s="202"/>
    </row>
    <row r="18000" spans="13:13">
      <c r="M18000" s="202"/>
    </row>
    <row r="18001" spans="13:13">
      <c r="M18001" s="202"/>
    </row>
    <row r="18002" spans="13:13">
      <c r="M18002" s="202"/>
    </row>
    <row r="18003" spans="13:13">
      <c r="M18003" s="202"/>
    </row>
    <row r="18004" spans="13:13">
      <c r="M18004" s="202"/>
    </row>
    <row r="18005" spans="13:13">
      <c r="M18005" s="202"/>
    </row>
    <row r="18006" spans="13:13">
      <c r="M18006" s="202"/>
    </row>
    <row r="18007" spans="13:13">
      <c r="M18007" s="202"/>
    </row>
    <row r="18008" spans="13:13">
      <c r="M18008" s="202"/>
    </row>
    <row r="18009" spans="13:13">
      <c r="M18009" s="202"/>
    </row>
    <row r="18010" spans="13:13">
      <c r="M18010" s="202"/>
    </row>
    <row r="18011" spans="13:13">
      <c r="M18011" s="202"/>
    </row>
    <row r="18012" spans="13:13">
      <c r="M18012" s="202"/>
    </row>
    <row r="18013" spans="13:13">
      <c r="M18013" s="202"/>
    </row>
    <row r="18014" spans="13:13">
      <c r="M18014" s="202"/>
    </row>
    <row r="18015" spans="13:13">
      <c r="M18015" s="202"/>
    </row>
    <row r="18016" spans="13:13">
      <c r="M18016" s="202"/>
    </row>
    <row r="18017" spans="13:13">
      <c r="M18017" s="202"/>
    </row>
    <row r="18018" spans="13:13">
      <c r="M18018" s="202"/>
    </row>
    <row r="18019" spans="13:13">
      <c r="M18019" s="202"/>
    </row>
    <row r="18020" spans="13:13">
      <c r="M18020" s="202"/>
    </row>
    <row r="18021" spans="13:13">
      <c r="M18021" s="202"/>
    </row>
    <row r="18022" spans="13:13">
      <c r="M18022" s="202"/>
    </row>
    <row r="18023" spans="13:13">
      <c r="M18023" s="202"/>
    </row>
    <row r="18024" spans="13:13">
      <c r="M18024" s="202"/>
    </row>
    <row r="18025" spans="13:13">
      <c r="M18025" s="202"/>
    </row>
    <row r="18026" spans="13:13">
      <c r="M18026" s="202"/>
    </row>
    <row r="18027" spans="13:13">
      <c r="M18027" s="202"/>
    </row>
    <row r="18028" spans="13:13">
      <c r="M18028" s="202"/>
    </row>
    <row r="18029" spans="13:13">
      <c r="M18029" s="202"/>
    </row>
    <row r="18030" spans="13:13">
      <c r="M18030" s="202"/>
    </row>
    <row r="18031" spans="13:13">
      <c r="M18031" s="202"/>
    </row>
    <row r="18032" spans="13:13">
      <c r="M18032" s="202"/>
    </row>
    <row r="18033" spans="13:13">
      <c r="M18033" s="202"/>
    </row>
    <row r="18034" spans="13:13">
      <c r="M18034" s="202"/>
    </row>
    <row r="18035" spans="13:13">
      <c r="M18035" s="202"/>
    </row>
    <row r="18036" spans="13:13">
      <c r="M18036" s="202"/>
    </row>
    <row r="18037" spans="13:13">
      <c r="M18037" s="202"/>
    </row>
    <row r="18038" spans="13:13">
      <c r="M18038" s="202"/>
    </row>
    <row r="18039" spans="13:13">
      <c r="M18039" s="202"/>
    </row>
    <row r="18040" spans="13:13">
      <c r="M18040" s="202"/>
    </row>
    <row r="18041" spans="13:13">
      <c r="M18041" s="202"/>
    </row>
    <row r="18042" spans="13:13">
      <c r="M18042" s="202"/>
    </row>
    <row r="18043" spans="13:13">
      <c r="M18043" s="202"/>
    </row>
    <row r="18044" spans="13:13">
      <c r="M18044" s="202"/>
    </row>
    <row r="18045" spans="13:13">
      <c r="M18045" s="202"/>
    </row>
    <row r="18046" spans="13:13">
      <c r="M18046" s="202"/>
    </row>
    <row r="18047" spans="13:13">
      <c r="M18047" s="202"/>
    </row>
    <row r="18048" spans="13:13">
      <c r="M18048" s="202"/>
    </row>
    <row r="18049" spans="13:13">
      <c r="M18049" s="202"/>
    </row>
    <row r="18050" spans="13:13">
      <c r="M18050" s="202"/>
    </row>
    <row r="18051" spans="13:13">
      <c r="M18051" s="202"/>
    </row>
    <row r="18052" spans="13:13">
      <c r="M18052" s="202"/>
    </row>
    <row r="18053" spans="13:13">
      <c r="M18053" s="202"/>
    </row>
    <row r="18054" spans="13:13">
      <c r="M18054" s="202"/>
    </row>
    <row r="18055" spans="13:13">
      <c r="M18055" s="202"/>
    </row>
    <row r="18056" spans="13:13">
      <c r="M18056" s="202"/>
    </row>
    <row r="18057" spans="13:13">
      <c r="M18057" s="202"/>
    </row>
    <row r="18058" spans="13:13">
      <c r="M18058" s="202"/>
    </row>
    <row r="18059" spans="13:13">
      <c r="M18059" s="202"/>
    </row>
    <row r="18060" spans="13:13">
      <c r="M18060" s="202"/>
    </row>
    <row r="18061" spans="13:13">
      <c r="M18061" s="202"/>
    </row>
    <row r="18062" spans="13:13">
      <c r="M18062" s="202"/>
    </row>
    <row r="18063" spans="13:13">
      <c r="M18063" s="202"/>
    </row>
    <row r="18064" spans="13:13">
      <c r="M18064" s="202"/>
    </row>
    <row r="18065" spans="13:13">
      <c r="M18065" s="202"/>
    </row>
    <row r="18066" spans="13:13">
      <c r="M18066" s="202"/>
    </row>
    <row r="18067" spans="13:13">
      <c r="M18067" s="202"/>
    </row>
    <row r="18068" spans="13:13">
      <c r="M18068" s="202"/>
    </row>
    <row r="18069" spans="13:13">
      <c r="M18069" s="202"/>
    </row>
    <row r="18070" spans="13:13">
      <c r="M18070" s="202"/>
    </row>
    <row r="18071" spans="13:13">
      <c r="M18071" s="202"/>
    </row>
    <row r="18072" spans="13:13">
      <c r="M18072" s="202"/>
    </row>
    <row r="18073" spans="13:13">
      <c r="M18073" s="202"/>
    </row>
    <row r="18074" spans="13:13">
      <c r="M18074" s="202"/>
    </row>
    <row r="18075" spans="13:13">
      <c r="M18075" s="202"/>
    </row>
    <row r="18076" spans="13:13">
      <c r="M18076" s="202"/>
    </row>
    <row r="18077" spans="13:13">
      <c r="M18077" s="202"/>
    </row>
    <row r="18078" spans="13:13">
      <c r="M18078" s="202"/>
    </row>
    <row r="18079" spans="13:13">
      <c r="M18079" s="202"/>
    </row>
    <row r="18080" spans="13:13">
      <c r="M18080" s="202"/>
    </row>
    <row r="18081" spans="13:13">
      <c r="M18081" s="202"/>
    </row>
    <row r="18082" spans="13:13">
      <c r="M18082" s="202"/>
    </row>
    <row r="18083" spans="13:13">
      <c r="M18083" s="202"/>
    </row>
    <row r="18084" spans="13:13">
      <c r="M18084" s="202"/>
    </row>
    <row r="18085" spans="13:13">
      <c r="M18085" s="202"/>
    </row>
    <row r="18086" spans="13:13">
      <c r="M18086" s="202"/>
    </row>
    <row r="18087" spans="13:13">
      <c r="M18087" s="202"/>
    </row>
    <row r="18088" spans="13:13">
      <c r="M18088" s="202"/>
    </row>
    <row r="18089" spans="13:13">
      <c r="M18089" s="202"/>
    </row>
    <row r="18090" spans="13:13">
      <c r="M18090" s="202"/>
    </row>
    <row r="18091" spans="13:13">
      <c r="M18091" s="202"/>
    </row>
    <row r="18092" spans="13:13">
      <c r="M18092" s="202"/>
    </row>
    <row r="18093" spans="13:13">
      <c r="M18093" s="202"/>
    </row>
    <row r="18094" spans="13:13">
      <c r="M18094" s="202"/>
    </row>
    <row r="18095" spans="13:13">
      <c r="M18095" s="202"/>
    </row>
    <row r="18096" spans="13:13">
      <c r="M18096" s="202"/>
    </row>
    <row r="18097" spans="13:13">
      <c r="M18097" s="202"/>
    </row>
    <row r="18098" spans="13:13">
      <c r="M18098" s="202"/>
    </row>
    <row r="18099" spans="13:13">
      <c r="M18099" s="202"/>
    </row>
    <row r="18100" spans="13:13">
      <c r="M18100" s="202"/>
    </row>
    <row r="18101" spans="13:13">
      <c r="M18101" s="202"/>
    </row>
    <row r="18102" spans="13:13">
      <c r="M18102" s="202"/>
    </row>
    <row r="18103" spans="13:13">
      <c r="M18103" s="202"/>
    </row>
    <row r="18104" spans="13:13">
      <c r="M18104" s="202"/>
    </row>
    <row r="18105" spans="13:13">
      <c r="M18105" s="202"/>
    </row>
    <row r="18106" spans="13:13">
      <c r="M18106" s="202"/>
    </row>
    <row r="18107" spans="13:13">
      <c r="M18107" s="202"/>
    </row>
    <row r="18108" spans="13:13">
      <c r="M18108" s="202"/>
    </row>
    <row r="18109" spans="13:13">
      <c r="M18109" s="202"/>
    </row>
    <row r="18110" spans="13:13">
      <c r="M18110" s="202"/>
    </row>
    <row r="18111" spans="13:13">
      <c r="M18111" s="202"/>
    </row>
    <row r="18112" spans="13:13">
      <c r="M18112" s="202"/>
    </row>
    <row r="18113" spans="13:13">
      <c r="M18113" s="202"/>
    </row>
    <row r="18114" spans="13:13">
      <c r="M18114" s="202"/>
    </row>
    <row r="18115" spans="13:13">
      <c r="M18115" s="202"/>
    </row>
    <row r="18116" spans="13:13">
      <c r="M18116" s="202"/>
    </row>
    <row r="18117" spans="13:13">
      <c r="M18117" s="202"/>
    </row>
    <row r="18118" spans="13:13">
      <c r="M18118" s="202"/>
    </row>
    <row r="18119" spans="13:13">
      <c r="M18119" s="202"/>
    </row>
    <row r="18120" spans="13:13">
      <c r="M18120" s="202"/>
    </row>
    <row r="18121" spans="13:13">
      <c r="M18121" s="202"/>
    </row>
    <row r="18122" spans="13:13">
      <c r="M18122" s="202"/>
    </row>
    <row r="18123" spans="13:13">
      <c r="M18123" s="202"/>
    </row>
    <row r="18124" spans="13:13">
      <c r="M18124" s="202"/>
    </row>
    <row r="18125" spans="13:13">
      <c r="M18125" s="202"/>
    </row>
    <row r="18126" spans="13:13">
      <c r="M18126" s="202"/>
    </row>
    <row r="18127" spans="13:13">
      <c r="M18127" s="202"/>
    </row>
    <row r="18128" spans="13:13">
      <c r="M18128" s="202"/>
    </row>
    <row r="18129" spans="13:13">
      <c r="M18129" s="202"/>
    </row>
    <row r="18130" spans="13:13">
      <c r="M18130" s="202"/>
    </row>
    <row r="18131" spans="13:13">
      <c r="M18131" s="202"/>
    </row>
    <row r="18132" spans="13:13">
      <c r="M18132" s="202"/>
    </row>
    <row r="18133" spans="13:13">
      <c r="M18133" s="202"/>
    </row>
    <row r="18134" spans="13:13">
      <c r="M18134" s="202"/>
    </row>
    <row r="18135" spans="13:13">
      <c r="M18135" s="202"/>
    </row>
    <row r="18136" spans="13:13">
      <c r="M18136" s="202"/>
    </row>
    <row r="18137" spans="13:13">
      <c r="M18137" s="202"/>
    </row>
    <row r="18138" spans="13:13">
      <c r="M18138" s="202"/>
    </row>
    <row r="18139" spans="13:13">
      <c r="M18139" s="202"/>
    </row>
    <row r="18140" spans="13:13">
      <c r="M18140" s="202"/>
    </row>
    <row r="18141" spans="13:13">
      <c r="M18141" s="202"/>
    </row>
    <row r="18142" spans="13:13">
      <c r="M18142" s="202"/>
    </row>
    <row r="18143" spans="13:13">
      <c r="M18143" s="202"/>
    </row>
    <row r="18144" spans="13:13">
      <c r="M18144" s="202"/>
    </row>
    <row r="18145" spans="13:13">
      <c r="M18145" s="202"/>
    </row>
    <row r="18146" spans="13:13">
      <c r="M18146" s="202"/>
    </row>
    <row r="18147" spans="13:13">
      <c r="M18147" s="202"/>
    </row>
    <row r="18148" spans="13:13">
      <c r="M18148" s="202"/>
    </row>
    <row r="18149" spans="13:13">
      <c r="M18149" s="202"/>
    </row>
    <row r="18150" spans="13:13">
      <c r="M18150" s="202"/>
    </row>
    <row r="18151" spans="13:13">
      <c r="M18151" s="202"/>
    </row>
    <row r="18152" spans="13:13">
      <c r="M18152" s="202"/>
    </row>
    <row r="18153" spans="13:13">
      <c r="M18153" s="202"/>
    </row>
    <row r="18154" spans="13:13">
      <c r="M18154" s="202"/>
    </row>
    <row r="18155" spans="13:13">
      <c r="M18155" s="202"/>
    </row>
    <row r="18156" spans="13:13">
      <c r="M18156" s="202"/>
    </row>
    <row r="18157" spans="13:13">
      <c r="M18157" s="202"/>
    </row>
    <row r="18158" spans="13:13">
      <c r="M18158" s="202"/>
    </row>
    <row r="18159" spans="13:13">
      <c r="M18159" s="202"/>
    </row>
    <row r="18160" spans="13:13">
      <c r="M18160" s="202"/>
    </row>
    <row r="18161" spans="13:13">
      <c r="M18161" s="202"/>
    </row>
    <row r="18162" spans="13:13">
      <c r="M18162" s="202"/>
    </row>
    <row r="18163" spans="13:13">
      <c r="M18163" s="202"/>
    </row>
    <row r="18164" spans="13:13">
      <c r="M18164" s="202"/>
    </row>
    <row r="18165" spans="13:13">
      <c r="M18165" s="202"/>
    </row>
    <row r="18166" spans="13:13">
      <c r="M18166" s="202"/>
    </row>
    <row r="18167" spans="13:13">
      <c r="M18167" s="202"/>
    </row>
    <row r="18168" spans="13:13">
      <c r="M18168" s="202"/>
    </row>
    <row r="18169" spans="13:13">
      <c r="M18169" s="202"/>
    </row>
    <row r="18170" spans="13:13">
      <c r="M18170" s="202"/>
    </row>
    <row r="18171" spans="13:13">
      <c r="M18171" s="202"/>
    </row>
    <row r="18172" spans="13:13">
      <c r="M18172" s="202"/>
    </row>
    <row r="18173" spans="13:13">
      <c r="M18173" s="202"/>
    </row>
    <row r="18174" spans="13:13">
      <c r="M18174" s="202"/>
    </row>
    <row r="18175" spans="13:13">
      <c r="M18175" s="202"/>
    </row>
    <row r="18176" spans="13:13">
      <c r="M18176" s="202"/>
    </row>
    <row r="18177" spans="13:13">
      <c r="M18177" s="202"/>
    </row>
    <row r="18178" spans="13:13">
      <c r="M18178" s="202"/>
    </row>
    <row r="18179" spans="13:13">
      <c r="M18179" s="202"/>
    </row>
    <row r="18180" spans="13:13">
      <c r="M18180" s="202"/>
    </row>
    <row r="18181" spans="13:13">
      <c r="M18181" s="202"/>
    </row>
    <row r="18182" spans="13:13">
      <c r="M18182" s="202"/>
    </row>
    <row r="18183" spans="13:13">
      <c r="M18183" s="202"/>
    </row>
    <row r="18184" spans="13:13">
      <c r="M18184" s="202"/>
    </row>
    <row r="18185" spans="13:13">
      <c r="M18185" s="202"/>
    </row>
    <row r="18186" spans="13:13">
      <c r="M18186" s="202"/>
    </row>
    <row r="18187" spans="13:13">
      <c r="M18187" s="202"/>
    </row>
    <row r="18188" spans="13:13">
      <c r="M18188" s="202"/>
    </row>
    <row r="18189" spans="13:13">
      <c r="M18189" s="202"/>
    </row>
    <row r="18190" spans="13:13">
      <c r="M18190" s="202"/>
    </row>
    <row r="18191" spans="13:13">
      <c r="M18191" s="202"/>
    </row>
    <row r="18192" spans="13:13">
      <c r="M18192" s="202"/>
    </row>
    <row r="18193" spans="13:13">
      <c r="M18193" s="202"/>
    </row>
    <row r="18194" spans="13:13">
      <c r="M18194" s="202"/>
    </row>
    <row r="18195" spans="13:13">
      <c r="M18195" s="202"/>
    </row>
    <row r="18196" spans="13:13">
      <c r="M18196" s="202"/>
    </row>
    <row r="18197" spans="13:13">
      <c r="M18197" s="202"/>
    </row>
    <row r="18198" spans="13:13">
      <c r="M18198" s="202"/>
    </row>
    <row r="18199" spans="13:13">
      <c r="M18199" s="202"/>
    </row>
    <row r="18200" spans="13:13">
      <c r="M18200" s="202"/>
    </row>
    <row r="18201" spans="13:13">
      <c r="M18201" s="202"/>
    </row>
    <row r="18202" spans="13:13">
      <c r="M18202" s="202"/>
    </row>
    <row r="18203" spans="13:13">
      <c r="M18203" s="202"/>
    </row>
    <row r="18204" spans="13:13">
      <c r="M18204" s="202"/>
    </row>
    <row r="18205" spans="13:13">
      <c r="M18205" s="202"/>
    </row>
    <row r="18206" spans="13:13">
      <c r="M18206" s="202"/>
    </row>
    <row r="18207" spans="13:13">
      <c r="M18207" s="202"/>
    </row>
    <row r="18208" spans="13:13">
      <c r="M18208" s="202"/>
    </row>
    <row r="18209" spans="13:13">
      <c r="M18209" s="202"/>
    </row>
    <row r="18210" spans="13:13">
      <c r="M18210" s="202"/>
    </row>
    <row r="18211" spans="13:13">
      <c r="M18211" s="202"/>
    </row>
    <row r="18212" spans="13:13">
      <c r="M18212" s="202"/>
    </row>
    <row r="18213" spans="13:13">
      <c r="M18213" s="202"/>
    </row>
    <row r="18214" spans="13:13">
      <c r="M18214" s="202"/>
    </row>
    <row r="18215" spans="13:13">
      <c r="M18215" s="202"/>
    </row>
    <row r="18216" spans="13:13">
      <c r="M18216" s="202"/>
    </row>
    <row r="18217" spans="13:13">
      <c r="M18217" s="202"/>
    </row>
    <row r="18218" spans="13:13">
      <c r="M18218" s="202"/>
    </row>
    <row r="18219" spans="13:13">
      <c r="M18219" s="202"/>
    </row>
    <row r="18220" spans="13:13">
      <c r="M18220" s="202"/>
    </row>
    <row r="18221" spans="13:13">
      <c r="M18221" s="202"/>
    </row>
    <row r="18222" spans="13:13">
      <c r="M18222" s="202"/>
    </row>
    <row r="18223" spans="13:13">
      <c r="M18223" s="202"/>
    </row>
    <row r="18224" spans="13:13">
      <c r="M18224" s="202"/>
    </row>
    <row r="18225" spans="13:13">
      <c r="M18225" s="202"/>
    </row>
    <row r="18226" spans="13:13">
      <c r="M18226" s="202"/>
    </row>
    <row r="18227" spans="13:13">
      <c r="M18227" s="202"/>
    </row>
    <row r="18228" spans="13:13">
      <c r="M18228" s="202"/>
    </row>
    <row r="18229" spans="13:13">
      <c r="M18229" s="202"/>
    </row>
    <row r="18230" spans="13:13">
      <c r="M18230" s="202"/>
    </row>
    <row r="18231" spans="13:13">
      <c r="M18231" s="202"/>
    </row>
    <row r="18232" spans="13:13">
      <c r="M18232" s="202"/>
    </row>
    <row r="18233" spans="13:13">
      <c r="M18233" s="202"/>
    </row>
    <row r="18234" spans="13:13">
      <c r="M18234" s="202"/>
    </row>
    <row r="18235" spans="13:13">
      <c r="M18235" s="202"/>
    </row>
    <row r="18236" spans="13:13">
      <c r="M18236" s="202"/>
    </row>
    <row r="18237" spans="13:13">
      <c r="M18237" s="202"/>
    </row>
    <row r="18238" spans="13:13">
      <c r="M18238" s="202"/>
    </row>
    <row r="18239" spans="13:13">
      <c r="M18239" s="202"/>
    </row>
    <row r="18240" spans="13:13">
      <c r="M18240" s="202"/>
    </row>
    <row r="18241" spans="13:13">
      <c r="M18241" s="202"/>
    </row>
    <row r="18242" spans="13:13">
      <c r="M18242" s="202"/>
    </row>
    <row r="18243" spans="13:13">
      <c r="M18243" s="202"/>
    </row>
    <row r="18244" spans="13:13">
      <c r="M18244" s="202"/>
    </row>
    <row r="18245" spans="13:13">
      <c r="M18245" s="202"/>
    </row>
    <row r="18246" spans="13:13">
      <c r="M18246" s="202"/>
    </row>
    <row r="18247" spans="13:13">
      <c r="M18247" s="202"/>
    </row>
    <row r="18248" spans="13:13">
      <c r="M18248" s="202"/>
    </row>
    <row r="18249" spans="13:13">
      <c r="M18249" s="202"/>
    </row>
    <row r="18250" spans="13:13">
      <c r="M18250" s="202"/>
    </row>
    <row r="18251" spans="13:13">
      <c r="M18251" s="202"/>
    </row>
    <row r="18252" spans="13:13">
      <c r="M18252" s="202"/>
    </row>
    <row r="18253" spans="13:13">
      <c r="M18253" s="202"/>
    </row>
    <row r="18254" spans="13:13">
      <c r="M18254" s="202"/>
    </row>
    <row r="18255" spans="13:13">
      <c r="M18255" s="202"/>
    </row>
    <row r="18256" spans="13:13">
      <c r="M18256" s="202"/>
    </row>
    <row r="18257" spans="13:13">
      <c r="M18257" s="202"/>
    </row>
    <row r="18258" spans="13:13">
      <c r="M18258" s="202"/>
    </row>
    <row r="18259" spans="13:13">
      <c r="M18259" s="202"/>
    </row>
    <row r="18260" spans="13:13">
      <c r="M18260" s="202"/>
    </row>
    <row r="18261" spans="13:13">
      <c r="M18261" s="202"/>
    </row>
    <row r="18262" spans="13:13">
      <c r="M18262" s="202"/>
    </row>
    <row r="18263" spans="13:13">
      <c r="M18263" s="202"/>
    </row>
    <row r="18264" spans="13:13">
      <c r="M18264" s="202"/>
    </row>
    <row r="18265" spans="13:13">
      <c r="M18265" s="202"/>
    </row>
    <row r="18266" spans="13:13">
      <c r="M18266" s="202"/>
    </row>
    <row r="18267" spans="13:13">
      <c r="M18267" s="202"/>
    </row>
    <row r="18268" spans="13:13">
      <c r="M18268" s="202"/>
    </row>
    <row r="18269" spans="13:13">
      <c r="M18269" s="202"/>
    </row>
    <row r="18270" spans="13:13">
      <c r="M18270" s="202"/>
    </row>
    <row r="18271" spans="13:13">
      <c r="M18271" s="202"/>
    </row>
    <row r="18272" spans="13:13">
      <c r="M18272" s="202"/>
    </row>
    <row r="18273" spans="13:13">
      <c r="M18273" s="202"/>
    </row>
    <row r="18274" spans="13:13">
      <c r="M18274" s="202"/>
    </row>
    <row r="18275" spans="13:13">
      <c r="M18275" s="202"/>
    </row>
    <row r="18276" spans="13:13">
      <c r="M18276" s="202"/>
    </row>
    <row r="18277" spans="13:13">
      <c r="M18277" s="202"/>
    </row>
    <row r="18278" spans="13:13">
      <c r="M18278" s="202"/>
    </row>
    <row r="18279" spans="13:13">
      <c r="M18279" s="202"/>
    </row>
    <row r="18280" spans="13:13">
      <c r="M18280" s="202"/>
    </row>
    <row r="18281" spans="13:13">
      <c r="M18281" s="202"/>
    </row>
    <row r="18282" spans="13:13">
      <c r="M18282" s="202"/>
    </row>
    <row r="18283" spans="13:13">
      <c r="M18283" s="202"/>
    </row>
    <row r="18284" spans="13:13">
      <c r="M18284" s="202"/>
    </row>
    <row r="18285" spans="13:13">
      <c r="M18285" s="202"/>
    </row>
    <row r="18286" spans="13:13">
      <c r="M18286" s="202"/>
    </row>
    <row r="18287" spans="13:13">
      <c r="M18287" s="202"/>
    </row>
    <row r="18288" spans="13:13">
      <c r="M18288" s="202"/>
    </row>
    <row r="18289" spans="13:13">
      <c r="M18289" s="202"/>
    </row>
    <row r="18290" spans="13:13">
      <c r="M18290" s="202"/>
    </row>
    <row r="18291" spans="13:13">
      <c r="M18291" s="202"/>
    </row>
    <row r="18292" spans="13:13">
      <c r="M18292" s="202"/>
    </row>
    <row r="18293" spans="13:13">
      <c r="M18293" s="202"/>
    </row>
    <row r="18294" spans="13:13">
      <c r="M18294" s="202"/>
    </row>
    <row r="18295" spans="13:13">
      <c r="M18295" s="202"/>
    </row>
    <row r="18296" spans="13:13">
      <c r="M18296" s="202"/>
    </row>
    <row r="18297" spans="13:13">
      <c r="M18297" s="202"/>
    </row>
    <row r="18298" spans="13:13">
      <c r="M18298" s="202"/>
    </row>
    <row r="18299" spans="13:13">
      <c r="M18299" s="202"/>
    </row>
    <row r="18300" spans="13:13">
      <c r="M18300" s="202"/>
    </row>
    <row r="18301" spans="13:13">
      <c r="M18301" s="202"/>
    </row>
    <row r="18302" spans="13:13">
      <c r="M18302" s="202"/>
    </row>
    <row r="18303" spans="13:13">
      <c r="M18303" s="202"/>
    </row>
    <row r="18304" spans="13:13">
      <c r="M18304" s="202"/>
    </row>
    <row r="18305" spans="13:13">
      <c r="M18305" s="202"/>
    </row>
    <row r="18306" spans="13:13">
      <c r="M18306" s="202"/>
    </row>
    <row r="18307" spans="13:13">
      <c r="M18307" s="202"/>
    </row>
    <row r="18308" spans="13:13">
      <c r="M18308" s="202"/>
    </row>
    <row r="18309" spans="13:13">
      <c r="M18309" s="202"/>
    </row>
    <row r="18310" spans="13:13">
      <c r="M18310" s="202"/>
    </row>
    <row r="18311" spans="13:13">
      <c r="M18311" s="202"/>
    </row>
    <row r="18312" spans="13:13">
      <c r="M18312" s="202"/>
    </row>
    <row r="18313" spans="13:13">
      <c r="M18313" s="202"/>
    </row>
    <row r="18314" spans="13:13">
      <c r="M18314" s="202"/>
    </row>
    <row r="18315" spans="13:13">
      <c r="M18315" s="202"/>
    </row>
    <row r="18316" spans="13:13">
      <c r="M18316" s="202"/>
    </row>
    <row r="18317" spans="13:13">
      <c r="M18317" s="202"/>
    </row>
    <row r="18318" spans="13:13">
      <c r="M18318" s="202"/>
    </row>
    <row r="18319" spans="13:13">
      <c r="M18319" s="202"/>
    </row>
    <row r="18320" spans="13:13">
      <c r="M18320" s="202"/>
    </row>
    <row r="18321" spans="13:13">
      <c r="M18321" s="202"/>
    </row>
    <row r="18322" spans="13:13">
      <c r="M18322" s="202"/>
    </row>
    <row r="18323" spans="13:13">
      <c r="M18323" s="202"/>
    </row>
    <row r="18324" spans="13:13">
      <c r="M18324" s="202"/>
    </row>
    <row r="18325" spans="13:13">
      <c r="M18325" s="202"/>
    </row>
    <row r="18326" spans="13:13">
      <c r="M18326" s="202"/>
    </row>
    <row r="18327" spans="13:13">
      <c r="M18327" s="202"/>
    </row>
    <row r="18328" spans="13:13">
      <c r="M18328" s="202"/>
    </row>
    <row r="18329" spans="13:13">
      <c r="M18329" s="202"/>
    </row>
    <row r="18330" spans="13:13">
      <c r="M18330" s="202"/>
    </row>
    <row r="18331" spans="13:13">
      <c r="M18331" s="202"/>
    </row>
    <row r="18332" spans="13:13">
      <c r="M18332" s="202"/>
    </row>
    <row r="18333" spans="13:13">
      <c r="M18333" s="202"/>
    </row>
    <row r="18334" spans="13:13">
      <c r="M18334" s="202"/>
    </row>
    <row r="18335" spans="13:13">
      <c r="M18335" s="202"/>
    </row>
    <row r="18336" spans="13:13">
      <c r="M18336" s="202"/>
    </row>
    <row r="18337" spans="13:13">
      <c r="M18337" s="202"/>
    </row>
    <row r="18338" spans="13:13">
      <c r="M18338" s="202"/>
    </row>
    <row r="18339" spans="13:13">
      <c r="M18339" s="202"/>
    </row>
    <row r="18340" spans="13:13">
      <c r="M18340" s="202"/>
    </row>
    <row r="18341" spans="13:13">
      <c r="M18341" s="202"/>
    </row>
    <row r="18342" spans="13:13">
      <c r="M18342" s="202"/>
    </row>
    <row r="18343" spans="13:13">
      <c r="M18343" s="202"/>
    </row>
    <row r="18344" spans="13:13">
      <c r="M18344" s="202"/>
    </row>
    <row r="18345" spans="13:13">
      <c r="M18345" s="202"/>
    </row>
    <row r="18346" spans="13:13">
      <c r="M18346" s="202"/>
    </row>
    <row r="18347" spans="13:13">
      <c r="M18347" s="202"/>
    </row>
    <row r="18348" spans="13:13">
      <c r="M18348" s="202"/>
    </row>
    <row r="18349" spans="13:13">
      <c r="M18349" s="202"/>
    </row>
    <row r="18350" spans="13:13">
      <c r="M18350" s="202"/>
    </row>
    <row r="18351" spans="13:13">
      <c r="M18351" s="202"/>
    </row>
    <row r="18352" spans="13:13">
      <c r="M18352" s="202"/>
    </row>
    <row r="18353" spans="13:13">
      <c r="M18353" s="202"/>
    </row>
    <row r="18354" spans="13:13">
      <c r="M18354" s="202"/>
    </row>
    <row r="18355" spans="13:13">
      <c r="M18355" s="202"/>
    </row>
    <row r="18356" spans="13:13">
      <c r="M18356" s="202"/>
    </row>
    <row r="18357" spans="13:13">
      <c r="M18357" s="202"/>
    </row>
    <row r="18358" spans="13:13">
      <c r="M18358" s="202"/>
    </row>
    <row r="18359" spans="13:13">
      <c r="M18359" s="202"/>
    </row>
    <row r="18360" spans="13:13">
      <c r="M18360" s="202"/>
    </row>
    <row r="18361" spans="13:13">
      <c r="M18361" s="202"/>
    </row>
    <row r="18362" spans="13:13">
      <c r="M18362" s="202"/>
    </row>
    <row r="18363" spans="13:13">
      <c r="M18363" s="202"/>
    </row>
    <row r="18364" spans="13:13">
      <c r="M18364" s="202"/>
    </row>
    <row r="18365" spans="13:13">
      <c r="M18365" s="202"/>
    </row>
    <row r="18366" spans="13:13">
      <c r="M18366" s="202"/>
    </row>
    <row r="18367" spans="13:13">
      <c r="M18367" s="202"/>
    </row>
    <row r="18368" spans="13:13">
      <c r="M18368" s="202"/>
    </row>
    <row r="18369" spans="13:13">
      <c r="M18369" s="202"/>
    </row>
    <row r="18370" spans="13:13">
      <c r="M18370" s="202"/>
    </row>
    <row r="18371" spans="13:13">
      <c r="M18371" s="202"/>
    </row>
    <row r="18372" spans="13:13">
      <c r="M18372" s="202"/>
    </row>
    <row r="18373" spans="13:13">
      <c r="M18373" s="202"/>
    </row>
    <row r="18374" spans="13:13">
      <c r="M18374" s="202"/>
    </row>
    <row r="18375" spans="13:13">
      <c r="M18375" s="202"/>
    </row>
    <row r="18376" spans="13:13">
      <c r="M18376" s="202"/>
    </row>
    <row r="18377" spans="13:13">
      <c r="M18377" s="202"/>
    </row>
    <row r="18378" spans="13:13">
      <c r="M18378" s="202"/>
    </row>
    <row r="18379" spans="13:13">
      <c r="M18379" s="202"/>
    </row>
    <row r="18380" spans="13:13">
      <c r="M18380" s="202"/>
    </row>
    <row r="18381" spans="13:13">
      <c r="M18381" s="202"/>
    </row>
    <row r="18382" spans="13:13">
      <c r="M18382" s="202"/>
    </row>
    <row r="18383" spans="13:13">
      <c r="M18383" s="202"/>
    </row>
    <row r="18384" spans="13:13">
      <c r="M18384" s="202"/>
    </row>
    <row r="18385" spans="13:13">
      <c r="M18385" s="202"/>
    </row>
    <row r="18386" spans="13:13">
      <c r="M18386" s="202"/>
    </row>
    <row r="18387" spans="13:13">
      <c r="M18387" s="202"/>
    </row>
    <row r="18388" spans="13:13">
      <c r="M18388" s="202"/>
    </row>
    <row r="18389" spans="13:13">
      <c r="M18389" s="202"/>
    </row>
    <row r="18390" spans="13:13">
      <c r="M18390" s="202"/>
    </row>
    <row r="18391" spans="13:13">
      <c r="M18391" s="202"/>
    </row>
    <row r="18392" spans="13:13">
      <c r="M18392" s="202"/>
    </row>
    <row r="18393" spans="13:13">
      <c r="M18393" s="202"/>
    </row>
    <row r="18394" spans="13:13">
      <c r="M18394" s="202"/>
    </row>
    <row r="18395" spans="13:13">
      <c r="M18395" s="202"/>
    </row>
    <row r="18396" spans="13:13">
      <c r="M18396" s="202"/>
    </row>
    <row r="18397" spans="13:13">
      <c r="M18397" s="202"/>
    </row>
    <row r="18398" spans="13:13">
      <c r="M18398" s="202"/>
    </row>
    <row r="18399" spans="13:13">
      <c r="M18399" s="202"/>
    </row>
    <row r="18400" spans="13:13">
      <c r="M18400" s="202"/>
    </row>
    <row r="18401" spans="13:13">
      <c r="M18401" s="202"/>
    </row>
    <row r="18402" spans="13:13">
      <c r="M18402" s="202"/>
    </row>
    <row r="18403" spans="13:13">
      <c r="M18403" s="202"/>
    </row>
    <row r="18404" spans="13:13">
      <c r="M18404" s="202"/>
    </row>
    <row r="18405" spans="13:13">
      <c r="M18405" s="202"/>
    </row>
    <row r="18406" spans="13:13">
      <c r="M18406" s="202"/>
    </row>
    <row r="18407" spans="13:13">
      <c r="M18407" s="202"/>
    </row>
    <row r="18408" spans="13:13">
      <c r="M18408" s="202"/>
    </row>
    <row r="18409" spans="13:13">
      <c r="M18409" s="202"/>
    </row>
    <row r="18410" spans="13:13">
      <c r="M18410" s="202"/>
    </row>
    <row r="18411" spans="13:13">
      <c r="M18411" s="202"/>
    </row>
    <row r="18412" spans="13:13">
      <c r="M18412" s="202"/>
    </row>
    <row r="18413" spans="13:13">
      <c r="M18413" s="202"/>
    </row>
    <row r="18414" spans="13:13">
      <c r="M18414" s="202"/>
    </row>
    <row r="18415" spans="13:13">
      <c r="M18415" s="202"/>
    </row>
    <row r="18416" spans="13:13">
      <c r="M18416" s="202"/>
    </row>
    <row r="18417" spans="13:13">
      <c r="M18417" s="202"/>
    </row>
    <row r="18418" spans="13:13">
      <c r="M18418" s="202"/>
    </row>
    <row r="18419" spans="13:13">
      <c r="M18419" s="202"/>
    </row>
    <row r="18420" spans="13:13">
      <c r="M18420" s="202"/>
    </row>
    <row r="18421" spans="13:13">
      <c r="M18421" s="202"/>
    </row>
    <row r="18422" spans="13:13">
      <c r="M18422" s="202"/>
    </row>
    <row r="18423" spans="13:13">
      <c r="M18423" s="202"/>
    </row>
    <row r="18424" spans="13:13">
      <c r="M18424" s="202"/>
    </row>
    <row r="18425" spans="13:13">
      <c r="M18425" s="202"/>
    </row>
    <row r="18426" spans="13:13">
      <c r="M18426" s="202"/>
    </row>
    <row r="18427" spans="13:13">
      <c r="M18427" s="202"/>
    </row>
    <row r="18428" spans="13:13">
      <c r="M18428" s="202"/>
    </row>
    <row r="18429" spans="13:13">
      <c r="M18429" s="202"/>
    </row>
    <row r="18430" spans="13:13">
      <c r="M18430" s="202"/>
    </row>
    <row r="18431" spans="13:13">
      <c r="M18431" s="202"/>
    </row>
    <row r="18432" spans="13:13">
      <c r="M18432" s="202"/>
    </row>
    <row r="18433" spans="13:13">
      <c r="M18433" s="202"/>
    </row>
    <row r="18434" spans="13:13">
      <c r="M18434" s="202"/>
    </row>
    <row r="18435" spans="13:13">
      <c r="M18435" s="202"/>
    </row>
    <row r="18436" spans="13:13">
      <c r="M18436" s="202"/>
    </row>
    <row r="18437" spans="13:13">
      <c r="M18437" s="202"/>
    </row>
    <row r="18438" spans="13:13">
      <c r="M18438" s="202"/>
    </row>
    <row r="18439" spans="13:13">
      <c r="M18439" s="202"/>
    </row>
    <row r="18440" spans="13:13">
      <c r="M18440" s="202"/>
    </row>
    <row r="18441" spans="13:13">
      <c r="M18441" s="202"/>
    </row>
    <row r="18442" spans="13:13">
      <c r="M18442" s="202"/>
    </row>
    <row r="18443" spans="13:13">
      <c r="M18443" s="202"/>
    </row>
    <row r="18444" spans="13:13">
      <c r="M18444" s="202"/>
    </row>
    <row r="18445" spans="13:13">
      <c r="M18445" s="202"/>
    </row>
    <row r="18446" spans="13:13">
      <c r="M18446" s="202"/>
    </row>
    <row r="18447" spans="13:13">
      <c r="M18447" s="202"/>
    </row>
    <row r="18448" spans="13:13">
      <c r="M18448" s="202"/>
    </row>
    <row r="18449" spans="13:13">
      <c r="M18449" s="202"/>
    </row>
    <row r="18450" spans="13:13">
      <c r="M18450" s="202"/>
    </row>
    <row r="18451" spans="13:13">
      <c r="M18451" s="202"/>
    </row>
    <row r="18452" spans="13:13">
      <c r="M18452" s="202"/>
    </row>
    <row r="18453" spans="13:13">
      <c r="M18453" s="202"/>
    </row>
    <row r="18454" spans="13:13">
      <c r="M18454" s="202"/>
    </row>
    <row r="18455" spans="13:13">
      <c r="M18455" s="202"/>
    </row>
    <row r="18456" spans="13:13">
      <c r="M18456" s="202"/>
    </row>
    <row r="18457" spans="13:13">
      <c r="M18457" s="202"/>
    </row>
    <row r="18458" spans="13:13">
      <c r="M18458" s="202"/>
    </row>
    <row r="18459" spans="13:13">
      <c r="M18459" s="202"/>
    </row>
    <row r="18460" spans="13:13">
      <c r="M18460" s="202"/>
    </row>
    <row r="18461" spans="13:13">
      <c r="M18461" s="202"/>
    </row>
    <row r="18462" spans="13:13">
      <c r="M18462" s="202"/>
    </row>
    <row r="18463" spans="13:13">
      <c r="M18463" s="202"/>
    </row>
    <row r="18464" spans="13:13">
      <c r="M18464" s="202"/>
    </row>
    <row r="18465" spans="13:13">
      <c r="M18465" s="202"/>
    </row>
    <row r="18466" spans="13:13">
      <c r="M18466" s="202"/>
    </row>
    <row r="18467" spans="13:13">
      <c r="M18467" s="202"/>
    </row>
    <row r="18468" spans="13:13">
      <c r="M18468" s="202"/>
    </row>
    <row r="18469" spans="13:13">
      <c r="M18469" s="202"/>
    </row>
    <row r="18470" spans="13:13">
      <c r="M18470" s="202"/>
    </row>
    <row r="18471" spans="13:13">
      <c r="M18471" s="202"/>
    </row>
    <row r="18472" spans="13:13">
      <c r="M18472" s="202"/>
    </row>
    <row r="18473" spans="13:13">
      <c r="M18473" s="202"/>
    </row>
    <row r="18474" spans="13:13">
      <c r="M18474" s="202"/>
    </row>
    <row r="18475" spans="13:13">
      <c r="M18475" s="202"/>
    </row>
    <row r="18476" spans="13:13">
      <c r="M18476" s="202"/>
    </row>
    <row r="18477" spans="13:13">
      <c r="M18477" s="202"/>
    </row>
    <row r="18478" spans="13:13">
      <c r="M18478" s="202"/>
    </row>
    <row r="18479" spans="13:13">
      <c r="M18479" s="202"/>
    </row>
    <row r="18480" spans="13:13">
      <c r="M18480" s="202"/>
    </row>
    <row r="18481" spans="13:13">
      <c r="M18481" s="202"/>
    </row>
    <row r="18482" spans="13:13">
      <c r="M18482" s="202"/>
    </row>
    <row r="18483" spans="13:13">
      <c r="M18483" s="202"/>
    </row>
    <row r="18484" spans="13:13">
      <c r="M18484" s="202"/>
    </row>
    <row r="18485" spans="13:13">
      <c r="M18485" s="202"/>
    </row>
    <row r="18486" spans="13:13">
      <c r="M18486" s="202"/>
    </row>
    <row r="18487" spans="13:13">
      <c r="M18487" s="202"/>
    </row>
    <row r="18488" spans="13:13">
      <c r="M18488" s="202"/>
    </row>
    <row r="18489" spans="13:13">
      <c r="M18489" s="202"/>
    </row>
    <row r="18490" spans="13:13">
      <c r="M18490" s="202"/>
    </row>
    <row r="18491" spans="13:13">
      <c r="M18491" s="202"/>
    </row>
    <row r="18492" spans="13:13">
      <c r="M18492" s="202"/>
    </row>
    <row r="18493" spans="13:13">
      <c r="M18493" s="202"/>
    </row>
    <row r="18494" spans="13:13">
      <c r="M18494" s="202"/>
    </row>
    <row r="18495" spans="13:13">
      <c r="M18495" s="202"/>
    </row>
    <row r="18496" spans="13:13">
      <c r="M18496" s="202"/>
    </row>
    <row r="18497" spans="13:13">
      <c r="M18497" s="202"/>
    </row>
    <row r="18498" spans="13:13">
      <c r="M18498" s="202"/>
    </row>
    <row r="18499" spans="13:13">
      <c r="M18499" s="202"/>
    </row>
    <row r="18500" spans="13:13">
      <c r="M18500" s="202"/>
    </row>
    <row r="18501" spans="13:13">
      <c r="M18501" s="202"/>
    </row>
    <row r="18502" spans="13:13">
      <c r="M18502" s="202"/>
    </row>
    <row r="18503" spans="13:13">
      <c r="M18503" s="202"/>
    </row>
    <row r="18504" spans="13:13">
      <c r="M18504" s="202"/>
    </row>
    <row r="18505" spans="13:13">
      <c r="M18505" s="202"/>
    </row>
    <row r="18506" spans="13:13">
      <c r="M18506" s="202"/>
    </row>
    <row r="18507" spans="13:13">
      <c r="M18507" s="202"/>
    </row>
    <row r="18508" spans="13:13">
      <c r="M18508" s="202"/>
    </row>
    <row r="18509" spans="13:13">
      <c r="M18509" s="202"/>
    </row>
    <row r="18510" spans="13:13">
      <c r="M18510" s="202"/>
    </row>
    <row r="18511" spans="13:13">
      <c r="M18511" s="202"/>
    </row>
    <row r="18512" spans="13:13">
      <c r="M18512" s="202"/>
    </row>
    <row r="18513" spans="13:13">
      <c r="M18513" s="202"/>
    </row>
    <row r="18514" spans="13:13">
      <c r="M18514" s="202"/>
    </row>
    <row r="18515" spans="13:13">
      <c r="M18515" s="202"/>
    </row>
    <row r="18516" spans="13:13">
      <c r="M18516" s="202"/>
    </row>
    <row r="18517" spans="13:13">
      <c r="M18517" s="202"/>
    </row>
    <row r="18518" spans="13:13">
      <c r="M18518" s="202"/>
    </row>
    <row r="18519" spans="13:13">
      <c r="M18519" s="202"/>
    </row>
    <row r="18520" spans="13:13">
      <c r="M18520" s="202"/>
    </row>
    <row r="18521" spans="13:13">
      <c r="M18521" s="202"/>
    </row>
    <row r="18522" spans="13:13">
      <c r="M18522" s="202"/>
    </row>
    <row r="18523" spans="13:13">
      <c r="M18523" s="202"/>
    </row>
    <row r="18524" spans="13:13">
      <c r="M18524" s="202"/>
    </row>
    <row r="18525" spans="13:13">
      <c r="M18525" s="202"/>
    </row>
    <row r="18526" spans="13:13">
      <c r="M18526" s="202"/>
    </row>
    <row r="18527" spans="13:13">
      <c r="M18527" s="202"/>
    </row>
    <row r="18528" spans="13:13">
      <c r="M18528" s="202"/>
    </row>
    <row r="18529" spans="13:13">
      <c r="M18529" s="202"/>
    </row>
    <row r="18530" spans="13:13">
      <c r="M18530" s="202"/>
    </row>
    <row r="18531" spans="13:13">
      <c r="M18531" s="202"/>
    </row>
    <row r="18532" spans="13:13">
      <c r="M18532" s="202"/>
    </row>
    <row r="18533" spans="13:13">
      <c r="M18533" s="202"/>
    </row>
    <row r="18534" spans="13:13">
      <c r="M18534" s="202"/>
    </row>
    <row r="18535" spans="13:13">
      <c r="M18535" s="202"/>
    </row>
    <row r="18536" spans="13:13">
      <c r="M18536" s="202"/>
    </row>
    <row r="18537" spans="13:13">
      <c r="M18537" s="202"/>
    </row>
    <row r="18538" spans="13:13">
      <c r="M18538" s="202"/>
    </row>
    <row r="18539" spans="13:13">
      <c r="M18539" s="202"/>
    </row>
    <row r="18540" spans="13:13">
      <c r="M18540" s="202"/>
    </row>
    <row r="18541" spans="13:13">
      <c r="M18541" s="202"/>
    </row>
    <row r="18542" spans="13:13">
      <c r="M18542" s="202"/>
    </row>
    <row r="18543" spans="13:13">
      <c r="M18543" s="202"/>
    </row>
    <row r="18544" spans="13:13">
      <c r="M18544" s="202"/>
    </row>
    <row r="18545" spans="13:13">
      <c r="M18545" s="202"/>
    </row>
    <row r="18546" spans="13:13">
      <c r="M18546" s="202"/>
    </row>
    <row r="18547" spans="13:13">
      <c r="M18547" s="202"/>
    </row>
    <row r="18548" spans="13:13">
      <c r="M18548" s="202"/>
    </row>
    <row r="18549" spans="13:13">
      <c r="M18549" s="202"/>
    </row>
    <row r="18550" spans="13:13">
      <c r="M18550" s="202"/>
    </row>
    <row r="18551" spans="13:13">
      <c r="M18551" s="202"/>
    </row>
    <row r="18552" spans="13:13">
      <c r="M18552" s="202"/>
    </row>
    <row r="18553" spans="13:13">
      <c r="M18553" s="202"/>
    </row>
    <row r="18554" spans="13:13">
      <c r="M18554" s="202"/>
    </row>
    <row r="18555" spans="13:13">
      <c r="M18555" s="202"/>
    </row>
    <row r="18556" spans="13:13">
      <c r="M18556" s="202"/>
    </row>
    <row r="18557" spans="13:13">
      <c r="M18557" s="202"/>
    </row>
    <row r="18558" spans="13:13">
      <c r="M18558" s="202"/>
    </row>
    <row r="18559" spans="13:13">
      <c r="M18559" s="202"/>
    </row>
    <row r="18560" spans="13:13">
      <c r="M18560" s="202"/>
    </row>
    <row r="18561" spans="13:13">
      <c r="M18561" s="202"/>
    </row>
    <row r="18562" spans="13:13">
      <c r="M18562" s="202"/>
    </row>
    <row r="18563" spans="13:13">
      <c r="M18563" s="202"/>
    </row>
    <row r="18564" spans="13:13">
      <c r="M18564" s="202"/>
    </row>
    <row r="18565" spans="13:13">
      <c r="M18565" s="202"/>
    </row>
    <row r="18566" spans="13:13">
      <c r="M18566" s="202"/>
    </row>
    <row r="18567" spans="13:13">
      <c r="M18567" s="202"/>
    </row>
    <row r="18568" spans="13:13">
      <c r="M18568" s="202"/>
    </row>
    <row r="18569" spans="13:13">
      <c r="M18569" s="202"/>
    </row>
    <row r="18570" spans="13:13">
      <c r="M18570" s="202"/>
    </row>
    <row r="18571" spans="13:13">
      <c r="M18571" s="202"/>
    </row>
    <row r="18572" spans="13:13">
      <c r="M18572" s="202"/>
    </row>
    <row r="18573" spans="13:13">
      <c r="M18573" s="202"/>
    </row>
    <row r="18574" spans="13:13">
      <c r="M18574" s="202"/>
    </row>
    <row r="18575" spans="13:13">
      <c r="M18575" s="202"/>
    </row>
    <row r="18576" spans="13:13">
      <c r="M18576" s="202"/>
    </row>
    <row r="18577" spans="13:13">
      <c r="M18577" s="202"/>
    </row>
    <row r="18578" spans="13:13">
      <c r="M18578" s="202"/>
    </row>
    <row r="18579" spans="13:13">
      <c r="M18579" s="202"/>
    </row>
    <row r="18580" spans="13:13">
      <c r="M18580" s="202"/>
    </row>
    <row r="18581" spans="13:13">
      <c r="M18581" s="202"/>
    </row>
    <row r="18582" spans="13:13">
      <c r="M18582" s="202"/>
    </row>
    <row r="18583" spans="13:13">
      <c r="M18583" s="202"/>
    </row>
    <row r="18584" spans="13:13">
      <c r="M18584" s="202"/>
    </row>
    <row r="18585" spans="13:13">
      <c r="M18585" s="202"/>
    </row>
    <row r="18586" spans="13:13">
      <c r="M18586" s="202"/>
    </row>
    <row r="18587" spans="13:13">
      <c r="M18587" s="202"/>
    </row>
    <row r="18588" spans="13:13">
      <c r="M18588" s="202"/>
    </row>
    <row r="18589" spans="13:13">
      <c r="M18589" s="202"/>
    </row>
    <row r="18590" spans="13:13">
      <c r="M18590" s="202"/>
    </row>
    <row r="18591" spans="13:13">
      <c r="M18591" s="202"/>
    </row>
    <row r="18592" spans="13:13">
      <c r="M18592" s="202"/>
    </row>
    <row r="18593" spans="13:13">
      <c r="M18593" s="202"/>
    </row>
    <row r="18594" spans="13:13">
      <c r="M18594" s="202"/>
    </row>
    <row r="18595" spans="13:13">
      <c r="M18595" s="202"/>
    </row>
    <row r="18596" spans="13:13">
      <c r="M18596" s="202"/>
    </row>
    <row r="18597" spans="13:13">
      <c r="M18597" s="202"/>
    </row>
    <row r="18598" spans="13:13">
      <c r="M18598" s="202"/>
    </row>
    <row r="18599" spans="13:13">
      <c r="M18599" s="202"/>
    </row>
    <row r="18600" spans="13:13">
      <c r="M18600" s="202"/>
    </row>
    <row r="18601" spans="13:13">
      <c r="M18601" s="202"/>
    </row>
    <row r="18602" spans="13:13">
      <c r="M18602" s="202"/>
    </row>
    <row r="18603" spans="13:13">
      <c r="M18603" s="202"/>
    </row>
    <row r="18604" spans="13:13">
      <c r="M18604" s="202"/>
    </row>
    <row r="18605" spans="13:13">
      <c r="M18605" s="202"/>
    </row>
    <row r="18606" spans="13:13">
      <c r="M18606" s="202"/>
    </row>
    <row r="18607" spans="13:13">
      <c r="M18607" s="202"/>
    </row>
    <row r="18608" spans="13:13">
      <c r="M18608" s="202"/>
    </row>
    <row r="18609" spans="13:13">
      <c r="M18609" s="202"/>
    </row>
    <row r="18610" spans="13:13">
      <c r="M18610" s="202"/>
    </row>
    <row r="18611" spans="13:13">
      <c r="M18611" s="202"/>
    </row>
    <row r="18612" spans="13:13">
      <c r="M18612" s="202"/>
    </row>
    <row r="18613" spans="13:13">
      <c r="M18613" s="202"/>
    </row>
    <row r="18614" spans="13:13">
      <c r="M18614" s="202"/>
    </row>
    <row r="18615" spans="13:13">
      <c r="M18615" s="202"/>
    </row>
    <row r="18616" spans="13:13">
      <c r="M18616" s="202"/>
    </row>
    <row r="18617" spans="13:13">
      <c r="M18617" s="202"/>
    </row>
    <row r="18618" spans="13:13">
      <c r="M18618" s="202"/>
    </row>
    <row r="18619" spans="13:13">
      <c r="M18619" s="202"/>
    </row>
    <row r="18620" spans="13:13">
      <c r="M18620" s="202"/>
    </row>
    <row r="18621" spans="13:13">
      <c r="M18621" s="202"/>
    </row>
    <row r="18622" spans="13:13">
      <c r="M18622" s="202"/>
    </row>
    <row r="18623" spans="13:13">
      <c r="M18623" s="202"/>
    </row>
    <row r="18624" spans="13:13">
      <c r="M18624" s="202"/>
    </row>
    <row r="18625" spans="13:13">
      <c r="M18625" s="202"/>
    </row>
    <row r="18626" spans="13:13">
      <c r="M18626" s="202"/>
    </row>
    <row r="18627" spans="13:13">
      <c r="M18627" s="202"/>
    </row>
    <row r="18628" spans="13:13">
      <c r="M18628" s="202"/>
    </row>
    <row r="18629" spans="13:13">
      <c r="M18629" s="202"/>
    </row>
    <row r="18630" spans="13:13">
      <c r="M18630" s="202"/>
    </row>
    <row r="18631" spans="13:13">
      <c r="M18631" s="202"/>
    </row>
    <row r="18632" spans="13:13">
      <c r="M18632" s="202"/>
    </row>
    <row r="18633" spans="13:13">
      <c r="M18633" s="202"/>
    </row>
    <row r="18634" spans="13:13">
      <c r="M18634" s="202"/>
    </row>
    <row r="18635" spans="13:13">
      <c r="M18635" s="202"/>
    </row>
    <row r="18636" spans="13:13">
      <c r="M18636" s="202"/>
    </row>
    <row r="18637" spans="13:13">
      <c r="M18637" s="202"/>
    </row>
    <row r="18638" spans="13:13">
      <c r="M18638" s="202"/>
    </row>
    <row r="18639" spans="13:13">
      <c r="M18639" s="202"/>
    </row>
    <row r="18640" spans="13:13">
      <c r="M18640" s="202"/>
    </row>
    <row r="18641" spans="13:13">
      <c r="M18641" s="202"/>
    </row>
    <row r="18642" spans="13:13">
      <c r="M18642" s="202"/>
    </row>
    <row r="18643" spans="13:13">
      <c r="M18643" s="202"/>
    </row>
    <row r="18644" spans="13:13">
      <c r="M18644" s="202"/>
    </row>
    <row r="18645" spans="13:13">
      <c r="M18645" s="202"/>
    </row>
    <row r="18646" spans="13:13">
      <c r="M18646" s="202"/>
    </row>
    <row r="18647" spans="13:13">
      <c r="M18647" s="202"/>
    </row>
    <row r="18648" spans="13:13">
      <c r="M18648" s="202"/>
    </row>
    <row r="18649" spans="13:13">
      <c r="M18649" s="202"/>
    </row>
    <row r="18650" spans="13:13">
      <c r="M18650" s="202"/>
    </row>
    <row r="18651" spans="13:13">
      <c r="M18651" s="202"/>
    </row>
    <row r="18652" spans="13:13">
      <c r="M18652" s="202"/>
    </row>
    <row r="18653" spans="13:13">
      <c r="M18653" s="202"/>
    </row>
    <row r="18654" spans="13:13">
      <c r="M18654" s="202"/>
    </row>
    <row r="18655" spans="13:13">
      <c r="M18655" s="202"/>
    </row>
    <row r="18656" spans="13:13">
      <c r="M18656" s="202"/>
    </row>
    <row r="18657" spans="13:13">
      <c r="M18657" s="202"/>
    </row>
    <row r="18658" spans="13:13">
      <c r="M18658" s="202"/>
    </row>
    <row r="18659" spans="13:13">
      <c r="M18659" s="202"/>
    </row>
    <row r="18660" spans="13:13">
      <c r="M18660" s="202"/>
    </row>
    <row r="18661" spans="13:13">
      <c r="M18661" s="202"/>
    </row>
    <row r="18662" spans="13:13">
      <c r="M18662" s="202"/>
    </row>
    <row r="18663" spans="13:13">
      <c r="M18663" s="202"/>
    </row>
    <row r="18664" spans="13:13">
      <c r="M18664" s="202"/>
    </row>
    <row r="18665" spans="13:13">
      <c r="M18665" s="202"/>
    </row>
    <row r="18666" spans="13:13">
      <c r="M18666" s="202"/>
    </row>
    <row r="18667" spans="13:13">
      <c r="M18667" s="202"/>
    </row>
    <row r="18668" spans="13:13">
      <c r="M18668" s="202"/>
    </row>
    <row r="18669" spans="13:13">
      <c r="M18669" s="202"/>
    </row>
    <row r="18670" spans="13:13">
      <c r="M18670" s="202"/>
    </row>
    <row r="18671" spans="13:13">
      <c r="M18671" s="202"/>
    </row>
    <row r="18672" spans="13:13">
      <c r="M18672" s="202"/>
    </row>
    <row r="18673" spans="13:13">
      <c r="M18673" s="202"/>
    </row>
    <row r="18674" spans="13:13">
      <c r="M18674" s="202"/>
    </row>
    <row r="18675" spans="13:13">
      <c r="M18675" s="202"/>
    </row>
    <row r="18676" spans="13:13">
      <c r="M18676" s="202"/>
    </row>
    <row r="18677" spans="13:13">
      <c r="M18677" s="202"/>
    </row>
    <row r="18678" spans="13:13">
      <c r="M18678" s="202"/>
    </row>
    <row r="18679" spans="13:13">
      <c r="M18679" s="202"/>
    </row>
    <row r="18680" spans="13:13">
      <c r="M18680" s="202"/>
    </row>
    <row r="18681" spans="13:13">
      <c r="M18681" s="202"/>
    </row>
    <row r="18682" spans="13:13">
      <c r="M18682" s="202"/>
    </row>
    <row r="18683" spans="13:13">
      <c r="M18683" s="202"/>
    </row>
    <row r="18684" spans="13:13">
      <c r="M18684" s="202"/>
    </row>
    <row r="18685" spans="13:13">
      <c r="M18685" s="202"/>
    </row>
    <row r="18686" spans="13:13">
      <c r="M18686" s="202"/>
    </row>
    <row r="18687" spans="13:13">
      <c r="M18687" s="202"/>
    </row>
    <row r="18688" spans="13:13">
      <c r="M18688" s="202"/>
    </row>
    <row r="18689" spans="13:13">
      <c r="M18689" s="202"/>
    </row>
    <row r="18690" spans="13:13">
      <c r="M18690" s="202"/>
    </row>
    <row r="18691" spans="13:13">
      <c r="M18691" s="202"/>
    </row>
    <row r="18692" spans="13:13">
      <c r="M18692" s="202"/>
    </row>
    <row r="18693" spans="13:13">
      <c r="M18693" s="202"/>
    </row>
    <row r="18694" spans="13:13">
      <c r="M18694" s="202"/>
    </row>
    <row r="18695" spans="13:13">
      <c r="M18695" s="202"/>
    </row>
    <row r="18696" spans="13:13">
      <c r="M18696" s="202"/>
    </row>
    <row r="18697" spans="13:13">
      <c r="M18697" s="202"/>
    </row>
    <row r="18698" spans="13:13">
      <c r="M18698" s="202"/>
    </row>
    <row r="18699" spans="13:13">
      <c r="M18699" s="202"/>
    </row>
    <row r="18700" spans="13:13">
      <c r="M18700" s="202"/>
    </row>
    <row r="18701" spans="13:13">
      <c r="M18701" s="202"/>
    </row>
    <row r="18702" spans="13:13">
      <c r="M18702" s="202"/>
    </row>
    <row r="18703" spans="13:13">
      <c r="M18703" s="202"/>
    </row>
    <row r="18704" spans="13:13">
      <c r="M18704" s="202"/>
    </row>
    <row r="18705" spans="13:13">
      <c r="M18705" s="202"/>
    </row>
    <row r="18706" spans="13:13">
      <c r="M18706" s="202"/>
    </row>
    <row r="18707" spans="13:13">
      <c r="M18707" s="202"/>
    </row>
    <row r="18708" spans="13:13">
      <c r="M18708" s="202"/>
    </row>
    <row r="18709" spans="13:13">
      <c r="M18709" s="202"/>
    </row>
    <row r="18710" spans="13:13">
      <c r="M18710" s="202"/>
    </row>
    <row r="18711" spans="13:13">
      <c r="M18711" s="202"/>
    </row>
    <row r="18712" spans="13:13">
      <c r="M18712" s="202"/>
    </row>
    <row r="18713" spans="13:13">
      <c r="M18713" s="202"/>
    </row>
    <row r="18714" spans="13:13">
      <c r="M18714" s="202"/>
    </row>
    <row r="18715" spans="13:13">
      <c r="M18715" s="202"/>
    </row>
    <row r="18716" spans="13:13">
      <c r="M18716" s="202"/>
    </row>
    <row r="18717" spans="13:13">
      <c r="M18717" s="202"/>
    </row>
    <row r="18718" spans="13:13">
      <c r="M18718" s="202"/>
    </row>
    <row r="18719" spans="13:13">
      <c r="M18719" s="202"/>
    </row>
    <row r="18720" spans="13:13">
      <c r="M18720" s="202"/>
    </row>
    <row r="18721" spans="13:13">
      <c r="M18721" s="202"/>
    </row>
    <row r="18722" spans="13:13">
      <c r="M18722" s="202"/>
    </row>
    <row r="18723" spans="13:13">
      <c r="M18723" s="202"/>
    </row>
    <row r="18724" spans="13:13">
      <c r="M18724" s="202"/>
    </row>
    <row r="18725" spans="13:13">
      <c r="M18725" s="202"/>
    </row>
    <row r="18726" spans="13:13">
      <c r="M18726" s="202"/>
    </row>
    <row r="18727" spans="13:13">
      <c r="M18727" s="202"/>
    </row>
    <row r="18728" spans="13:13">
      <c r="M18728" s="202"/>
    </row>
    <row r="18729" spans="13:13">
      <c r="M18729" s="202"/>
    </row>
    <row r="18730" spans="13:13">
      <c r="M18730" s="202"/>
    </row>
    <row r="18731" spans="13:13">
      <c r="M18731" s="202"/>
    </row>
    <row r="18732" spans="13:13">
      <c r="M18732" s="202"/>
    </row>
    <row r="18733" spans="13:13">
      <c r="M18733" s="202"/>
    </row>
    <row r="18734" spans="13:13">
      <c r="M18734" s="202"/>
    </row>
    <row r="18735" spans="13:13">
      <c r="M18735" s="202"/>
    </row>
    <row r="18736" spans="13:13">
      <c r="M18736" s="202"/>
    </row>
    <row r="18737" spans="13:13">
      <c r="M18737" s="202"/>
    </row>
    <row r="18738" spans="13:13">
      <c r="M18738" s="202"/>
    </row>
    <row r="18739" spans="13:13">
      <c r="M18739" s="202"/>
    </row>
    <row r="18740" spans="13:13">
      <c r="M18740" s="202"/>
    </row>
    <row r="18741" spans="13:13">
      <c r="M18741" s="202"/>
    </row>
    <row r="18742" spans="13:13">
      <c r="M18742" s="202"/>
    </row>
    <row r="18743" spans="13:13">
      <c r="M18743" s="202"/>
    </row>
    <row r="18744" spans="13:13">
      <c r="M18744" s="202"/>
    </row>
    <row r="18745" spans="13:13">
      <c r="M18745" s="202"/>
    </row>
    <row r="18746" spans="13:13">
      <c r="M18746" s="202"/>
    </row>
    <row r="18747" spans="13:13">
      <c r="M18747" s="202"/>
    </row>
    <row r="18748" spans="13:13">
      <c r="M18748" s="202"/>
    </row>
    <row r="18749" spans="13:13">
      <c r="M18749" s="202"/>
    </row>
    <row r="18750" spans="13:13">
      <c r="M18750" s="202"/>
    </row>
    <row r="18751" spans="13:13">
      <c r="M18751" s="202"/>
    </row>
    <row r="18752" spans="13:13">
      <c r="M18752" s="202"/>
    </row>
    <row r="18753" spans="13:13">
      <c r="M18753" s="202"/>
    </row>
    <row r="18754" spans="13:13">
      <c r="M18754" s="202"/>
    </row>
    <row r="18755" spans="13:13">
      <c r="M18755" s="202"/>
    </row>
    <row r="18756" spans="13:13">
      <c r="M18756" s="202"/>
    </row>
    <row r="18757" spans="13:13">
      <c r="M18757" s="202"/>
    </row>
    <row r="18758" spans="13:13">
      <c r="M18758" s="202"/>
    </row>
    <row r="18759" spans="13:13">
      <c r="M18759" s="202"/>
    </row>
    <row r="18760" spans="13:13">
      <c r="M18760" s="202"/>
    </row>
    <row r="18761" spans="13:13">
      <c r="M18761" s="202"/>
    </row>
    <row r="18762" spans="13:13">
      <c r="M18762" s="202"/>
    </row>
    <row r="18763" spans="13:13">
      <c r="M18763" s="202"/>
    </row>
    <row r="18764" spans="13:13">
      <c r="M18764" s="202"/>
    </row>
    <row r="18765" spans="13:13">
      <c r="M18765" s="202"/>
    </row>
    <row r="18766" spans="13:13">
      <c r="M18766" s="202"/>
    </row>
    <row r="18767" spans="13:13">
      <c r="M18767" s="202"/>
    </row>
    <row r="18768" spans="13:13">
      <c r="M18768" s="202"/>
    </row>
    <row r="18769" spans="13:13">
      <c r="M18769" s="202"/>
    </row>
    <row r="18770" spans="13:13">
      <c r="M18770" s="202"/>
    </row>
    <row r="18771" spans="13:13">
      <c r="M18771" s="202"/>
    </row>
    <row r="18772" spans="13:13">
      <c r="M18772" s="202"/>
    </row>
    <row r="18773" spans="13:13">
      <c r="M18773" s="202"/>
    </row>
    <row r="18774" spans="13:13">
      <c r="M18774" s="202"/>
    </row>
    <row r="18775" spans="13:13">
      <c r="M18775" s="202"/>
    </row>
    <row r="18776" spans="13:13">
      <c r="M18776" s="202"/>
    </row>
    <row r="18777" spans="13:13">
      <c r="M18777" s="202"/>
    </row>
    <row r="18778" spans="13:13">
      <c r="M18778" s="202"/>
    </row>
    <row r="18779" spans="13:13">
      <c r="M18779" s="202"/>
    </row>
    <row r="18780" spans="13:13">
      <c r="M18780" s="202"/>
    </row>
    <row r="18781" spans="13:13">
      <c r="M18781" s="202"/>
    </row>
    <row r="18782" spans="13:13">
      <c r="M18782" s="202"/>
    </row>
    <row r="18783" spans="13:13">
      <c r="M18783" s="202"/>
    </row>
    <row r="18784" spans="13:13">
      <c r="M18784" s="202"/>
    </row>
    <row r="18785" spans="13:13">
      <c r="M18785" s="202"/>
    </row>
    <row r="18786" spans="13:13">
      <c r="M18786" s="202"/>
    </row>
    <row r="18787" spans="13:13">
      <c r="M18787" s="202"/>
    </row>
    <row r="18788" spans="13:13">
      <c r="M18788" s="202"/>
    </row>
    <row r="18789" spans="13:13">
      <c r="M18789" s="202"/>
    </row>
    <row r="18790" spans="13:13">
      <c r="M18790" s="202"/>
    </row>
    <row r="18791" spans="13:13">
      <c r="M18791" s="202"/>
    </row>
    <row r="18792" spans="13:13">
      <c r="M18792" s="202"/>
    </row>
    <row r="18793" spans="13:13">
      <c r="M18793" s="202"/>
    </row>
    <row r="18794" spans="13:13">
      <c r="M18794" s="202"/>
    </row>
    <row r="18795" spans="13:13">
      <c r="M18795" s="202"/>
    </row>
    <row r="18796" spans="13:13">
      <c r="M18796" s="202"/>
    </row>
    <row r="18797" spans="13:13">
      <c r="M18797" s="202"/>
    </row>
    <row r="18798" spans="13:13">
      <c r="M18798" s="202"/>
    </row>
    <row r="18799" spans="13:13">
      <c r="M18799" s="202"/>
    </row>
    <row r="18800" spans="13:13">
      <c r="M18800" s="202"/>
    </row>
    <row r="18801" spans="13:13">
      <c r="M18801" s="202"/>
    </row>
    <row r="18802" spans="13:13">
      <c r="M18802" s="202"/>
    </row>
    <row r="18803" spans="13:13">
      <c r="M18803" s="202"/>
    </row>
    <row r="18804" spans="13:13">
      <c r="M18804" s="202"/>
    </row>
    <row r="18805" spans="13:13">
      <c r="M18805" s="202"/>
    </row>
    <row r="18806" spans="13:13">
      <c r="M18806" s="202"/>
    </row>
    <row r="18807" spans="13:13">
      <c r="M18807" s="202"/>
    </row>
    <row r="18808" spans="13:13">
      <c r="M18808" s="202"/>
    </row>
    <row r="18809" spans="13:13">
      <c r="M18809" s="202"/>
    </row>
    <row r="18810" spans="13:13">
      <c r="M18810" s="202"/>
    </row>
    <row r="18811" spans="13:13">
      <c r="M18811" s="202"/>
    </row>
    <row r="18812" spans="13:13">
      <c r="M18812" s="202"/>
    </row>
    <row r="18813" spans="13:13">
      <c r="M18813" s="202"/>
    </row>
    <row r="18814" spans="13:13">
      <c r="M18814" s="202"/>
    </row>
    <row r="18815" spans="13:13">
      <c r="M18815" s="202"/>
    </row>
    <row r="18816" spans="13:13">
      <c r="M18816" s="202"/>
    </row>
    <row r="18817" spans="13:13">
      <c r="M18817" s="202"/>
    </row>
    <row r="18818" spans="13:13">
      <c r="M18818" s="202"/>
    </row>
    <row r="18819" spans="13:13">
      <c r="M18819" s="202"/>
    </row>
    <row r="18820" spans="13:13">
      <c r="M18820" s="202"/>
    </row>
    <row r="18821" spans="13:13">
      <c r="M18821" s="202"/>
    </row>
    <row r="18822" spans="13:13">
      <c r="M18822" s="202"/>
    </row>
    <row r="18823" spans="13:13">
      <c r="M18823" s="202"/>
    </row>
    <row r="18824" spans="13:13">
      <c r="M18824" s="202"/>
    </row>
    <row r="18825" spans="13:13">
      <c r="M18825" s="202"/>
    </row>
    <row r="18826" spans="13:13">
      <c r="M18826" s="202"/>
    </row>
    <row r="18827" spans="13:13">
      <c r="M18827" s="202"/>
    </row>
    <row r="18828" spans="13:13">
      <c r="M18828" s="202"/>
    </row>
    <row r="18829" spans="13:13">
      <c r="M18829" s="202"/>
    </row>
    <row r="18830" spans="13:13">
      <c r="M18830" s="202"/>
    </row>
    <row r="18831" spans="13:13">
      <c r="M18831" s="202"/>
    </row>
    <row r="18832" spans="13:13">
      <c r="M18832" s="202"/>
    </row>
    <row r="18833" spans="13:13">
      <c r="M18833" s="202"/>
    </row>
    <row r="18834" spans="13:13">
      <c r="M18834" s="202"/>
    </row>
    <row r="18835" spans="13:13">
      <c r="M18835" s="202"/>
    </row>
    <row r="18836" spans="13:13">
      <c r="M18836" s="202"/>
    </row>
    <row r="18837" spans="13:13">
      <c r="M18837" s="202"/>
    </row>
    <row r="18838" spans="13:13">
      <c r="M18838" s="202"/>
    </row>
    <row r="18839" spans="13:13">
      <c r="M18839" s="202"/>
    </row>
    <row r="18840" spans="13:13">
      <c r="M18840" s="202"/>
    </row>
    <row r="18841" spans="13:13">
      <c r="M18841" s="202"/>
    </row>
    <row r="18842" spans="13:13">
      <c r="M18842" s="202"/>
    </row>
    <row r="18843" spans="13:13">
      <c r="M18843" s="202"/>
    </row>
    <row r="18844" spans="13:13">
      <c r="M18844" s="202"/>
    </row>
    <row r="18845" spans="13:13">
      <c r="M18845" s="202"/>
    </row>
    <row r="18846" spans="13:13">
      <c r="M18846" s="202"/>
    </row>
    <row r="18847" spans="13:13">
      <c r="M18847" s="202"/>
    </row>
    <row r="18848" spans="13:13">
      <c r="M18848" s="202"/>
    </row>
    <row r="18849" spans="13:13">
      <c r="M18849" s="202"/>
    </row>
    <row r="18850" spans="13:13">
      <c r="M18850" s="202"/>
    </row>
    <row r="18851" spans="13:13">
      <c r="M18851" s="202"/>
    </row>
    <row r="18852" spans="13:13">
      <c r="M18852" s="202"/>
    </row>
    <row r="18853" spans="13:13">
      <c r="M18853" s="202"/>
    </row>
    <row r="18854" spans="13:13">
      <c r="M18854" s="202"/>
    </row>
    <row r="18855" spans="13:13">
      <c r="M18855" s="202"/>
    </row>
    <row r="18856" spans="13:13">
      <c r="M18856" s="202"/>
    </row>
    <row r="18857" spans="13:13">
      <c r="M18857" s="202"/>
    </row>
    <row r="18858" spans="13:13">
      <c r="M18858" s="202"/>
    </row>
    <row r="18859" spans="13:13">
      <c r="M18859" s="202"/>
    </row>
    <row r="18860" spans="13:13">
      <c r="M18860" s="202"/>
    </row>
    <row r="18861" spans="13:13">
      <c r="M18861" s="202"/>
    </row>
    <row r="18862" spans="13:13">
      <c r="M18862" s="202"/>
    </row>
    <row r="18863" spans="13:13">
      <c r="M18863" s="202"/>
    </row>
    <row r="18864" spans="13:13">
      <c r="M18864" s="202"/>
    </row>
    <row r="18865" spans="13:13">
      <c r="M18865" s="202"/>
    </row>
    <row r="18866" spans="13:13">
      <c r="M18866" s="202"/>
    </row>
    <row r="18867" spans="13:13">
      <c r="M18867" s="202"/>
    </row>
    <row r="18868" spans="13:13">
      <c r="M18868" s="202"/>
    </row>
    <row r="18869" spans="13:13">
      <c r="M18869" s="202"/>
    </row>
    <row r="18870" spans="13:13">
      <c r="M18870" s="202"/>
    </row>
    <row r="18871" spans="13:13">
      <c r="M18871" s="202"/>
    </row>
    <row r="18872" spans="13:13">
      <c r="M18872" s="202"/>
    </row>
    <row r="18873" spans="13:13">
      <c r="M18873" s="202"/>
    </row>
    <row r="18874" spans="13:13">
      <c r="M18874" s="202"/>
    </row>
    <row r="18875" spans="13:13">
      <c r="M18875" s="202"/>
    </row>
    <row r="18876" spans="13:13">
      <c r="M18876" s="202"/>
    </row>
    <row r="18877" spans="13:13">
      <c r="M18877" s="202"/>
    </row>
    <row r="18878" spans="13:13">
      <c r="M18878" s="202"/>
    </row>
    <row r="18879" spans="13:13">
      <c r="M18879" s="202"/>
    </row>
    <row r="18880" spans="13:13">
      <c r="M18880" s="202"/>
    </row>
    <row r="18881" spans="13:13">
      <c r="M18881" s="202"/>
    </row>
    <row r="18882" spans="13:13">
      <c r="M18882" s="202"/>
    </row>
    <row r="18883" spans="13:13">
      <c r="M18883" s="202"/>
    </row>
    <row r="18884" spans="13:13">
      <c r="M18884" s="202"/>
    </row>
    <row r="18885" spans="13:13">
      <c r="M18885" s="202"/>
    </row>
    <row r="18886" spans="13:13">
      <c r="M18886" s="202"/>
    </row>
    <row r="18887" spans="13:13">
      <c r="M18887" s="202"/>
    </row>
    <row r="18888" spans="13:13">
      <c r="M18888" s="202"/>
    </row>
    <row r="18889" spans="13:13">
      <c r="M18889" s="202"/>
    </row>
    <row r="18890" spans="13:13">
      <c r="M18890" s="202"/>
    </row>
    <row r="18891" spans="13:13">
      <c r="M18891" s="202"/>
    </row>
    <row r="18892" spans="13:13">
      <c r="M18892" s="202"/>
    </row>
    <row r="18893" spans="13:13">
      <c r="M18893" s="202"/>
    </row>
    <row r="18894" spans="13:13">
      <c r="M18894" s="202"/>
    </row>
    <row r="18895" spans="13:13">
      <c r="M18895" s="202"/>
    </row>
    <row r="18896" spans="13:13">
      <c r="M18896" s="202"/>
    </row>
    <row r="18897" spans="13:13">
      <c r="M18897" s="202"/>
    </row>
    <row r="18898" spans="13:13">
      <c r="M18898" s="202"/>
    </row>
    <row r="18899" spans="13:13">
      <c r="M18899" s="202"/>
    </row>
    <row r="18900" spans="13:13">
      <c r="M18900" s="202"/>
    </row>
    <row r="18901" spans="13:13">
      <c r="M18901" s="202"/>
    </row>
    <row r="18902" spans="13:13">
      <c r="M18902" s="202"/>
    </row>
    <row r="18903" spans="13:13">
      <c r="M18903" s="202"/>
    </row>
    <row r="18904" spans="13:13">
      <c r="M18904" s="202"/>
    </row>
    <row r="18905" spans="13:13">
      <c r="M18905" s="202"/>
    </row>
    <row r="18906" spans="13:13">
      <c r="M18906" s="202"/>
    </row>
    <row r="18907" spans="13:13">
      <c r="M18907" s="202"/>
    </row>
    <row r="18908" spans="13:13">
      <c r="M18908" s="202"/>
    </row>
    <row r="18909" spans="13:13">
      <c r="M18909" s="202"/>
    </row>
    <row r="18910" spans="13:13">
      <c r="M18910" s="202"/>
    </row>
    <row r="18911" spans="13:13">
      <c r="M18911" s="202"/>
    </row>
    <row r="18912" spans="13:13">
      <c r="M18912" s="202"/>
    </row>
    <row r="18913" spans="13:13">
      <c r="M18913" s="202"/>
    </row>
    <row r="18914" spans="13:13">
      <c r="M18914" s="202"/>
    </row>
    <row r="18915" spans="13:13">
      <c r="M18915" s="202"/>
    </row>
    <row r="18916" spans="13:13">
      <c r="M18916" s="202"/>
    </row>
    <row r="18917" spans="13:13">
      <c r="M18917" s="202"/>
    </row>
    <row r="18918" spans="13:13">
      <c r="M18918" s="202"/>
    </row>
    <row r="18919" spans="13:13">
      <c r="M18919" s="202"/>
    </row>
    <row r="18920" spans="13:13">
      <c r="M18920" s="202"/>
    </row>
    <row r="18921" spans="13:13">
      <c r="M18921" s="202"/>
    </row>
    <row r="18922" spans="13:13">
      <c r="M18922" s="202"/>
    </row>
    <row r="18923" spans="13:13">
      <c r="M18923" s="202"/>
    </row>
    <row r="18924" spans="13:13">
      <c r="M18924" s="202"/>
    </row>
    <row r="18925" spans="13:13">
      <c r="M18925" s="202"/>
    </row>
    <row r="18926" spans="13:13">
      <c r="M18926" s="202"/>
    </row>
    <row r="18927" spans="13:13">
      <c r="M18927" s="202"/>
    </row>
    <row r="18928" spans="13:13">
      <c r="M18928" s="202"/>
    </row>
    <row r="18929" spans="13:13">
      <c r="M18929" s="202"/>
    </row>
    <row r="18930" spans="13:13">
      <c r="M18930" s="202"/>
    </row>
    <row r="18931" spans="13:13">
      <c r="M18931" s="202"/>
    </row>
    <row r="18932" spans="13:13">
      <c r="M18932" s="202"/>
    </row>
    <row r="18933" spans="13:13">
      <c r="M18933" s="202"/>
    </row>
    <row r="18934" spans="13:13">
      <c r="M18934" s="202"/>
    </row>
    <row r="18935" spans="13:13">
      <c r="M18935" s="202"/>
    </row>
    <row r="18936" spans="13:13">
      <c r="M18936" s="202"/>
    </row>
    <row r="18937" spans="13:13">
      <c r="M18937" s="202"/>
    </row>
    <row r="18938" spans="13:13">
      <c r="M18938" s="202"/>
    </row>
    <row r="18939" spans="13:13">
      <c r="M18939" s="202"/>
    </row>
    <row r="18940" spans="13:13">
      <c r="M18940" s="202"/>
    </row>
    <row r="18941" spans="13:13">
      <c r="M18941" s="202"/>
    </row>
    <row r="18942" spans="13:13">
      <c r="M18942" s="202"/>
    </row>
    <row r="18943" spans="13:13">
      <c r="M18943" s="202"/>
    </row>
    <row r="18944" spans="13:13">
      <c r="M18944" s="202"/>
    </row>
    <row r="18945" spans="13:13">
      <c r="M18945" s="202"/>
    </row>
    <row r="18946" spans="13:13">
      <c r="M18946" s="202"/>
    </row>
    <row r="18947" spans="13:13">
      <c r="M18947" s="202"/>
    </row>
    <row r="18948" spans="13:13">
      <c r="M18948" s="202"/>
    </row>
    <row r="18949" spans="13:13">
      <c r="M18949" s="202"/>
    </row>
    <row r="18950" spans="13:13">
      <c r="M18950" s="202"/>
    </row>
    <row r="18951" spans="13:13">
      <c r="M18951" s="202"/>
    </row>
    <row r="18952" spans="13:13">
      <c r="M18952" s="202"/>
    </row>
    <row r="18953" spans="13:13">
      <c r="M18953" s="202"/>
    </row>
    <row r="18954" spans="13:13">
      <c r="M18954" s="202"/>
    </row>
    <row r="18955" spans="13:13">
      <c r="M18955" s="202"/>
    </row>
    <row r="18956" spans="13:13">
      <c r="M18956" s="202"/>
    </row>
    <row r="18957" spans="13:13">
      <c r="M18957" s="202"/>
    </row>
    <row r="18958" spans="13:13">
      <c r="M18958" s="202"/>
    </row>
    <row r="18959" spans="13:13">
      <c r="M18959" s="202"/>
    </row>
    <row r="18960" spans="13:13">
      <c r="M18960" s="202"/>
    </row>
    <row r="18961" spans="13:13">
      <c r="M18961" s="202"/>
    </row>
    <row r="18962" spans="13:13">
      <c r="M18962" s="202"/>
    </row>
    <row r="18963" spans="13:13">
      <c r="M18963" s="202"/>
    </row>
    <row r="18964" spans="13:13">
      <c r="M18964" s="202"/>
    </row>
    <row r="18965" spans="13:13">
      <c r="M18965" s="202"/>
    </row>
    <row r="18966" spans="13:13">
      <c r="M18966" s="202"/>
    </row>
    <row r="18967" spans="13:13">
      <c r="M18967" s="202"/>
    </row>
    <row r="18968" spans="13:13">
      <c r="M18968" s="202"/>
    </row>
    <row r="18969" spans="13:13">
      <c r="M18969" s="202"/>
    </row>
    <row r="18970" spans="13:13">
      <c r="M18970" s="202"/>
    </row>
    <row r="18971" spans="13:13">
      <c r="M18971" s="202"/>
    </row>
    <row r="18972" spans="13:13">
      <c r="M18972" s="202"/>
    </row>
    <row r="18973" spans="13:13">
      <c r="M18973" s="202"/>
    </row>
    <row r="18974" spans="13:13">
      <c r="M18974" s="202"/>
    </row>
    <row r="18975" spans="13:13">
      <c r="M18975" s="202"/>
    </row>
    <row r="18976" spans="13:13">
      <c r="M18976" s="202"/>
    </row>
    <row r="18977" spans="13:13">
      <c r="M18977" s="202"/>
    </row>
    <row r="18978" spans="13:13">
      <c r="M18978" s="202"/>
    </row>
    <row r="18979" spans="13:13">
      <c r="M18979" s="202"/>
    </row>
    <row r="18980" spans="13:13">
      <c r="M18980" s="202"/>
    </row>
    <row r="18981" spans="13:13">
      <c r="M18981" s="202"/>
    </row>
    <row r="18982" spans="13:13">
      <c r="M18982" s="202"/>
    </row>
    <row r="18983" spans="13:13">
      <c r="M18983" s="202"/>
    </row>
    <row r="18984" spans="13:13">
      <c r="M18984" s="202"/>
    </row>
    <row r="18985" spans="13:13">
      <c r="M18985" s="202"/>
    </row>
    <row r="18986" spans="13:13">
      <c r="M18986" s="202"/>
    </row>
    <row r="18987" spans="13:13">
      <c r="M18987" s="202"/>
    </row>
    <row r="18988" spans="13:13">
      <c r="M18988" s="202"/>
    </row>
    <row r="18989" spans="13:13">
      <c r="M18989" s="202"/>
    </row>
    <row r="18990" spans="13:13">
      <c r="M18990" s="202"/>
    </row>
    <row r="18991" spans="13:13">
      <c r="M18991" s="202"/>
    </row>
    <row r="18992" spans="13:13">
      <c r="M18992" s="202"/>
    </row>
    <row r="18993" spans="13:13">
      <c r="M18993" s="202"/>
    </row>
    <row r="18994" spans="13:13">
      <c r="M18994" s="202"/>
    </row>
    <row r="18995" spans="13:13">
      <c r="M18995" s="202"/>
    </row>
    <row r="18996" spans="13:13">
      <c r="M18996" s="202"/>
    </row>
    <row r="18997" spans="13:13">
      <c r="M18997" s="202"/>
    </row>
    <row r="18998" spans="13:13">
      <c r="M18998" s="202"/>
    </row>
    <row r="18999" spans="13:13">
      <c r="M18999" s="202"/>
    </row>
    <row r="19000" spans="13:13">
      <c r="M19000" s="202"/>
    </row>
    <row r="19001" spans="13:13">
      <c r="M19001" s="202"/>
    </row>
    <row r="19002" spans="13:13">
      <c r="M19002" s="202"/>
    </row>
    <row r="19003" spans="13:13">
      <c r="M19003" s="202"/>
    </row>
    <row r="19004" spans="13:13">
      <c r="M19004" s="202"/>
    </row>
    <row r="19005" spans="13:13">
      <c r="M19005" s="202"/>
    </row>
    <row r="19006" spans="13:13">
      <c r="M19006" s="202"/>
    </row>
    <row r="19007" spans="13:13">
      <c r="M19007" s="202"/>
    </row>
    <row r="19008" spans="13:13">
      <c r="M19008" s="202"/>
    </row>
    <row r="19009" spans="13:13">
      <c r="M19009" s="202"/>
    </row>
    <row r="19010" spans="13:13">
      <c r="M19010" s="202"/>
    </row>
    <row r="19011" spans="13:13">
      <c r="M19011" s="202"/>
    </row>
    <row r="19012" spans="13:13">
      <c r="M19012" s="202"/>
    </row>
    <row r="19013" spans="13:13">
      <c r="M19013" s="202"/>
    </row>
    <row r="19014" spans="13:13">
      <c r="M19014" s="202"/>
    </row>
    <row r="19015" spans="13:13">
      <c r="M19015" s="202"/>
    </row>
    <row r="19016" spans="13:13">
      <c r="M19016" s="202"/>
    </row>
    <row r="19017" spans="13:13">
      <c r="M19017" s="202"/>
    </row>
    <row r="19018" spans="13:13">
      <c r="M19018" s="202"/>
    </row>
    <row r="19019" spans="13:13">
      <c r="M19019" s="202"/>
    </row>
    <row r="19020" spans="13:13">
      <c r="M19020" s="202"/>
    </row>
    <row r="19021" spans="13:13">
      <c r="M19021" s="202"/>
    </row>
    <row r="19022" spans="13:13">
      <c r="M19022" s="202"/>
    </row>
    <row r="19023" spans="13:13">
      <c r="M19023" s="202"/>
    </row>
    <row r="19024" spans="13:13">
      <c r="M19024" s="202"/>
    </row>
    <row r="19025" spans="13:13">
      <c r="M19025" s="202"/>
    </row>
    <row r="19026" spans="13:13">
      <c r="M19026" s="202"/>
    </row>
    <row r="19027" spans="13:13">
      <c r="M19027" s="202"/>
    </row>
    <row r="19028" spans="13:13">
      <c r="M19028" s="202"/>
    </row>
    <row r="19029" spans="13:13">
      <c r="M19029" s="202"/>
    </row>
    <row r="19030" spans="13:13">
      <c r="M19030" s="202"/>
    </row>
    <row r="19031" spans="13:13">
      <c r="M19031" s="202"/>
    </row>
    <row r="19032" spans="13:13">
      <c r="M19032" s="202"/>
    </row>
    <row r="19033" spans="13:13">
      <c r="M19033" s="202"/>
    </row>
    <row r="19034" spans="13:13">
      <c r="M19034" s="202"/>
    </row>
    <row r="19035" spans="13:13">
      <c r="M19035" s="202"/>
    </row>
    <row r="19036" spans="13:13">
      <c r="M19036" s="202"/>
    </row>
    <row r="19037" spans="13:13">
      <c r="M19037" s="202"/>
    </row>
    <row r="19038" spans="13:13">
      <c r="M19038" s="202"/>
    </row>
    <row r="19039" spans="13:13">
      <c r="M19039" s="202"/>
    </row>
    <row r="19040" spans="13:13">
      <c r="M19040" s="202"/>
    </row>
    <row r="19041" spans="13:13">
      <c r="M19041" s="202"/>
    </row>
    <row r="19042" spans="13:13">
      <c r="M19042" s="202"/>
    </row>
    <row r="19043" spans="13:13">
      <c r="M19043" s="202"/>
    </row>
    <row r="19044" spans="13:13">
      <c r="M19044" s="202"/>
    </row>
    <row r="19045" spans="13:13">
      <c r="M19045" s="202"/>
    </row>
    <row r="19046" spans="13:13">
      <c r="M19046" s="202"/>
    </row>
    <row r="19047" spans="13:13">
      <c r="M19047" s="202"/>
    </row>
    <row r="19048" spans="13:13">
      <c r="M19048" s="202"/>
    </row>
    <row r="19049" spans="13:13">
      <c r="M19049" s="202"/>
    </row>
    <row r="19050" spans="13:13">
      <c r="M19050" s="202"/>
    </row>
    <row r="19051" spans="13:13">
      <c r="M19051" s="202"/>
    </row>
    <row r="19052" spans="13:13">
      <c r="M19052" s="202"/>
    </row>
    <row r="19053" spans="13:13">
      <c r="M19053" s="202"/>
    </row>
    <row r="19054" spans="13:13">
      <c r="M19054" s="202"/>
    </row>
    <row r="19055" spans="13:13">
      <c r="M19055" s="202"/>
    </row>
    <row r="19056" spans="13:13">
      <c r="M19056" s="202"/>
    </row>
    <row r="19057" spans="13:13">
      <c r="M19057" s="202"/>
    </row>
    <row r="19058" spans="13:13">
      <c r="M19058" s="202"/>
    </row>
    <row r="19059" spans="13:13">
      <c r="M19059" s="202"/>
    </row>
    <row r="19060" spans="13:13">
      <c r="M19060" s="202"/>
    </row>
    <row r="19061" spans="13:13">
      <c r="M19061" s="202"/>
    </row>
    <row r="19062" spans="13:13">
      <c r="M19062" s="202"/>
    </row>
    <row r="19063" spans="13:13">
      <c r="M19063" s="202"/>
    </row>
    <row r="19064" spans="13:13">
      <c r="M19064" s="202"/>
    </row>
    <row r="19065" spans="13:13">
      <c r="M19065" s="202"/>
    </row>
    <row r="19066" spans="13:13">
      <c r="M19066" s="202"/>
    </row>
    <row r="19067" spans="13:13">
      <c r="M19067" s="202"/>
    </row>
    <row r="19068" spans="13:13">
      <c r="M19068" s="202"/>
    </row>
    <row r="19069" spans="13:13">
      <c r="M19069" s="202"/>
    </row>
    <row r="19070" spans="13:13">
      <c r="M19070" s="202"/>
    </row>
    <row r="19071" spans="13:13">
      <c r="M19071" s="202"/>
    </row>
    <row r="19072" spans="13:13">
      <c r="M19072" s="202"/>
    </row>
    <row r="19073" spans="13:13">
      <c r="M19073" s="202"/>
    </row>
    <row r="19074" spans="13:13">
      <c r="M19074" s="202"/>
    </row>
    <row r="19075" spans="13:13">
      <c r="M19075" s="202"/>
    </row>
    <row r="19076" spans="13:13">
      <c r="M19076" s="202"/>
    </row>
    <row r="19077" spans="13:13">
      <c r="M19077" s="202"/>
    </row>
    <row r="19078" spans="13:13">
      <c r="M19078" s="202"/>
    </row>
    <row r="19079" spans="13:13">
      <c r="M19079" s="202"/>
    </row>
    <row r="19080" spans="13:13">
      <c r="M19080" s="202"/>
    </row>
    <row r="19081" spans="13:13">
      <c r="M19081" s="202"/>
    </row>
    <row r="19082" spans="13:13">
      <c r="M19082" s="202"/>
    </row>
    <row r="19083" spans="13:13">
      <c r="M19083" s="202"/>
    </row>
    <row r="19084" spans="13:13">
      <c r="M19084" s="202"/>
    </row>
    <row r="19085" spans="13:13">
      <c r="M19085" s="202"/>
    </row>
    <row r="19086" spans="13:13">
      <c r="M19086" s="202"/>
    </row>
    <row r="19087" spans="13:13">
      <c r="M19087" s="202"/>
    </row>
    <row r="19088" spans="13:13">
      <c r="M19088" s="202"/>
    </row>
    <row r="19089" spans="13:13">
      <c r="M19089" s="202"/>
    </row>
    <row r="19090" spans="13:13">
      <c r="M19090" s="202"/>
    </row>
    <row r="19091" spans="13:13">
      <c r="M19091" s="202"/>
    </row>
    <row r="19092" spans="13:13">
      <c r="M19092" s="202"/>
    </row>
    <row r="19093" spans="13:13">
      <c r="M19093" s="202"/>
    </row>
    <row r="19094" spans="13:13">
      <c r="M19094" s="202"/>
    </row>
    <row r="19095" spans="13:13">
      <c r="M19095" s="202"/>
    </row>
    <row r="19096" spans="13:13">
      <c r="M19096" s="202"/>
    </row>
    <row r="19097" spans="13:13">
      <c r="M19097" s="202"/>
    </row>
    <row r="19098" spans="13:13">
      <c r="M19098" s="202"/>
    </row>
    <row r="19099" spans="13:13">
      <c r="M19099" s="202"/>
    </row>
    <row r="19100" spans="13:13">
      <c r="M19100" s="202"/>
    </row>
    <row r="19101" spans="13:13">
      <c r="M19101" s="202"/>
    </row>
    <row r="19102" spans="13:13">
      <c r="M19102" s="202"/>
    </row>
    <row r="19103" spans="13:13">
      <c r="M19103" s="202"/>
    </row>
    <row r="19104" spans="13:13">
      <c r="M19104" s="202"/>
    </row>
    <row r="19105" spans="13:13">
      <c r="M19105" s="202"/>
    </row>
    <row r="19106" spans="13:13">
      <c r="M19106" s="202"/>
    </row>
    <row r="19107" spans="13:13">
      <c r="M19107" s="202"/>
    </row>
    <row r="19108" spans="13:13">
      <c r="M19108" s="202"/>
    </row>
    <row r="19109" spans="13:13">
      <c r="M19109" s="202"/>
    </row>
    <row r="19110" spans="13:13">
      <c r="M19110" s="202"/>
    </row>
    <row r="19111" spans="13:13">
      <c r="M19111" s="202"/>
    </row>
    <row r="19112" spans="13:13">
      <c r="M19112" s="202"/>
    </row>
    <row r="19113" spans="13:13">
      <c r="M19113" s="202"/>
    </row>
    <row r="19114" spans="13:13">
      <c r="M19114" s="202"/>
    </row>
    <row r="19115" spans="13:13">
      <c r="M19115" s="202"/>
    </row>
    <row r="19116" spans="13:13">
      <c r="M19116" s="202"/>
    </row>
    <row r="19117" spans="13:13">
      <c r="M19117" s="202"/>
    </row>
    <row r="19118" spans="13:13">
      <c r="M19118" s="202"/>
    </row>
    <row r="19119" spans="13:13">
      <c r="M19119" s="202"/>
    </row>
    <row r="19120" spans="13:13">
      <c r="M19120" s="202"/>
    </row>
    <row r="19121" spans="13:13">
      <c r="M19121" s="202"/>
    </row>
    <row r="19122" spans="13:13">
      <c r="M19122" s="202"/>
    </row>
    <row r="19123" spans="13:13">
      <c r="M19123" s="202"/>
    </row>
    <row r="19124" spans="13:13">
      <c r="M19124" s="202"/>
    </row>
    <row r="19125" spans="13:13">
      <c r="M19125" s="202"/>
    </row>
    <row r="19126" spans="13:13">
      <c r="M19126" s="202"/>
    </row>
    <row r="19127" spans="13:13">
      <c r="M19127" s="202"/>
    </row>
    <row r="19128" spans="13:13">
      <c r="M19128" s="202"/>
    </row>
    <row r="19129" spans="13:13">
      <c r="M19129" s="202"/>
    </row>
    <row r="19130" spans="13:13">
      <c r="M19130" s="202"/>
    </row>
    <row r="19131" spans="13:13">
      <c r="M19131" s="202"/>
    </row>
    <row r="19132" spans="13:13">
      <c r="M19132" s="202"/>
    </row>
    <row r="19133" spans="13:13">
      <c r="M19133" s="202"/>
    </row>
    <row r="19134" spans="13:13">
      <c r="M19134" s="202"/>
    </row>
    <row r="19135" spans="13:13">
      <c r="M19135" s="202"/>
    </row>
    <row r="19136" spans="13:13">
      <c r="M19136" s="202"/>
    </row>
    <row r="19137" spans="13:13">
      <c r="M19137" s="202"/>
    </row>
    <row r="19138" spans="13:13">
      <c r="M19138" s="202"/>
    </row>
    <row r="19139" spans="13:13">
      <c r="M19139" s="202"/>
    </row>
    <row r="19140" spans="13:13">
      <c r="M19140" s="202"/>
    </row>
    <row r="19141" spans="13:13">
      <c r="M19141" s="202"/>
    </row>
    <row r="19142" spans="13:13">
      <c r="M19142" s="202"/>
    </row>
    <row r="19143" spans="13:13">
      <c r="M19143" s="202"/>
    </row>
    <row r="19144" spans="13:13">
      <c r="M19144" s="202"/>
    </row>
    <row r="19145" spans="13:13">
      <c r="M19145" s="202"/>
    </row>
    <row r="19146" spans="13:13">
      <c r="M19146" s="202"/>
    </row>
    <row r="19147" spans="13:13">
      <c r="M19147" s="202"/>
    </row>
    <row r="19148" spans="13:13">
      <c r="M19148" s="202"/>
    </row>
    <row r="19149" spans="13:13">
      <c r="M19149" s="202"/>
    </row>
    <row r="19150" spans="13:13">
      <c r="M19150" s="202"/>
    </row>
    <row r="19151" spans="13:13">
      <c r="M19151" s="202"/>
    </row>
    <row r="19152" spans="13:13">
      <c r="M19152" s="202"/>
    </row>
    <row r="19153" spans="13:13">
      <c r="M19153" s="202"/>
    </row>
    <row r="19154" spans="13:13">
      <c r="M19154" s="202"/>
    </row>
    <row r="19155" spans="13:13">
      <c r="M19155" s="202"/>
    </row>
    <row r="19156" spans="13:13">
      <c r="M19156" s="202"/>
    </row>
    <row r="19157" spans="13:13">
      <c r="M19157" s="202"/>
    </row>
    <row r="19158" spans="13:13">
      <c r="M19158" s="202"/>
    </row>
    <row r="19159" spans="13:13">
      <c r="M19159" s="202"/>
    </row>
    <row r="19160" spans="13:13">
      <c r="M19160" s="202"/>
    </row>
    <row r="19161" spans="13:13">
      <c r="M19161" s="202"/>
    </row>
    <row r="19162" spans="13:13">
      <c r="M19162" s="202"/>
    </row>
    <row r="19163" spans="13:13">
      <c r="M19163" s="202"/>
    </row>
    <row r="19164" spans="13:13">
      <c r="M19164" s="202"/>
    </row>
    <row r="19165" spans="13:13">
      <c r="M19165" s="202"/>
    </row>
    <row r="19166" spans="13:13">
      <c r="M19166" s="202"/>
    </row>
    <row r="19167" spans="13:13">
      <c r="M19167" s="202"/>
    </row>
    <row r="19168" spans="13:13">
      <c r="M19168" s="202"/>
    </row>
    <row r="19169" spans="13:13">
      <c r="M19169" s="202"/>
    </row>
    <row r="19170" spans="13:13">
      <c r="M19170" s="202"/>
    </row>
    <row r="19171" spans="13:13">
      <c r="M19171" s="202"/>
    </row>
    <row r="19172" spans="13:13">
      <c r="M19172" s="202"/>
    </row>
    <row r="19173" spans="13:13">
      <c r="M19173" s="202"/>
    </row>
    <row r="19174" spans="13:13">
      <c r="M19174" s="202"/>
    </row>
    <row r="19175" spans="13:13">
      <c r="M19175" s="202"/>
    </row>
    <row r="19176" spans="13:13">
      <c r="M19176" s="202"/>
    </row>
    <row r="19177" spans="13:13">
      <c r="M19177" s="202"/>
    </row>
    <row r="19178" spans="13:13">
      <c r="M19178" s="202"/>
    </row>
    <row r="19179" spans="13:13">
      <c r="M19179" s="202"/>
    </row>
    <row r="19180" spans="13:13">
      <c r="M19180" s="202"/>
    </row>
    <row r="19181" spans="13:13">
      <c r="M19181" s="202"/>
    </row>
    <row r="19182" spans="13:13">
      <c r="M19182" s="202"/>
    </row>
    <row r="19183" spans="13:13">
      <c r="M19183" s="202"/>
    </row>
    <row r="19184" spans="13:13">
      <c r="M19184" s="202"/>
    </row>
    <row r="19185" spans="13:13">
      <c r="M19185" s="202"/>
    </row>
    <row r="19186" spans="13:13">
      <c r="M19186" s="202"/>
    </row>
    <row r="19187" spans="13:13">
      <c r="M19187" s="202"/>
    </row>
    <row r="19188" spans="13:13">
      <c r="M19188" s="202"/>
    </row>
    <row r="19189" spans="13:13">
      <c r="M19189" s="202"/>
    </row>
    <row r="19190" spans="13:13">
      <c r="M19190" s="202"/>
    </row>
    <row r="19191" spans="13:13">
      <c r="M19191" s="202"/>
    </row>
    <row r="19192" spans="13:13">
      <c r="M19192" s="202"/>
    </row>
    <row r="19193" spans="13:13">
      <c r="M19193" s="202"/>
    </row>
    <row r="19194" spans="13:13">
      <c r="M19194" s="202"/>
    </row>
    <row r="19195" spans="13:13">
      <c r="M19195" s="202"/>
    </row>
    <row r="19196" spans="13:13">
      <c r="M19196" s="202"/>
    </row>
    <row r="19197" spans="13:13">
      <c r="M19197" s="202"/>
    </row>
    <row r="19198" spans="13:13">
      <c r="M19198" s="202"/>
    </row>
    <row r="19199" spans="13:13">
      <c r="M19199" s="202"/>
    </row>
    <row r="19200" spans="13:13">
      <c r="M19200" s="202"/>
    </row>
    <row r="19201" spans="13:13">
      <c r="M19201" s="202"/>
    </row>
    <row r="19202" spans="13:13">
      <c r="M19202" s="202"/>
    </row>
    <row r="19203" spans="13:13">
      <c r="M19203" s="202"/>
    </row>
    <row r="19204" spans="13:13">
      <c r="M19204" s="202"/>
    </row>
    <row r="19205" spans="13:13">
      <c r="M19205" s="202"/>
    </row>
    <row r="19206" spans="13:13">
      <c r="M19206" s="202"/>
    </row>
    <row r="19207" spans="13:13">
      <c r="M19207" s="202"/>
    </row>
    <row r="19208" spans="13:13">
      <c r="M19208" s="202"/>
    </row>
    <row r="19209" spans="13:13">
      <c r="M19209" s="202"/>
    </row>
    <row r="19210" spans="13:13">
      <c r="M19210" s="202"/>
    </row>
    <row r="19211" spans="13:13">
      <c r="M19211" s="202"/>
    </row>
    <row r="19212" spans="13:13">
      <c r="M19212" s="202"/>
    </row>
    <row r="19213" spans="13:13">
      <c r="M19213" s="202"/>
    </row>
    <row r="19214" spans="13:13">
      <c r="M19214" s="202"/>
    </row>
    <row r="19215" spans="13:13">
      <c r="M19215" s="202"/>
    </row>
    <row r="19216" spans="13:13">
      <c r="M19216" s="202"/>
    </row>
    <row r="19217" spans="13:13">
      <c r="M19217" s="202"/>
    </row>
    <row r="19218" spans="13:13">
      <c r="M19218" s="202"/>
    </row>
    <row r="19219" spans="13:13">
      <c r="M19219" s="202"/>
    </row>
    <row r="19220" spans="13:13">
      <c r="M19220" s="202"/>
    </row>
    <row r="19221" spans="13:13">
      <c r="M19221" s="202"/>
    </row>
    <row r="19222" spans="13:13">
      <c r="M19222" s="202"/>
    </row>
    <row r="19223" spans="13:13">
      <c r="M19223" s="202"/>
    </row>
    <row r="19224" spans="13:13">
      <c r="M19224" s="202"/>
    </row>
    <row r="19225" spans="13:13">
      <c r="M19225" s="202"/>
    </row>
    <row r="19226" spans="13:13">
      <c r="M19226" s="202"/>
    </row>
    <row r="19227" spans="13:13">
      <c r="M19227" s="202"/>
    </row>
    <row r="19228" spans="13:13">
      <c r="M19228" s="202"/>
    </row>
    <row r="19229" spans="13:13">
      <c r="M19229" s="202"/>
    </row>
    <row r="19230" spans="13:13">
      <c r="M19230" s="202"/>
    </row>
    <row r="19231" spans="13:13">
      <c r="M19231" s="202"/>
    </row>
    <row r="19232" spans="13:13">
      <c r="M19232" s="202"/>
    </row>
    <row r="19233" spans="13:13">
      <c r="M19233" s="202"/>
    </row>
    <row r="19234" spans="13:13">
      <c r="M19234" s="202"/>
    </row>
    <row r="19235" spans="13:13">
      <c r="M19235" s="202"/>
    </row>
    <row r="19236" spans="13:13">
      <c r="M19236" s="202"/>
    </row>
    <row r="19237" spans="13:13">
      <c r="M19237" s="202"/>
    </row>
    <row r="19238" spans="13:13">
      <c r="M19238" s="202"/>
    </row>
    <row r="19239" spans="13:13">
      <c r="M19239" s="202"/>
    </row>
    <row r="19240" spans="13:13">
      <c r="M19240" s="202"/>
    </row>
    <row r="19241" spans="13:13">
      <c r="M19241" s="202"/>
    </row>
    <row r="19242" spans="13:13">
      <c r="M19242" s="202"/>
    </row>
    <row r="19243" spans="13:13">
      <c r="M19243" s="202"/>
    </row>
    <row r="19244" spans="13:13">
      <c r="M19244" s="202"/>
    </row>
    <row r="19245" spans="13:13">
      <c r="M19245" s="202"/>
    </row>
    <row r="19246" spans="13:13">
      <c r="M19246" s="202"/>
    </row>
    <row r="19247" spans="13:13">
      <c r="M19247" s="202"/>
    </row>
    <row r="19248" spans="13:13">
      <c r="M19248" s="202"/>
    </row>
    <row r="19249" spans="13:13">
      <c r="M19249" s="202"/>
    </row>
    <row r="19250" spans="13:13">
      <c r="M19250" s="202"/>
    </row>
    <row r="19251" spans="13:13">
      <c r="M19251" s="202"/>
    </row>
    <row r="19252" spans="13:13">
      <c r="M19252" s="202"/>
    </row>
    <row r="19253" spans="13:13">
      <c r="M19253" s="202"/>
    </row>
    <row r="19254" spans="13:13">
      <c r="M19254" s="202"/>
    </row>
    <row r="19255" spans="13:13">
      <c r="M19255" s="202"/>
    </row>
    <row r="19256" spans="13:13">
      <c r="M19256" s="202"/>
    </row>
    <row r="19257" spans="13:13">
      <c r="M19257" s="202"/>
    </row>
    <row r="19258" spans="13:13">
      <c r="M19258" s="202"/>
    </row>
    <row r="19259" spans="13:13">
      <c r="M19259" s="202"/>
    </row>
    <row r="19260" spans="13:13">
      <c r="M19260" s="202"/>
    </row>
    <row r="19261" spans="13:13">
      <c r="M19261" s="202"/>
    </row>
    <row r="19262" spans="13:13">
      <c r="M19262" s="202"/>
    </row>
    <row r="19263" spans="13:13">
      <c r="M19263" s="202"/>
    </row>
    <row r="19264" spans="13:13">
      <c r="M19264" s="202"/>
    </row>
    <row r="19265" spans="13:13">
      <c r="M19265" s="202"/>
    </row>
    <row r="19266" spans="13:13">
      <c r="M19266" s="202"/>
    </row>
    <row r="19267" spans="13:13">
      <c r="M19267" s="202"/>
    </row>
    <row r="19268" spans="13:13">
      <c r="M19268" s="202"/>
    </row>
    <row r="19269" spans="13:13">
      <c r="M19269" s="202"/>
    </row>
    <row r="19270" spans="13:13">
      <c r="M19270" s="202"/>
    </row>
    <row r="19271" spans="13:13">
      <c r="M19271" s="202"/>
    </row>
    <row r="19272" spans="13:13">
      <c r="M19272" s="202"/>
    </row>
    <row r="19273" spans="13:13">
      <c r="M19273" s="202"/>
    </row>
    <row r="19274" spans="13:13">
      <c r="M19274" s="202"/>
    </row>
    <row r="19275" spans="13:13">
      <c r="M19275" s="202"/>
    </row>
    <row r="19276" spans="13:13">
      <c r="M19276" s="202"/>
    </row>
    <row r="19277" spans="13:13">
      <c r="M19277" s="202"/>
    </row>
    <row r="19278" spans="13:13">
      <c r="M19278" s="202"/>
    </row>
    <row r="19279" spans="13:13">
      <c r="M19279" s="202"/>
    </row>
    <row r="19280" spans="13:13">
      <c r="M19280" s="202"/>
    </row>
    <row r="19281" spans="13:13">
      <c r="M19281" s="202"/>
    </row>
    <row r="19282" spans="13:13">
      <c r="M19282" s="202"/>
    </row>
    <row r="19283" spans="13:13">
      <c r="M19283" s="202"/>
    </row>
    <row r="19284" spans="13:13">
      <c r="M19284" s="202"/>
    </row>
    <row r="19285" spans="13:13">
      <c r="M19285" s="202"/>
    </row>
    <row r="19286" spans="13:13">
      <c r="M19286" s="202"/>
    </row>
    <row r="19287" spans="13:13">
      <c r="M19287" s="202"/>
    </row>
    <row r="19288" spans="13:13">
      <c r="M19288" s="202"/>
    </row>
    <row r="19289" spans="13:13">
      <c r="M19289" s="202"/>
    </row>
    <row r="19290" spans="13:13">
      <c r="M19290" s="202"/>
    </row>
    <row r="19291" spans="13:13">
      <c r="M19291" s="202"/>
    </row>
    <row r="19292" spans="13:13">
      <c r="M19292" s="202"/>
    </row>
    <row r="19293" spans="13:13">
      <c r="M19293" s="202"/>
    </row>
    <row r="19294" spans="13:13">
      <c r="M19294" s="202"/>
    </row>
    <row r="19295" spans="13:13">
      <c r="M19295" s="202"/>
    </row>
    <row r="19296" spans="13:13">
      <c r="M19296" s="202"/>
    </row>
    <row r="19297" spans="13:13">
      <c r="M19297" s="202"/>
    </row>
    <row r="19298" spans="13:13">
      <c r="M19298" s="202"/>
    </row>
    <row r="19299" spans="13:13">
      <c r="M19299" s="202"/>
    </row>
    <row r="19300" spans="13:13">
      <c r="M19300" s="202"/>
    </row>
    <row r="19301" spans="13:13">
      <c r="M19301" s="202"/>
    </row>
    <row r="19302" spans="13:13">
      <c r="M19302" s="202"/>
    </row>
    <row r="19303" spans="13:13">
      <c r="M19303" s="202"/>
    </row>
    <row r="19304" spans="13:13">
      <c r="M19304" s="202"/>
    </row>
    <row r="19305" spans="13:13">
      <c r="M19305" s="202"/>
    </row>
    <row r="19306" spans="13:13">
      <c r="M19306" s="202"/>
    </row>
    <row r="19307" spans="13:13">
      <c r="M19307" s="202"/>
    </row>
    <row r="19308" spans="13:13">
      <c r="M19308" s="202"/>
    </row>
    <row r="19309" spans="13:13">
      <c r="M19309" s="202"/>
    </row>
    <row r="19310" spans="13:13">
      <c r="M19310" s="202"/>
    </row>
    <row r="19311" spans="13:13">
      <c r="M19311" s="202"/>
    </row>
    <row r="19312" spans="13:13">
      <c r="M19312" s="202"/>
    </row>
    <row r="19313" spans="13:13">
      <c r="M19313" s="202"/>
    </row>
    <row r="19314" spans="13:13">
      <c r="M19314" s="202"/>
    </row>
    <row r="19315" spans="13:13">
      <c r="M19315" s="202"/>
    </row>
    <row r="19316" spans="13:13">
      <c r="M19316" s="202"/>
    </row>
    <row r="19317" spans="13:13">
      <c r="M19317" s="202"/>
    </row>
    <row r="19318" spans="13:13">
      <c r="M19318" s="202"/>
    </row>
    <row r="19319" spans="13:13">
      <c r="M19319" s="202"/>
    </row>
    <row r="19320" spans="13:13">
      <c r="M19320" s="202"/>
    </row>
    <row r="19321" spans="13:13">
      <c r="M19321" s="202"/>
    </row>
    <row r="19322" spans="13:13">
      <c r="M19322" s="202"/>
    </row>
    <row r="19323" spans="13:13">
      <c r="M19323" s="202"/>
    </row>
    <row r="19324" spans="13:13">
      <c r="M19324" s="202"/>
    </row>
    <row r="19325" spans="13:13">
      <c r="M19325" s="202"/>
    </row>
    <row r="19326" spans="13:13">
      <c r="M19326" s="202"/>
    </row>
    <row r="19327" spans="13:13">
      <c r="M19327" s="202"/>
    </row>
    <row r="19328" spans="13:13">
      <c r="M19328" s="202"/>
    </row>
    <row r="19329" spans="13:13">
      <c r="M19329" s="202"/>
    </row>
    <row r="19330" spans="13:13">
      <c r="M19330" s="202"/>
    </row>
    <row r="19331" spans="13:13">
      <c r="M19331" s="202"/>
    </row>
    <row r="19332" spans="13:13">
      <c r="M19332" s="202"/>
    </row>
    <row r="19333" spans="13:13">
      <c r="M19333" s="202"/>
    </row>
    <row r="19334" spans="13:13">
      <c r="M19334" s="202"/>
    </row>
    <row r="19335" spans="13:13">
      <c r="M19335" s="202"/>
    </row>
    <row r="19336" spans="13:13">
      <c r="M19336" s="202"/>
    </row>
    <row r="19337" spans="13:13">
      <c r="M19337" s="202"/>
    </row>
    <row r="19338" spans="13:13">
      <c r="M19338" s="202"/>
    </row>
    <row r="19339" spans="13:13">
      <c r="M19339" s="202"/>
    </row>
    <row r="19340" spans="13:13">
      <c r="M19340" s="202"/>
    </row>
    <row r="19341" spans="13:13">
      <c r="M19341" s="202"/>
    </row>
    <row r="19342" spans="13:13">
      <c r="M19342" s="202"/>
    </row>
    <row r="19343" spans="13:13">
      <c r="M19343" s="202"/>
    </row>
    <row r="19344" spans="13:13">
      <c r="M19344" s="202"/>
    </row>
    <row r="19345" spans="13:13">
      <c r="M19345" s="202"/>
    </row>
    <row r="19346" spans="13:13">
      <c r="M19346" s="202"/>
    </row>
    <row r="19347" spans="13:13">
      <c r="M19347" s="202"/>
    </row>
    <row r="19348" spans="13:13">
      <c r="M19348" s="202"/>
    </row>
    <row r="19349" spans="13:13">
      <c r="M19349" s="202"/>
    </row>
    <row r="19350" spans="13:13">
      <c r="M19350" s="202"/>
    </row>
    <row r="19351" spans="13:13">
      <c r="M19351" s="202"/>
    </row>
    <row r="19352" spans="13:13">
      <c r="M19352" s="202"/>
    </row>
    <row r="19353" spans="13:13">
      <c r="M19353" s="202"/>
    </row>
    <row r="19354" spans="13:13">
      <c r="M19354" s="202"/>
    </row>
    <row r="19355" spans="13:13">
      <c r="M19355" s="202"/>
    </row>
    <row r="19356" spans="13:13">
      <c r="M19356" s="202"/>
    </row>
    <row r="19357" spans="13:13">
      <c r="M19357" s="202"/>
    </row>
    <row r="19358" spans="13:13">
      <c r="M19358" s="202"/>
    </row>
    <row r="19359" spans="13:13">
      <c r="M19359" s="202"/>
    </row>
    <row r="19360" spans="13:13">
      <c r="M19360" s="202"/>
    </row>
    <row r="19361" spans="13:13">
      <c r="M19361" s="202"/>
    </row>
    <row r="19362" spans="13:13">
      <c r="M19362" s="202"/>
    </row>
    <row r="19363" spans="13:13">
      <c r="M19363" s="202"/>
    </row>
    <row r="19364" spans="13:13">
      <c r="M19364" s="202"/>
    </row>
    <row r="19365" spans="13:13">
      <c r="M19365" s="202"/>
    </row>
    <row r="19366" spans="13:13">
      <c r="M19366" s="202"/>
    </row>
    <row r="19367" spans="13:13">
      <c r="M19367" s="202"/>
    </row>
    <row r="19368" spans="13:13">
      <c r="M19368" s="202"/>
    </row>
    <row r="19369" spans="13:13">
      <c r="M19369" s="202"/>
    </row>
    <row r="19370" spans="13:13">
      <c r="M19370" s="202"/>
    </row>
    <row r="19371" spans="13:13">
      <c r="M19371" s="202"/>
    </row>
    <row r="19372" spans="13:13">
      <c r="M19372" s="202"/>
    </row>
    <row r="19373" spans="13:13">
      <c r="M19373" s="202"/>
    </row>
    <row r="19374" spans="13:13">
      <c r="M19374" s="202"/>
    </row>
    <row r="19375" spans="13:13">
      <c r="M19375" s="202"/>
    </row>
    <row r="19376" spans="13:13">
      <c r="M19376" s="202"/>
    </row>
    <row r="19377" spans="13:13">
      <c r="M19377" s="202"/>
    </row>
    <row r="19378" spans="13:13">
      <c r="M19378" s="202"/>
    </row>
    <row r="19379" spans="13:13">
      <c r="M19379" s="202"/>
    </row>
    <row r="19380" spans="13:13">
      <c r="M19380" s="202"/>
    </row>
    <row r="19381" spans="13:13">
      <c r="M19381" s="202"/>
    </row>
    <row r="19382" spans="13:13">
      <c r="M19382" s="202"/>
    </row>
    <row r="19383" spans="13:13">
      <c r="M19383" s="202"/>
    </row>
    <row r="19384" spans="13:13">
      <c r="M19384" s="202"/>
    </row>
    <row r="19385" spans="13:13">
      <c r="M19385" s="202"/>
    </row>
    <row r="19386" spans="13:13">
      <c r="M19386" s="202"/>
    </row>
    <row r="19387" spans="13:13">
      <c r="M19387" s="202"/>
    </row>
    <row r="19388" spans="13:13">
      <c r="M19388" s="202"/>
    </row>
    <row r="19389" spans="13:13">
      <c r="M19389" s="202"/>
    </row>
    <row r="19390" spans="13:13">
      <c r="M19390" s="202"/>
    </row>
    <row r="19391" spans="13:13">
      <c r="M19391" s="202"/>
    </row>
    <row r="19392" spans="13:13">
      <c r="M19392" s="202"/>
    </row>
    <row r="19393" spans="13:13">
      <c r="M19393" s="202"/>
    </row>
    <row r="19394" spans="13:13">
      <c r="M19394" s="202"/>
    </row>
    <row r="19395" spans="13:13">
      <c r="M19395" s="202"/>
    </row>
    <row r="19396" spans="13:13">
      <c r="M19396" s="202"/>
    </row>
    <row r="19397" spans="13:13">
      <c r="M19397" s="202"/>
    </row>
    <row r="19398" spans="13:13">
      <c r="M19398" s="202"/>
    </row>
    <row r="19399" spans="13:13">
      <c r="M19399" s="202"/>
    </row>
    <row r="19400" spans="13:13">
      <c r="M19400" s="202"/>
    </row>
    <row r="19401" spans="13:13">
      <c r="M19401" s="202"/>
    </row>
    <row r="19402" spans="13:13">
      <c r="M19402" s="202"/>
    </row>
    <row r="19403" spans="13:13">
      <c r="M19403" s="202"/>
    </row>
    <row r="19404" spans="13:13">
      <c r="M19404" s="202"/>
    </row>
    <row r="19405" spans="13:13">
      <c r="M19405" s="202"/>
    </row>
    <row r="19406" spans="13:13">
      <c r="M19406" s="202"/>
    </row>
    <row r="19407" spans="13:13">
      <c r="M19407" s="202"/>
    </row>
    <row r="19408" spans="13:13">
      <c r="M19408" s="202"/>
    </row>
    <row r="19409" spans="13:13">
      <c r="M19409" s="202"/>
    </row>
    <row r="19410" spans="13:13">
      <c r="M19410" s="202"/>
    </row>
    <row r="19411" spans="13:13">
      <c r="M19411" s="202"/>
    </row>
    <row r="19412" spans="13:13">
      <c r="M19412" s="202"/>
    </row>
    <row r="19413" spans="13:13">
      <c r="M19413" s="202"/>
    </row>
    <row r="19414" spans="13:13">
      <c r="M19414" s="202"/>
    </row>
    <row r="19415" spans="13:13">
      <c r="M19415" s="202"/>
    </row>
    <row r="19416" spans="13:13">
      <c r="M19416" s="202"/>
    </row>
    <row r="19417" spans="13:13">
      <c r="M19417" s="202"/>
    </row>
    <row r="19418" spans="13:13">
      <c r="M19418" s="202"/>
    </row>
    <row r="19419" spans="13:13">
      <c r="M19419" s="202"/>
    </row>
    <row r="19420" spans="13:13">
      <c r="M19420" s="202"/>
    </row>
    <row r="19421" spans="13:13">
      <c r="M19421" s="202"/>
    </row>
    <row r="19422" spans="13:13">
      <c r="M19422" s="202"/>
    </row>
    <row r="19423" spans="13:13">
      <c r="M19423" s="202"/>
    </row>
    <row r="19424" spans="13:13">
      <c r="M19424" s="202"/>
    </row>
    <row r="19425" spans="13:13">
      <c r="M19425" s="202"/>
    </row>
    <row r="19426" spans="13:13">
      <c r="M19426" s="202"/>
    </row>
    <row r="19427" spans="13:13">
      <c r="M19427" s="202"/>
    </row>
    <row r="19428" spans="13:13">
      <c r="M19428" s="202"/>
    </row>
    <row r="19429" spans="13:13">
      <c r="M19429" s="202"/>
    </row>
    <row r="19430" spans="13:13">
      <c r="M19430" s="202"/>
    </row>
    <row r="19431" spans="13:13">
      <c r="M19431" s="202"/>
    </row>
    <row r="19432" spans="13:13">
      <c r="M19432" s="202"/>
    </row>
    <row r="19433" spans="13:13">
      <c r="M19433" s="202"/>
    </row>
    <row r="19434" spans="13:13">
      <c r="M19434" s="202"/>
    </row>
    <row r="19435" spans="13:13">
      <c r="M19435" s="202"/>
    </row>
    <row r="19436" spans="13:13">
      <c r="M19436" s="202"/>
    </row>
    <row r="19437" spans="13:13">
      <c r="M19437" s="202"/>
    </row>
    <row r="19438" spans="13:13">
      <c r="M19438" s="202"/>
    </row>
    <row r="19439" spans="13:13">
      <c r="M19439" s="202"/>
    </row>
    <row r="19440" spans="13:13">
      <c r="M19440" s="202"/>
    </row>
    <row r="19441" spans="13:13">
      <c r="M19441" s="202"/>
    </row>
    <row r="19442" spans="13:13">
      <c r="M19442" s="202"/>
    </row>
    <row r="19443" spans="13:13">
      <c r="M19443" s="202"/>
    </row>
    <row r="19444" spans="13:13">
      <c r="M19444" s="202"/>
    </row>
    <row r="19445" spans="13:13">
      <c r="M19445" s="202"/>
    </row>
    <row r="19446" spans="13:13">
      <c r="M19446" s="202"/>
    </row>
    <row r="19447" spans="13:13">
      <c r="M19447" s="202"/>
    </row>
    <row r="19448" spans="13:13">
      <c r="M19448" s="202"/>
    </row>
    <row r="19449" spans="13:13">
      <c r="M19449" s="202"/>
    </row>
    <row r="19450" spans="13:13">
      <c r="M19450" s="202"/>
    </row>
    <row r="19451" spans="13:13">
      <c r="M19451" s="202"/>
    </row>
    <row r="19452" spans="13:13">
      <c r="M19452" s="202"/>
    </row>
    <row r="19453" spans="13:13">
      <c r="M19453" s="202"/>
    </row>
    <row r="19454" spans="13:13">
      <c r="M19454" s="202"/>
    </row>
    <row r="19455" spans="13:13">
      <c r="M19455" s="202"/>
    </row>
    <row r="19456" spans="13:13">
      <c r="M19456" s="202"/>
    </row>
    <row r="19457" spans="13:13">
      <c r="M19457" s="202"/>
    </row>
    <row r="19458" spans="13:13">
      <c r="M19458" s="202"/>
    </row>
    <row r="19459" spans="13:13">
      <c r="M19459" s="202"/>
    </row>
    <row r="19460" spans="13:13">
      <c r="M19460" s="202"/>
    </row>
    <row r="19461" spans="13:13">
      <c r="M19461" s="202"/>
    </row>
    <row r="19462" spans="13:13">
      <c r="M19462" s="202"/>
    </row>
    <row r="19463" spans="13:13">
      <c r="M19463" s="202"/>
    </row>
    <row r="19464" spans="13:13">
      <c r="M19464" s="202"/>
    </row>
    <row r="19465" spans="13:13">
      <c r="M19465" s="202"/>
    </row>
    <row r="19466" spans="13:13">
      <c r="M19466" s="202"/>
    </row>
    <row r="19467" spans="13:13">
      <c r="M19467" s="202"/>
    </row>
    <row r="19468" spans="13:13">
      <c r="M19468" s="202"/>
    </row>
    <row r="19469" spans="13:13">
      <c r="M19469" s="202"/>
    </row>
    <row r="19470" spans="13:13">
      <c r="M19470" s="202"/>
    </row>
    <row r="19471" spans="13:13">
      <c r="M19471" s="202"/>
    </row>
    <row r="19472" spans="13:13">
      <c r="M19472" s="202"/>
    </row>
    <row r="19473" spans="13:13">
      <c r="M19473" s="202"/>
    </row>
    <row r="19474" spans="13:13">
      <c r="M19474" s="202"/>
    </row>
    <row r="19475" spans="13:13">
      <c r="M19475" s="202"/>
    </row>
    <row r="19476" spans="13:13">
      <c r="M19476" s="202"/>
    </row>
    <row r="19477" spans="13:13">
      <c r="M19477" s="202"/>
    </row>
    <row r="19478" spans="13:13">
      <c r="M19478" s="202"/>
    </row>
    <row r="19479" spans="13:13">
      <c r="M19479" s="202"/>
    </row>
    <row r="19480" spans="13:13">
      <c r="M19480" s="202"/>
    </row>
    <row r="19481" spans="13:13">
      <c r="M19481" s="202"/>
    </row>
    <row r="19482" spans="13:13">
      <c r="M19482" s="202"/>
    </row>
    <row r="19483" spans="13:13">
      <c r="M19483" s="202"/>
    </row>
    <row r="19484" spans="13:13">
      <c r="M19484" s="202"/>
    </row>
    <row r="19485" spans="13:13">
      <c r="M19485" s="202"/>
    </row>
    <row r="19486" spans="13:13">
      <c r="M19486" s="202"/>
    </row>
    <row r="19487" spans="13:13">
      <c r="M19487" s="202"/>
    </row>
    <row r="19488" spans="13:13">
      <c r="M19488" s="202"/>
    </row>
    <row r="19489" spans="13:13">
      <c r="M19489" s="202"/>
    </row>
    <row r="19490" spans="13:13">
      <c r="M19490" s="202"/>
    </row>
    <row r="19491" spans="13:13">
      <c r="M19491" s="202"/>
    </row>
    <row r="19492" spans="13:13">
      <c r="M19492" s="202"/>
    </row>
    <row r="19493" spans="13:13">
      <c r="M19493" s="202"/>
    </row>
    <row r="19494" spans="13:13">
      <c r="M19494" s="202"/>
    </row>
    <row r="19495" spans="13:13">
      <c r="M19495" s="202"/>
    </row>
    <row r="19496" spans="13:13">
      <c r="M19496" s="202"/>
    </row>
    <row r="19497" spans="13:13">
      <c r="M19497" s="202"/>
    </row>
    <row r="19498" spans="13:13">
      <c r="M19498" s="202"/>
    </row>
    <row r="19499" spans="13:13">
      <c r="M19499" s="202"/>
    </row>
    <row r="19500" spans="13:13">
      <c r="M19500" s="202"/>
    </row>
    <row r="19501" spans="13:13">
      <c r="M19501" s="202"/>
    </row>
    <row r="19502" spans="13:13">
      <c r="M19502" s="202"/>
    </row>
    <row r="19503" spans="13:13">
      <c r="M19503" s="202"/>
    </row>
    <row r="19504" spans="13:13">
      <c r="M19504" s="202"/>
    </row>
    <row r="19505" spans="13:13">
      <c r="M19505" s="202"/>
    </row>
    <row r="19506" spans="13:13">
      <c r="M19506" s="202"/>
    </row>
    <row r="19507" spans="13:13">
      <c r="M19507" s="202"/>
    </row>
    <row r="19508" spans="13:13">
      <c r="M19508" s="202"/>
    </row>
    <row r="19509" spans="13:13">
      <c r="M19509" s="202"/>
    </row>
    <row r="19510" spans="13:13">
      <c r="M19510" s="202"/>
    </row>
    <row r="19511" spans="13:13">
      <c r="M19511" s="202"/>
    </row>
    <row r="19512" spans="13:13">
      <c r="M19512" s="202"/>
    </row>
    <row r="19513" spans="13:13">
      <c r="M19513" s="202"/>
    </row>
    <row r="19514" spans="13:13">
      <c r="M19514" s="202"/>
    </row>
    <row r="19515" spans="13:13">
      <c r="M19515" s="202"/>
    </row>
    <row r="19516" spans="13:13">
      <c r="M19516" s="202"/>
    </row>
    <row r="19517" spans="13:13">
      <c r="M19517" s="202"/>
    </row>
    <row r="19518" spans="13:13">
      <c r="M19518" s="202"/>
    </row>
    <row r="19519" spans="13:13">
      <c r="M19519" s="202"/>
    </row>
    <row r="19520" spans="13:13">
      <c r="M19520" s="202"/>
    </row>
    <row r="19521" spans="13:13">
      <c r="M19521" s="202"/>
    </row>
    <row r="19522" spans="13:13">
      <c r="M19522" s="202"/>
    </row>
    <row r="19523" spans="13:13">
      <c r="M19523" s="202"/>
    </row>
    <row r="19524" spans="13:13">
      <c r="M19524" s="202"/>
    </row>
    <row r="19525" spans="13:13">
      <c r="M19525" s="202"/>
    </row>
    <row r="19526" spans="13:13">
      <c r="M19526" s="202"/>
    </row>
    <row r="19527" spans="13:13">
      <c r="M19527" s="202"/>
    </row>
    <row r="19528" spans="13:13">
      <c r="M19528" s="202"/>
    </row>
    <row r="19529" spans="13:13">
      <c r="M19529" s="202"/>
    </row>
    <row r="19530" spans="13:13">
      <c r="M19530" s="202"/>
    </row>
    <row r="19531" spans="13:13">
      <c r="M19531" s="202"/>
    </row>
    <row r="19532" spans="13:13">
      <c r="M19532" s="202"/>
    </row>
    <row r="19533" spans="13:13">
      <c r="M19533" s="202"/>
    </row>
    <row r="19534" spans="13:13">
      <c r="M19534" s="202"/>
    </row>
    <row r="19535" spans="13:13">
      <c r="M19535" s="202"/>
    </row>
    <row r="19536" spans="13:13">
      <c r="M19536" s="202"/>
    </row>
    <row r="19537" spans="13:13">
      <c r="M19537" s="202"/>
    </row>
    <row r="19538" spans="13:13">
      <c r="M19538" s="202"/>
    </row>
    <row r="19539" spans="13:13">
      <c r="M19539" s="202"/>
    </row>
    <row r="19540" spans="13:13">
      <c r="M19540" s="202"/>
    </row>
    <row r="19541" spans="13:13">
      <c r="M19541" s="202"/>
    </row>
    <row r="19542" spans="13:13">
      <c r="M19542" s="202"/>
    </row>
    <row r="19543" spans="13:13">
      <c r="M19543" s="202"/>
    </row>
    <row r="19544" spans="13:13">
      <c r="M19544" s="202"/>
    </row>
    <row r="19545" spans="13:13">
      <c r="M19545" s="202"/>
    </row>
    <row r="19546" spans="13:13">
      <c r="M19546" s="202"/>
    </row>
    <row r="19547" spans="13:13">
      <c r="M19547" s="202"/>
    </row>
    <row r="19548" spans="13:13">
      <c r="M19548" s="202"/>
    </row>
    <row r="19549" spans="13:13">
      <c r="M19549" s="202"/>
    </row>
    <row r="19550" spans="13:13">
      <c r="M19550" s="202"/>
    </row>
    <row r="19551" spans="13:13">
      <c r="M19551" s="202"/>
    </row>
    <row r="19552" spans="13:13">
      <c r="M19552" s="202"/>
    </row>
    <row r="19553" spans="13:13">
      <c r="M19553" s="202"/>
    </row>
    <row r="19554" spans="13:13">
      <c r="M19554" s="202"/>
    </row>
    <row r="19555" spans="13:13">
      <c r="M19555" s="202"/>
    </row>
    <row r="19556" spans="13:13">
      <c r="M19556" s="202"/>
    </row>
    <row r="19557" spans="13:13">
      <c r="M19557" s="202"/>
    </row>
    <row r="19558" spans="13:13">
      <c r="M19558" s="202"/>
    </row>
    <row r="19559" spans="13:13">
      <c r="M19559" s="202"/>
    </row>
    <row r="19560" spans="13:13">
      <c r="M19560" s="202"/>
    </row>
    <row r="19561" spans="13:13">
      <c r="M19561" s="202"/>
    </row>
    <row r="19562" spans="13:13">
      <c r="M19562" s="202"/>
    </row>
    <row r="19563" spans="13:13">
      <c r="M19563" s="202"/>
    </row>
    <row r="19564" spans="13:13">
      <c r="M19564" s="202"/>
    </row>
    <row r="19565" spans="13:13">
      <c r="M19565" s="202"/>
    </row>
    <row r="19566" spans="13:13">
      <c r="M19566" s="202"/>
    </row>
    <row r="19567" spans="13:13">
      <c r="M19567" s="202"/>
    </row>
    <row r="19568" spans="13:13">
      <c r="M19568" s="202"/>
    </row>
    <row r="19569" spans="13:13">
      <c r="M19569" s="202"/>
    </row>
    <row r="19570" spans="13:13">
      <c r="M19570" s="202"/>
    </row>
    <row r="19571" spans="13:13">
      <c r="M19571" s="202"/>
    </row>
    <row r="19572" spans="13:13">
      <c r="M19572" s="202"/>
    </row>
    <row r="19573" spans="13:13">
      <c r="M19573" s="202"/>
    </row>
    <row r="19574" spans="13:13">
      <c r="M19574" s="202"/>
    </row>
    <row r="19575" spans="13:13">
      <c r="M19575" s="202"/>
    </row>
    <row r="19576" spans="13:13">
      <c r="M19576" s="202"/>
    </row>
    <row r="19577" spans="13:13">
      <c r="M19577" s="202"/>
    </row>
    <row r="19578" spans="13:13">
      <c r="M19578" s="202"/>
    </row>
    <row r="19579" spans="13:13">
      <c r="M19579" s="202"/>
    </row>
    <row r="19580" spans="13:13">
      <c r="M19580" s="202"/>
    </row>
    <row r="19581" spans="13:13">
      <c r="M19581" s="202"/>
    </row>
    <row r="19582" spans="13:13">
      <c r="M19582" s="202"/>
    </row>
    <row r="19583" spans="13:13">
      <c r="M19583" s="202"/>
    </row>
    <row r="19584" spans="13:13">
      <c r="M19584" s="202"/>
    </row>
    <row r="19585" spans="13:13">
      <c r="M19585" s="202"/>
    </row>
    <row r="19586" spans="13:13">
      <c r="M19586" s="202"/>
    </row>
    <row r="19587" spans="13:13">
      <c r="M19587" s="202"/>
    </row>
    <row r="19588" spans="13:13">
      <c r="M19588" s="202"/>
    </row>
    <row r="19589" spans="13:13">
      <c r="M19589" s="202"/>
    </row>
    <row r="19590" spans="13:13">
      <c r="M19590" s="202"/>
    </row>
    <row r="19591" spans="13:13">
      <c r="M19591" s="202"/>
    </row>
    <row r="19592" spans="13:13">
      <c r="M19592" s="202"/>
    </row>
    <row r="19593" spans="13:13">
      <c r="M19593" s="202"/>
    </row>
    <row r="19594" spans="13:13">
      <c r="M19594" s="202"/>
    </row>
    <row r="19595" spans="13:13">
      <c r="M19595" s="202"/>
    </row>
    <row r="19596" spans="13:13">
      <c r="M19596" s="202"/>
    </row>
    <row r="19597" spans="13:13">
      <c r="M19597" s="202"/>
    </row>
    <row r="19598" spans="13:13">
      <c r="M19598" s="202"/>
    </row>
    <row r="19599" spans="13:13">
      <c r="M19599" s="202"/>
    </row>
    <row r="19600" spans="13:13">
      <c r="M19600" s="202"/>
    </row>
    <row r="19601" spans="13:13">
      <c r="M19601" s="202"/>
    </row>
    <row r="19602" spans="13:13">
      <c r="M19602" s="202"/>
    </row>
    <row r="19603" spans="13:13">
      <c r="M19603" s="202"/>
    </row>
    <row r="19604" spans="13:13">
      <c r="M19604" s="202"/>
    </row>
    <row r="19605" spans="13:13">
      <c r="M19605" s="202"/>
    </row>
    <row r="19606" spans="13:13">
      <c r="M19606" s="202"/>
    </row>
    <row r="19607" spans="13:13">
      <c r="M19607" s="202"/>
    </row>
    <row r="19608" spans="13:13">
      <c r="M19608" s="202"/>
    </row>
    <row r="19609" spans="13:13">
      <c r="M19609" s="202"/>
    </row>
    <row r="19610" spans="13:13">
      <c r="M19610" s="202"/>
    </row>
    <row r="19611" spans="13:13">
      <c r="M19611" s="202"/>
    </row>
    <row r="19612" spans="13:13">
      <c r="M19612" s="202"/>
    </row>
    <row r="19613" spans="13:13">
      <c r="M19613" s="202"/>
    </row>
    <row r="19614" spans="13:13">
      <c r="M19614" s="202"/>
    </row>
    <row r="19615" spans="13:13">
      <c r="M19615" s="202"/>
    </row>
    <row r="19616" spans="13:13">
      <c r="M19616" s="202"/>
    </row>
    <row r="19617" spans="13:13">
      <c r="M19617" s="202"/>
    </row>
    <row r="19618" spans="13:13">
      <c r="M19618" s="202"/>
    </row>
    <row r="19619" spans="13:13">
      <c r="M19619" s="202"/>
    </row>
    <row r="19620" spans="13:13">
      <c r="M19620" s="202"/>
    </row>
    <row r="19621" spans="13:13">
      <c r="M19621" s="202"/>
    </row>
    <row r="19622" spans="13:13">
      <c r="M19622" s="202"/>
    </row>
    <row r="19623" spans="13:13">
      <c r="M19623" s="202"/>
    </row>
    <row r="19624" spans="13:13">
      <c r="M19624" s="202"/>
    </row>
    <row r="19625" spans="13:13">
      <c r="M19625" s="202"/>
    </row>
    <row r="19626" spans="13:13">
      <c r="M19626" s="202"/>
    </row>
    <row r="19627" spans="13:13">
      <c r="M19627" s="202"/>
    </row>
    <row r="19628" spans="13:13">
      <c r="M19628" s="202"/>
    </row>
    <row r="19629" spans="13:13">
      <c r="M19629" s="202"/>
    </row>
    <row r="19630" spans="13:13">
      <c r="M19630" s="202"/>
    </row>
    <row r="19631" spans="13:13">
      <c r="M19631" s="202"/>
    </row>
    <row r="19632" spans="13:13">
      <c r="M19632" s="202"/>
    </row>
    <row r="19633" spans="13:13">
      <c r="M19633" s="202"/>
    </row>
    <row r="19634" spans="13:13">
      <c r="M19634" s="202"/>
    </row>
    <row r="19635" spans="13:13">
      <c r="M19635" s="202"/>
    </row>
    <row r="19636" spans="13:13">
      <c r="M19636" s="202"/>
    </row>
    <row r="19637" spans="13:13">
      <c r="M19637" s="202"/>
    </row>
    <row r="19638" spans="13:13">
      <c r="M19638" s="202"/>
    </row>
    <row r="19639" spans="13:13">
      <c r="M19639" s="202"/>
    </row>
    <row r="19640" spans="13:13">
      <c r="M19640" s="202"/>
    </row>
    <row r="19641" spans="13:13">
      <c r="M19641" s="202"/>
    </row>
    <row r="19642" spans="13:13">
      <c r="M19642" s="202"/>
    </row>
    <row r="19643" spans="13:13">
      <c r="M19643" s="202"/>
    </row>
    <row r="19644" spans="13:13">
      <c r="M19644" s="202"/>
    </row>
    <row r="19645" spans="13:13">
      <c r="M19645" s="202"/>
    </row>
    <row r="19646" spans="13:13">
      <c r="M19646" s="202"/>
    </row>
    <row r="19647" spans="13:13">
      <c r="M19647" s="202"/>
    </row>
    <row r="19648" spans="13:13">
      <c r="M19648" s="202"/>
    </row>
    <row r="19649" spans="13:13">
      <c r="M19649" s="202"/>
    </row>
    <row r="19650" spans="13:13">
      <c r="M19650" s="202"/>
    </row>
    <row r="19651" spans="13:13">
      <c r="M19651" s="202"/>
    </row>
    <row r="19652" spans="13:13">
      <c r="M19652" s="202"/>
    </row>
    <row r="19653" spans="13:13">
      <c r="M19653" s="202"/>
    </row>
    <row r="19654" spans="13:13">
      <c r="M19654" s="202"/>
    </row>
    <row r="19655" spans="13:13">
      <c r="M19655" s="202"/>
    </row>
    <row r="19656" spans="13:13">
      <c r="M19656" s="202"/>
    </row>
    <row r="19657" spans="13:13">
      <c r="M19657" s="202"/>
    </row>
    <row r="19658" spans="13:13">
      <c r="M19658" s="202"/>
    </row>
    <row r="19659" spans="13:13">
      <c r="M19659" s="202"/>
    </row>
    <row r="19660" spans="13:13">
      <c r="M19660" s="202"/>
    </row>
    <row r="19661" spans="13:13">
      <c r="M19661" s="202"/>
    </row>
    <row r="19662" spans="13:13">
      <c r="M19662" s="202"/>
    </row>
    <row r="19663" spans="13:13">
      <c r="M19663" s="202"/>
    </row>
    <row r="19664" spans="13:13">
      <c r="M19664" s="202"/>
    </row>
    <row r="19665" spans="13:13">
      <c r="M19665" s="202"/>
    </row>
    <row r="19666" spans="13:13">
      <c r="M19666" s="202"/>
    </row>
    <row r="19667" spans="13:13">
      <c r="M19667" s="202"/>
    </row>
    <row r="19668" spans="13:13">
      <c r="M19668" s="202"/>
    </row>
    <row r="19669" spans="13:13">
      <c r="M19669" s="202"/>
    </row>
    <row r="19670" spans="13:13">
      <c r="M19670" s="202"/>
    </row>
    <row r="19671" spans="13:13">
      <c r="M19671" s="202"/>
    </row>
    <row r="19672" spans="13:13">
      <c r="M19672" s="202"/>
    </row>
    <row r="19673" spans="13:13">
      <c r="M19673" s="202"/>
    </row>
    <row r="19674" spans="13:13">
      <c r="M19674" s="202"/>
    </row>
    <row r="19675" spans="13:13">
      <c r="M19675" s="202"/>
    </row>
    <row r="19676" spans="13:13">
      <c r="M19676" s="202"/>
    </row>
    <row r="19677" spans="13:13">
      <c r="M19677" s="202"/>
    </row>
    <row r="19678" spans="13:13">
      <c r="M19678" s="202"/>
    </row>
    <row r="19679" spans="13:13">
      <c r="M19679" s="202"/>
    </row>
    <row r="19680" spans="13:13">
      <c r="M19680" s="202"/>
    </row>
    <row r="19681" spans="13:13">
      <c r="M19681" s="202"/>
    </row>
    <row r="19682" spans="13:13">
      <c r="M19682" s="202"/>
    </row>
    <row r="19683" spans="13:13">
      <c r="M19683" s="202"/>
    </row>
    <row r="19684" spans="13:13">
      <c r="M19684" s="202"/>
    </row>
    <row r="19685" spans="13:13">
      <c r="M19685" s="202"/>
    </row>
    <row r="19686" spans="13:13">
      <c r="M19686" s="202"/>
    </row>
    <row r="19687" spans="13:13">
      <c r="M19687" s="202"/>
    </row>
    <row r="19688" spans="13:13">
      <c r="M19688" s="202"/>
    </row>
    <row r="19689" spans="13:13">
      <c r="M19689" s="202"/>
    </row>
    <row r="19690" spans="13:13">
      <c r="M19690" s="202"/>
    </row>
    <row r="19691" spans="13:13">
      <c r="M19691" s="202"/>
    </row>
    <row r="19692" spans="13:13">
      <c r="M19692" s="202"/>
    </row>
    <row r="19693" spans="13:13">
      <c r="M19693" s="202"/>
    </row>
    <row r="19694" spans="13:13">
      <c r="M19694" s="202"/>
    </row>
    <row r="19695" spans="13:13">
      <c r="M19695" s="202"/>
    </row>
    <row r="19696" spans="13:13">
      <c r="M19696" s="202"/>
    </row>
    <row r="19697" spans="13:13">
      <c r="M19697" s="202"/>
    </row>
    <row r="19698" spans="13:13">
      <c r="M19698" s="202"/>
    </row>
    <row r="19699" spans="13:13">
      <c r="M19699" s="202"/>
    </row>
    <row r="19700" spans="13:13">
      <c r="M19700" s="202"/>
    </row>
    <row r="19701" spans="13:13">
      <c r="M19701" s="202"/>
    </row>
    <row r="19702" spans="13:13">
      <c r="M19702" s="202"/>
    </row>
    <row r="19703" spans="13:13">
      <c r="M19703" s="202"/>
    </row>
    <row r="19704" spans="13:13">
      <c r="M19704" s="202"/>
    </row>
    <row r="19705" spans="13:13">
      <c r="M19705" s="202"/>
    </row>
    <row r="19706" spans="13:13">
      <c r="M19706" s="202"/>
    </row>
    <row r="19707" spans="13:13">
      <c r="M19707" s="202"/>
    </row>
    <row r="19708" spans="13:13">
      <c r="M19708" s="202"/>
    </row>
    <row r="19709" spans="13:13">
      <c r="M19709" s="202"/>
    </row>
    <row r="19710" spans="13:13">
      <c r="M19710" s="202"/>
    </row>
    <row r="19711" spans="13:13">
      <c r="M19711" s="202"/>
    </row>
    <row r="19712" spans="13:13">
      <c r="M19712" s="202"/>
    </row>
    <row r="19713" spans="13:13">
      <c r="M19713" s="202"/>
    </row>
    <row r="19714" spans="13:13">
      <c r="M19714" s="202"/>
    </row>
    <row r="19715" spans="13:13">
      <c r="M19715" s="202"/>
    </row>
    <row r="19716" spans="13:13">
      <c r="M19716" s="202"/>
    </row>
    <row r="19717" spans="13:13">
      <c r="M19717" s="202"/>
    </row>
    <row r="19718" spans="13:13">
      <c r="M19718" s="202"/>
    </row>
    <row r="19719" spans="13:13">
      <c r="M19719" s="202"/>
    </row>
    <row r="19720" spans="13:13">
      <c r="M19720" s="202"/>
    </row>
    <row r="19721" spans="13:13">
      <c r="M19721" s="202"/>
    </row>
    <row r="19722" spans="13:13">
      <c r="M19722" s="202"/>
    </row>
    <row r="19723" spans="13:13">
      <c r="M19723" s="202"/>
    </row>
    <row r="19724" spans="13:13">
      <c r="M19724" s="202"/>
    </row>
    <row r="19725" spans="13:13">
      <c r="M19725" s="202"/>
    </row>
    <row r="19726" spans="13:13">
      <c r="M19726" s="202"/>
    </row>
    <row r="19727" spans="13:13">
      <c r="M19727" s="202"/>
    </row>
    <row r="19728" spans="13:13">
      <c r="M19728" s="202"/>
    </row>
    <row r="19729" spans="13:13">
      <c r="M19729" s="202"/>
    </row>
    <row r="19730" spans="13:13">
      <c r="M19730" s="202"/>
    </row>
    <row r="19731" spans="13:13">
      <c r="M19731" s="202"/>
    </row>
    <row r="19732" spans="13:13">
      <c r="M19732" s="202"/>
    </row>
    <row r="19733" spans="13:13">
      <c r="M19733" s="202"/>
    </row>
    <row r="19734" spans="13:13">
      <c r="M19734" s="202"/>
    </row>
    <row r="19735" spans="13:13">
      <c r="M19735" s="202"/>
    </row>
    <row r="19736" spans="13:13">
      <c r="M19736" s="202"/>
    </row>
    <row r="19737" spans="13:13">
      <c r="M19737" s="202"/>
    </row>
    <row r="19738" spans="13:13">
      <c r="M19738" s="202"/>
    </row>
    <row r="19739" spans="13:13">
      <c r="M19739" s="202"/>
    </row>
    <row r="19740" spans="13:13">
      <c r="M19740" s="202"/>
    </row>
    <row r="19741" spans="13:13">
      <c r="M19741" s="202"/>
    </row>
    <row r="19742" spans="13:13">
      <c r="M19742" s="202"/>
    </row>
    <row r="19743" spans="13:13">
      <c r="M19743" s="202"/>
    </row>
    <row r="19744" spans="13:13">
      <c r="M19744" s="202"/>
    </row>
    <row r="19745" spans="13:13">
      <c r="M19745" s="202"/>
    </row>
    <row r="19746" spans="13:13">
      <c r="M19746" s="202"/>
    </row>
    <row r="19747" spans="13:13">
      <c r="M19747" s="202"/>
    </row>
    <row r="19748" spans="13:13">
      <c r="M19748" s="202"/>
    </row>
    <row r="19749" spans="13:13">
      <c r="M19749" s="202"/>
    </row>
    <row r="19750" spans="13:13">
      <c r="M19750" s="202"/>
    </row>
    <row r="19751" spans="13:13">
      <c r="M19751" s="202"/>
    </row>
    <row r="19752" spans="13:13">
      <c r="M19752" s="202"/>
    </row>
    <row r="19753" spans="13:13">
      <c r="M19753" s="202"/>
    </row>
    <row r="19754" spans="13:13">
      <c r="M19754" s="202"/>
    </row>
    <row r="19755" spans="13:13">
      <c r="M19755" s="202"/>
    </row>
    <row r="19756" spans="13:13">
      <c r="M19756" s="202"/>
    </row>
    <row r="19757" spans="13:13">
      <c r="M19757" s="202"/>
    </row>
    <row r="19758" spans="13:13">
      <c r="M19758" s="202"/>
    </row>
    <row r="19759" spans="13:13">
      <c r="M19759" s="202"/>
    </row>
    <row r="19760" spans="13:13">
      <c r="M19760" s="202"/>
    </row>
    <row r="19761" spans="13:13">
      <c r="M19761" s="202"/>
    </row>
    <row r="19762" spans="13:13">
      <c r="M19762" s="202"/>
    </row>
    <row r="19763" spans="13:13">
      <c r="M19763" s="202"/>
    </row>
    <row r="19764" spans="13:13">
      <c r="M19764" s="202"/>
    </row>
    <row r="19765" spans="13:13">
      <c r="M19765" s="202"/>
    </row>
    <row r="19766" spans="13:13">
      <c r="M19766" s="202"/>
    </row>
    <row r="19767" spans="13:13">
      <c r="M19767" s="202"/>
    </row>
    <row r="19768" spans="13:13">
      <c r="M19768" s="202"/>
    </row>
    <row r="19769" spans="13:13">
      <c r="M19769" s="202"/>
    </row>
    <row r="19770" spans="13:13">
      <c r="M19770" s="202"/>
    </row>
    <row r="19771" spans="13:13">
      <c r="M19771" s="202"/>
    </row>
    <row r="19772" spans="13:13">
      <c r="M19772" s="202"/>
    </row>
    <row r="19773" spans="13:13">
      <c r="M19773" s="202"/>
    </row>
    <row r="19774" spans="13:13">
      <c r="M19774" s="202"/>
    </row>
    <row r="19775" spans="13:13">
      <c r="M19775" s="202"/>
    </row>
    <row r="19776" spans="13:13">
      <c r="M19776" s="202"/>
    </row>
    <row r="19777" spans="13:13">
      <c r="M19777" s="202"/>
    </row>
    <row r="19778" spans="13:13">
      <c r="M19778" s="202"/>
    </row>
    <row r="19779" spans="13:13">
      <c r="M19779" s="202"/>
    </row>
    <row r="19780" spans="13:13">
      <c r="M19780" s="202"/>
    </row>
    <row r="19781" spans="13:13">
      <c r="M19781" s="202"/>
    </row>
    <row r="19782" spans="13:13">
      <c r="M19782" s="202"/>
    </row>
    <row r="19783" spans="13:13">
      <c r="M19783" s="202"/>
    </row>
    <row r="19784" spans="13:13">
      <c r="M19784" s="202"/>
    </row>
    <row r="19785" spans="13:13">
      <c r="M19785" s="202"/>
    </row>
    <row r="19786" spans="13:13">
      <c r="M19786" s="202"/>
    </row>
    <row r="19787" spans="13:13">
      <c r="M19787" s="202"/>
    </row>
    <row r="19788" spans="13:13">
      <c r="M19788" s="202"/>
    </row>
    <row r="19789" spans="13:13">
      <c r="M19789" s="202"/>
    </row>
    <row r="19790" spans="13:13">
      <c r="M19790" s="202"/>
    </row>
    <row r="19791" spans="13:13">
      <c r="M19791" s="202"/>
    </row>
    <row r="19792" spans="13:13">
      <c r="M19792" s="202"/>
    </row>
    <row r="19793" spans="13:13">
      <c r="M19793" s="202"/>
    </row>
    <row r="19794" spans="13:13">
      <c r="M19794" s="202"/>
    </row>
    <row r="19795" spans="13:13">
      <c r="M19795" s="202"/>
    </row>
    <row r="19796" spans="13:13">
      <c r="M19796" s="202"/>
    </row>
    <row r="19797" spans="13:13">
      <c r="M19797" s="202"/>
    </row>
    <row r="19798" spans="13:13">
      <c r="M19798" s="202"/>
    </row>
    <row r="19799" spans="13:13">
      <c r="M19799" s="202"/>
    </row>
    <row r="19800" spans="13:13">
      <c r="M19800" s="202"/>
    </row>
    <row r="19801" spans="13:13">
      <c r="M19801" s="202"/>
    </row>
    <row r="19802" spans="13:13">
      <c r="M19802" s="202"/>
    </row>
    <row r="19803" spans="13:13">
      <c r="M19803" s="202"/>
    </row>
    <row r="19804" spans="13:13">
      <c r="M19804" s="202"/>
    </row>
    <row r="19805" spans="13:13">
      <c r="M19805" s="202"/>
    </row>
    <row r="19806" spans="13:13">
      <c r="M19806" s="202"/>
    </row>
    <row r="19807" spans="13:13">
      <c r="M19807" s="202"/>
    </row>
    <row r="19808" spans="13:13">
      <c r="M19808" s="202"/>
    </row>
    <row r="19809" spans="13:13">
      <c r="M19809" s="202"/>
    </row>
    <row r="19810" spans="13:13">
      <c r="M19810" s="202"/>
    </row>
    <row r="19811" spans="13:13">
      <c r="M19811" s="202"/>
    </row>
    <row r="19812" spans="13:13">
      <c r="M19812" s="202"/>
    </row>
    <row r="19813" spans="13:13">
      <c r="M19813" s="202"/>
    </row>
    <row r="19814" spans="13:13">
      <c r="M19814" s="202"/>
    </row>
    <row r="19815" spans="13:13">
      <c r="M19815" s="202"/>
    </row>
    <row r="19816" spans="13:13">
      <c r="M19816" s="202"/>
    </row>
    <row r="19817" spans="13:13">
      <c r="M19817" s="202"/>
    </row>
    <row r="19818" spans="13:13">
      <c r="M19818" s="202"/>
    </row>
    <row r="19819" spans="13:13">
      <c r="M19819" s="202"/>
    </row>
    <row r="19820" spans="13:13">
      <c r="M19820" s="202"/>
    </row>
    <row r="19821" spans="13:13">
      <c r="M19821" s="202"/>
    </row>
    <row r="19822" spans="13:13">
      <c r="M19822" s="202"/>
    </row>
    <row r="19823" spans="13:13">
      <c r="M19823" s="202"/>
    </row>
    <row r="19824" spans="13:13">
      <c r="M19824" s="202"/>
    </row>
    <row r="19825" spans="13:13">
      <c r="M19825" s="202"/>
    </row>
    <row r="19826" spans="13:13">
      <c r="M19826" s="202"/>
    </row>
    <row r="19827" spans="13:13">
      <c r="M19827" s="202"/>
    </row>
    <row r="19828" spans="13:13">
      <c r="M19828" s="202"/>
    </row>
    <row r="19829" spans="13:13">
      <c r="M19829" s="202"/>
    </row>
    <row r="19830" spans="13:13">
      <c r="M19830" s="202"/>
    </row>
    <row r="19831" spans="13:13">
      <c r="M19831" s="202"/>
    </row>
    <row r="19832" spans="13:13">
      <c r="M19832" s="202"/>
    </row>
    <row r="19833" spans="13:13">
      <c r="M19833" s="202"/>
    </row>
    <row r="19834" spans="13:13">
      <c r="M19834" s="202"/>
    </row>
    <row r="19835" spans="13:13">
      <c r="M19835" s="202"/>
    </row>
    <row r="19836" spans="13:13">
      <c r="M19836" s="202"/>
    </row>
    <row r="19837" spans="13:13">
      <c r="M19837" s="202"/>
    </row>
    <row r="19838" spans="13:13">
      <c r="M19838" s="202"/>
    </row>
    <row r="19839" spans="13:13">
      <c r="M19839" s="202"/>
    </row>
    <row r="19840" spans="13:13">
      <c r="M19840" s="202"/>
    </row>
    <row r="19841" spans="13:13">
      <c r="M19841" s="202"/>
    </row>
    <row r="19842" spans="13:13">
      <c r="M19842" s="202"/>
    </row>
    <row r="19843" spans="13:13">
      <c r="M19843" s="202"/>
    </row>
    <row r="19844" spans="13:13">
      <c r="M19844" s="202"/>
    </row>
    <row r="19845" spans="13:13">
      <c r="M19845" s="202"/>
    </row>
    <row r="19846" spans="13:13">
      <c r="M19846" s="202"/>
    </row>
    <row r="19847" spans="13:13">
      <c r="M19847" s="202"/>
    </row>
    <row r="19848" spans="13:13">
      <c r="M19848" s="202"/>
    </row>
    <row r="19849" spans="13:13">
      <c r="M19849" s="202"/>
    </row>
    <row r="19850" spans="13:13">
      <c r="M19850" s="202"/>
    </row>
    <row r="19851" spans="13:13">
      <c r="M19851" s="202"/>
    </row>
    <row r="19852" spans="13:13">
      <c r="M19852" s="202"/>
    </row>
    <row r="19853" spans="13:13">
      <c r="M19853" s="202"/>
    </row>
    <row r="19854" spans="13:13">
      <c r="M19854" s="202"/>
    </row>
    <row r="19855" spans="13:13">
      <c r="M19855" s="202"/>
    </row>
    <row r="19856" spans="13:13">
      <c r="M19856" s="202"/>
    </row>
    <row r="19857" spans="13:13">
      <c r="M19857" s="202"/>
    </row>
    <row r="19858" spans="13:13">
      <c r="M19858" s="202"/>
    </row>
    <row r="19859" spans="13:13">
      <c r="M19859" s="202"/>
    </row>
    <row r="19860" spans="13:13">
      <c r="M19860" s="202"/>
    </row>
    <row r="19861" spans="13:13">
      <c r="M19861" s="202"/>
    </row>
    <row r="19862" spans="13:13">
      <c r="M19862" s="202"/>
    </row>
    <row r="19863" spans="13:13">
      <c r="M19863" s="202"/>
    </row>
    <row r="19864" spans="13:13">
      <c r="M19864" s="202"/>
    </row>
    <row r="19865" spans="13:13">
      <c r="M19865" s="202"/>
    </row>
    <row r="19866" spans="13:13">
      <c r="M19866" s="202"/>
    </row>
    <row r="19867" spans="13:13">
      <c r="M19867" s="202"/>
    </row>
    <row r="19868" spans="13:13">
      <c r="M19868" s="202"/>
    </row>
    <row r="19869" spans="13:13">
      <c r="M19869" s="202"/>
    </row>
    <row r="19870" spans="13:13">
      <c r="M19870" s="202"/>
    </row>
    <row r="19871" spans="13:13">
      <c r="M19871" s="202"/>
    </row>
    <row r="19872" spans="13:13">
      <c r="M19872" s="202"/>
    </row>
    <row r="19873" spans="13:13">
      <c r="M19873" s="202"/>
    </row>
    <row r="19874" spans="13:13">
      <c r="M19874" s="202"/>
    </row>
    <row r="19875" spans="13:13">
      <c r="M19875" s="202"/>
    </row>
    <row r="19876" spans="13:13">
      <c r="M19876" s="202"/>
    </row>
    <row r="19877" spans="13:13">
      <c r="M19877" s="202"/>
    </row>
    <row r="19878" spans="13:13">
      <c r="M19878" s="202"/>
    </row>
    <row r="19879" spans="13:13">
      <c r="M19879" s="202"/>
    </row>
    <row r="19880" spans="13:13">
      <c r="M19880" s="202"/>
    </row>
    <row r="19881" spans="13:13">
      <c r="M19881" s="202"/>
    </row>
    <row r="19882" spans="13:13">
      <c r="M19882" s="202"/>
    </row>
    <row r="19883" spans="13:13">
      <c r="M19883" s="202"/>
    </row>
    <row r="19884" spans="13:13">
      <c r="M19884" s="202"/>
    </row>
    <row r="19885" spans="13:13">
      <c r="M19885" s="202"/>
    </row>
    <row r="19886" spans="13:13">
      <c r="M19886" s="202"/>
    </row>
    <row r="19887" spans="13:13">
      <c r="M19887" s="202"/>
    </row>
    <row r="19888" spans="13:13">
      <c r="M19888" s="202"/>
    </row>
    <row r="19889" spans="13:13">
      <c r="M19889" s="202"/>
    </row>
    <row r="19890" spans="13:13">
      <c r="M19890" s="202"/>
    </row>
    <row r="19891" spans="13:13">
      <c r="M19891" s="202"/>
    </row>
    <row r="19892" spans="13:13">
      <c r="M19892" s="202"/>
    </row>
    <row r="19893" spans="13:13">
      <c r="M19893" s="202"/>
    </row>
    <row r="19894" spans="13:13">
      <c r="M19894" s="202"/>
    </row>
    <row r="19895" spans="13:13">
      <c r="M19895" s="202"/>
    </row>
    <row r="19896" spans="13:13">
      <c r="M19896" s="202"/>
    </row>
    <row r="19897" spans="13:13">
      <c r="M19897" s="202"/>
    </row>
    <row r="19898" spans="13:13">
      <c r="M19898" s="202"/>
    </row>
    <row r="19899" spans="13:13">
      <c r="M19899" s="202"/>
    </row>
    <row r="19900" spans="13:13">
      <c r="M19900" s="202"/>
    </row>
    <row r="19901" spans="13:13">
      <c r="M19901" s="202"/>
    </row>
    <row r="19902" spans="13:13">
      <c r="M19902" s="202"/>
    </row>
    <row r="19903" spans="13:13">
      <c r="M19903" s="202"/>
    </row>
    <row r="19904" spans="13:13">
      <c r="M19904" s="202"/>
    </row>
    <row r="19905" spans="13:13">
      <c r="M19905" s="202"/>
    </row>
    <row r="19906" spans="13:13">
      <c r="M19906" s="202"/>
    </row>
    <row r="19907" spans="13:13">
      <c r="M19907" s="202"/>
    </row>
    <row r="19908" spans="13:13">
      <c r="M19908" s="202"/>
    </row>
    <row r="19909" spans="13:13">
      <c r="M19909" s="202"/>
    </row>
    <row r="19910" spans="13:13">
      <c r="M19910" s="202"/>
    </row>
    <row r="19911" spans="13:13">
      <c r="M19911" s="202"/>
    </row>
    <row r="19912" spans="13:13">
      <c r="M19912" s="202"/>
    </row>
    <row r="19913" spans="13:13">
      <c r="M19913" s="202"/>
    </row>
    <row r="19914" spans="13:13">
      <c r="M19914" s="202"/>
    </row>
    <row r="19915" spans="13:13">
      <c r="M19915" s="202"/>
    </row>
    <row r="19916" spans="13:13">
      <c r="M19916" s="202"/>
    </row>
    <row r="19917" spans="13:13">
      <c r="M19917" s="202"/>
    </row>
    <row r="19918" spans="13:13">
      <c r="M19918" s="202"/>
    </row>
    <row r="19919" spans="13:13">
      <c r="M19919" s="202"/>
    </row>
    <row r="19920" spans="13:13">
      <c r="M19920" s="202"/>
    </row>
    <row r="19921" spans="13:13">
      <c r="M19921" s="202"/>
    </row>
    <row r="19922" spans="13:13">
      <c r="M19922" s="202"/>
    </row>
    <row r="19923" spans="13:13">
      <c r="M19923" s="202"/>
    </row>
    <row r="19924" spans="13:13">
      <c r="M19924" s="202"/>
    </row>
    <row r="19925" spans="13:13">
      <c r="M19925" s="202"/>
    </row>
    <row r="19926" spans="13:13">
      <c r="M19926" s="202"/>
    </row>
    <row r="19927" spans="13:13">
      <c r="M19927" s="202"/>
    </row>
    <row r="19928" spans="13:13">
      <c r="M19928" s="202"/>
    </row>
    <row r="19929" spans="13:13">
      <c r="M19929" s="202"/>
    </row>
    <row r="19930" spans="13:13">
      <c r="M19930" s="202"/>
    </row>
    <row r="19931" spans="13:13">
      <c r="M19931" s="202"/>
    </row>
    <row r="19932" spans="13:13">
      <c r="M19932" s="202"/>
    </row>
    <row r="19933" spans="13:13">
      <c r="M19933" s="202"/>
    </row>
    <row r="19934" spans="13:13">
      <c r="M19934" s="202"/>
    </row>
    <row r="19935" spans="13:13">
      <c r="M19935" s="202"/>
    </row>
    <row r="19936" spans="13:13">
      <c r="M19936" s="202"/>
    </row>
    <row r="19937" spans="13:13">
      <c r="M19937" s="202"/>
    </row>
    <row r="19938" spans="13:13">
      <c r="M19938" s="202"/>
    </row>
    <row r="19939" spans="13:13">
      <c r="M19939" s="202"/>
    </row>
    <row r="19940" spans="13:13">
      <c r="M19940" s="202"/>
    </row>
    <row r="19941" spans="13:13">
      <c r="M19941" s="202"/>
    </row>
    <row r="19942" spans="13:13">
      <c r="M19942" s="202"/>
    </row>
    <row r="19943" spans="13:13">
      <c r="M19943" s="202"/>
    </row>
    <row r="19944" spans="13:13">
      <c r="M19944" s="202"/>
    </row>
    <row r="19945" spans="13:13">
      <c r="M19945" s="202"/>
    </row>
    <row r="19946" spans="13:13">
      <c r="M19946" s="202"/>
    </row>
    <row r="19947" spans="13:13">
      <c r="M19947" s="202"/>
    </row>
    <row r="19948" spans="13:13">
      <c r="M19948" s="202"/>
    </row>
    <row r="19949" spans="13:13">
      <c r="M19949" s="202"/>
    </row>
    <row r="19950" spans="13:13">
      <c r="M19950" s="202"/>
    </row>
    <row r="19951" spans="13:13">
      <c r="M19951" s="202"/>
    </row>
    <row r="19952" spans="13:13">
      <c r="M19952" s="202"/>
    </row>
    <row r="19953" spans="13:13">
      <c r="M19953" s="202"/>
    </row>
    <row r="19954" spans="13:13">
      <c r="M19954" s="202"/>
    </row>
    <row r="19955" spans="13:13">
      <c r="M19955" s="202"/>
    </row>
    <row r="19956" spans="13:13">
      <c r="M19956" s="202"/>
    </row>
    <row r="19957" spans="13:13">
      <c r="M19957" s="202"/>
    </row>
    <row r="19958" spans="13:13">
      <c r="M19958" s="202"/>
    </row>
    <row r="19959" spans="13:13">
      <c r="M19959" s="202"/>
    </row>
    <row r="19960" spans="13:13">
      <c r="M19960" s="202"/>
    </row>
    <row r="19961" spans="13:13">
      <c r="M19961" s="202"/>
    </row>
    <row r="19962" spans="13:13">
      <c r="M19962" s="202"/>
    </row>
    <row r="19963" spans="13:13">
      <c r="M19963" s="202"/>
    </row>
    <row r="19964" spans="13:13">
      <c r="M19964" s="202"/>
    </row>
    <row r="19965" spans="13:13">
      <c r="M19965" s="202"/>
    </row>
    <row r="19966" spans="13:13">
      <c r="M19966" s="202"/>
    </row>
    <row r="19967" spans="13:13">
      <c r="M19967" s="202"/>
    </row>
    <row r="19968" spans="13:13">
      <c r="M19968" s="202"/>
    </row>
    <row r="19969" spans="13:13">
      <c r="M19969" s="202"/>
    </row>
    <row r="19970" spans="13:13">
      <c r="M19970" s="202"/>
    </row>
    <row r="19971" spans="13:13">
      <c r="M19971" s="202"/>
    </row>
    <row r="19972" spans="13:13">
      <c r="M19972" s="202"/>
    </row>
    <row r="19973" spans="13:13">
      <c r="M19973" s="202"/>
    </row>
    <row r="19974" spans="13:13">
      <c r="M19974" s="202"/>
    </row>
    <row r="19975" spans="13:13">
      <c r="M19975" s="202"/>
    </row>
    <row r="19976" spans="13:13">
      <c r="M19976" s="202"/>
    </row>
    <row r="19977" spans="13:13">
      <c r="M19977" s="202"/>
    </row>
    <row r="19978" spans="13:13">
      <c r="M19978" s="202"/>
    </row>
    <row r="19979" spans="13:13">
      <c r="M19979" s="202"/>
    </row>
    <row r="19980" spans="13:13">
      <c r="M19980" s="202"/>
    </row>
    <row r="19981" spans="13:13">
      <c r="M19981" s="202"/>
    </row>
    <row r="19982" spans="13:13">
      <c r="M19982" s="202"/>
    </row>
    <row r="19983" spans="13:13">
      <c r="M19983" s="202"/>
    </row>
    <row r="19984" spans="13:13">
      <c r="M19984" s="202"/>
    </row>
    <row r="19985" spans="13:13">
      <c r="M19985" s="202"/>
    </row>
    <row r="19986" spans="13:13">
      <c r="M19986" s="202"/>
    </row>
    <row r="19987" spans="13:13">
      <c r="M19987" s="202"/>
    </row>
    <row r="19988" spans="13:13">
      <c r="M19988" s="202"/>
    </row>
    <row r="19989" spans="13:13">
      <c r="M19989" s="202"/>
    </row>
    <row r="19990" spans="13:13">
      <c r="M19990" s="202"/>
    </row>
    <row r="19991" spans="13:13">
      <c r="M19991" s="202"/>
    </row>
    <row r="19992" spans="13:13">
      <c r="M19992" s="202"/>
    </row>
    <row r="19993" spans="13:13">
      <c r="M19993" s="202"/>
    </row>
    <row r="19994" spans="13:13">
      <c r="M19994" s="202"/>
    </row>
    <row r="19995" spans="13:13">
      <c r="M19995" s="202"/>
    </row>
    <row r="19996" spans="13:13">
      <c r="M19996" s="202"/>
    </row>
    <row r="19997" spans="13:13">
      <c r="M19997" s="202"/>
    </row>
    <row r="19998" spans="13:13">
      <c r="M19998" s="202"/>
    </row>
    <row r="19999" spans="13:13">
      <c r="M19999" s="202"/>
    </row>
    <row r="20000" spans="13:13">
      <c r="M20000" s="202"/>
    </row>
    <row r="20001" spans="13:13">
      <c r="M20001" s="202"/>
    </row>
    <row r="20002" spans="13:13">
      <c r="M20002" s="202"/>
    </row>
    <row r="20003" spans="13:13">
      <c r="M20003" s="202"/>
    </row>
    <row r="20004" spans="13:13">
      <c r="M20004" s="202"/>
    </row>
    <row r="20005" spans="13:13">
      <c r="M20005" s="202"/>
    </row>
    <row r="20006" spans="13:13">
      <c r="M20006" s="202"/>
    </row>
    <row r="20007" spans="13:13">
      <c r="M20007" s="202"/>
    </row>
    <row r="20008" spans="13:13">
      <c r="M20008" s="202"/>
    </row>
    <row r="20009" spans="13:13">
      <c r="M20009" s="202"/>
    </row>
    <row r="20010" spans="13:13">
      <c r="M20010" s="202"/>
    </row>
    <row r="20011" spans="13:13">
      <c r="M20011" s="202"/>
    </row>
    <row r="20012" spans="13:13">
      <c r="M20012" s="202"/>
    </row>
    <row r="20013" spans="13:13">
      <c r="M20013" s="202"/>
    </row>
    <row r="20014" spans="13:13">
      <c r="M20014" s="202"/>
    </row>
    <row r="20015" spans="13:13">
      <c r="M20015" s="202"/>
    </row>
    <row r="20016" spans="13:13">
      <c r="M20016" s="202"/>
    </row>
    <row r="20017" spans="13:13">
      <c r="M20017" s="202"/>
    </row>
    <row r="20018" spans="13:13">
      <c r="M20018" s="202"/>
    </row>
    <row r="20019" spans="13:13">
      <c r="M20019" s="202"/>
    </row>
    <row r="20020" spans="13:13">
      <c r="M20020" s="202"/>
    </row>
    <row r="20021" spans="13:13">
      <c r="M20021" s="202"/>
    </row>
    <row r="20022" spans="13:13">
      <c r="M20022" s="202"/>
    </row>
    <row r="20023" spans="13:13">
      <c r="M20023" s="202"/>
    </row>
    <row r="20024" spans="13:13">
      <c r="M20024" s="202"/>
    </row>
    <row r="20025" spans="13:13">
      <c r="M20025" s="202"/>
    </row>
    <row r="20026" spans="13:13">
      <c r="M20026" s="202"/>
    </row>
    <row r="20027" spans="13:13">
      <c r="M20027" s="202"/>
    </row>
    <row r="20028" spans="13:13">
      <c r="M20028" s="202"/>
    </row>
    <row r="20029" spans="13:13">
      <c r="M20029" s="202"/>
    </row>
    <row r="20030" spans="13:13">
      <c r="M20030" s="202"/>
    </row>
    <row r="20031" spans="13:13">
      <c r="M20031" s="202"/>
    </row>
    <row r="20032" spans="13:13">
      <c r="M20032" s="202"/>
    </row>
    <row r="20033" spans="13:13">
      <c r="M20033" s="202"/>
    </row>
    <row r="20034" spans="13:13">
      <c r="M20034" s="202"/>
    </row>
    <row r="20035" spans="13:13">
      <c r="M20035" s="202"/>
    </row>
    <row r="20036" spans="13:13">
      <c r="M20036" s="202"/>
    </row>
    <row r="20037" spans="13:13">
      <c r="M20037" s="202"/>
    </row>
    <row r="20038" spans="13:13">
      <c r="M20038" s="202"/>
    </row>
    <row r="20039" spans="13:13">
      <c r="M20039" s="202"/>
    </row>
    <row r="20040" spans="13:13">
      <c r="M20040" s="202"/>
    </row>
    <row r="20041" spans="13:13">
      <c r="M20041" s="202"/>
    </row>
    <row r="20042" spans="13:13">
      <c r="M20042" s="202"/>
    </row>
    <row r="20043" spans="13:13">
      <c r="M20043" s="202"/>
    </row>
    <row r="20044" spans="13:13">
      <c r="M20044" s="202"/>
    </row>
    <row r="20045" spans="13:13">
      <c r="M20045" s="202"/>
    </row>
    <row r="20046" spans="13:13">
      <c r="M20046" s="202"/>
    </row>
    <row r="20047" spans="13:13">
      <c r="M20047" s="202"/>
    </row>
    <row r="20048" spans="13:13">
      <c r="M20048" s="202"/>
    </row>
    <row r="20049" spans="13:13">
      <c r="M20049" s="202"/>
    </row>
    <row r="20050" spans="13:13">
      <c r="M20050" s="202"/>
    </row>
    <row r="20051" spans="13:13">
      <c r="M20051" s="202"/>
    </row>
    <row r="20052" spans="13:13">
      <c r="M20052" s="202"/>
    </row>
    <row r="20053" spans="13:13">
      <c r="M20053" s="202"/>
    </row>
    <row r="20054" spans="13:13">
      <c r="M20054" s="202"/>
    </row>
    <row r="20055" spans="13:13">
      <c r="M20055" s="202"/>
    </row>
    <row r="20056" spans="13:13">
      <c r="M20056" s="202"/>
    </row>
    <row r="20057" spans="13:13">
      <c r="M20057" s="202"/>
    </row>
    <row r="20058" spans="13:13">
      <c r="M20058" s="202"/>
    </row>
    <row r="20059" spans="13:13">
      <c r="M20059" s="202"/>
    </row>
    <row r="20060" spans="13:13">
      <c r="M20060" s="202"/>
    </row>
    <row r="20061" spans="13:13">
      <c r="M20061" s="202"/>
    </row>
    <row r="20062" spans="13:13">
      <c r="M20062" s="202"/>
    </row>
    <row r="20063" spans="13:13">
      <c r="M20063" s="202"/>
    </row>
    <row r="20064" spans="13:13">
      <c r="M20064" s="202"/>
    </row>
    <row r="20065" spans="13:13">
      <c r="M20065" s="202"/>
    </row>
    <row r="20066" spans="13:13">
      <c r="M20066" s="202"/>
    </row>
    <row r="20067" spans="13:13">
      <c r="M20067" s="202"/>
    </row>
    <row r="20068" spans="13:13">
      <c r="M20068" s="202"/>
    </row>
    <row r="20069" spans="13:13">
      <c r="M20069" s="202"/>
    </row>
    <row r="20070" spans="13:13">
      <c r="M20070" s="202"/>
    </row>
    <row r="20071" spans="13:13">
      <c r="M20071" s="202"/>
    </row>
    <row r="20072" spans="13:13">
      <c r="M20072" s="202"/>
    </row>
    <row r="20073" spans="13:13">
      <c r="M20073" s="202"/>
    </row>
    <row r="20074" spans="13:13">
      <c r="M20074" s="202"/>
    </row>
    <row r="20075" spans="13:13">
      <c r="M20075" s="202"/>
    </row>
    <row r="20076" spans="13:13">
      <c r="M20076" s="202"/>
    </row>
    <row r="20077" spans="13:13">
      <c r="M20077" s="202"/>
    </row>
    <row r="20078" spans="13:13">
      <c r="M20078" s="202"/>
    </row>
    <row r="20079" spans="13:13">
      <c r="M20079" s="202"/>
    </row>
    <row r="20080" spans="13:13">
      <c r="M20080" s="202"/>
    </row>
    <row r="20081" spans="13:13">
      <c r="M20081" s="202"/>
    </row>
    <row r="20082" spans="13:13">
      <c r="M20082" s="202"/>
    </row>
    <row r="20083" spans="13:13">
      <c r="M20083" s="202"/>
    </row>
    <row r="20084" spans="13:13">
      <c r="M20084" s="202"/>
    </row>
    <row r="20085" spans="13:13">
      <c r="M20085" s="202"/>
    </row>
    <row r="20086" spans="13:13">
      <c r="M20086" s="202"/>
    </row>
    <row r="20087" spans="13:13">
      <c r="M20087" s="202"/>
    </row>
    <row r="20088" spans="13:13">
      <c r="M20088" s="202"/>
    </row>
    <row r="20089" spans="13:13">
      <c r="M20089" s="202"/>
    </row>
    <row r="20090" spans="13:13">
      <c r="M20090" s="202"/>
    </row>
    <row r="20091" spans="13:13">
      <c r="M20091" s="202"/>
    </row>
    <row r="20092" spans="13:13">
      <c r="M20092" s="202"/>
    </row>
    <row r="20093" spans="13:13">
      <c r="M20093" s="202"/>
    </row>
    <row r="20094" spans="13:13">
      <c r="M20094" s="202"/>
    </row>
    <row r="20095" spans="13:13">
      <c r="M20095" s="202"/>
    </row>
    <row r="20096" spans="13:13">
      <c r="M20096" s="202"/>
    </row>
    <row r="20097" spans="13:13">
      <c r="M20097" s="202"/>
    </row>
    <row r="20098" spans="13:13">
      <c r="M20098" s="202"/>
    </row>
    <row r="20099" spans="13:13">
      <c r="M20099" s="202"/>
    </row>
    <row r="20100" spans="13:13">
      <c r="M20100" s="202"/>
    </row>
    <row r="20101" spans="13:13">
      <c r="M20101" s="202"/>
    </row>
    <row r="20102" spans="13:13">
      <c r="M20102" s="202"/>
    </row>
    <row r="20103" spans="13:13">
      <c r="M20103" s="202"/>
    </row>
    <row r="20104" spans="13:13">
      <c r="M20104" s="202"/>
    </row>
    <row r="20105" spans="13:13">
      <c r="M20105" s="202"/>
    </row>
    <row r="20106" spans="13:13">
      <c r="M20106" s="202"/>
    </row>
    <row r="20107" spans="13:13">
      <c r="M20107" s="202"/>
    </row>
    <row r="20108" spans="13:13">
      <c r="M20108" s="202"/>
    </row>
    <row r="20109" spans="13:13">
      <c r="M20109" s="202"/>
    </row>
    <row r="20110" spans="13:13">
      <c r="M20110" s="202"/>
    </row>
    <row r="20111" spans="13:13">
      <c r="M20111" s="202"/>
    </row>
    <row r="20112" spans="13:13">
      <c r="M20112" s="202"/>
    </row>
    <row r="20113" spans="13:13">
      <c r="M20113" s="202"/>
    </row>
    <row r="20114" spans="13:13">
      <c r="M20114" s="202"/>
    </row>
    <row r="20115" spans="13:13">
      <c r="M20115" s="202"/>
    </row>
    <row r="20116" spans="13:13">
      <c r="M20116" s="202"/>
    </row>
    <row r="20117" spans="13:13">
      <c r="M20117" s="202"/>
    </row>
    <row r="20118" spans="13:13">
      <c r="M20118" s="202"/>
    </row>
    <row r="20119" spans="13:13">
      <c r="M20119" s="202"/>
    </row>
    <row r="20120" spans="13:13">
      <c r="M20120" s="202"/>
    </row>
    <row r="20121" spans="13:13">
      <c r="M20121" s="202"/>
    </row>
    <row r="20122" spans="13:13">
      <c r="M20122" s="202"/>
    </row>
    <row r="20123" spans="13:13">
      <c r="M20123" s="202"/>
    </row>
    <row r="20124" spans="13:13">
      <c r="M20124" s="202"/>
    </row>
    <row r="20125" spans="13:13">
      <c r="M20125" s="202"/>
    </row>
    <row r="20126" spans="13:13">
      <c r="M20126" s="202"/>
    </row>
    <row r="20127" spans="13:13">
      <c r="M20127" s="202"/>
    </row>
    <row r="20128" spans="13:13">
      <c r="M20128" s="202"/>
    </row>
    <row r="20129" spans="13:13">
      <c r="M20129" s="202"/>
    </row>
    <row r="20130" spans="13:13">
      <c r="M20130" s="202"/>
    </row>
    <row r="20131" spans="13:13">
      <c r="M20131" s="202"/>
    </row>
    <row r="20132" spans="13:13">
      <c r="M20132" s="202"/>
    </row>
    <row r="20133" spans="13:13">
      <c r="M20133" s="202"/>
    </row>
    <row r="20134" spans="13:13">
      <c r="M20134" s="202"/>
    </row>
    <row r="20135" spans="13:13">
      <c r="M20135" s="202"/>
    </row>
    <row r="20136" spans="13:13">
      <c r="M20136" s="202"/>
    </row>
    <row r="20137" spans="13:13">
      <c r="M20137" s="202"/>
    </row>
    <row r="20138" spans="13:13">
      <c r="M20138" s="202"/>
    </row>
    <row r="20139" spans="13:13">
      <c r="M20139" s="202"/>
    </row>
    <row r="20140" spans="13:13">
      <c r="M20140" s="202"/>
    </row>
    <row r="20141" spans="13:13">
      <c r="M20141" s="202"/>
    </row>
    <row r="20142" spans="13:13">
      <c r="M20142" s="202"/>
    </row>
    <row r="20143" spans="13:13">
      <c r="M20143" s="202"/>
    </row>
    <row r="20144" spans="13:13">
      <c r="M20144" s="202"/>
    </row>
    <row r="20145" spans="13:13">
      <c r="M20145" s="202"/>
    </row>
    <row r="20146" spans="13:13">
      <c r="M20146" s="202"/>
    </row>
    <row r="20147" spans="13:13">
      <c r="M20147" s="202"/>
    </row>
    <row r="20148" spans="13:13">
      <c r="M20148" s="202"/>
    </row>
    <row r="20149" spans="13:13">
      <c r="M20149" s="202"/>
    </row>
    <row r="20150" spans="13:13">
      <c r="M20150" s="202"/>
    </row>
    <row r="20151" spans="13:13">
      <c r="M20151" s="202"/>
    </row>
    <row r="20152" spans="13:13">
      <c r="M20152" s="202"/>
    </row>
    <row r="20153" spans="13:13">
      <c r="M20153" s="202"/>
    </row>
    <row r="20154" spans="13:13">
      <c r="M20154" s="202"/>
    </row>
    <row r="20155" spans="13:13">
      <c r="M20155" s="202"/>
    </row>
    <row r="20156" spans="13:13">
      <c r="M20156" s="202"/>
    </row>
    <row r="20157" spans="13:13">
      <c r="M20157" s="202"/>
    </row>
    <row r="20158" spans="13:13">
      <c r="M20158" s="202"/>
    </row>
    <row r="20159" spans="13:13">
      <c r="M20159" s="202"/>
    </row>
    <row r="20160" spans="13:13">
      <c r="M20160" s="202"/>
    </row>
    <row r="20161" spans="13:13">
      <c r="M20161" s="202"/>
    </row>
    <row r="20162" spans="13:13">
      <c r="M20162" s="202"/>
    </row>
    <row r="20163" spans="13:13">
      <c r="M20163" s="202"/>
    </row>
    <row r="20164" spans="13:13">
      <c r="M20164" s="202"/>
    </row>
    <row r="20165" spans="13:13">
      <c r="M20165" s="202"/>
    </row>
    <row r="20166" spans="13:13">
      <c r="M20166" s="202"/>
    </row>
    <row r="20167" spans="13:13">
      <c r="M20167" s="202"/>
    </row>
    <row r="20168" spans="13:13">
      <c r="M20168" s="202"/>
    </row>
    <row r="20169" spans="13:13">
      <c r="M20169" s="202"/>
    </row>
    <row r="20170" spans="13:13">
      <c r="M20170" s="202"/>
    </row>
    <row r="20171" spans="13:13">
      <c r="M20171" s="202"/>
    </row>
    <row r="20172" spans="13:13">
      <c r="M20172" s="202"/>
    </row>
    <row r="20173" spans="13:13">
      <c r="M20173" s="202"/>
    </row>
    <row r="20174" spans="13:13">
      <c r="M20174" s="202"/>
    </row>
    <row r="20175" spans="13:13">
      <c r="M20175" s="202"/>
    </row>
    <row r="20176" spans="13:13">
      <c r="M20176" s="202"/>
    </row>
    <row r="20177" spans="13:13">
      <c r="M20177" s="202"/>
    </row>
    <row r="20178" spans="13:13">
      <c r="M20178" s="202"/>
    </row>
    <row r="20179" spans="13:13">
      <c r="M20179" s="202"/>
    </row>
    <row r="20180" spans="13:13">
      <c r="M20180" s="202"/>
    </row>
    <row r="20181" spans="13:13">
      <c r="M20181" s="202"/>
    </row>
    <row r="20182" spans="13:13">
      <c r="M20182" s="202"/>
    </row>
    <row r="20183" spans="13:13">
      <c r="M20183" s="202"/>
    </row>
    <row r="20184" spans="13:13">
      <c r="M20184" s="202"/>
    </row>
    <row r="20185" spans="13:13">
      <c r="M20185" s="202"/>
    </row>
    <row r="20186" spans="13:13">
      <c r="M20186" s="202"/>
    </row>
    <row r="20187" spans="13:13">
      <c r="M20187" s="202"/>
    </row>
    <row r="20188" spans="13:13">
      <c r="M20188" s="202"/>
    </row>
    <row r="20189" spans="13:13">
      <c r="M20189" s="202"/>
    </row>
    <row r="20190" spans="13:13">
      <c r="M20190" s="202"/>
    </row>
    <row r="20191" spans="13:13">
      <c r="M20191" s="202"/>
    </row>
    <row r="20192" spans="13:13">
      <c r="M20192" s="202"/>
    </row>
    <row r="20193" spans="13:13">
      <c r="M20193" s="202"/>
    </row>
    <row r="20194" spans="13:13">
      <c r="M20194" s="202"/>
    </row>
    <row r="20195" spans="13:13">
      <c r="M20195" s="202"/>
    </row>
    <row r="20196" spans="13:13">
      <c r="M20196" s="202"/>
    </row>
    <row r="20197" spans="13:13">
      <c r="M20197" s="202"/>
    </row>
    <row r="20198" spans="13:13">
      <c r="M20198" s="202"/>
    </row>
    <row r="20199" spans="13:13">
      <c r="M20199" s="202"/>
    </row>
    <row r="20200" spans="13:13">
      <c r="M20200" s="202"/>
    </row>
    <row r="20201" spans="13:13">
      <c r="M20201" s="202"/>
    </row>
    <row r="20202" spans="13:13">
      <c r="M20202" s="202"/>
    </row>
    <row r="20203" spans="13:13">
      <c r="M20203" s="202"/>
    </row>
    <row r="20204" spans="13:13">
      <c r="M20204" s="202"/>
    </row>
    <row r="20205" spans="13:13">
      <c r="M20205" s="202"/>
    </row>
    <row r="20206" spans="13:13">
      <c r="M20206" s="202"/>
    </row>
    <row r="20207" spans="13:13">
      <c r="M20207" s="202"/>
    </row>
    <row r="20208" spans="13:13">
      <c r="M20208" s="202"/>
    </row>
    <row r="20209" spans="13:13">
      <c r="M20209" s="202"/>
    </row>
    <row r="20210" spans="13:13">
      <c r="M20210" s="202"/>
    </row>
    <row r="20211" spans="13:13">
      <c r="M20211" s="202"/>
    </row>
    <row r="20212" spans="13:13">
      <c r="M20212" s="202"/>
    </row>
    <row r="20213" spans="13:13">
      <c r="M20213" s="202"/>
    </row>
    <row r="20214" spans="13:13">
      <c r="M20214" s="202"/>
    </row>
    <row r="20215" spans="13:13">
      <c r="M20215" s="202"/>
    </row>
    <row r="20216" spans="13:13">
      <c r="M20216" s="202"/>
    </row>
    <row r="20217" spans="13:13">
      <c r="M20217" s="202"/>
    </row>
    <row r="20218" spans="13:13">
      <c r="M20218" s="202"/>
    </row>
    <row r="20219" spans="13:13">
      <c r="M20219" s="202"/>
    </row>
    <row r="20220" spans="13:13">
      <c r="M20220" s="202"/>
    </row>
    <row r="20221" spans="13:13">
      <c r="M20221" s="202"/>
    </row>
    <row r="20222" spans="13:13">
      <c r="M20222" s="202"/>
    </row>
    <row r="20223" spans="13:13">
      <c r="M20223" s="202"/>
    </row>
    <row r="20224" spans="13:13">
      <c r="M20224" s="202"/>
    </row>
    <row r="20225" spans="13:13">
      <c r="M20225" s="202"/>
    </row>
    <row r="20226" spans="13:13">
      <c r="M20226" s="202"/>
    </row>
    <row r="20227" spans="13:13">
      <c r="M20227" s="202"/>
    </row>
    <row r="20228" spans="13:13">
      <c r="M20228" s="202"/>
    </row>
    <row r="20229" spans="13:13">
      <c r="M20229" s="202"/>
    </row>
    <row r="20230" spans="13:13">
      <c r="M20230" s="202"/>
    </row>
    <row r="20231" spans="13:13">
      <c r="M20231" s="202"/>
    </row>
    <row r="20232" spans="13:13">
      <c r="M20232" s="202"/>
    </row>
    <row r="20233" spans="13:13">
      <c r="M20233" s="202"/>
    </row>
    <row r="20234" spans="13:13">
      <c r="M20234" s="202"/>
    </row>
    <row r="20235" spans="13:13">
      <c r="M20235" s="202"/>
    </row>
    <row r="20236" spans="13:13">
      <c r="M20236" s="202"/>
    </row>
    <row r="20237" spans="13:13">
      <c r="M20237" s="202"/>
    </row>
    <row r="20238" spans="13:13">
      <c r="M20238" s="202"/>
    </row>
    <row r="20239" spans="13:13">
      <c r="M20239" s="202"/>
    </row>
    <row r="20240" spans="13:13">
      <c r="M20240" s="202"/>
    </row>
    <row r="20241" spans="13:13">
      <c r="M20241" s="202"/>
    </row>
    <row r="20242" spans="13:13">
      <c r="M20242" s="202"/>
    </row>
    <row r="20243" spans="13:13">
      <c r="M20243" s="202"/>
    </row>
    <row r="20244" spans="13:13">
      <c r="M20244" s="202"/>
    </row>
    <row r="20245" spans="13:13">
      <c r="M20245" s="202"/>
    </row>
    <row r="20246" spans="13:13">
      <c r="M20246" s="202"/>
    </row>
    <row r="20247" spans="13:13">
      <c r="M20247" s="202"/>
    </row>
    <row r="20248" spans="13:13">
      <c r="M20248" s="202"/>
    </row>
    <row r="20249" spans="13:13">
      <c r="M20249" s="202"/>
    </row>
    <row r="20250" spans="13:13">
      <c r="M20250" s="202"/>
    </row>
    <row r="20251" spans="13:13">
      <c r="M20251" s="202"/>
    </row>
    <row r="20252" spans="13:13">
      <c r="M20252" s="202"/>
    </row>
    <row r="20253" spans="13:13">
      <c r="M20253" s="202"/>
    </row>
    <row r="20254" spans="13:13">
      <c r="M20254" s="202"/>
    </row>
    <row r="20255" spans="13:13">
      <c r="M20255" s="202"/>
    </row>
    <row r="20256" spans="13:13">
      <c r="M20256" s="202"/>
    </row>
    <row r="20257" spans="13:13">
      <c r="M20257" s="202"/>
    </row>
    <row r="20258" spans="13:13">
      <c r="M20258" s="202"/>
    </row>
    <row r="20259" spans="13:13">
      <c r="M20259" s="202"/>
    </row>
    <row r="20260" spans="13:13">
      <c r="M20260" s="202"/>
    </row>
    <row r="20261" spans="13:13">
      <c r="M20261" s="202"/>
    </row>
    <row r="20262" spans="13:13">
      <c r="M20262" s="202"/>
    </row>
    <row r="20263" spans="13:13">
      <c r="M20263" s="202"/>
    </row>
    <row r="20264" spans="13:13">
      <c r="M20264" s="202"/>
    </row>
    <row r="20265" spans="13:13">
      <c r="M20265" s="202"/>
    </row>
    <row r="20266" spans="13:13">
      <c r="M20266" s="202"/>
    </row>
    <row r="20267" spans="13:13">
      <c r="M20267" s="202"/>
    </row>
    <row r="20268" spans="13:13">
      <c r="M20268" s="202"/>
    </row>
    <row r="20269" spans="13:13">
      <c r="M20269" s="202"/>
    </row>
    <row r="20270" spans="13:13">
      <c r="M20270" s="202"/>
    </row>
    <row r="20271" spans="13:13">
      <c r="M20271" s="202"/>
    </row>
    <row r="20272" spans="13:13">
      <c r="M20272" s="202"/>
    </row>
    <row r="20273" spans="13:13">
      <c r="M20273" s="202"/>
    </row>
    <row r="20274" spans="13:13">
      <c r="M20274" s="202"/>
    </row>
    <row r="20275" spans="13:13">
      <c r="M20275" s="202"/>
    </row>
    <row r="20276" spans="13:13">
      <c r="M20276" s="202"/>
    </row>
    <row r="20277" spans="13:13">
      <c r="M20277" s="202"/>
    </row>
    <row r="20278" spans="13:13">
      <c r="M20278" s="202"/>
    </row>
    <row r="20279" spans="13:13">
      <c r="M20279" s="202"/>
    </row>
    <row r="20280" spans="13:13">
      <c r="M20280" s="202"/>
    </row>
    <row r="20281" spans="13:13">
      <c r="M20281" s="202"/>
    </row>
    <row r="20282" spans="13:13">
      <c r="M20282" s="202"/>
    </row>
    <row r="20283" spans="13:13">
      <c r="M20283" s="202"/>
    </row>
    <row r="20284" spans="13:13">
      <c r="M20284" s="202"/>
    </row>
    <row r="20285" spans="13:13">
      <c r="M20285" s="202"/>
    </row>
    <row r="20286" spans="13:13">
      <c r="M20286" s="202"/>
    </row>
    <row r="20287" spans="13:13">
      <c r="M20287" s="202"/>
    </row>
    <row r="20288" spans="13:13">
      <c r="M20288" s="202"/>
    </row>
    <row r="20289" spans="13:13">
      <c r="M20289" s="202"/>
    </row>
    <row r="20290" spans="13:13">
      <c r="M20290" s="202"/>
    </row>
    <row r="20291" spans="13:13">
      <c r="M20291" s="202"/>
    </row>
    <row r="20292" spans="13:13">
      <c r="M20292" s="202"/>
    </row>
    <row r="20293" spans="13:13">
      <c r="M20293" s="202"/>
    </row>
    <row r="20294" spans="13:13">
      <c r="M20294" s="202"/>
    </row>
    <row r="20295" spans="13:13">
      <c r="M20295" s="202"/>
    </row>
    <row r="20296" spans="13:13">
      <c r="M20296" s="202"/>
    </row>
    <row r="20297" spans="13:13">
      <c r="M20297" s="202"/>
    </row>
    <row r="20298" spans="13:13">
      <c r="M20298" s="202"/>
    </row>
    <row r="20299" spans="13:13">
      <c r="M20299" s="202"/>
    </row>
    <row r="20300" spans="13:13">
      <c r="M20300" s="202"/>
    </row>
    <row r="20301" spans="13:13">
      <c r="M20301" s="202"/>
    </row>
    <row r="20302" spans="13:13">
      <c r="M20302" s="202"/>
    </row>
    <row r="20303" spans="13:13">
      <c r="M20303" s="202"/>
    </row>
    <row r="20304" spans="13:13">
      <c r="M20304" s="202"/>
    </row>
    <row r="20305" spans="13:13">
      <c r="M20305" s="202"/>
    </row>
    <row r="20306" spans="13:13">
      <c r="M20306" s="202"/>
    </row>
    <row r="20307" spans="13:13">
      <c r="M20307" s="202"/>
    </row>
    <row r="20308" spans="13:13">
      <c r="M20308" s="202"/>
    </row>
    <row r="20309" spans="13:13">
      <c r="M20309" s="202"/>
    </row>
    <row r="20310" spans="13:13">
      <c r="M20310" s="202"/>
    </row>
    <row r="20311" spans="13:13">
      <c r="M20311" s="202"/>
    </row>
    <row r="20312" spans="13:13">
      <c r="M20312" s="202"/>
    </row>
    <row r="20313" spans="13:13">
      <c r="M20313" s="202"/>
    </row>
    <row r="20314" spans="13:13">
      <c r="M20314" s="202"/>
    </row>
    <row r="20315" spans="13:13">
      <c r="M20315" s="202"/>
    </row>
    <row r="20316" spans="13:13">
      <c r="M20316" s="202"/>
    </row>
    <row r="20317" spans="13:13">
      <c r="M20317" s="202"/>
    </row>
    <row r="20318" spans="13:13">
      <c r="M20318" s="202"/>
    </row>
    <row r="20319" spans="13:13">
      <c r="M20319" s="202"/>
    </row>
    <row r="20320" spans="13:13">
      <c r="M20320" s="202"/>
    </row>
    <row r="20321" spans="13:13">
      <c r="M20321" s="202"/>
    </row>
    <row r="20322" spans="13:13">
      <c r="M20322" s="202"/>
    </row>
    <row r="20323" spans="13:13">
      <c r="M20323" s="202"/>
    </row>
    <row r="20324" spans="13:13">
      <c r="M20324" s="202"/>
    </row>
    <row r="20325" spans="13:13">
      <c r="M20325" s="202"/>
    </row>
    <row r="20326" spans="13:13">
      <c r="M20326" s="202"/>
    </row>
    <row r="20327" spans="13:13">
      <c r="M20327" s="202"/>
    </row>
    <row r="20328" spans="13:13">
      <c r="M20328" s="202"/>
    </row>
    <row r="20329" spans="13:13">
      <c r="M20329" s="202"/>
    </row>
    <row r="20330" spans="13:13">
      <c r="M20330" s="202"/>
    </row>
    <row r="20331" spans="13:13">
      <c r="M20331" s="202"/>
    </row>
    <row r="20332" spans="13:13">
      <c r="M20332" s="202"/>
    </row>
    <row r="20333" spans="13:13">
      <c r="M20333" s="202"/>
    </row>
    <row r="20334" spans="13:13">
      <c r="M20334" s="202"/>
    </row>
    <row r="20335" spans="13:13">
      <c r="M20335" s="202"/>
    </row>
    <row r="20336" spans="13:13">
      <c r="M20336" s="202"/>
    </row>
    <row r="20337" spans="13:13">
      <c r="M20337" s="202"/>
    </row>
    <row r="20338" spans="13:13">
      <c r="M20338" s="202"/>
    </row>
    <row r="20339" spans="13:13">
      <c r="M20339" s="202"/>
    </row>
    <row r="20340" spans="13:13">
      <c r="M20340" s="202"/>
    </row>
    <row r="20341" spans="13:13">
      <c r="M20341" s="202"/>
    </row>
    <row r="20342" spans="13:13">
      <c r="M20342" s="202"/>
    </row>
    <row r="20343" spans="13:13">
      <c r="M20343" s="202"/>
    </row>
    <row r="20344" spans="13:13">
      <c r="M20344" s="202"/>
    </row>
    <row r="20345" spans="13:13">
      <c r="M20345" s="202"/>
    </row>
    <row r="20346" spans="13:13">
      <c r="M20346" s="202"/>
    </row>
    <row r="20347" spans="13:13">
      <c r="M20347" s="202"/>
    </row>
    <row r="20348" spans="13:13">
      <c r="M20348" s="202"/>
    </row>
    <row r="20349" spans="13:13">
      <c r="M20349" s="202"/>
    </row>
    <row r="20350" spans="13:13">
      <c r="M20350" s="202"/>
    </row>
    <row r="20351" spans="13:13">
      <c r="M20351" s="202"/>
    </row>
    <row r="20352" spans="13:13">
      <c r="M20352" s="202"/>
    </row>
    <row r="20353" spans="13:13">
      <c r="M20353" s="202"/>
    </row>
    <row r="20354" spans="13:13">
      <c r="M20354" s="202"/>
    </row>
    <row r="20355" spans="13:13">
      <c r="M20355" s="202"/>
    </row>
    <row r="20356" spans="13:13">
      <c r="M20356" s="202"/>
    </row>
    <row r="20357" spans="13:13">
      <c r="M20357" s="202"/>
    </row>
    <row r="20358" spans="13:13">
      <c r="M20358" s="202"/>
    </row>
    <row r="20359" spans="13:13">
      <c r="M20359" s="202"/>
    </row>
    <row r="20360" spans="13:13">
      <c r="M20360" s="202"/>
    </row>
    <row r="20361" spans="13:13">
      <c r="M20361" s="202"/>
    </row>
    <row r="20362" spans="13:13">
      <c r="M20362" s="202"/>
    </row>
    <row r="20363" spans="13:13">
      <c r="M20363" s="202"/>
    </row>
    <row r="20364" spans="13:13">
      <c r="M20364" s="202"/>
    </row>
    <row r="20365" spans="13:13">
      <c r="M20365" s="202"/>
    </row>
    <row r="20366" spans="13:13">
      <c r="M20366" s="202"/>
    </row>
    <row r="20367" spans="13:13">
      <c r="M20367" s="202"/>
    </row>
    <row r="20368" spans="13:13">
      <c r="M20368" s="202"/>
    </row>
    <row r="20369" spans="13:13">
      <c r="M20369" s="202"/>
    </row>
    <row r="20370" spans="13:13">
      <c r="M20370" s="202"/>
    </row>
    <row r="20371" spans="13:13">
      <c r="M20371" s="202"/>
    </row>
    <row r="20372" spans="13:13">
      <c r="M20372" s="202"/>
    </row>
    <row r="20373" spans="13:13">
      <c r="M20373" s="202"/>
    </row>
    <row r="20374" spans="13:13">
      <c r="M20374" s="202"/>
    </row>
    <row r="20375" spans="13:13">
      <c r="M20375" s="202"/>
    </row>
    <row r="20376" spans="13:13">
      <c r="M20376" s="202"/>
    </row>
    <row r="20377" spans="13:13">
      <c r="M20377" s="202"/>
    </row>
    <row r="20378" spans="13:13">
      <c r="M20378" s="202"/>
    </row>
    <row r="20379" spans="13:13">
      <c r="M20379" s="202"/>
    </row>
    <row r="20380" spans="13:13">
      <c r="M20380" s="202"/>
    </row>
    <row r="20381" spans="13:13">
      <c r="M20381" s="202"/>
    </row>
    <row r="20382" spans="13:13">
      <c r="M20382" s="202"/>
    </row>
    <row r="20383" spans="13:13">
      <c r="M20383" s="202"/>
    </row>
    <row r="20384" spans="13:13">
      <c r="M20384" s="202"/>
    </row>
    <row r="20385" spans="13:13">
      <c r="M20385" s="202"/>
    </row>
    <row r="20386" spans="13:13">
      <c r="M20386" s="202"/>
    </row>
    <row r="20387" spans="13:13">
      <c r="M20387" s="202"/>
    </row>
    <row r="20388" spans="13:13">
      <c r="M20388" s="202"/>
    </row>
    <row r="20389" spans="13:13">
      <c r="M20389" s="202"/>
    </row>
    <row r="20390" spans="13:13">
      <c r="M20390" s="202"/>
    </row>
    <row r="20391" spans="13:13">
      <c r="M20391" s="202"/>
    </row>
    <row r="20392" spans="13:13">
      <c r="M20392" s="202"/>
    </row>
    <row r="20393" spans="13:13">
      <c r="M20393" s="202"/>
    </row>
    <row r="20394" spans="13:13">
      <c r="M20394" s="202"/>
    </row>
    <row r="20395" spans="13:13">
      <c r="M20395" s="202"/>
    </row>
    <row r="20396" spans="13:13">
      <c r="M20396" s="202"/>
    </row>
    <row r="20397" spans="13:13">
      <c r="M20397" s="202"/>
    </row>
    <row r="20398" spans="13:13">
      <c r="M20398" s="202"/>
    </row>
    <row r="20399" spans="13:13">
      <c r="M20399" s="202"/>
    </row>
    <row r="20400" spans="13:13">
      <c r="M20400" s="202"/>
    </row>
    <row r="20401" spans="13:13">
      <c r="M20401" s="202"/>
    </row>
    <row r="20402" spans="13:13">
      <c r="M20402" s="202"/>
    </row>
    <row r="20403" spans="13:13">
      <c r="M20403" s="202"/>
    </row>
    <row r="20404" spans="13:13">
      <c r="M20404" s="202"/>
    </row>
    <row r="20405" spans="13:13">
      <c r="M20405" s="202"/>
    </row>
    <row r="20406" spans="13:13">
      <c r="M20406" s="202"/>
    </row>
    <row r="20407" spans="13:13">
      <c r="M20407" s="202"/>
    </row>
    <row r="20408" spans="13:13">
      <c r="M20408" s="202"/>
    </row>
    <row r="20409" spans="13:13">
      <c r="M20409" s="202"/>
    </row>
    <row r="20410" spans="13:13">
      <c r="M20410" s="202"/>
    </row>
    <row r="20411" spans="13:13">
      <c r="M20411" s="202"/>
    </row>
    <row r="20412" spans="13:13">
      <c r="M20412" s="202"/>
    </row>
    <row r="20413" spans="13:13">
      <c r="M20413" s="202"/>
    </row>
    <row r="20414" spans="13:13">
      <c r="M20414" s="202"/>
    </row>
    <row r="20415" spans="13:13">
      <c r="M20415" s="202"/>
    </row>
    <row r="20416" spans="13:13">
      <c r="M20416" s="202"/>
    </row>
    <row r="20417" spans="13:13">
      <c r="M20417" s="202"/>
    </row>
    <row r="20418" spans="13:13">
      <c r="M20418" s="202"/>
    </row>
    <row r="20419" spans="13:13">
      <c r="M20419" s="202"/>
    </row>
    <row r="20420" spans="13:13">
      <c r="M20420" s="202"/>
    </row>
    <row r="20421" spans="13:13">
      <c r="M20421" s="202"/>
    </row>
    <row r="20422" spans="13:13">
      <c r="M20422" s="202"/>
    </row>
    <row r="20423" spans="13:13">
      <c r="M20423" s="202"/>
    </row>
    <row r="20424" spans="13:13">
      <c r="M20424" s="202"/>
    </row>
    <row r="20425" spans="13:13">
      <c r="M20425" s="202"/>
    </row>
    <row r="20426" spans="13:13">
      <c r="M20426" s="202"/>
    </row>
    <row r="20427" spans="13:13">
      <c r="M20427" s="202"/>
    </row>
    <row r="20428" spans="13:13">
      <c r="M20428" s="202"/>
    </row>
    <row r="20429" spans="13:13">
      <c r="M20429" s="202"/>
    </row>
    <row r="20430" spans="13:13">
      <c r="M20430" s="202"/>
    </row>
    <row r="20431" spans="13:13">
      <c r="M20431" s="202"/>
    </row>
    <row r="20432" spans="13:13">
      <c r="M20432" s="202"/>
    </row>
    <row r="20433" spans="13:13">
      <c r="M20433" s="202"/>
    </row>
    <row r="20434" spans="13:13">
      <c r="M20434" s="202"/>
    </row>
    <row r="20435" spans="13:13">
      <c r="M20435" s="202"/>
    </row>
    <row r="20436" spans="13:13">
      <c r="M20436" s="202"/>
    </row>
    <row r="20437" spans="13:13">
      <c r="M20437" s="202"/>
    </row>
    <row r="20438" spans="13:13">
      <c r="M20438" s="202"/>
    </row>
    <row r="20439" spans="13:13">
      <c r="M20439" s="202"/>
    </row>
    <row r="20440" spans="13:13">
      <c r="M20440" s="202"/>
    </row>
    <row r="20441" spans="13:13">
      <c r="M20441" s="202"/>
    </row>
    <row r="20442" spans="13:13">
      <c r="M20442" s="202"/>
    </row>
    <row r="20443" spans="13:13">
      <c r="M20443" s="202"/>
    </row>
    <row r="20444" spans="13:13">
      <c r="M20444" s="202"/>
    </row>
    <row r="20445" spans="13:13">
      <c r="M20445" s="202"/>
    </row>
    <row r="20446" spans="13:13">
      <c r="M20446" s="202"/>
    </row>
    <row r="20447" spans="13:13">
      <c r="M20447" s="202"/>
    </row>
    <row r="20448" spans="13:13">
      <c r="M20448" s="202"/>
    </row>
    <row r="20449" spans="13:13">
      <c r="M20449" s="202"/>
    </row>
    <row r="20450" spans="13:13">
      <c r="M20450" s="202"/>
    </row>
    <row r="20451" spans="13:13">
      <c r="M20451" s="202"/>
    </row>
    <row r="20452" spans="13:13">
      <c r="M20452" s="202"/>
    </row>
    <row r="20453" spans="13:13">
      <c r="M20453" s="202"/>
    </row>
    <row r="20454" spans="13:13">
      <c r="M20454" s="202"/>
    </row>
    <row r="20455" spans="13:13">
      <c r="M20455" s="202"/>
    </row>
    <row r="20456" spans="13:13">
      <c r="M20456" s="202"/>
    </row>
    <row r="20457" spans="13:13">
      <c r="M20457" s="202"/>
    </row>
    <row r="20458" spans="13:13">
      <c r="M20458" s="202"/>
    </row>
    <row r="20459" spans="13:13">
      <c r="M20459" s="202"/>
    </row>
    <row r="20460" spans="13:13">
      <c r="M20460" s="202"/>
    </row>
    <row r="20461" spans="13:13">
      <c r="M20461" s="202"/>
    </row>
    <row r="20462" spans="13:13">
      <c r="M20462" s="202"/>
    </row>
    <row r="20463" spans="13:13">
      <c r="M20463" s="202"/>
    </row>
    <row r="20464" spans="13:13">
      <c r="M20464" s="202"/>
    </row>
    <row r="20465" spans="13:13">
      <c r="M20465" s="202"/>
    </row>
    <row r="20466" spans="13:13">
      <c r="M20466" s="202"/>
    </row>
    <row r="20467" spans="13:13">
      <c r="M20467" s="202"/>
    </row>
    <row r="20468" spans="13:13">
      <c r="M20468" s="202"/>
    </row>
    <row r="20469" spans="13:13">
      <c r="M20469" s="202"/>
    </row>
    <row r="20470" spans="13:13">
      <c r="M20470" s="202"/>
    </row>
    <row r="20471" spans="13:13">
      <c r="M20471" s="202"/>
    </row>
    <row r="20472" spans="13:13">
      <c r="M20472" s="202"/>
    </row>
    <row r="20473" spans="13:13">
      <c r="M20473" s="202"/>
    </row>
    <row r="20474" spans="13:13">
      <c r="M20474" s="202"/>
    </row>
    <row r="20475" spans="13:13">
      <c r="M20475" s="202"/>
    </row>
    <row r="20476" spans="13:13">
      <c r="M20476" s="202"/>
    </row>
    <row r="20477" spans="13:13">
      <c r="M20477" s="202"/>
    </row>
    <row r="20478" spans="13:13">
      <c r="M20478" s="202"/>
    </row>
    <row r="20479" spans="13:13">
      <c r="M20479" s="202"/>
    </row>
    <row r="20480" spans="13:13">
      <c r="M20480" s="202"/>
    </row>
    <row r="20481" spans="13:13">
      <c r="M20481" s="202"/>
    </row>
    <row r="20482" spans="13:13">
      <c r="M20482" s="202"/>
    </row>
    <row r="20483" spans="13:13">
      <c r="M20483" s="202"/>
    </row>
    <row r="20484" spans="13:13">
      <c r="M20484" s="202"/>
    </row>
    <row r="20485" spans="13:13">
      <c r="M20485" s="202"/>
    </row>
    <row r="20486" spans="13:13">
      <c r="M20486" s="202"/>
    </row>
    <row r="20487" spans="13:13">
      <c r="M20487" s="202"/>
    </row>
    <row r="20488" spans="13:13">
      <c r="M20488" s="202"/>
    </row>
    <row r="20489" spans="13:13">
      <c r="M20489" s="202"/>
    </row>
    <row r="20490" spans="13:13">
      <c r="M20490" s="202"/>
    </row>
    <row r="20491" spans="13:13">
      <c r="M20491" s="202"/>
    </row>
    <row r="20492" spans="13:13">
      <c r="M20492" s="202"/>
    </row>
    <row r="20493" spans="13:13">
      <c r="M20493" s="202"/>
    </row>
    <row r="20494" spans="13:13">
      <c r="M20494" s="202"/>
    </row>
    <row r="20495" spans="13:13">
      <c r="M20495" s="202"/>
    </row>
    <row r="20496" spans="13:13">
      <c r="M20496" s="202"/>
    </row>
    <row r="20497" spans="13:13">
      <c r="M20497" s="202"/>
    </row>
    <row r="20498" spans="13:13">
      <c r="M20498" s="202"/>
    </row>
    <row r="20499" spans="13:13">
      <c r="M20499" s="202"/>
    </row>
    <row r="20500" spans="13:13">
      <c r="M20500" s="202"/>
    </row>
    <row r="20501" spans="13:13">
      <c r="M20501" s="202"/>
    </row>
    <row r="20502" spans="13:13">
      <c r="M20502" s="202"/>
    </row>
    <row r="20503" spans="13:13">
      <c r="M20503" s="202"/>
    </row>
    <row r="20504" spans="13:13">
      <c r="M20504" s="202"/>
    </row>
    <row r="20505" spans="13:13">
      <c r="M20505" s="202"/>
    </row>
    <row r="20506" spans="13:13">
      <c r="M20506" s="202"/>
    </row>
    <row r="20507" spans="13:13">
      <c r="M20507" s="202"/>
    </row>
    <row r="20508" spans="13:13">
      <c r="M20508" s="202"/>
    </row>
    <row r="20509" spans="13:13">
      <c r="M20509" s="202"/>
    </row>
    <row r="20510" spans="13:13">
      <c r="M20510" s="202"/>
    </row>
    <row r="20511" spans="13:13">
      <c r="M20511" s="202"/>
    </row>
    <row r="20512" spans="13:13">
      <c r="M20512" s="202"/>
    </row>
    <row r="20513" spans="13:13">
      <c r="M20513" s="202"/>
    </row>
    <row r="20514" spans="13:13">
      <c r="M20514" s="202"/>
    </row>
    <row r="20515" spans="13:13">
      <c r="M20515" s="202"/>
    </row>
    <row r="20516" spans="13:13">
      <c r="M20516" s="202"/>
    </row>
    <row r="20517" spans="13:13">
      <c r="M20517" s="202"/>
    </row>
    <row r="20518" spans="13:13">
      <c r="M20518" s="202"/>
    </row>
    <row r="20519" spans="13:13">
      <c r="M20519" s="202"/>
    </row>
    <row r="20520" spans="13:13">
      <c r="M20520" s="202"/>
    </row>
    <row r="20521" spans="13:13">
      <c r="M20521" s="202"/>
    </row>
    <row r="20522" spans="13:13">
      <c r="M20522" s="202"/>
    </row>
    <row r="20523" spans="13:13">
      <c r="M20523" s="202"/>
    </row>
    <row r="20524" spans="13:13">
      <c r="M20524" s="202"/>
    </row>
    <row r="20525" spans="13:13">
      <c r="M20525" s="202"/>
    </row>
    <row r="20526" spans="13:13">
      <c r="M20526" s="202"/>
    </row>
    <row r="20527" spans="13:13">
      <c r="M20527" s="202"/>
    </row>
    <row r="20528" spans="13:13">
      <c r="M20528" s="202"/>
    </row>
    <row r="20529" spans="13:13">
      <c r="M20529" s="202"/>
    </row>
    <row r="20530" spans="13:13">
      <c r="M20530" s="202"/>
    </row>
    <row r="20531" spans="13:13">
      <c r="M20531" s="202"/>
    </row>
    <row r="20532" spans="13:13">
      <c r="M20532" s="202"/>
    </row>
    <row r="20533" spans="13:13">
      <c r="M20533" s="202"/>
    </row>
    <row r="20534" spans="13:13">
      <c r="M20534" s="202"/>
    </row>
    <row r="20535" spans="13:13">
      <c r="M20535" s="202"/>
    </row>
    <row r="20536" spans="13:13">
      <c r="M20536" s="202"/>
    </row>
    <row r="20537" spans="13:13">
      <c r="M20537" s="202"/>
    </row>
    <row r="20538" spans="13:13">
      <c r="M20538" s="202"/>
    </row>
    <row r="20539" spans="13:13">
      <c r="M20539" s="202"/>
    </row>
    <row r="20540" spans="13:13">
      <c r="M20540" s="202"/>
    </row>
    <row r="20541" spans="13:13">
      <c r="M20541" s="202"/>
    </row>
    <row r="20542" spans="13:13">
      <c r="M20542" s="202"/>
    </row>
    <row r="20543" spans="13:13">
      <c r="M20543" s="202"/>
    </row>
    <row r="20544" spans="13:13">
      <c r="M20544" s="202"/>
    </row>
    <row r="20545" spans="13:13">
      <c r="M20545" s="202"/>
    </row>
    <row r="20546" spans="13:13">
      <c r="M20546" s="202"/>
    </row>
    <row r="20547" spans="13:13">
      <c r="M20547" s="202"/>
    </row>
    <row r="20548" spans="13:13">
      <c r="M20548" s="202"/>
    </row>
    <row r="20549" spans="13:13">
      <c r="M20549" s="202"/>
    </row>
    <row r="20550" spans="13:13">
      <c r="M20550" s="202"/>
    </row>
    <row r="20551" spans="13:13">
      <c r="M20551" s="202"/>
    </row>
    <row r="20552" spans="13:13">
      <c r="M20552" s="202"/>
    </row>
    <row r="20553" spans="13:13">
      <c r="M20553" s="202"/>
    </row>
    <row r="20554" spans="13:13">
      <c r="M20554" s="202"/>
    </row>
    <row r="20555" spans="13:13">
      <c r="M20555" s="202"/>
    </row>
    <row r="20556" spans="13:13">
      <c r="M20556" s="202"/>
    </row>
    <row r="20557" spans="13:13">
      <c r="M20557" s="202"/>
    </row>
    <row r="20558" spans="13:13">
      <c r="M20558" s="202"/>
    </row>
    <row r="20559" spans="13:13">
      <c r="M20559" s="202"/>
    </row>
    <row r="20560" spans="13:13">
      <c r="M20560" s="202"/>
    </row>
    <row r="20561" spans="13:13">
      <c r="M20561" s="202"/>
    </row>
    <row r="20562" spans="13:13">
      <c r="M20562" s="202"/>
    </row>
    <row r="20563" spans="13:13">
      <c r="M20563" s="202"/>
    </row>
    <row r="20564" spans="13:13">
      <c r="M20564" s="202"/>
    </row>
    <row r="20565" spans="13:13">
      <c r="M20565" s="202"/>
    </row>
    <row r="20566" spans="13:13">
      <c r="M20566" s="202"/>
    </row>
    <row r="20567" spans="13:13">
      <c r="M20567" s="202"/>
    </row>
    <row r="20568" spans="13:13">
      <c r="M20568" s="202"/>
    </row>
    <row r="20569" spans="13:13">
      <c r="M20569" s="202"/>
    </row>
    <row r="20570" spans="13:13">
      <c r="M20570" s="202"/>
    </row>
    <row r="20571" spans="13:13">
      <c r="M20571" s="202"/>
    </row>
    <row r="20572" spans="13:13">
      <c r="M20572" s="202"/>
    </row>
    <row r="20573" spans="13:13">
      <c r="M20573" s="202"/>
    </row>
    <row r="20574" spans="13:13">
      <c r="M20574" s="202"/>
    </row>
    <row r="20575" spans="13:13">
      <c r="M20575" s="202"/>
    </row>
    <row r="20576" spans="13:13">
      <c r="M20576" s="202"/>
    </row>
    <row r="20577" spans="13:13">
      <c r="M20577" s="202"/>
    </row>
    <row r="20578" spans="13:13">
      <c r="M20578" s="202"/>
    </row>
    <row r="20579" spans="13:13">
      <c r="M20579" s="202"/>
    </row>
    <row r="20580" spans="13:13">
      <c r="M20580" s="202"/>
    </row>
    <row r="20581" spans="13:13">
      <c r="M20581" s="202"/>
    </row>
    <row r="20582" spans="13:13">
      <c r="M20582" s="202"/>
    </row>
    <row r="20583" spans="13:13">
      <c r="M20583" s="202"/>
    </row>
    <row r="20584" spans="13:13">
      <c r="M20584" s="202"/>
    </row>
    <row r="20585" spans="13:13">
      <c r="M20585" s="202"/>
    </row>
    <row r="20586" spans="13:13">
      <c r="M20586" s="202"/>
    </row>
    <row r="20587" spans="13:13">
      <c r="M20587" s="202"/>
    </row>
    <row r="20588" spans="13:13">
      <c r="M20588" s="202"/>
    </row>
    <row r="20589" spans="13:13">
      <c r="M20589" s="202"/>
    </row>
    <row r="20590" spans="13:13">
      <c r="M20590" s="202"/>
    </row>
    <row r="20591" spans="13:13">
      <c r="M20591" s="202"/>
    </row>
    <row r="20592" spans="13:13">
      <c r="M20592" s="202"/>
    </row>
    <row r="20593" spans="13:13">
      <c r="M20593" s="202"/>
    </row>
    <row r="20594" spans="13:13">
      <c r="M20594" s="202"/>
    </row>
    <row r="20595" spans="13:13">
      <c r="M20595" s="202"/>
    </row>
    <row r="20596" spans="13:13">
      <c r="M20596" s="202"/>
    </row>
    <row r="20597" spans="13:13">
      <c r="M20597" s="202"/>
    </row>
    <row r="20598" spans="13:13">
      <c r="M20598" s="202"/>
    </row>
    <row r="20599" spans="13:13">
      <c r="M20599" s="202"/>
    </row>
    <row r="20600" spans="13:13">
      <c r="M20600" s="202"/>
    </row>
    <row r="20601" spans="13:13">
      <c r="M20601" s="202"/>
    </row>
    <row r="20602" spans="13:13">
      <c r="M20602" s="202"/>
    </row>
    <row r="20603" spans="13:13">
      <c r="M20603" s="202"/>
    </row>
    <row r="20604" spans="13:13">
      <c r="M20604" s="202"/>
    </row>
    <row r="20605" spans="13:13">
      <c r="M20605" s="202"/>
    </row>
    <row r="20606" spans="13:13">
      <c r="M20606" s="202"/>
    </row>
    <row r="20607" spans="13:13">
      <c r="M20607" s="202"/>
    </row>
    <row r="20608" spans="13:13">
      <c r="M20608" s="202"/>
    </row>
    <row r="20609" spans="13:13">
      <c r="M20609" s="202"/>
    </row>
    <row r="20610" spans="13:13">
      <c r="M20610" s="202"/>
    </row>
    <row r="20611" spans="13:13">
      <c r="M20611" s="202"/>
    </row>
    <row r="20612" spans="13:13">
      <c r="M20612" s="202"/>
    </row>
    <row r="20613" spans="13:13">
      <c r="M20613" s="202"/>
    </row>
    <row r="20614" spans="13:13">
      <c r="M20614" s="202"/>
    </row>
    <row r="20615" spans="13:13">
      <c r="M20615" s="202"/>
    </row>
    <row r="20616" spans="13:13">
      <c r="M20616" s="202"/>
    </row>
    <row r="20617" spans="13:13">
      <c r="M20617" s="202"/>
    </row>
    <row r="20618" spans="13:13">
      <c r="M20618" s="202"/>
    </row>
    <row r="20619" spans="13:13">
      <c r="M20619" s="202"/>
    </row>
    <row r="20620" spans="13:13">
      <c r="M20620" s="202"/>
    </row>
    <row r="20621" spans="13:13">
      <c r="M20621" s="202"/>
    </row>
    <row r="20622" spans="13:13">
      <c r="M20622" s="202"/>
    </row>
    <row r="20623" spans="13:13">
      <c r="M20623" s="202"/>
    </row>
    <row r="20624" spans="13:13">
      <c r="M20624" s="202"/>
    </row>
    <row r="20625" spans="13:13">
      <c r="M20625" s="202"/>
    </row>
    <row r="20626" spans="13:13">
      <c r="M20626" s="202"/>
    </row>
    <row r="20627" spans="13:13">
      <c r="M20627" s="202"/>
    </row>
    <row r="20628" spans="13:13">
      <c r="M20628" s="202"/>
    </row>
    <row r="20629" spans="13:13">
      <c r="M20629" s="202"/>
    </row>
    <row r="20630" spans="13:13">
      <c r="M20630" s="202"/>
    </row>
    <row r="20631" spans="13:13">
      <c r="M20631" s="202"/>
    </row>
    <row r="20632" spans="13:13">
      <c r="M20632" s="202"/>
    </row>
    <row r="20633" spans="13:13">
      <c r="M20633" s="202"/>
    </row>
    <row r="20634" spans="13:13">
      <c r="M20634" s="202"/>
    </row>
    <row r="20635" spans="13:13">
      <c r="M20635" s="202"/>
    </row>
    <row r="20636" spans="13:13">
      <c r="M20636" s="202"/>
    </row>
    <row r="20637" spans="13:13">
      <c r="M20637" s="202"/>
    </row>
    <row r="20638" spans="13:13">
      <c r="M20638" s="202"/>
    </row>
    <row r="20639" spans="13:13">
      <c r="M20639" s="202"/>
    </row>
    <row r="20640" spans="13:13">
      <c r="M20640" s="202"/>
    </row>
    <row r="20641" spans="13:13">
      <c r="M20641" s="202"/>
    </row>
    <row r="20642" spans="13:13">
      <c r="M20642" s="202"/>
    </row>
    <row r="20643" spans="13:13">
      <c r="M20643" s="202"/>
    </row>
    <row r="20644" spans="13:13">
      <c r="M20644" s="202"/>
    </row>
    <row r="20645" spans="13:13">
      <c r="M20645" s="202"/>
    </row>
    <row r="20646" spans="13:13">
      <c r="M20646" s="202"/>
    </row>
    <row r="20647" spans="13:13">
      <c r="M20647" s="202"/>
    </row>
    <row r="20648" spans="13:13">
      <c r="M20648" s="202"/>
    </row>
    <row r="20649" spans="13:13">
      <c r="M20649" s="202"/>
    </row>
    <row r="20650" spans="13:13">
      <c r="M20650" s="202"/>
    </row>
    <row r="20651" spans="13:13">
      <c r="M20651" s="202"/>
    </row>
    <row r="20652" spans="13:13">
      <c r="M20652" s="202"/>
    </row>
    <row r="20653" spans="13:13">
      <c r="M20653" s="202"/>
    </row>
    <row r="20654" spans="13:13">
      <c r="M20654" s="202"/>
    </row>
    <row r="20655" spans="13:13">
      <c r="M20655" s="202"/>
    </row>
    <row r="20656" spans="13:13">
      <c r="M20656" s="202"/>
    </row>
    <row r="20657" spans="13:13">
      <c r="M20657" s="202"/>
    </row>
    <row r="20658" spans="13:13">
      <c r="M20658" s="202"/>
    </row>
    <row r="20659" spans="13:13">
      <c r="M20659" s="202"/>
    </row>
    <row r="20660" spans="13:13">
      <c r="M20660" s="202"/>
    </row>
    <row r="20661" spans="13:13">
      <c r="M20661" s="202"/>
    </row>
    <row r="20662" spans="13:13">
      <c r="M20662" s="202"/>
    </row>
    <row r="20663" spans="13:13">
      <c r="M20663" s="202"/>
    </row>
    <row r="20664" spans="13:13">
      <c r="M20664" s="202"/>
    </row>
    <row r="20665" spans="13:13">
      <c r="M20665" s="202"/>
    </row>
    <row r="20666" spans="13:13">
      <c r="M20666" s="202"/>
    </row>
    <row r="20667" spans="13:13">
      <c r="M20667" s="202"/>
    </row>
    <row r="20668" spans="13:13">
      <c r="M20668" s="202"/>
    </row>
    <row r="20669" spans="13:13">
      <c r="M20669" s="202"/>
    </row>
    <row r="20670" spans="13:13">
      <c r="M20670" s="202"/>
    </row>
    <row r="20671" spans="13:13">
      <c r="M20671" s="202"/>
    </row>
    <row r="20672" spans="13:13">
      <c r="M20672" s="202"/>
    </row>
    <row r="20673" spans="13:13">
      <c r="M20673" s="202"/>
    </row>
    <row r="20674" spans="13:13">
      <c r="M20674" s="202"/>
    </row>
    <row r="20675" spans="13:13">
      <c r="M20675" s="202"/>
    </row>
    <row r="20676" spans="13:13">
      <c r="M20676" s="202"/>
    </row>
    <row r="20677" spans="13:13">
      <c r="M20677" s="202"/>
    </row>
    <row r="20678" spans="13:13">
      <c r="M20678" s="202"/>
    </row>
    <row r="20679" spans="13:13">
      <c r="M20679" s="202"/>
    </row>
    <row r="20680" spans="13:13">
      <c r="M20680" s="202"/>
    </row>
    <row r="20681" spans="13:13">
      <c r="M20681" s="202"/>
    </row>
    <row r="20682" spans="13:13">
      <c r="M20682" s="202"/>
    </row>
    <row r="20683" spans="13:13">
      <c r="M20683" s="202"/>
    </row>
    <row r="20684" spans="13:13">
      <c r="M20684" s="202"/>
    </row>
    <row r="20685" spans="13:13">
      <c r="M20685" s="202"/>
    </row>
    <row r="20686" spans="13:13">
      <c r="M20686" s="202"/>
    </row>
    <row r="20687" spans="13:13">
      <c r="M20687" s="202"/>
    </row>
    <row r="20688" spans="13:13">
      <c r="M20688" s="202"/>
    </row>
    <row r="20689" spans="13:13">
      <c r="M20689" s="202"/>
    </row>
    <row r="20690" spans="13:13">
      <c r="M20690" s="202"/>
    </row>
    <row r="20691" spans="13:13">
      <c r="M20691" s="202"/>
    </row>
    <row r="20692" spans="13:13">
      <c r="M20692" s="202"/>
    </row>
    <row r="20693" spans="13:13">
      <c r="M20693" s="202"/>
    </row>
    <row r="20694" spans="13:13">
      <c r="M20694" s="202"/>
    </row>
    <row r="20695" spans="13:13">
      <c r="M20695" s="202"/>
    </row>
    <row r="20696" spans="13:13">
      <c r="M20696" s="202"/>
    </row>
    <row r="20697" spans="13:13">
      <c r="M20697" s="202"/>
    </row>
    <row r="20698" spans="13:13">
      <c r="M20698" s="202"/>
    </row>
    <row r="20699" spans="13:13">
      <c r="M20699" s="202"/>
    </row>
    <row r="20700" spans="13:13">
      <c r="M20700" s="202"/>
    </row>
    <row r="20701" spans="13:13">
      <c r="M20701" s="202"/>
    </row>
    <row r="20702" spans="13:13">
      <c r="M20702" s="202"/>
    </row>
    <row r="20703" spans="13:13">
      <c r="M20703" s="202"/>
    </row>
    <row r="20704" spans="13:13">
      <c r="M20704" s="202"/>
    </row>
    <row r="20705" spans="13:13">
      <c r="M20705" s="202"/>
    </row>
    <row r="20706" spans="13:13">
      <c r="M20706" s="202"/>
    </row>
    <row r="20707" spans="13:13">
      <c r="M20707" s="202"/>
    </row>
    <row r="20708" spans="13:13">
      <c r="M20708" s="202"/>
    </row>
    <row r="20709" spans="13:13">
      <c r="M20709" s="202"/>
    </row>
    <row r="20710" spans="13:13">
      <c r="M20710" s="202"/>
    </row>
    <row r="20711" spans="13:13">
      <c r="M20711" s="202"/>
    </row>
    <row r="20712" spans="13:13">
      <c r="M20712" s="202"/>
    </row>
    <row r="20713" spans="13:13">
      <c r="M20713" s="202"/>
    </row>
    <row r="20714" spans="13:13">
      <c r="M20714" s="202"/>
    </row>
    <row r="20715" spans="13:13">
      <c r="M20715" s="202"/>
    </row>
    <row r="20716" spans="13:13">
      <c r="M20716" s="202"/>
    </row>
    <row r="20717" spans="13:13">
      <c r="M20717" s="202"/>
    </row>
    <row r="20718" spans="13:13">
      <c r="M20718" s="202"/>
    </row>
    <row r="20719" spans="13:13">
      <c r="M20719" s="202"/>
    </row>
    <row r="20720" spans="13:13">
      <c r="M20720" s="202"/>
    </row>
    <row r="20721" spans="13:13">
      <c r="M20721" s="202"/>
    </row>
    <row r="20722" spans="13:13">
      <c r="M20722" s="202"/>
    </row>
    <row r="20723" spans="13:13">
      <c r="M20723" s="202"/>
    </row>
    <row r="20724" spans="13:13">
      <c r="M20724" s="202"/>
    </row>
    <row r="20725" spans="13:13">
      <c r="M20725" s="202"/>
    </row>
    <row r="20726" spans="13:13">
      <c r="M20726" s="202"/>
    </row>
    <row r="20727" spans="13:13">
      <c r="M20727" s="202"/>
    </row>
    <row r="20728" spans="13:13">
      <c r="M20728" s="202"/>
    </row>
    <row r="20729" spans="13:13">
      <c r="M20729" s="202"/>
    </row>
    <row r="20730" spans="13:13">
      <c r="M20730" s="202"/>
    </row>
    <row r="20731" spans="13:13">
      <c r="M20731" s="202"/>
    </row>
    <row r="20732" spans="13:13">
      <c r="M20732" s="202"/>
    </row>
    <row r="20733" spans="13:13">
      <c r="M20733" s="202"/>
    </row>
    <row r="20734" spans="13:13">
      <c r="M20734" s="202"/>
    </row>
    <row r="20735" spans="13:13">
      <c r="M20735" s="202"/>
    </row>
    <row r="20736" spans="13:13">
      <c r="M20736" s="202"/>
    </row>
    <row r="20737" spans="13:13">
      <c r="M20737" s="202"/>
    </row>
    <row r="20738" spans="13:13">
      <c r="M20738" s="202"/>
    </row>
    <row r="20739" spans="13:13">
      <c r="M20739" s="202"/>
    </row>
    <row r="20740" spans="13:13">
      <c r="M20740" s="202"/>
    </row>
    <row r="20741" spans="13:13">
      <c r="M20741" s="202"/>
    </row>
    <row r="20742" spans="13:13">
      <c r="M20742" s="202"/>
    </row>
    <row r="20743" spans="13:13">
      <c r="M20743" s="202"/>
    </row>
    <row r="20744" spans="13:13">
      <c r="M20744" s="202"/>
    </row>
    <row r="20745" spans="13:13">
      <c r="M20745" s="202"/>
    </row>
    <row r="20746" spans="13:13">
      <c r="M20746" s="202"/>
    </row>
    <row r="20747" spans="13:13">
      <c r="M20747" s="202"/>
    </row>
    <row r="20748" spans="13:13">
      <c r="M20748" s="202"/>
    </row>
    <row r="20749" spans="13:13">
      <c r="M20749" s="202"/>
    </row>
    <row r="20750" spans="13:13">
      <c r="M20750" s="202"/>
    </row>
    <row r="20751" spans="13:13">
      <c r="M20751" s="202"/>
    </row>
    <row r="20752" spans="13:13">
      <c r="M20752" s="202"/>
    </row>
    <row r="20753" spans="13:13">
      <c r="M20753" s="202"/>
    </row>
    <row r="20754" spans="13:13">
      <c r="M20754" s="202"/>
    </row>
    <row r="20755" spans="13:13">
      <c r="M20755" s="202"/>
    </row>
    <row r="20756" spans="13:13">
      <c r="M20756" s="202"/>
    </row>
    <row r="20757" spans="13:13">
      <c r="M20757" s="202"/>
    </row>
    <row r="20758" spans="13:13">
      <c r="M20758" s="202"/>
    </row>
    <row r="20759" spans="13:13">
      <c r="M20759" s="202"/>
    </row>
    <row r="20760" spans="13:13">
      <c r="M20760" s="202"/>
    </row>
    <row r="20761" spans="13:13">
      <c r="M20761" s="202"/>
    </row>
    <row r="20762" spans="13:13">
      <c r="M20762" s="202"/>
    </row>
    <row r="20763" spans="13:13">
      <c r="M20763" s="202"/>
    </row>
    <row r="20764" spans="13:13">
      <c r="M20764" s="202"/>
    </row>
    <row r="20765" spans="13:13">
      <c r="M20765" s="202"/>
    </row>
    <row r="20766" spans="13:13">
      <c r="M20766" s="202"/>
    </row>
    <row r="20767" spans="13:13">
      <c r="M20767" s="202"/>
    </row>
    <row r="20768" spans="13:13">
      <c r="M20768" s="202"/>
    </row>
    <row r="20769" spans="13:13">
      <c r="M20769" s="202"/>
    </row>
    <row r="20770" spans="13:13">
      <c r="M20770" s="202"/>
    </row>
    <row r="20771" spans="13:13">
      <c r="M20771" s="202"/>
    </row>
    <row r="20772" spans="13:13">
      <c r="M20772" s="202"/>
    </row>
    <row r="20773" spans="13:13">
      <c r="M20773" s="202"/>
    </row>
    <row r="20774" spans="13:13">
      <c r="M20774" s="202"/>
    </row>
    <row r="20775" spans="13:13">
      <c r="M20775" s="202"/>
    </row>
    <row r="20776" spans="13:13">
      <c r="M20776" s="202"/>
    </row>
    <row r="20777" spans="13:13">
      <c r="M20777" s="202"/>
    </row>
    <row r="20778" spans="13:13">
      <c r="M20778" s="202"/>
    </row>
    <row r="20779" spans="13:13">
      <c r="M20779" s="202"/>
    </row>
    <row r="20780" spans="13:13">
      <c r="M20780" s="202"/>
    </row>
    <row r="20781" spans="13:13">
      <c r="M20781" s="202"/>
    </row>
    <row r="20782" spans="13:13">
      <c r="M20782" s="202"/>
    </row>
    <row r="20783" spans="13:13">
      <c r="M20783" s="202"/>
    </row>
    <row r="20784" spans="13:13">
      <c r="M20784" s="202"/>
    </row>
    <row r="20785" spans="13:13">
      <c r="M20785" s="202"/>
    </row>
    <row r="20786" spans="13:13">
      <c r="M20786" s="202"/>
    </row>
    <row r="20787" spans="13:13">
      <c r="M20787" s="202"/>
    </row>
    <row r="20788" spans="13:13">
      <c r="M20788" s="202"/>
    </row>
    <row r="20789" spans="13:13">
      <c r="M20789" s="202"/>
    </row>
    <row r="20790" spans="13:13">
      <c r="M20790" s="202"/>
    </row>
    <row r="20791" spans="13:13">
      <c r="M20791" s="202"/>
    </row>
    <row r="20792" spans="13:13">
      <c r="M20792" s="202"/>
    </row>
    <row r="20793" spans="13:13">
      <c r="M20793" s="202"/>
    </row>
    <row r="20794" spans="13:13">
      <c r="M20794" s="202"/>
    </row>
    <row r="20795" spans="13:13">
      <c r="M20795" s="202"/>
    </row>
    <row r="20796" spans="13:13">
      <c r="M20796" s="202"/>
    </row>
    <row r="20797" spans="13:13">
      <c r="M20797" s="202"/>
    </row>
    <row r="20798" spans="13:13">
      <c r="M20798" s="202"/>
    </row>
    <row r="20799" spans="13:13">
      <c r="M20799" s="202"/>
    </row>
    <row r="20800" spans="13:13">
      <c r="M20800" s="202"/>
    </row>
    <row r="20801" spans="13:13">
      <c r="M20801" s="202"/>
    </row>
    <row r="20802" spans="13:13">
      <c r="M20802" s="202"/>
    </row>
    <row r="20803" spans="13:13">
      <c r="M20803" s="202"/>
    </row>
    <row r="20804" spans="13:13">
      <c r="M20804" s="202"/>
    </row>
    <row r="20805" spans="13:13">
      <c r="M20805" s="202"/>
    </row>
    <row r="20806" spans="13:13">
      <c r="M20806" s="202"/>
    </row>
    <row r="20807" spans="13:13">
      <c r="M20807" s="202"/>
    </row>
    <row r="20808" spans="13:13">
      <c r="M20808" s="202"/>
    </row>
    <row r="20809" spans="13:13">
      <c r="M20809" s="202"/>
    </row>
    <row r="20810" spans="13:13">
      <c r="M20810" s="202"/>
    </row>
    <row r="20811" spans="13:13">
      <c r="M20811" s="202"/>
    </row>
    <row r="20812" spans="13:13">
      <c r="M20812" s="202"/>
    </row>
    <row r="20813" spans="13:13">
      <c r="M20813" s="202"/>
    </row>
    <row r="20814" spans="13:13">
      <c r="M20814" s="202"/>
    </row>
    <row r="20815" spans="13:13">
      <c r="M20815" s="202"/>
    </row>
    <row r="20816" spans="13:13">
      <c r="M20816" s="202"/>
    </row>
    <row r="20817" spans="13:13">
      <c r="M20817" s="202"/>
    </row>
    <row r="20818" spans="13:13">
      <c r="M20818" s="202"/>
    </row>
    <row r="20819" spans="13:13">
      <c r="M20819" s="202"/>
    </row>
    <row r="20820" spans="13:13">
      <c r="M20820" s="202"/>
    </row>
    <row r="20821" spans="13:13">
      <c r="M20821" s="202"/>
    </row>
    <row r="20822" spans="13:13">
      <c r="M20822" s="202"/>
    </row>
    <row r="20823" spans="13:13">
      <c r="M20823" s="202"/>
    </row>
    <row r="20824" spans="13:13">
      <c r="M20824" s="202"/>
    </row>
    <row r="20825" spans="13:13">
      <c r="M20825" s="202"/>
    </row>
    <row r="20826" spans="13:13">
      <c r="M20826" s="202"/>
    </row>
    <row r="20827" spans="13:13">
      <c r="M20827" s="202"/>
    </row>
    <row r="20828" spans="13:13">
      <c r="M20828" s="202"/>
    </row>
    <row r="20829" spans="13:13">
      <c r="M20829" s="202"/>
    </row>
    <row r="20830" spans="13:13">
      <c r="M20830" s="202"/>
    </row>
    <row r="20831" spans="13:13">
      <c r="M20831" s="202"/>
    </row>
    <row r="20832" spans="13:13">
      <c r="M20832" s="202"/>
    </row>
    <row r="20833" spans="13:13">
      <c r="M20833" s="202"/>
    </row>
    <row r="20834" spans="13:13">
      <c r="M20834" s="202"/>
    </row>
    <row r="20835" spans="13:13">
      <c r="M20835" s="202"/>
    </row>
    <row r="20836" spans="13:13">
      <c r="M20836" s="202"/>
    </row>
    <row r="20837" spans="13:13">
      <c r="M20837" s="202"/>
    </row>
    <row r="20838" spans="13:13">
      <c r="M20838" s="202"/>
    </row>
    <row r="20839" spans="13:13">
      <c r="M20839" s="202"/>
    </row>
    <row r="20840" spans="13:13">
      <c r="M20840" s="202"/>
    </row>
    <row r="20841" spans="13:13">
      <c r="M20841" s="202"/>
    </row>
    <row r="20842" spans="13:13">
      <c r="M20842" s="202"/>
    </row>
    <row r="20843" spans="13:13">
      <c r="M20843" s="202"/>
    </row>
    <row r="20844" spans="13:13">
      <c r="M20844" s="202"/>
    </row>
    <row r="20845" spans="13:13">
      <c r="M20845" s="202"/>
    </row>
    <row r="20846" spans="13:13">
      <c r="M20846" s="202"/>
    </row>
    <row r="20847" spans="13:13">
      <c r="M20847" s="202"/>
    </row>
    <row r="20848" spans="13:13">
      <c r="M20848" s="202"/>
    </row>
    <row r="20849" spans="13:13">
      <c r="M20849" s="202"/>
    </row>
    <row r="20850" spans="13:13">
      <c r="M20850" s="202"/>
    </row>
    <row r="20851" spans="13:13">
      <c r="M20851" s="202"/>
    </row>
    <row r="20852" spans="13:13">
      <c r="M20852" s="202"/>
    </row>
    <row r="20853" spans="13:13">
      <c r="M20853" s="202"/>
    </row>
    <row r="20854" spans="13:13">
      <c r="M20854" s="202"/>
    </row>
    <row r="20855" spans="13:13">
      <c r="M20855" s="202"/>
    </row>
    <row r="20856" spans="13:13">
      <c r="M20856" s="202"/>
    </row>
    <row r="20857" spans="13:13">
      <c r="M20857" s="202"/>
    </row>
    <row r="20858" spans="13:13">
      <c r="M20858" s="202"/>
    </row>
    <row r="20859" spans="13:13">
      <c r="M20859" s="202"/>
    </row>
    <row r="20860" spans="13:13">
      <c r="M20860" s="202"/>
    </row>
    <row r="20861" spans="13:13">
      <c r="M20861" s="202"/>
    </row>
    <row r="20862" spans="13:13">
      <c r="M20862" s="202"/>
    </row>
    <row r="20863" spans="13:13">
      <c r="M20863" s="202"/>
    </row>
    <row r="20864" spans="13:13">
      <c r="M20864" s="202"/>
    </row>
    <row r="20865" spans="13:13">
      <c r="M20865" s="202"/>
    </row>
    <row r="20866" spans="13:13">
      <c r="M20866" s="202"/>
    </row>
    <row r="20867" spans="13:13">
      <c r="M20867" s="202"/>
    </row>
    <row r="20868" spans="13:13">
      <c r="M20868" s="202"/>
    </row>
    <row r="20869" spans="13:13">
      <c r="M20869" s="202"/>
    </row>
    <row r="20870" spans="13:13">
      <c r="M20870" s="202"/>
    </row>
    <row r="20871" spans="13:13">
      <c r="M20871" s="202"/>
    </row>
    <row r="20872" spans="13:13">
      <c r="M20872" s="202"/>
    </row>
    <row r="20873" spans="13:13">
      <c r="M20873" s="202"/>
    </row>
    <row r="20874" spans="13:13">
      <c r="M20874" s="202"/>
    </row>
    <row r="20875" spans="13:13">
      <c r="M20875" s="202"/>
    </row>
    <row r="20876" spans="13:13">
      <c r="M20876" s="202"/>
    </row>
    <row r="20877" spans="13:13">
      <c r="M20877" s="202"/>
    </row>
    <row r="20878" spans="13:13">
      <c r="M20878" s="202"/>
    </row>
    <row r="20879" spans="13:13">
      <c r="M20879" s="202"/>
    </row>
    <row r="20880" spans="13:13">
      <c r="M20880" s="202"/>
    </row>
    <row r="20881" spans="13:13">
      <c r="M20881" s="202"/>
    </row>
    <row r="20882" spans="13:13">
      <c r="M20882" s="202"/>
    </row>
    <row r="20883" spans="13:13">
      <c r="M20883" s="202"/>
    </row>
    <row r="20884" spans="13:13">
      <c r="M20884" s="202"/>
    </row>
    <row r="20885" spans="13:13">
      <c r="M20885" s="202"/>
    </row>
    <row r="20886" spans="13:13">
      <c r="M20886" s="202"/>
    </row>
    <row r="20887" spans="13:13">
      <c r="M20887" s="202"/>
    </row>
    <row r="20888" spans="13:13">
      <c r="M20888" s="202"/>
    </row>
    <row r="20889" spans="13:13">
      <c r="M20889" s="202"/>
    </row>
    <row r="20890" spans="13:13">
      <c r="M20890" s="202"/>
    </row>
    <row r="20891" spans="13:13">
      <c r="M20891" s="202"/>
    </row>
    <row r="20892" spans="13:13">
      <c r="M20892" s="202"/>
    </row>
    <row r="20893" spans="13:13">
      <c r="M20893" s="202"/>
    </row>
    <row r="20894" spans="13:13">
      <c r="M20894" s="202"/>
    </row>
    <row r="20895" spans="13:13">
      <c r="M20895" s="202"/>
    </row>
    <row r="20896" spans="13:13">
      <c r="M20896" s="202"/>
    </row>
    <row r="20897" spans="13:13">
      <c r="M20897" s="202"/>
    </row>
    <row r="20898" spans="13:13">
      <c r="M20898" s="202"/>
    </row>
    <row r="20899" spans="13:13">
      <c r="M20899" s="202"/>
    </row>
    <row r="20900" spans="13:13">
      <c r="M20900" s="202"/>
    </row>
    <row r="20901" spans="13:13">
      <c r="M20901" s="202"/>
    </row>
    <row r="20902" spans="13:13">
      <c r="M20902" s="202"/>
    </row>
    <row r="20903" spans="13:13">
      <c r="M20903" s="202"/>
    </row>
    <row r="20904" spans="13:13">
      <c r="M20904" s="202"/>
    </row>
    <row r="20905" spans="13:13">
      <c r="M20905" s="202"/>
    </row>
    <row r="20906" spans="13:13">
      <c r="M20906" s="202"/>
    </row>
    <row r="20907" spans="13:13">
      <c r="M20907" s="202"/>
    </row>
    <row r="20908" spans="13:13">
      <c r="M20908" s="202"/>
    </row>
    <row r="20909" spans="13:13">
      <c r="M20909" s="202"/>
    </row>
    <row r="20910" spans="13:13">
      <c r="M20910" s="202"/>
    </row>
    <row r="20911" spans="13:13">
      <c r="M20911" s="202"/>
    </row>
    <row r="20912" spans="13:13">
      <c r="M20912" s="202"/>
    </row>
    <row r="20913" spans="13:13">
      <c r="M20913" s="202"/>
    </row>
    <row r="20914" spans="13:13">
      <c r="M20914" s="202"/>
    </row>
    <row r="20915" spans="13:13">
      <c r="M20915" s="202"/>
    </row>
    <row r="20916" spans="13:13">
      <c r="M20916" s="202"/>
    </row>
    <row r="20917" spans="13:13">
      <c r="M20917" s="202"/>
    </row>
    <row r="20918" spans="13:13">
      <c r="M20918" s="202"/>
    </row>
    <row r="20919" spans="13:13">
      <c r="M20919" s="202"/>
    </row>
    <row r="20920" spans="13:13">
      <c r="M20920" s="202"/>
    </row>
    <row r="20921" spans="13:13">
      <c r="M20921" s="202"/>
    </row>
    <row r="20922" spans="13:13">
      <c r="M20922" s="202"/>
    </row>
    <row r="20923" spans="13:13">
      <c r="M20923" s="202"/>
    </row>
    <row r="20924" spans="13:13">
      <c r="M20924" s="202"/>
    </row>
    <row r="20925" spans="13:13">
      <c r="M20925" s="202"/>
    </row>
    <row r="20926" spans="13:13">
      <c r="M20926" s="202"/>
    </row>
    <row r="20927" spans="13:13">
      <c r="M20927" s="202"/>
    </row>
    <row r="20928" spans="13:13">
      <c r="M20928" s="202"/>
    </row>
    <row r="20929" spans="13:13">
      <c r="M20929" s="202"/>
    </row>
    <row r="20930" spans="13:13">
      <c r="M20930" s="202"/>
    </row>
    <row r="20931" spans="13:13">
      <c r="M20931" s="202"/>
    </row>
    <row r="20932" spans="13:13">
      <c r="M20932" s="202"/>
    </row>
    <row r="20933" spans="13:13">
      <c r="M20933" s="202"/>
    </row>
    <row r="20934" spans="13:13">
      <c r="M20934" s="202"/>
    </row>
    <row r="20935" spans="13:13">
      <c r="M20935" s="202"/>
    </row>
    <row r="20936" spans="13:13">
      <c r="M20936" s="202"/>
    </row>
    <row r="20937" spans="13:13">
      <c r="M20937" s="202"/>
    </row>
    <row r="20938" spans="13:13">
      <c r="M20938" s="202"/>
    </row>
    <row r="20939" spans="13:13">
      <c r="M20939" s="202"/>
    </row>
    <row r="20940" spans="13:13">
      <c r="M20940" s="202"/>
    </row>
    <row r="20941" spans="13:13">
      <c r="M20941" s="202"/>
    </row>
    <row r="20942" spans="13:13">
      <c r="M20942" s="202"/>
    </row>
    <row r="20943" spans="13:13">
      <c r="M20943" s="202"/>
    </row>
    <row r="20944" spans="13:13">
      <c r="M20944" s="202"/>
    </row>
    <row r="20945" spans="13:13">
      <c r="M20945" s="202"/>
    </row>
    <row r="20946" spans="13:13">
      <c r="M20946" s="202"/>
    </row>
    <row r="20947" spans="13:13">
      <c r="M20947" s="202"/>
    </row>
    <row r="20948" spans="13:13">
      <c r="M20948" s="202"/>
    </row>
    <row r="20949" spans="13:13">
      <c r="M20949" s="202"/>
    </row>
    <row r="20950" spans="13:13">
      <c r="M20950" s="202"/>
    </row>
    <row r="20951" spans="13:13">
      <c r="M20951" s="202"/>
    </row>
    <row r="20952" spans="13:13">
      <c r="M20952" s="202"/>
    </row>
    <row r="20953" spans="13:13">
      <c r="M20953" s="202"/>
    </row>
    <row r="20954" spans="13:13">
      <c r="M20954" s="202"/>
    </row>
    <row r="20955" spans="13:13">
      <c r="M20955" s="202"/>
    </row>
    <row r="20956" spans="13:13">
      <c r="M20956" s="202"/>
    </row>
    <row r="20957" spans="13:13">
      <c r="M20957" s="202"/>
    </row>
    <row r="20958" spans="13:13">
      <c r="M20958" s="202"/>
    </row>
    <row r="20959" spans="13:13">
      <c r="M20959" s="202"/>
    </row>
    <row r="20960" spans="13:13">
      <c r="M20960" s="202"/>
    </row>
    <row r="20961" spans="13:13">
      <c r="M20961" s="202"/>
    </row>
    <row r="20962" spans="13:13">
      <c r="M20962" s="202"/>
    </row>
    <row r="20963" spans="13:13">
      <c r="M20963" s="202"/>
    </row>
    <row r="20964" spans="13:13">
      <c r="M20964" s="202"/>
    </row>
    <row r="20965" spans="13:13">
      <c r="M20965" s="202"/>
    </row>
    <row r="20966" spans="13:13">
      <c r="M20966" s="202"/>
    </row>
    <row r="20967" spans="13:13">
      <c r="M20967" s="202"/>
    </row>
    <row r="20968" spans="13:13">
      <c r="M20968" s="202"/>
    </row>
    <row r="20969" spans="13:13">
      <c r="M20969" s="202"/>
    </row>
    <row r="20970" spans="13:13">
      <c r="M20970" s="202"/>
    </row>
    <row r="20971" spans="13:13">
      <c r="M20971" s="202"/>
    </row>
    <row r="20972" spans="13:13">
      <c r="M20972" s="202"/>
    </row>
    <row r="20973" spans="13:13">
      <c r="M20973" s="202"/>
    </row>
    <row r="20974" spans="13:13">
      <c r="M20974" s="202"/>
    </row>
    <row r="20975" spans="13:13">
      <c r="M20975" s="202"/>
    </row>
    <row r="20976" spans="13:13">
      <c r="M20976" s="202"/>
    </row>
    <row r="20977" spans="13:13">
      <c r="M20977" s="202"/>
    </row>
    <row r="20978" spans="13:13">
      <c r="M20978" s="202"/>
    </row>
    <row r="20979" spans="13:13">
      <c r="M20979" s="202"/>
    </row>
    <row r="20980" spans="13:13">
      <c r="M20980" s="202"/>
    </row>
    <row r="20981" spans="13:13">
      <c r="M20981" s="202"/>
    </row>
    <row r="20982" spans="13:13">
      <c r="M20982" s="202"/>
    </row>
    <row r="20983" spans="13:13">
      <c r="M20983" s="202"/>
    </row>
    <row r="20984" spans="13:13">
      <c r="M20984" s="202"/>
    </row>
    <row r="20985" spans="13:13">
      <c r="M20985" s="202"/>
    </row>
    <row r="20986" spans="13:13">
      <c r="M20986" s="202"/>
    </row>
    <row r="20987" spans="13:13">
      <c r="M20987" s="202"/>
    </row>
    <row r="20988" spans="13:13">
      <c r="M20988" s="202"/>
    </row>
    <row r="20989" spans="13:13">
      <c r="M20989" s="202"/>
    </row>
    <row r="20990" spans="13:13">
      <c r="M20990" s="202"/>
    </row>
    <row r="20991" spans="13:13">
      <c r="M20991" s="202"/>
    </row>
    <row r="20992" spans="13:13">
      <c r="M20992" s="202"/>
    </row>
    <row r="20993" spans="13:13">
      <c r="M20993" s="202"/>
    </row>
    <row r="20994" spans="13:13">
      <c r="M20994" s="202"/>
    </row>
    <row r="20995" spans="13:13">
      <c r="M20995" s="202"/>
    </row>
    <row r="20996" spans="13:13">
      <c r="M20996" s="202"/>
    </row>
    <row r="20997" spans="13:13">
      <c r="M20997" s="202"/>
    </row>
    <row r="20998" spans="13:13">
      <c r="M20998" s="202"/>
    </row>
    <row r="20999" spans="13:13">
      <c r="M20999" s="202"/>
    </row>
    <row r="21000" spans="13:13">
      <c r="M21000" s="202"/>
    </row>
    <row r="21001" spans="13:13">
      <c r="M21001" s="202"/>
    </row>
    <row r="21002" spans="13:13">
      <c r="M21002" s="202"/>
    </row>
    <row r="21003" spans="13:13">
      <c r="M21003" s="202"/>
    </row>
    <row r="21004" spans="13:13">
      <c r="M21004" s="202"/>
    </row>
    <row r="21005" spans="13:13">
      <c r="M21005" s="202"/>
    </row>
    <row r="21006" spans="13:13">
      <c r="M21006" s="202"/>
    </row>
    <row r="21007" spans="13:13">
      <c r="M21007" s="202"/>
    </row>
    <row r="21008" spans="13:13">
      <c r="M21008" s="202"/>
    </row>
    <row r="21009" spans="13:13">
      <c r="M21009" s="202"/>
    </row>
    <row r="21010" spans="13:13">
      <c r="M21010" s="202"/>
    </row>
    <row r="21011" spans="13:13">
      <c r="M21011" s="202"/>
    </row>
    <row r="21012" spans="13:13">
      <c r="M21012" s="202"/>
    </row>
    <row r="21013" spans="13:13">
      <c r="M21013" s="202"/>
    </row>
    <row r="21014" spans="13:13">
      <c r="M21014" s="202"/>
    </row>
    <row r="21015" spans="13:13">
      <c r="M21015" s="202"/>
    </row>
    <row r="21016" spans="13:13">
      <c r="M21016" s="202"/>
    </row>
    <row r="21017" spans="13:13">
      <c r="M21017" s="202"/>
    </row>
    <row r="21018" spans="13:13">
      <c r="M21018" s="202"/>
    </row>
    <row r="21019" spans="13:13">
      <c r="M21019" s="202"/>
    </row>
    <row r="21020" spans="13:13">
      <c r="M21020" s="202"/>
    </row>
    <row r="21021" spans="13:13">
      <c r="M21021" s="202"/>
    </row>
    <row r="21022" spans="13:13">
      <c r="M21022" s="202"/>
    </row>
    <row r="21023" spans="13:13">
      <c r="M21023" s="202"/>
    </row>
    <row r="21024" spans="13:13">
      <c r="M21024" s="202"/>
    </row>
    <row r="21025" spans="13:13">
      <c r="M21025" s="202"/>
    </row>
    <row r="21026" spans="13:13">
      <c r="M21026" s="202"/>
    </row>
    <row r="21027" spans="13:13">
      <c r="M21027" s="202"/>
    </row>
    <row r="21028" spans="13:13">
      <c r="M21028" s="202"/>
    </row>
    <row r="21029" spans="13:13">
      <c r="M21029" s="202"/>
    </row>
    <row r="21030" spans="13:13">
      <c r="M21030" s="202"/>
    </row>
    <row r="21031" spans="13:13">
      <c r="M21031" s="202"/>
    </row>
    <row r="21032" spans="13:13">
      <c r="M21032" s="202"/>
    </row>
    <row r="21033" spans="13:13">
      <c r="M21033" s="202"/>
    </row>
    <row r="21034" spans="13:13">
      <c r="M21034" s="202"/>
    </row>
    <row r="21035" spans="13:13">
      <c r="M21035" s="202"/>
    </row>
    <row r="21036" spans="13:13">
      <c r="M21036" s="202"/>
    </row>
    <row r="21037" spans="13:13">
      <c r="M21037" s="202"/>
    </row>
    <row r="21038" spans="13:13">
      <c r="M21038" s="202"/>
    </row>
    <row r="21039" spans="13:13">
      <c r="M21039" s="202"/>
    </row>
    <row r="21040" spans="13:13">
      <c r="M21040" s="202"/>
    </row>
    <row r="21041" spans="13:13">
      <c r="M21041" s="202"/>
    </row>
    <row r="21042" spans="13:13">
      <c r="M21042" s="202"/>
    </row>
    <row r="21043" spans="13:13">
      <c r="M21043" s="202"/>
    </row>
    <row r="21044" spans="13:13">
      <c r="M21044" s="202"/>
    </row>
    <row r="21045" spans="13:13">
      <c r="M21045" s="202"/>
    </row>
    <row r="21046" spans="13:13">
      <c r="M21046" s="202"/>
    </row>
    <row r="21047" spans="13:13">
      <c r="M21047" s="202"/>
    </row>
    <row r="21048" spans="13:13">
      <c r="M21048" s="202"/>
    </row>
    <row r="21049" spans="13:13">
      <c r="M21049" s="202"/>
    </row>
    <row r="21050" spans="13:13">
      <c r="M21050" s="202"/>
    </row>
    <row r="21051" spans="13:13">
      <c r="M21051" s="202"/>
    </row>
    <row r="21052" spans="13:13">
      <c r="M21052" s="202"/>
    </row>
    <row r="21053" spans="13:13">
      <c r="M21053" s="202"/>
    </row>
    <row r="21054" spans="13:13">
      <c r="M21054" s="202"/>
    </row>
    <row r="21055" spans="13:13">
      <c r="M21055" s="202"/>
    </row>
    <row r="21056" spans="13:13">
      <c r="M21056" s="202"/>
    </row>
    <row r="21057" spans="13:13">
      <c r="M21057" s="202"/>
    </row>
    <row r="21058" spans="13:13">
      <c r="M21058" s="202"/>
    </row>
    <row r="21059" spans="13:13">
      <c r="M21059" s="202"/>
    </row>
    <row r="21060" spans="13:13">
      <c r="M21060" s="202"/>
    </row>
    <row r="21061" spans="13:13">
      <c r="M21061" s="202"/>
    </row>
    <row r="21062" spans="13:13">
      <c r="M21062" s="202"/>
    </row>
    <row r="21063" spans="13:13">
      <c r="M21063" s="202"/>
    </row>
    <row r="21064" spans="13:13">
      <c r="M21064" s="202"/>
    </row>
    <row r="21065" spans="13:13">
      <c r="M21065" s="202"/>
    </row>
    <row r="21066" spans="13:13">
      <c r="M21066" s="202"/>
    </row>
    <row r="21067" spans="13:13">
      <c r="M21067" s="202"/>
    </row>
    <row r="21068" spans="13:13">
      <c r="M21068" s="202"/>
    </row>
    <row r="21069" spans="13:13">
      <c r="M21069" s="202"/>
    </row>
    <row r="21070" spans="13:13">
      <c r="M21070" s="202"/>
    </row>
    <row r="21071" spans="13:13">
      <c r="M21071" s="202"/>
    </row>
    <row r="21072" spans="13:13">
      <c r="M21072" s="202"/>
    </row>
    <row r="21073" spans="13:13">
      <c r="M21073" s="202"/>
    </row>
    <row r="21074" spans="13:13">
      <c r="M21074" s="202"/>
    </row>
    <row r="21075" spans="13:13">
      <c r="M21075" s="202"/>
    </row>
    <row r="21076" spans="13:13">
      <c r="M21076" s="202"/>
    </row>
    <row r="21077" spans="13:13">
      <c r="M21077" s="202"/>
    </row>
    <row r="21078" spans="13:13">
      <c r="M21078" s="202"/>
    </row>
    <row r="21079" spans="13:13">
      <c r="M21079" s="202"/>
    </row>
    <row r="21080" spans="13:13">
      <c r="M21080" s="202"/>
    </row>
    <row r="21081" spans="13:13">
      <c r="M21081" s="202"/>
    </row>
    <row r="21082" spans="13:13">
      <c r="M21082" s="202"/>
    </row>
    <row r="21083" spans="13:13">
      <c r="M21083" s="202"/>
    </row>
    <row r="21084" spans="13:13">
      <c r="M21084" s="202"/>
    </row>
    <row r="21085" spans="13:13">
      <c r="M21085" s="202"/>
    </row>
    <row r="21086" spans="13:13">
      <c r="M21086" s="202"/>
    </row>
    <row r="21087" spans="13:13">
      <c r="M21087" s="202"/>
    </row>
    <row r="21088" spans="13:13">
      <c r="M21088" s="202"/>
    </row>
    <row r="21089" spans="13:13">
      <c r="M21089" s="202"/>
    </row>
    <row r="21090" spans="13:13">
      <c r="M21090" s="202"/>
    </row>
    <row r="21091" spans="13:13">
      <c r="M21091" s="202"/>
    </row>
    <row r="21092" spans="13:13">
      <c r="M21092" s="202"/>
    </row>
    <row r="21093" spans="13:13">
      <c r="M21093" s="202"/>
    </row>
    <row r="21094" spans="13:13">
      <c r="M21094" s="202"/>
    </row>
    <row r="21095" spans="13:13">
      <c r="M21095" s="202"/>
    </row>
    <row r="21096" spans="13:13">
      <c r="M21096" s="202"/>
    </row>
    <row r="21097" spans="13:13">
      <c r="M21097" s="202"/>
    </row>
    <row r="21098" spans="13:13">
      <c r="M21098" s="202"/>
    </row>
    <row r="21099" spans="13:13">
      <c r="M21099" s="202"/>
    </row>
    <row r="21100" spans="13:13">
      <c r="M21100" s="202"/>
    </row>
    <row r="21101" spans="13:13">
      <c r="M21101" s="202"/>
    </row>
    <row r="21102" spans="13:13">
      <c r="M21102" s="202"/>
    </row>
    <row r="21103" spans="13:13">
      <c r="M21103" s="202"/>
    </row>
    <row r="21104" spans="13:13">
      <c r="M21104" s="202"/>
    </row>
    <row r="21105" spans="13:13">
      <c r="M21105" s="202"/>
    </row>
    <row r="21106" spans="13:13">
      <c r="M21106" s="202"/>
    </row>
    <row r="21107" spans="13:13">
      <c r="M21107" s="202"/>
    </row>
    <row r="21108" spans="13:13">
      <c r="M21108" s="202"/>
    </row>
    <row r="21109" spans="13:13">
      <c r="M21109" s="202"/>
    </row>
    <row r="21110" spans="13:13">
      <c r="M21110" s="202"/>
    </row>
    <row r="21111" spans="13:13">
      <c r="M21111" s="202"/>
    </row>
    <row r="21112" spans="13:13">
      <c r="M21112" s="202"/>
    </row>
    <row r="21113" spans="13:13">
      <c r="M21113" s="202"/>
    </row>
    <row r="21114" spans="13:13">
      <c r="M21114" s="202"/>
    </row>
    <row r="21115" spans="13:13">
      <c r="M21115" s="202"/>
    </row>
    <row r="21116" spans="13:13">
      <c r="M21116" s="202"/>
    </row>
    <row r="21117" spans="13:13">
      <c r="M21117" s="202"/>
    </row>
    <row r="21118" spans="13:13">
      <c r="M21118" s="202"/>
    </row>
    <row r="21119" spans="13:13">
      <c r="M21119" s="202"/>
    </row>
    <row r="21120" spans="13:13">
      <c r="M21120" s="202"/>
    </row>
    <row r="21121" spans="13:13">
      <c r="M21121" s="202"/>
    </row>
    <row r="21122" spans="13:13">
      <c r="M21122" s="202"/>
    </row>
    <row r="21123" spans="13:13">
      <c r="M21123" s="202"/>
    </row>
    <row r="21124" spans="13:13">
      <c r="M21124" s="202"/>
    </row>
    <row r="21125" spans="13:13">
      <c r="M21125" s="202"/>
    </row>
    <row r="21126" spans="13:13">
      <c r="M21126" s="202"/>
    </row>
    <row r="21127" spans="13:13">
      <c r="M21127" s="202"/>
    </row>
    <row r="21128" spans="13:13">
      <c r="M21128" s="202"/>
    </row>
    <row r="21129" spans="13:13">
      <c r="M21129" s="202"/>
    </row>
    <row r="21130" spans="13:13">
      <c r="M21130" s="202"/>
    </row>
    <row r="21131" spans="13:13">
      <c r="M21131" s="202"/>
    </row>
    <row r="21132" spans="13:13">
      <c r="M21132" s="202"/>
    </row>
    <row r="21133" spans="13:13">
      <c r="M21133" s="202"/>
    </row>
    <row r="21134" spans="13:13">
      <c r="M21134" s="202"/>
    </row>
    <row r="21135" spans="13:13">
      <c r="M21135" s="202"/>
    </row>
    <row r="21136" spans="13:13">
      <c r="M21136" s="202"/>
    </row>
    <row r="21137" spans="13:13">
      <c r="M21137" s="202"/>
    </row>
    <row r="21138" spans="13:13">
      <c r="M21138" s="202"/>
    </row>
    <row r="21139" spans="13:13">
      <c r="M21139" s="202"/>
    </row>
    <row r="21140" spans="13:13">
      <c r="M21140" s="202"/>
    </row>
    <row r="21141" spans="13:13">
      <c r="M21141" s="202"/>
    </row>
    <row r="21142" spans="13:13">
      <c r="M21142" s="202"/>
    </row>
    <row r="21143" spans="13:13">
      <c r="M21143" s="202"/>
    </row>
    <row r="21144" spans="13:13">
      <c r="M21144" s="202"/>
    </row>
    <row r="21145" spans="13:13">
      <c r="M21145" s="202"/>
    </row>
    <row r="21146" spans="13:13">
      <c r="M21146" s="202"/>
    </row>
    <row r="21147" spans="13:13">
      <c r="M21147" s="202"/>
    </row>
    <row r="21148" spans="13:13">
      <c r="M21148" s="202"/>
    </row>
    <row r="21149" spans="13:13">
      <c r="M21149" s="202"/>
    </row>
    <row r="21150" spans="13:13">
      <c r="M21150" s="202"/>
    </row>
    <row r="21151" spans="13:13">
      <c r="M21151" s="202"/>
    </row>
    <row r="21152" spans="13:13">
      <c r="M21152" s="202"/>
    </row>
    <row r="21153" spans="13:13">
      <c r="M21153" s="202"/>
    </row>
    <row r="21154" spans="13:13">
      <c r="M21154" s="202"/>
    </row>
    <row r="21155" spans="13:13">
      <c r="M21155" s="202"/>
    </row>
    <row r="21156" spans="13:13">
      <c r="M21156" s="202"/>
    </row>
    <row r="21157" spans="13:13">
      <c r="M21157" s="202"/>
    </row>
    <row r="21158" spans="13:13">
      <c r="M21158" s="202"/>
    </row>
    <row r="21159" spans="13:13">
      <c r="M21159" s="202"/>
    </row>
    <row r="21160" spans="13:13">
      <c r="M21160" s="202"/>
    </row>
    <row r="21161" spans="13:13">
      <c r="M21161" s="202"/>
    </row>
    <row r="21162" spans="13:13">
      <c r="M21162" s="202"/>
    </row>
    <row r="21163" spans="13:13">
      <c r="M21163" s="202"/>
    </row>
    <row r="21164" spans="13:13">
      <c r="M21164" s="202"/>
    </row>
    <row r="21165" spans="13:13">
      <c r="M21165" s="202"/>
    </row>
    <row r="21166" spans="13:13">
      <c r="M21166" s="202"/>
    </row>
    <row r="21167" spans="13:13">
      <c r="M21167" s="202"/>
    </row>
    <row r="21168" spans="13:13">
      <c r="M21168" s="202"/>
    </row>
    <row r="21169" spans="13:13">
      <c r="M21169" s="202"/>
    </row>
    <row r="21170" spans="13:13">
      <c r="M21170" s="202"/>
    </row>
    <row r="21171" spans="13:13">
      <c r="M21171" s="202"/>
    </row>
    <row r="21172" spans="13:13">
      <c r="M21172" s="202"/>
    </row>
    <row r="21173" spans="13:13">
      <c r="M21173" s="202"/>
    </row>
    <row r="21174" spans="13:13">
      <c r="M21174" s="202"/>
    </row>
    <row r="21175" spans="13:13">
      <c r="M21175" s="202"/>
    </row>
    <row r="21176" spans="13:13">
      <c r="M21176" s="202"/>
    </row>
    <row r="21177" spans="13:13">
      <c r="M21177" s="202"/>
    </row>
    <row r="21178" spans="13:13">
      <c r="M21178" s="202"/>
    </row>
    <row r="21179" spans="13:13">
      <c r="M21179" s="202"/>
    </row>
    <row r="21180" spans="13:13">
      <c r="M21180" s="202"/>
    </row>
    <row r="21181" spans="13:13">
      <c r="M21181" s="202"/>
    </row>
    <row r="21182" spans="13:13">
      <c r="M21182" s="202"/>
    </row>
    <row r="21183" spans="13:13">
      <c r="M21183" s="202"/>
    </row>
    <row r="21184" spans="13:13">
      <c r="M21184" s="202"/>
    </row>
    <row r="21185" spans="13:13">
      <c r="M21185" s="202"/>
    </row>
    <row r="21186" spans="13:13">
      <c r="M21186" s="202"/>
    </row>
    <row r="21187" spans="13:13">
      <c r="M21187" s="202"/>
    </row>
    <row r="21188" spans="13:13">
      <c r="M21188" s="202"/>
    </row>
    <row r="21189" spans="13:13">
      <c r="M21189" s="202"/>
    </row>
    <row r="21190" spans="13:13">
      <c r="M21190" s="202"/>
    </row>
    <row r="21191" spans="13:13">
      <c r="M21191" s="202"/>
    </row>
    <row r="21192" spans="13:13">
      <c r="M21192" s="202"/>
    </row>
    <row r="21193" spans="13:13">
      <c r="M21193" s="202"/>
    </row>
    <row r="21194" spans="13:13">
      <c r="M21194" s="202"/>
    </row>
    <row r="21195" spans="13:13">
      <c r="M21195" s="202"/>
    </row>
    <row r="21196" spans="13:13">
      <c r="M21196" s="202"/>
    </row>
    <row r="21197" spans="13:13">
      <c r="M21197" s="202"/>
    </row>
    <row r="21198" spans="13:13">
      <c r="M21198" s="202"/>
    </row>
    <row r="21199" spans="13:13">
      <c r="M21199" s="202"/>
    </row>
    <row r="21200" spans="13:13">
      <c r="M21200" s="202"/>
    </row>
    <row r="21201" spans="13:13">
      <c r="M21201" s="202"/>
    </row>
    <row r="21202" spans="13:13">
      <c r="M21202" s="202"/>
    </row>
    <row r="21203" spans="13:13">
      <c r="M21203" s="202"/>
    </row>
    <row r="21204" spans="13:13">
      <c r="M21204" s="202"/>
    </row>
    <row r="21205" spans="13:13">
      <c r="M21205" s="202"/>
    </row>
    <row r="21206" spans="13:13">
      <c r="M21206" s="202"/>
    </row>
    <row r="21207" spans="13:13">
      <c r="M21207" s="202"/>
    </row>
    <row r="21208" spans="13:13">
      <c r="M21208" s="202"/>
    </row>
    <row r="21209" spans="13:13">
      <c r="M21209" s="202"/>
    </row>
    <row r="21210" spans="13:13">
      <c r="M21210" s="202"/>
    </row>
    <row r="21211" spans="13:13">
      <c r="M21211" s="202"/>
    </row>
    <row r="21212" spans="13:13">
      <c r="M21212" s="202"/>
    </row>
    <row r="21213" spans="13:13">
      <c r="M21213" s="202"/>
    </row>
    <row r="21214" spans="13:13">
      <c r="M21214" s="202"/>
    </row>
    <row r="21215" spans="13:13">
      <c r="M21215" s="202"/>
    </row>
    <row r="21216" spans="13:13">
      <c r="M21216" s="202"/>
    </row>
    <row r="21217" spans="13:13">
      <c r="M21217" s="202"/>
    </row>
    <row r="21218" spans="13:13">
      <c r="M21218" s="202"/>
    </row>
    <row r="21219" spans="13:13">
      <c r="M21219" s="202"/>
    </row>
    <row r="21220" spans="13:13">
      <c r="M21220" s="202"/>
    </row>
    <row r="21221" spans="13:13">
      <c r="M21221" s="202"/>
    </row>
    <row r="21222" spans="13:13">
      <c r="M21222" s="202"/>
    </row>
    <row r="21223" spans="13:13">
      <c r="M21223" s="202"/>
    </row>
    <row r="21224" spans="13:13">
      <c r="M21224" s="202"/>
    </row>
    <row r="21225" spans="13:13">
      <c r="M21225" s="202"/>
    </row>
    <row r="21226" spans="13:13">
      <c r="M21226" s="202"/>
    </row>
    <row r="21227" spans="13:13">
      <c r="M21227" s="202"/>
    </row>
    <row r="21228" spans="13:13">
      <c r="M21228" s="202"/>
    </row>
    <row r="21229" spans="13:13">
      <c r="M21229" s="202"/>
    </row>
    <row r="21230" spans="13:13">
      <c r="M21230" s="202"/>
    </row>
    <row r="21231" spans="13:13">
      <c r="M21231" s="202"/>
    </row>
    <row r="21232" spans="13:13">
      <c r="M21232" s="202"/>
    </row>
    <row r="21233" spans="13:13">
      <c r="M21233" s="202"/>
    </row>
    <row r="21234" spans="13:13">
      <c r="M21234" s="202"/>
    </row>
    <row r="21235" spans="13:13">
      <c r="M21235" s="202"/>
    </row>
    <row r="21236" spans="13:13">
      <c r="M21236" s="202"/>
    </row>
    <row r="21237" spans="13:13">
      <c r="M21237" s="202"/>
    </row>
    <row r="21238" spans="13:13">
      <c r="M21238" s="202"/>
    </row>
    <row r="21239" spans="13:13">
      <c r="M21239" s="202"/>
    </row>
    <row r="21240" spans="13:13">
      <c r="M21240" s="202"/>
    </row>
    <row r="21241" spans="13:13">
      <c r="M21241" s="202"/>
    </row>
    <row r="21242" spans="13:13">
      <c r="M21242" s="202"/>
    </row>
    <row r="21243" spans="13:13">
      <c r="M21243" s="202"/>
    </row>
    <row r="21244" spans="13:13">
      <c r="M21244" s="202"/>
    </row>
    <row r="21245" spans="13:13">
      <c r="M21245" s="202"/>
    </row>
    <row r="21246" spans="13:13">
      <c r="M21246" s="202"/>
    </row>
    <row r="21247" spans="13:13">
      <c r="M21247" s="202"/>
    </row>
    <row r="21248" spans="13:13">
      <c r="M21248" s="202"/>
    </row>
    <row r="21249" spans="13:13">
      <c r="M21249" s="202"/>
    </row>
    <row r="21250" spans="13:13">
      <c r="M21250" s="202"/>
    </row>
    <row r="21251" spans="13:13">
      <c r="M21251" s="202"/>
    </row>
    <row r="21252" spans="13:13">
      <c r="M21252" s="202"/>
    </row>
    <row r="21253" spans="13:13">
      <c r="M21253" s="202"/>
    </row>
    <row r="21254" spans="13:13">
      <c r="M21254" s="202"/>
    </row>
    <row r="21255" spans="13:13">
      <c r="M21255" s="202"/>
    </row>
    <row r="21256" spans="13:13">
      <c r="M21256" s="202"/>
    </row>
    <row r="21257" spans="13:13">
      <c r="M21257" s="202"/>
    </row>
    <row r="21258" spans="13:13">
      <c r="M21258" s="202"/>
    </row>
    <row r="21259" spans="13:13">
      <c r="M21259" s="202"/>
    </row>
    <row r="21260" spans="13:13">
      <c r="M21260" s="202"/>
    </row>
    <row r="21261" spans="13:13">
      <c r="M21261" s="202"/>
    </row>
    <row r="21262" spans="13:13">
      <c r="M21262" s="202"/>
    </row>
    <row r="21263" spans="13:13">
      <c r="M21263" s="202"/>
    </row>
    <row r="21264" spans="13:13">
      <c r="M21264" s="202"/>
    </row>
    <row r="21265" spans="13:13">
      <c r="M21265" s="202"/>
    </row>
    <row r="21266" spans="13:13">
      <c r="M21266" s="202"/>
    </row>
    <row r="21267" spans="13:13">
      <c r="M21267" s="202"/>
    </row>
    <row r="21268" spans="13:13">
      <c r="M21268" s="202"/>
    </row>
    <row r="21269" spans="13:13">
      <c r="M21269" s="202"/>
    </row>
    <row r="21270" spans="13:13">
      <c r="M21270" s="202"/>
    </row>
    <row r="21271" spans="13:13">
      <c r="M21271" s="202"/>
    </row>
    <row r="21272" spans="13:13">
      <c r="M21272" s="202"/>
    </row>
    <row r="21273" spans="13:13">
      <c r="M21273" s="202"/>
    </row>
    <row r="21274" spans="13:13">
      <c r="M21274" s="202"/>
    </row>
    <row r="21275" spans="13:13">
      <c r="M21275" s="202"/>
    </row>
    <row r="21276" spans="13:13">
      <c r="M21276" s="202"/>
    </row>
    <row r="21277" spans="13:13">
      <c r="M21277" s="202"/>
    </row>
    <row r="21278" spans="13:13">
      <c r="M21278" s="202"/>
    </row>
    <row r="21279" spans="13:13">
      <c r="M21279" s="202"/>
    </row>
    <row r="21280" spans="13:13">
      <c r="M21280" s="202"/>
    </row>
    <row r="21281" spans="13:13">
      <c r="M21281" s="202"/>
    </row>
    <row r="21282" spans="13:13">
      <c r="M21282" s="202"/>
    </row>
    <row r="21283" spans="13:13">
      <c r="M21283" s="202"/>
    </row>
    <row r="21284" spans="13:13">
      <c r="M21284" s="202"/>
    </row>
    <row r="21285" spans="13:13">
      <c r="M21285" s="202"/>
    </row>
    <row r="21286" spans="13:13">
      <c r="M21286" s="202"/>
    </row>
    <row r="21287" spans="13:13">
      <c r="M21287" s="202"/>
    </row>
    <row r="21288" spans="13:13">
      <c r="M21288" s="202"/>
    </row>
    <row r="21289" spans="13:13">
      <c r="M21289" s="202"/>
    </row>
    <row r="21290" spans="13:13">
      <c r="M21290" s="202"/>
    </row>
    <row r="21291" spans="13:13">
      <c r="M21291" s="202"/>
    </row>
    <row r="21292" spans="13:13">
      <c r="M21292" s="202"/>
    </row>
    <row r="21293" spans="13:13">
      <c r="M21293" s="202"/>
    </row>
    <row r="21294" spans="13:13">
      <c r="M21294" s="202"/>
    </row>
    <row r="21295" spans="13:13">
      <c r="M21295" s="202"/>
    </row>
    <row r="21296" spans="13:13">
      <c r="M21296" s="202"/>
    </row>
    <row r="21297" spans="13:13">
      <c r="M21297" s="202"/>
    </row>
    <row r="21298" spans="13:13">
      <c r="M21298" s="202"/>
    </row>
    <row r="21299" spans="13:13">
      <c r="M21299" s="202"/>
    </row>
    <row r="21300" spans="13:13">
      <c r="M21300" s="202"/>
    </row>
    <row r="21301" spans="13:13">
      <c r="M21301" s="202"/>
    </row>
    <row r="21302" spans="13:13">
      <c r="M21302" s="202"/>
    </row>
    <row r="21303" spans="13:13">
      <c r="M21303" s="202"/>
    </row>
    <row r="21304" spans="13:13">
      <c r="M21304" s="202"/>
    </row>
    <row r="21305" spans="13:13">
      <c r="M21305" s="202"/>
    </row>
    <row r="21306" spans="13:13">
      <c r="M21306" s="202"/>
    </row>
    <row r="21307" spans="13:13">
      <c r="M21307" s="202"/>
    </row>
    <row r="21308" spans="13:13">
      <c r="M21308" s="202"/>
    </row>
    <row r="21309" spans="13:13">
      <c r="M21309" s="202"/>
    </row>
    <row r="21310" spans="13:13">
      <c r="M21310" s="202"/>
    </row>
    <row r="21311" spans="13:13">
      <c r="M21311" s="202"/>
    </row>
    <row r="21312" spans="13:13">
      <c r="M21312" s="202"/>
    </row>
    <row r="21313" spans="13:13">
      <c r="M21313" s="202"/>
    </row>
    <row r="21314" spans="13:13">
      <c r="M21314" s="202"/>
    </row>
    <row r="21315" spans="13:13">
      <c r="M21315" s="202"/>
    </row>
    <row r="21316" spans="13:13">
      <c r="M21316" s="202"/>
    </row>
    <row r="21317" spans="13:13">
      <c r="M21317" s="202"/>
    </row>
    <row r="21318" spans="13:13">
      <c r="M21318" s="202"/>
    </row>
    <row r="21319" spans="13:13">
      <c r="M21319" s="202"/>
    </row>
    <row r="21320" spans="13:13">
      <c r="M21320" s="202"/>
    </row>
    <row r="21321" spans="13:13">
      <c r="M21321" s="202"/>
    </row>
    <row r="21322" spans="13:13">
      <c r="M21322" s="202"/>
    </row>
    <row r="21323" spans="13:13">
      <c r="M21323" s="202"/>
    </row>
    <row r="21324" spans="13:13">
      <c r="M21324" s="202"/>
    </row>
    <row r="21325" spans="13:13">
      <c r="M21325" s="202"/>
    </row>
    <row r="21326" spans="13:13">
      <c r="M21326" s="202"/>
    </row>
    <row r="21327" spans="13:13">
      <c r="M21327" s="202"/>
    </row>
    <row r="21328" spans="13:13">
      <c r="M21328" s="202"/>
    </row>
    <row r="21329" spans="13:13">
      <c r="M21329" s="202"/>
    </row>
    <row r="21330" spans="13:13">
      <c r="M21330" s="202"/>
    </row>
    <row r="21331" spans="13:13">
      <c r="M21331" s="202"/>
    </row>
    <row r="21332" spans="13:13">
      <c r="M21332" s="202"/>
    </row>
    <row r="21333" spans="13:13">
      <c r="M21333" s="202"/>
    </row>
    <row r="21334" spans="13:13">
      <c r="M21334" s="202"/>
    </row>
    <row r="21335" spans="13:13">
      <c r="M21335" s="202"/>
    </row>
    <row r="21336" spans="13:13">
      <c r="M21336" s="202"/>
    </row>
    <row r="21337" spans="13:13">
      <c r="M21337" s="202"/>
    </row>
    <row r="21338" spans="13:13">
      <c r="M21338" s="202"/>
    </row>
    <row r="21339" spans="13:13">
      <c r="M21339" s="202"/>
    </row>
    <row r="21340" spans="13:13">
      <c r="M21340" s="202"/>
    </row>
    <row r="21341" spans="13:13">
      <c r="M21341" s="202"/>
    </row>
    <row r="21342" spans="13:13">
      <c r="M21342" s="202"/>
    </row>
    <row r="21343" spans="13:13">
      <c r="M21343" s="202"/>
    </row>
    <row r="21344" spans="13:13">
      <c r="M21344" s="202"/>
    </row>
    <row r="21345" spans="13:13">
      <c r="M21345" s="202"/>
    </row>
    <row r="21346" spans="13:13">
      <c r="M21346" s="202"/>
    </row>
    <row r="21347" spans="13:13">
      <c r="M21347" s="202"/>
    </row>
    <row r="21348" spans="13:13">
      <c r="M21348" s="202"/>
    </row>
    <row r="21349" spans="13:13">
      <c r="M21349" s="202"/>
    </row>
    <row r="21350" spans="13:13">
      <c r="M21350" s="202"/>
    </row>
    <row r="21351" spans="13:13">
      <c r="M21351" s="202"/>
    </row>
    <row r="21352" spans="13:13">
      <c r="M21352" s="202"/>
    </row>
    <row r="21353" spans="13:13">
      <c r="M21353" s="202"/>
    </row>
    <row r="21354" spans="13:13">
      <c r="M21354" s="202"/>
    </row>
    <row r="21355" spans="13:13">
      <c r="M21355" s="202"/>
    </row>
    <row r="21356" spans="13:13">
      <c r="M21356" s="202"/>
    </row>
    <row r="21357" spans="13:13">
      <c r="M21357" s="202"/>
    </row>
    <row r="21358" spans="13:13">
      <c r="M21358" s="202"/>
    </row>
    <row r="21359" spans="13:13">
      <c r="M21359" s="202"/>
    </row>
    <row r="21360" spans="13:13">
      <c r="M21360" s="202"/>
    </row>
    <row r="21361" spans="13:13">
      <c r="M21361" s="202"/>
    </row>
    <row r="21362" spans="13:13">
      <c r="M21362" s="202"/>
    </row>
    <row r="21363" spans="13:13">
      <c r="M21363" s="202"/>
    </row>
    <row r="21364" spans="13:13">
      <c r="M21364" s="202"/>
    </row>
    <row r="21365" spans="13:13">
      <c r="M21365" s="202"/>
    </row>
    <row r="21366" spans="13:13">
      <c r="M21366" s="202"/>
    </row>
    <row r="21367" spans="13:13">
      <c r="M21367" s="202"/>
    </row>
    <row r="21368" spans="13:13">
      <c r="M21368" s="202"/>
    </row>
    <row r="21369" spans="13:13">
      <c r="M21369" s="202"/>
    </row>
    <row r="21370" spans="13:13">
      <c r="M21370" s="202"/>
    </row>
    <row r="21371" spans="13:13">
      <c r="M21371" s="202"/>
    </row>
    <row r="21372" spans="13:13">
      <c r="M21372" s="202"/>
    </row>
    <row r="21373" spans="13:13">
      <c r="M21373" s="202"/>
    </row>
    <row r="21374" spans="13:13">
      <c r="M21374" s="202"/>
    </row>
    <row r="21375" spans="13:13">
      <c r="M21375" s="202"/>
    </row>
    <row r="21376" spans="13:13">
      <c r="M21376" s="202"/>
    </row>
    <row r="21377" spans="13:13">
      <c r="M21377" s="202"/>
    </row>
    <row r="21378" spans="13:13">
      <c r="M21378" s="202"/>
    </row>
    <row r="21379" spans="13:13">
      <c r="M21379" s="202"/>
    </row>
    <row r="21380" spans="13:13">
      <c r="M21380" s="202"/>
    </row>
    <row r="21381" spans="13:13">
      <c r="M21381" s="202"/>
    </row>
    <row r="21382" spans="13:13">
      <c r="M21382" s="202"/>
    </row>
    <row r="21383" spans="13:13">
      <c r="M21383" s="202"/>
    </row>
    <row r="21384" spans="13:13">
      <c r="M21384" s="202"/>
    </row>
    <row r="21385" spans="13:13">
      <c r="M21385" s="202"/>
    </row>
    <row r="21386" spans="13:13">
      <c r="M21386" s="202"/>
    </row>
    <row r="21387" spans="13:13">
      <c r="M21387" s="202"/>
    </row>
    <row r="21388" spans="13:13">
      <c r="M21388" s="202"/>
    </row>
    <row r="21389" spans="13:13">
      <c r="M21389" s="202"/>
    </row>
    <row r="21390" spans="13:13">
      <c r="M21390" s="202"/>
    </row>
    <row r="21391" spans="13:13">
      <c r="M21391" s="202"/>
    </row>
    <row r="21392" spans="13:13">
      <c r="M21392" s="202"/>
    </row>
    <row r="21393" spans="13:13">
      <c r="M21393" s="202"/>
    </row>
    <row r="21394" spans="13:13">
      <c r="M21394" s="202"/>
    </row>
    <row r="21395" spans="13:13">
      <c r="M21395" s="202"/>
    </row>
    <row r="21396" spans="13:13">
      <c r="M21396" s="202"/>
    </row>
    <row r="21397" spans="13:13">
      <c r="M21397" s="202"/>
    </row>
    <row r="21398" spans="13:13">
      <c r="M21398" s="202"/>
    </row>
    <row r="21399" spans="13:13">
      <c r="M21399" s="202"/>
    </row>
    <row r="21400" spans="13:13">
      <c r="M21400" s="202"/>
    </row>
    <row r="21401" spans="13:13">
      <c r="M21401" s="202"/>
    </row>
    <row r="21402" spans="13:13">
      <c r="M21402" s="202"/>
    </row>
    <row r="21403" spans="13:13">
      <c r="M21403" s="202"/>
    </row>
    <row r="21404" spans="13:13">
      <c r="M21404" s="202"/>
    </row>
    <row r="21405" spans="13:13">
      <c r="M21405" s="202"/>
    </row>
    <row r="21406" spans="13:13">
      <c r="M21406" s="202"/>
    </row>
    <row r="21407" spans="13:13">
      <c r="M21407" s="202"/>
    </row>
    <row r="21408" spans="13:13">
      <c r="M21408" s="202"/>
    </row>
    <row r="21409" spans="13:13">
      <c r="M21409" s="202"/>
    </row>
    <row r="21410" spans="13:13">
      <c r="M21410" s="202"/>
    </row>
    <row r="21411" spans="13:13">
      <c r="M21411" s="202"/>
    </row>
    <row r="21412" spans="13:13">
      <c r="M21412" s="202"/>
    </row>
    <row r="21413" spans="13:13">
      <c r="M21413" s="202"/>
    </row>
    <row r="21414" spans="13:13">
      <c r="M21414" s="202"/>
    </row>
    <row r="21415" spans="13:13">
      <c r="M21415" s="202"/>
    </row>
    <row r="21416" spans="13:13">
      <c r="M21416" s="202"/>
    </row>
    <row r="21417" spans="13:13">
      <c r="M21417" s="202"/>
    </row>
    <row r="21418" spans="13:13">
      <c r="M21418" s="202"/>
    </row>
    <row r="21419" spans="13:13">
      <c r="M21419" s="202"/>
    </row>
    <row r="21420" spans="13:13">
      <c r="M21420" s="202"/>
    </row>
    <row r="21421" spans="13:13">
      <c r="M21421" s="202"/>
    </row>
    <row r="21422" spans="13:13">
      <c r="M21422" s="202"/>
    </row>
    <row r="21423" spans="13:13">
      <c r="M21423" s="202"/>
    </row>
    <row r="21424" spans="13:13">
      <c r="M21424" s="202"/>
    </row>
    <row r="21425" spans="13:13">
      <c r="M21425" s="202"/>
    </row>
    <row r="21426" spans="13:13">
      <c r="M21426" s="202"/>
    </row>
    <row r="21427" spans="13:13">
      <c r="M21427" s="202"/>
    </row>
    <row r="21428" spans="13:13">
      <c r="M21428" s="202"/>
    </row>
    <row r="21429" spans="13:13">
      <c r="M21429" s="202"/>
    </row>
    <row r="21430" spans="13:13">
      <c r="M21430" s="202"/>
    </row>
    <row r="21431" spans="13:13">
      <c r="M21431" s="202"/>
    </row>
    <row r="21432" spans="13:13">
      <c r="M21432" s="202"/>
    </row>
    <row r="21433" spans="13:13">
      <c r="M21433" s="202"/>
    </row>
    <row r="21434" spans="13:13">
      <c r="M21434" s="202"/>
    </row>
    <row r="21435" spans="13:13">
      <c r="M21435" s="202"/>
    </row>
    <row r="21436" spans="13:13">
      <c r="M21436" s="202"/>
    </row>
    <row r="21437" spans="13:13">
      <c r="M21437" s="202"/>
    </row>
    <row r="21438" spans="13:13">
      <c r="M21438" s="202"/>
    </row>
    <row r="21439" spans="13:13">
      <c r="M21439" s="202"/>
    </row>
    <row r="21440" spans="13:13">
      <c r="M21440" s="202"/>
    </row>
    <row r="21441" spans="13:13">
      <c r="M21441" s="202"/>
    </row>
    <row r="21442" spans="13:13">
      <c r="M21442" s="202"/>
    </row>
    <row r="21443" spans="13:13">
      <c r="M21443" s="202"/>
    </row>
    <row r="21444" spans="13:13">
      <c r="M21444" s="202"/>
    </row>
    <row r="21445" spans="13:13">
      <c r="M21445" s="202"/>
    </row>
    <row r="21446" spans="13:13">
      <c r="M21446" s="202"/>
    </row>
    <row r="21447" spans="13:13">
      <c r="M21447" s="202"/>
    </row>
    <row r="21448" spans="13:13">
      <c r="M21448" s="202"/>
    </row>
    <row r="21449" spans="13:13">
      <c r="M21449" s="202"/>
    </row>
    <row r="21450" spans="13:13">
      <c r="M21450" s="202"/>
    </row>
    <row r="21451" spans="13:13">
      <c r="M21451" s="202"/>
    </row>
    <row r="21452" spans="13:13">
      <c r="M21452" s="202"/>
    </row>
    <row r="21453" spans="13:13">
      <c r="M21453" s="202"/>
    </row>
    <row r="21454" spans="13:13">
      <c r="M21454" s="202"/>
    </row>
    <row r="21455" spans="13:13">
      <c r="M21455" s="202"/>
    </row>
    <row r="21456" spans="13:13">
      <c r="M21456" s="202"/>
    </row>
    <row r="21457" spans="13:13">
      <c r="M21457" s="202"/>
    </row>
    <row r="21458" spans="13:13">
      <c r="M21458" s="202"/>
    </row>
    <row r="21459" spans="13:13">
      <c r="M21459" s="202"/>
    </row>
    <row r="21460" spans="13:13">
      <c r="M21460" s="202"/>
    </row>
    <row r="21461" spans="13:13">
      <c r="M21461" s="202"/>
    </row>
    <row r="21462" spans="13:13">
      <c r="M21462" s="202"/>
    </row>
    <row r="21463" spans="13:13">
      <c r="M21463" s="202"/>
    </row>
    <row r="21464" spans="13:13">
      <c r="M21464" s="202"/>
    </row>
    <row r="21465" spans="13:13">
      <c r="M21465" s="202"/>
    </row>
    <row r="21466" spans="13:13">
      <c r="M21466" s="202"/>
    </row>
    <row r="21467" spans="13:13">
      <c r="M21467" s="202"/>
    </row>
    <row r="21468" spans="13:13">
      <c r="M21468" s="202"/>
    </row>
    <row r="21469" spans="13:13">
      <c r="M21469" s="202"/>
    </row>
    <row r="21470" spans="13:13">
      <c r="M21470" s="202"/>
    </row>
    <row r="21471" spans="13:13">
      <c r="M21471" s="202"/>
    </row>
    <row r="21472" spans="13:13">
      <c r="M21472" s="202"/>
    </row>
    <row r="21473" spans="13:13">
      <c r="M21473" s="202"/>
    </row>
    <row r="21474" spans="13:13">
      <c r="M21474" s="202"/>
    </row>
    <row r="21475" spans="13:13">
      <c r="M21475" s="202"/>
    </row>
    <row r="21476" spans="13:13">
      <c r="M21476" s="202"/>
    </row>
    <row r="21477" spans="13:13">
      <c r="M21477" s="202"/>
    </row>
    <row r="21478" spans="13:13">
      <c r="M21478" s="202"/>
    </row>
    <row r="21479" spans="13:13">
      <c r="M21479" s="202"/>
    </row>
    <row r="21480" spans="13:13">
      <c r="M21480" s="202"/>
    </row>
    <row r="21481" spans="13:13">
      <c r="M21481" s="202"/>
    </row>
    <row r="21482" spans="13:13">
      <c r="M21482" s="202"/>
    </row>
    <row r="21483" spans="13:13">
      <c r="M21483" s="202"/>
    </row>
    <row r="21484" spans="13:13">
      <c r="M21484" s="202"/>
    </row>
    <row r="21485" spans="13:13">
      <c r="M21485" s="202"/>
    </row>
    <row r="21486" spans="13:13">
      <c r="M21486" s="202"/>
    </row>
    <row r="21487" spans="13:13">
      <c r="M21487" s="202"/>
    </row>
    <row r="21488" spans="13:13">
      <c r="M21488" s="202"/>
    </row>
    <row r="21489" spans="13:13">
      <c r="M21489" s="202"/>
    </row>
    <row r="21490" spans="13:13">
      <c r="M21490" s="202"/>
    </row>
    <row r="21491" spans="13:13">
      <c r="M21491" s="202"/>
    </row>
    <row r="21492" spans="13:13">
      <c r="M21492" s="202"/>
    </row>
    <row r="21493" spans="13:13">
      <c r="M21493" s="202"/>
    </row>
    <row r="21494" spans="13:13">
      <c r="M21494" s="202"/>
    </row>
    <row r="21495" spans="13:13">
      <c r="M21495" s="202"/>
    </row>
    <row r="21496" spans="13:13">
      <c r="M21496" s="202"/>
    </row>
    <row r="21497" spans="13:13">
      <c r="M21497" s="202"/>
    </row>
    <row r="21498" spans="13:13">
      <c r="M21498" s="202"/>
    </row>
    <row r="21499" spans="13:13">
      <c r="M21499" s="202"/>
    </row>
    <row r="21500" spans="13:13">
      <c r="M21500" s="202"/>
    </row>
    <row r="21501" spans="13:13">
      <c r="M21501" s="202"/>
    </row>
    <row r="21502" spans="13:13">
      <c r="M21502" s="202"/>
    </row>
    <row r="21503" spans="13:13">
      <c r="M21503" s="202"/>
    </row>
    <row r="21504" spans="13:13">
      <c r="M21504" s="202"/>
    </row>
    <row r="21505" spans="13:13">
      <c r="M21505" s="202"/>
    </row>
    <row r="21506" spans="13:13">
      <c r="M21506" s="202"/>
    </row>
    <row r="21507" spans="13:13">
      <c r="M21507" s="202"/>
    </row>
    <row r="21508" spans="13:13">
      <c r="M21508" s="202"/>
    </row>
    <row r="21509" spans="13:13">
      <c r="M21509" s="202"/>
    </row>
    <row r="21510" spans="13:13">
      <c r="M21510" s="202"/>
    </row>
    <row r="21511" spans="13:13">
      <c r="M21511" s="202"/>
    </row>
    <row r="21512" spans="13:13">
      <c r="M21512" s="202"/>
    </row>
    <row r="21513" spans="13:13">
      <c r="M21513" s="202"/>
    </row>
    <row r="21514" spans="13:13">
      <c r="M21514" s="202"/>
    </row>
    <row r="21515" spans="13:13">
      <c r="M21515" s="202"/>
    </row>
    <row r="21516" spans="13:13">
      <c r="M21516" s="202"/>
    </row>
    <row r="21517" spans="13:13">
      <c r="M21517" s="202"/>
    </row>
    <row r="21518" spans="13:13">
      <c r="M21518" s="202"/>
    </row>
    <row r="21519" spans="13:13">
      <c r="M21519" s="202"/>
    </row>
    <row r="21520" spans="13:13">
      <c r="M21520" s="202"/>
    </row>
    <row r="21521" spans="13:13">
      <c r="M21521" s="202"/>
    </row>
    <row r="21522" spans="13:13">
      <c r="M21522" s="202"/>
    </row>
    <row r="21523" spans="13:13">
      <c r="M21523" s="202"/>
    </row>
    <row r="21524" spans="13:13">
      <c r="M21524" s="202"/>
    </row>
    <row r="21525" spans="13:13">
      <c r="M21525" s="202"/>
    </row>
    <row r="21526" spans="13:13">
      <c r="M21526" s="202"/>
    </row>
    <row r="21527" spans="13:13">
      <c r="M21527" s="202"/>
    </row>
    <row r="21528" spans="13:13">
      <c r="M21528" s="202"/>
    </row>
    <row r="21529" spans="13:13">
      <c r="M21529" s="202"/>
    </row>
    <row r="21530" spans="13:13">
      <c r="M21530" s="202"/>
    </row>
    <row r="21531" spans="13:13">
      <c r="M21531" s="202"/>
    </row>
    <row r="21532" spans="13:13">
      <c r="M21532" s="202"/>
    </row>
    <row r="21533" spans="13:13">
      <c r="M21533" s="202"/>
    </row>
    <row r="21534" spans="13:13">
      <c r="M21534" s="202"/>
    </row>
    <row r="21535" spans="13:13">
      <c r="M21535" s="202"/>
    </row>
    <row r="21536" spans="13:13">
      <c r="M21536" s="202"/>
    </row>
    <row r="21537" spans="13:13">
      <c r="M21537" s="202"/>
    </row>
    <row r="21538" spans="13:13">
      <c r="M21538" s="202"/>
    </row>
    <row r="21539" spans="13:13">
      <c r="M21539" s="202"/>
    </row>
    <row r="21540" spans="13:13">
      <c r="M21540" s="202"/>
    </row>
    <row r="21541" spans="13:13">
      <c r="M21541" s="202"/>
    </row>
    <row r="21542" spans="13:13">
      <c r="M21542" s="202"/>
    </row>
    <row r="21543" spans="13:13">
      <c r="M21543" s="202"/>
    </row>
    <row r="21544" spans="13:13">
      <c r="M21544" s="202"/>
    </row>
    <row r="21545" spans="13:13">
      <c r="M21545" s="202"/>
    </row>
    <row r="21546" spans="13:13">
      <c r="M21546" s="202"/>
    </row>
    <row r="21547" spans="13:13">
      <c r="M21547" s="202"/>
    </row>
    <row r="21548" spans="13:13">
      <c r="M21548" s="202"/>
    </row>
    <row r="21549" spans="13:13">
      <c r="M21549" s="202"/>
    </row>
    <row r="21550" spans="13:13">
      <c r="M21550" s="202"/>
    </row>
    <row r="21551" spans="13:13">
      <c r="M21551" s="202"/>
    </row>
    <row r="21552" spans="13:13">
      <c r="M21552" s="202"/>
    </row>
    <row r="21553" spans="13:13">
      <c r="M21553" s="202"/>
    </row>
    <row r="21554" spans="13:13">
      <c r="M21554" s="202"/>
    </row>
    <row r="21555" spans="13:13">
      <c r="M21555" s="202"/>
    </row>
    <row r="21556" spans="13:13">
      <c r="M21556" s="202"/>
    </row>
    <row r="21557" spans="13:13">
      <c r="M21557" s="202"/>
    </row>
    <row r="21558" spans="13:13">
      <c r="M21558" s="202"/>
    </row>
    <row r="21559" spans="13:13">
      <c r="M21559" s="202"/>
    </row>
    <row r="21560" spans="13:13">
      <c r="M21560" s="202"/>
    </row>
    <row r="21561" spans="13:13">
      <c r="M21561" s="202"/>
    </row>
    <row r="21562" spans="13:13">
      <c r="M21562" s="202"/>
    </row>
    <row r="21563" spans="13:13">
      <c r="M21563" s="202"/>
    </row>
    <row r="21564" spans="13:13">
      <c r="M21564" s="202"/>
    </row>
    <row r="21565" spans="13:13">
      <c r="M21565" s="202"/>
    </row>
    <row r="21566" spans="13:13">
      <c r="M21566" s="202"/>
    </row>
    <row r="21567" spans="13:13">
      <c r="M21567" s="202"/>
    </row>
    <row r="21568" spans="13:13">
      <c r="M21568" s="202"/>
    </row>
    <row r="21569" spans="13:13">
      <c r="M21569" s="202"/>
    </row>
    <row r="21570" spans="13:13">
      <c r="M21570" s="202"/>
    </row>
    <row r="21571" spans="13:13">
      <c r="M21571" s="202"/>
    </row>
    <row r="21572" spans="13:13">
      <c r="M21572" s="202"/>
    </row>
    <row r="21573" spans="13:13">
      <c r="M21573" s="202"/>
    </row>
    <row r="21574" spans="13:13">
      <c r="M21574" s="202"/>
    </row>
    <row r="21575" spans="13:13">
      <c r="M21575" s="202"/>
    </row>
    <row r="21576" spans="13:13">
      <c r="M21576" s="202"/>
    </row>
    <row r="21577" spans="13:13">
      <c r="M21577" s="202"/>
    </row>
    <row r="21578" spans="13:13">
      <c r="M21578" s="202"/>
    </row>
    <row r="21579" spans="13:13">
      <c r="M21579" s="202"/>
    </row>
    <row r="21580" spans="13:13">
      <c r="M21580" s="202"/>
    </row>
    <row r="21581" spans="13:13">
      <c r="M21581" s="202"/>
    </row>
    <row r="21582" spans="13:13">
      <c r="M21582" s="202"/>
    </row>
    <row r="21583" spans="13:13">
      <c r="M21583" s="202"/>
    </row>
    <row r="21584" spans="13:13">
      <c r="M21584" s="202"/>
    </row>
    <row r="21585" spans="13:13">
      <c r="M21585" s="202"/>
    </row>
    <row r="21586" spans="13:13">
      <c r="M21586" s="202"/>
    </row>
    <row r="21587" spans="13:13">
      <c r="M21587" s="202"/>
    </row>
    <row r="21588" spans="13:13">
      <c r="M21588" s="202"/>
    </row>
    <row r="21589" spans="13:13">
      <c r="M21589" s="202"/>
    </row>
    <row r="21590" spans="13:13">
      <c r="M21590" s="202"/>
    </row>
    <row r="21591" spans="13:13">
      <c r="M21591" s="202"/>
    </row>
    <row r="21592" spans="13:13">
      <c r="M21592" s="202"/>
    </row>
    <row r="21593" spans="13:13">
      <c r="M21593" s="202"/>
    </row>
    <row r="21594" spans="13:13">
      <c r="M21594" s="202"/>
    </row>
    <row r="21595" spans="13:13">
      <c r="M21595" s="202"/>
    </row>
    <row r="21596" spans="13:13">
      <c r="M21596" s="202"/>
    </row>
    <row r="21597" spans="13:13">
      <c r="M21597" s="202"/>
    </row>
    <row r="21598" spans="13:13">
      <c r="M21598" s="202"/>
    </row>
    <row r="21599" spans="13:13">
      <c r="M21599" s="202"/>
    </row>
    <row r="21600" spans="13:13">
      <c r="M21600" s="202"/>
    </row>
    <row r="21601" spans="13:13">
      <c r="M21601" s="202"/>
    </row>
    <row r="21602" spans="13:13">
      <c r="M21602" s="202"/>
    </row>
    <row r="21603" spans="13:13">
      <c r="M21603" s="202"/>
    </row>
    <row r="21604" spans="13:13">
      <c r="M21604" s="202"/>
    </row>
    <row r="21605" spans="13:13">
      <c r="M21605" s="202"/>
    </row>
    <row r="21606" spans="13:13">
      <c r="M21606" s="202"/>
    </row>
    <row r="21607" spans="13:13">
      <c r="M21607" s="202"/>
    </row>
    <row r="21608" spans="13:13">
      <c r="M21608" s="202"/>
    </row>
    <row r="21609" spans="13:13">
      <c r="M21609" s="202"/>
    </row>
    <row r="21610" spans="13:13">
      <c r="M21610" s="202"/>
    </row>
    <row r="21611" spans="13:13">
      <c r="M21611" s="202"/>
    </row>
    <row r="21612" spans="13:13">
      <c r="M21612" s="202"/>
    </row>
    <row r="21613" spans="13:13">
      <c r="M21613" s="202"/>
    </row>
    <row r="21614" spans="13:13">
      <c r="M21614" s="202"/>
    </row>
    <row r="21615" spans="13:13">
      <c r="M21615" s="202"/>
    </row>
    <row r="21616" spans="13:13">
      <c r="M21616" s="202"/>
    </row>
    <row r="21617" spans="13:13">
      <c r="M21617" s="202"/>
    </row>
    <row r="21618" spans="13:13">
      <c r="M21618" s="202"/>
    </row>
    <row r="21619" spans="13:13">
      <c r="M21619" s="202"/>
    </row>
    <row r="21620" spans="13:13">
      <c r="M21620" s="202"/>
    </row>
    <row r="21621" spans="13:13">
      <c r="M21621" s="202"/>
    </row>
    <row r="21622" spans="13:13">
      <c r="M21622" s="202"/>
    </row>
    <row r="21623" spans="13:13">
      <c r="M21623" s="202"/>
    </row>
    <row r="21624" spans="13:13">
      <c r="M21624" s="202"/>
    </row>
    <row r="21625" spans="13:13">
      <c r="M21625" s="202"/>
    </row>
    <row r="21626" spans="13:13">
      <c r="M21626" s="202"/>
    </row>
    <row r="21627" spans="13:13">
      <c r="M21627" s="202"/>
    </row>
    <row r="21628" spans="13:13">
      <c r="M21628" s="202"/>
    </row>
    <row r="21629" spans="13:13">
      <c r="M21629" s="202"/>
    </row>
    <row r="21630" spans="13:13">
      <c r="M21630" s="202"/>
    </row>
    <row r="21631" spans="13:13">
      <c r="M21631" s="202"/>
    </row>
    <row r="21632" spans="13:13">
      <c r="M21632" s="202"/>
    </row>
    <row r="21633" spans="13:13">
      <c r="M21633" s="202"/>
    </row>
    <row r="21634" spans="13:13">
      <c r="M21634" s="202"/>
    </row>
    <row r="21635" spans="13:13">
      <c r="M21635" s="202"/>
    </row>
    <row r="21636" spans="13:13">
      <c r="M21636" s="202"/>
    </row>
    <row r="21637" spans="13:13">
      <c r="M21637" s="202"/>
    </row>
    <row r="21638" spans="13:13">
      <c r="M21638" s="202"/>
    </row>
    <row r="21639" spans="13:13">
      <c r="M21639" s="202"/>
    </row>
    <row r="21640" spans="13:13">
      <c r="M21640" s="202"/>
    </row>
    <row r="21641" spans="13:13">
      <c r="M21641" s="202"/>
    </row>
    <row r="21642" spans="13:13">
      <c r="M21642" s="202"/>
    </row>
    <row r="21643" spans="13:13">
      <c r="M21643" s="202"/>
    </row>
    <row r="21644" spans="13:13">
      <c r="M21644" s="202"/>
    </row>
    <row r="21645" spans="13:13">
      <c r="M21645" s="202"/>
    </row>
    <row r="21646" spans="13:13">
      <c r="M21646" s="202"/>
    </row>
    <row r="21647" spans="13:13">
      <c r="M21647" s="202"/>
    </row>
    <row r="21648" spans="13:13">
      <c r="M21648" s="202"/>
    </row>
    <row r="21649" spans="13:13">
      <c r="M21649" s="202"/>
    </row>
    <row r="21650" spans="13:13">
      <c r="M21650" s="202"/>
    </row>
    <row r="21651" spans="13:13">
      <c r="M21651" s="202"/>
    </row>
    <row r="21652" spans="13:13">
      <c r="M21652" s="202"/>
    </row>
    <row r="21653" spans="13:13">
      <c r="M21653" s="202"/>
    </row>
    <row r="21654" spans="13:13">
      <c r="M21654" s="202"/>
    </row>
    <row r="21655" spans="13:13">
      <c r="M21655" s="202"/>
    </row>
    <row r="21656" spans="13:13">
      <c r="M21656" s="202"/>
    </row>
    <row r="21657" spans="13:13">
      <c r="M21657" s="202"/>
    </row>
    <row r="21658" spans="13:13">
      <c r="M21658" s="202"/>
    </row>
    <row r="21659" spans="13:13">
      <c r="M21659" s="202"/>
    </row>
    <row r="21660" spans="13:13">
      <c r="M21660" s="202"/>
    </row>
    <row r="21661" spans="13:13">
      <c r="M21661" s="202"/>
    </row>
    <row r="21662" spans="13:13">
      <c r="M21662" s="202"/>
    </row>
    <row r="21663" spans="13:13">
      <c r="M21663" s="202"/>
    </row>
    <row r="21664" spans="13:13">
      <c r="M21664" s="202"/>
    </row>
    <row r="21665" spans="13:13">
      <c r="M21665" s="202"/>
    </row>
    <row r="21666" spans="13:13">
      <c r="M21666" s="202"/>
    </row>
    <row r="21667" spans="13:13">
      <c r="M21667" s="202"/>
    </row>
    <row r="21668" spans="13:13">
      <c r="M21668" s="202"/>
    </row>
    <row r="21669" spans="13:13">
      <c r="M21669" s="202"/>
    </row>
    <row r="21670" spans="13:13">
      <c r="M21670" s="202"/>
    </row>
    <row r="21671" spans="13:13">
      <c r="M21671" s="202"/>
    </row>
    <row r="21672" spans="13:13">
      <c r="M21672" s="202"/>
    </row>
    <row r="21673" spans="13:13">
      <c r="M21673" s="202"/>
    </row>
    <row r="21674" spans="13:13">
      <c r="M21674" s="202"/>
    </row>
    <row r="21675" spans="13:13">
      <c r="M21675" s="202"/>
    </row>
    <row r="21676" spans="13:13">
      <c r="M21676" s="202"/>
    </row>
    <row r="21677" spans="13:13">
      <c r="M21677" s="202"/>
    </row>
    <row r="21678" spans="13:13">
      <c r="M21678" s="202"/>
    </row>
    <row r="21679" spans="13:13">
      <c r="M21679" s="202"/>
    </row>
    <row r="21680" spans="13:13">
      <c r="M21680" s="202"/>
    </row>
    <row r="21681" spans="13:13">
      <c r="M21681" s="202"/>
    </row>
    <row r="21682" spans="13:13">
      <c r="M21682" s="202"/>
    </row>
    <row r="21683" spans="13:13">
      <c r="M21683" s="202"/>
    </row>
    <row r="21684" spans="13:13">
      <c r="M21684" s="202"/>
    </row>
    <row r="21685" spans="13:13">
      <c r="M21685" s="202"/>
    </row>
    <row r="21686" spans="13:13">
      <c r="M21686" s="202"/>
    </row>
    <row r="21687" spans="13:13">
      <c r="M21687" s="202"/>
    </row>
    <row r="21688" spans="13:13">
      <c r="M21688" s="202"/>
    </row>
    <row r="21689" spans="13:13">
      <c r="M21689" s="202"/>
    </row>
    <row r="21690" spans="13:13">
      <c r="M21690" s="202"/>
    </row>
    <row r="21691" spans="13:13">
      <c r="M21691" s="202"/>
    </row>
    <row r="21692" spans="13:13">
      <c r="M21692" s="202"/>
    </row>
    <row r="21693" spans="13:13">
      <c r="M21693" s="202"/>
    </row>
    <row r="21694" spans="13:13">
      <c r="M21694" s="202"/>
    </row>
    <row r="21695" spans="13:13">
      <c r="M21695" s="202"/>
    </row>
    <row r="21696" spans="13:13">
      <c r="M21696" s="202"/>
    </row>
    <row r="21697" spans="13:13">
      <c r="M21697" s="202"/>
    </row>
    <row r="21698" spans="13:13">
      <c r="M21698" s="202"/>
    </row>
    <row r="21699" spans="13:13">
      <c r="M21699" s="202"/>
    </row>
    <row r="21700" spans="13:13">
      <c r="M21700" s="202"/>
    </row>
    <row r="21701" spans="13:13">
      <c r="M21701" s="202"/>
    </row>
    <row r="21702" spans="13:13">
      <c r="M21702" s="202"/>
    </row>
    <row r="21703" spans="13:13">
      <c r="M21703" s="202"/>
    </row>
    <row r="21704" spans="13:13">
      <c r="M21704" s="202"/>
    </row>
    <row r="21705" spans="13:13">
      <c r="M21705" s="202"/>
    </row>
    <row r="21706" spans="13:13">
      <c r="M21706" s="202"/>
    </row>
    <row r="21707" spans="13:13">
      <c r="M21707" s="202"/>
    </row>
    <row r="21708" spans="13:13">
      <c r="M21708" s="202"/>
    </row>
    <row r="21709" spans="13:13">
      <c r="M21709" s="202"/>
    </row>
    <row r="21710" spans="13:13">
      <c r="M21710" s="202"/>
    </row>
    <row r="21711" spans="13:13">
      <c r="M21711" s="202"/>
    </row>
    <row r="21712" spans="13:13">
      <c r="M21712" s="202"/>
    </row>
    <row r="21713" spans="13:13">
      <c r="M21713" s="202"/>
    </row>
    <row r="21714" spans="13:13">
      <c r="M21714" s="202"/>
    </row>
    <row r="21715" spans="13:13">
      <c r="M21715" s="202"/>
    </row>
    <row r="21716" spans="13:13">
      <c r="M21716" s="202"/>
    </row>
    <row r="21717" spans="13:13">
      <c r="M21717" s="202"/>
    </row>
    <row r="21718" spans="13:13">
      <c r="M21718" s="202"/>
    </row>
    <row r="21719" spans="13:13">
      <c r="M21719" s="202"/>
    </row>
    <row r="21720" spans="13:13">
      <c r="M21720" s="202"/>
    </row>
    <row r="21721" spans="13:13">
      <c r="M21721" s="202"/>
    </row>
    <row r="21722" spans="13:13">
      <c r="M21722" s="202"/>
    </row>
    <row r="21723" spans="13:13">
      <c r="M21723" s="202"/>
    </row>
    <row r="21724" spans="13:13">
      <c r="M21724" s="202"/>
    </row>
    <row r="21725" spans="13:13">
      <c r="M21725" s="202"/>
    </row>
    <row r="21726" spans="13:13">
      <c r="M21726" s="202"/>
    </row>
    <row r="21727" spans="13:13">
      <c r="M21727" s="202"/>
    </row>
    <row r="21728" spans="13:13">
      <c r="M21728" s="202"/>
    </row>
    <row r="21729" spans="13:13">
      <c r="M21729" s="202"/>
    </row>
    <row r="21730" spans="13:13">
      <c r="M21730" s="202"/>
    </row>
    <row r="21731" spans="13:13">
      <c r="M21731" s="202"/>
    </row>
    <row r="21732" spans="13:13">
      <c r="M21732" s="202"/>
    </row>
    <row r="21733" spans="13:13">
      <c r="M21733" s="202"/>
    </row>
    <row r="21734" spans="13:13">
      <c r="M21734" s="202"/>
    </row>
    <row r="21735" spans="13:13">
      <c r="M21735" s="202"/>
    </row>
    <row r="21736" spans="13:13">
      <c r="M21736" s="202"/>
    </row>
    <row r="21737" spans="13:13">
      <c r="M21737" s="202"/>
    </row>
    <row r="21738" spans="13:13">
      <c r="M21738" s="202"/>
    </row>
    <row r="21739" spans="13:13">
      <c r="M21739" s="202"/>
    </row>
    <row r="21740" spans="13:13">
      <c r="M21740" s="202"/>
    </row>
    <row r="21741" spans="13:13">
      <c r="M21741" s="202"/>
    </row>
    <row r="21742" spans="13:13">
      <c r="M21742" s="202"/>
    </row>
    <row r="21743" spans="13:13">
      <c r="M21743" s="202"/>
    </row>
    <row r="21744" spans="13:13">
      <c r="M21744" s="202"/>
    </row>
    <row r="21745" spans="13:13">
      <c r="M21745" s="202"/>
    </row>
    <row r="21746" spans="13:13">
      <c r="M21746" s="202"/>
    </row>
    <row r="21747" spans="13:13">
      <c r="M21747" s="202"/>
    </row>
    <row r="21748" spans="13:13">
      <c r="M21748" s="202"/>
    </row>
    <row r="21749" spans="13:13">
      <c r="M21749" s="202"/>
    </row>
    <row r="21750" spans="13:13">
      <c r="M21750" s="202"/>
    </row>
    <row r="21751" spans="13:13">
      <c r="M21751" s="202"/>
    </row>
    <row r="21752" spans="13:13">
      <c r="M21752" s="202"/>
    </row>
    <row r="21753" spans="13:13">
      <c r="M21753" s="202"/>
    </row>
    <row r="21754" spans="13:13">
      <c r="M21754" s="202"/>
    </row>
    <row r="21755" spans="13:13">
      <c r="M21755" s="202"/>
    </row>
    <row r="21756" spans="13:13">
      <c r="M21756" s="202"/>
    </row>
    <row r="21757" spans="13:13">
      <c r="M21757" s="202"/>
    </row>
    <row r="21758" spans="13:13">
      <c r="M21758" s="202"/>
    </row>
    <row r="21759" spans="13:13">
      <c r="M21759" s="202"/>
    </row>
    <row r="21760" spans="13:13">
      <c r="M21760" s="202"/>
    </row>
    <row r="21761" spans="13:13">
      <c r="M21761" s="202"/>
    </row>
    <row r="21762" spans="13:13">
      <c r="M21762" s="202"/>
    </row>
    <row r="21763" spans="13:13">
      <c r="M21763" s="202"/>
    </row>
    <row r="21764" spans="13:13">
      <c r="M21764" s="202"/>
    </row>
    <row r="21765" spans="13:13">
      <c r="M21765" s="202"/>
    </row>
    <row r="21766" spans="13:13">
      <c r="M21766" s="202"/>
    </row>
    <row r="21767" spans="13:13">
      <c r="M21767" s="202"/>
    </row>
    <row r="21768" spans="13:13">
      <c r="M21768" s="202"/>
    </row>
    <row r="21769" spans="13:13">
      <c r="M21769" s="202"/>
    </row>
    <row r="21770" spans="13:13">
      <c r="M21770" s="202"/>
    </row>
    <row r="21771" spans="13:13">
      <c r="M21771" s="202"/>
    </row>
    <row r="21772" spans="13:13">
      <c r="M21772" s="202"/>
    </row>
    <row r="21773" spans="13:13">
      <c r="M21773" s="202"/>
    </row>
    <row r="21774" spans="13:13">
      <c r="M21774" s="202"/>
    </row>
    <row r="21775" spans="13:13">
      <c r="M21775" s="202"/>
    </row>
    <row r="21776" spans="13:13">
      <c r="M21776" s="202"/>
    </row>
    <row r="21777" spans="13:13">
      <c r="M21777" s="202"/>
    </row>
    <row r="21778" spans="13:13">
      <c r="M21778" s="202"/>
    </row>
    <row r="21779" spans="13:13">
      <c r="M21779" s="202"/>
    </row>
    <row r="21780" spans="13:13">
      <c r="M21780" s="202"/>
    </row>
    <row r="21781" spans="13:13">
      <c r="M21781" s="202"/>
    </row>
    <row r="21782" spans="13:13">
      <c r="M21782" s="202"/>
    </row>
    <row r="21783" spans="13:13">
      <c r="M21783" s="202"/>
    </row>
    <row r="21784" spans="13:13">
      <c r="M21784" s="202"/>
    </row>
    <row r="21785" spans="13:13">
      <c r="M21785" s="202"/>
    </row>
    <row r="21786" spans="13:13">
      <c r="M21786" s="202"/>
    </row>
    <row r="21787" spans="13:13">
      <c r="M21787" s="202"/>
    </row>
    <row r="21788" spans="13:13">
      <c r="M21788" s="202"/>
    </row>
    <row r="21789" spans="13:13">
      <c r="M21789" s="202"/>
    </row>
    <row r="21790" spans="13:13">
      <c r="M21790" s="202"/>
    </row>
    <row r="21791" spans="13:13">
      <c r="M21791" s="202"/>
    </row>
    <row r="21792" spans="13:13">
      <c r="M21792" s="202"/>
    </row>
    <row r="21793" spans="13:13">
      <c r="M21793" s="202"/>
    </row>
    <row r="21794" spans="13:13">
      <c r="M21794" s="202"/>
    </row>
    <row r="21795" spans="13:13">
      <c r="M21795" s="202"/>
    </row>
    <row r="21796" spans="13:13">
      <c r="M21796" s="202"/>
    </row>
    <row r="21797" spans="13:13">
      <c r="M21797" s="202"/>
    </row>
    <row r="21798" spans="13:13">
      <c r="M21798" s="202"/>
    </row>
    <row r="21799" spans="13:13">
      <c r="M21799" s="202"/>
    </row>
    <row r="21800" spans="13:13">
      <c r="M21800" s="202"/>
    </row>
    <row r="21801" spans="13:13">
      <c r="M21801" s="202"/>
    </row>
    <row r="21802" spans="13:13">
      <c r="M21802" s="202"/>
    </row>
    <row r="21803" spans="13:13">
      <c r="M21803" s="202"/>
    </row>
    <row r="21804" spans="13:13">
      <c r="M21804" s="202"/>
    </row>
    <row r="21805" spans="13:13">
      <c r="M21805" s="202"/>
    </row>
    <row r="21806" spans="13:13">
      <c r="M21806" s="202"/>
    </row>
    <row r="21807" spans="13:13">
      <c r="M21807" s="202"/>
    </row>
    <row r="21808" spans="13:13">
      <c r="M21808" s="202"/>
    </row>
    <row r="21809" spans="13:13">
      <c r="M21809" s="202"/>
    </row>
    <row r="21810" spans="13:13">
      <c r="M21810" s="202"/>
    </row>
    <row r="21811" spans="13:13">
      <c r="M21811" s="202"/>
    </row>
    <row r="21812" spans="13:13">
      <c r="M21812" s="202"/>
    </row>
    <row r="21813" spans="13:13">
      <c r="M21813" s="202"/>
    </row>
    <row r="21814" spans="13:13">
      <c r="M21814" s="202"/>
    </row>
    <row r="21815" spans="13:13">
      <c r="M21815" s="202"/>
    </row>
    <row r="21816" spans="13:13">
      <c r="M21816" s="202"/>
    </row>
    <row r="21817" spans="13:13">
      <c r="M21817" s="202"/>
    </row>
    <row r="21818" spans="13:13">
      <c r="M21818" s="202"/>
    </row>
    <row r="21819" spans="13:13">
      <c r="M21819" s="202"/>
    </row>
    <row r="21820" spans="13:13">
      <c r="M21820" s="202"/>
    </row>
    <row r="21821" spans="13:13">
      <c r="M21821" s="202"/>
    </row>
    <row r="21822" spans="13:13">
      <c r="M21822" s="202"/>
    </row>
    <row r="21823" spans="13:13">
      <c r="M21823" s="202"/>
    </row>
    <row r="21824" spans="13:13">
      <c r="M21824" s="202"/>
    </row>
    <row r="21825" spans="13:13">
      <c r="M21825" s="202"/>
    </row>
    <row r="21826" spans="13:13">
      <c r="M21826" s="202"/>
    </row>
    <row r="21827" spans="13:13">
      <c r="M21827" s="202"/>
    </row>
    <row r="21828" spans="13:13">
      <c r="M21828" s="202"/>
    </row>
    <row r="21829" spans="13:13">
      <c r="M21829" s="202"/>
    </row>
    <row r="21830" spans="13:13">
      <c r="M21830" s="202"/>
    </row>
    <row r="21831" spans="13:13">
      <c r="M21831" s="202"/>
    </row>
    <row r="21832" spans="13:13">
      <c r="M21832" s="202"/>
    </row>
    <row r="21833" spans="13:13">
      <c r="M21833" s="202"/>
    </row>
    <row r="21834" spans="13:13">
      <c r="M21834" s="202"/>
    </row>
    <row r="21835" spans="13:13">
      <c r="M21835" s="202"/>
    </row>
    <row r="21836" spans="13:13">
      <c r="M21836" s="202"/>
    </row>
    <row r="21837" spans="13:13">
      <c r="M21837" s="202"/>
    </row>
    <row r="21838" spans="13:13">
      <c r="M21838" s="202"/>
    </row>
    <row r="21839" spans="13:13">
      <c r="M21839" s="202"/>
    </row>
    <row r="21840" spans="13:13">
      <c r="M21840" s="202"/>
    </row>
    <row r="21841" spans="13:13">
      <c r="M21841" s="202"/>
    </row>
    <row r="21842" spans="13:13">
      <c r="M21842" s="202"/>
    </row>
    <row r="21843" spans="13:13">
      <c r="M21843" s="202"/>
    </row>
    <row r="21844" spans="13:13">
      <c r="M21844" s="202"/>
    </row>
    <row r="21845" spans="13:13">
      <c r="M21845" s="202"/>
    </row>
    <row r="21846" spans="13:13">
      <c r="M21846" s="202"/>
    </row>
    <row r="21847" spans="13:13">
      <c r="M21847" s="202"/>
    </row>
    <row r="21848" spans="13:13">
      <c r="M21848" s="202"/>
    </row>
    <row r="21849" spans="13:13">
      <c r="M21849" s="202"/>
    </row>
    <row r="21850" spans="13:13">
      <c r="M21850" s="202"/>
    </row>
    <row r="21851" spans="13:13">
      <c r="M21851" s="202"/>
    </row>
    <row r="21852" spans="13:13">
      <c r="M21852" s="202"/>
    </row>
    <row r="21853" spans="13:13">
      <c r="M21853" s="202"/>
    </row>
    <row r="21854" spans="13:13">
      <c r="M21854" s="202"/>
    </row>
    <row r="21855" spans="13:13">
      <c r="M21855" s="202"/>
    </row>
    <row r="21856" spans="13:13">
      <c r="M21856" s="202"/>
    </row>
    <row r="21857" spans="13:13">
      <c r="M21857" s="202"/>
    </row>
    <row r="21858" spans="13:13">
      <c r="M21858" s="202"/>
    </row>
    <row r="21859" spans="13:13">
      <c r="M21859" s="202"/>
    </row>
    <row r="21860" spans="13:13">
      <c r="M21860" s="202"/>
    </row>
    <row r="21861" spans="13:13">
      <c r="M21861" s="202"/>
    </row>
    <row r="21862" spans="13:13">
      <c r="M21862" s="202"/>
    </row>
    <row r="21863" spans="13:13">
      <c r="M21863" s="202"/>
    </row>
    <row r="21864" spans="13:13">
      <c r="M21864" s="202"/>
    </row>
    <row r="21865" spans="13:13">
      <c r="M21865" s="202"/>
    </row>
    <row r="21866" spans="13:13">
      <c r="M21866" s="202"/>
    </row>
    <row r="21867" spans="13:13">
      <c r="M21867" s="202"/>
    </row>
    <row r="21868" spans="13:13">
      <c r="M21868" s="202"/>
    </row>
    <row r="21869" spans="13:13">
      <c r="M21869" s="202"/>
    </row>
    <row r="21870" spans="13:13">
      <c r="M21870" s="202"/>
    </row>
    <row r="21871" spans="13:13">
      <c r="M21871" s="202"/>
    </row>
    <row r="21872" spans="13:13">
      <c r="M21872" s="202"/>
    </row>
    <row r="21873" spans="13:13">
      <c r="M21873" s="202"/>
    </row>
    <row r="21874" spans="13:13">
      <c r="M21874" s="202"/>
    </row>
    <row r="21875" spans="13:13">
      <c r="M21875" s="202"/>
    </row>
    <row r="21876" spans="13:13">
      <c r="M21876" s="202"/>
    </row>
    <row r="21877" spans="13:13">
      <c r="M21877" s="202"/>
    </row>
    <row r="21878" spans="13:13">
      <c r="M21878" s="202"/>
    </row>
    <row r="21879" spans="13:13">
      <c r="M21879" s="202"/>
    </row>
    <row r="21880" spans="13:13">
      <c r="M21880" s="202"/>
    </row>
    <row r="21881" spans="13:13">
      <c r="M21881" s="202"/>
    </row>
    <row r="21882" spans="13:13">
      <c r="M21882" s="202"/>
    </row>
    <row r="21883" spans="13:13">
      <c r="M21883" s="202"/>
    </row>
    <row r="21884" spans="13:13">
      <c r="M21884" s="202"/>
    </row>
    <row r="21885" spans="13:13">
      <c r="M21885" s="202"/>
    </row>
    <row r="21886" spans="13:13">
      <c r="M21886" s="202"/>
    </row>
    <row r="21887" spans="13:13">
      <c r="M21887" s="202"/>
    </row>
    <row r="21888" spans="13:13">
      <c r="M21888" s="202"/>
    </row>
    <row r="21889" spans="13:13">
      <c r="M21889" s="202"/>
    </row>
    <row r="21890" spans="13:13">
      <c r="M21890" s="202"/>
    </row>
    <row r="21891" spans="13:13">
      <c r="M21891" s="202"/>
    </row>
    <row r="21892" spans="13:13">
      <c r="M21892" s="202"/>
    </row>
    <row r="21893" spans="13:13">
      <c r="M21893" s="202"/>
    </row>
    <row r="21894" spans="13:13">
      <c r="M21894" s="202"/>
    </row>
    <row r="21895" spans="13:13">
      <c r="M21895" s="202"/>
    </row>
    <row r="21896" spans="13:13">
      <c r="M21896" s="202"/>
    </row>
    <row r="21897" spans="13:13">
      <c r="M21897" s="202"/>
    </row>
    <row r="21898" spans="13:13">
      <c r="M21898" s="202"/>
    </row>
    <row r="21899" spans="13:13">
      <c r="M21899" s="202"/>
    </row>
    <row r="21900" spans="13:13">
      <c r="M21900" s="202"/>
    </row>
    <row r="21901" spans="13:13">
      <c r="M21901" s="202"/>
    </row>
    <row r="21902" spans="13:13">
      <c r="M21902" s="202"/>
    </row>
    <row r="21903" spans="13:13">
      <c r="M21903" s="202"/>
    </row>
    <row r="21904" spans="13:13">
      <c r="M21904" s="202"/>
    </row>
    <row r="21905" spans="13:13">
      <c r="M21905" s="202"/>
    </row>
    <row r="21906" spans="13:13">
      <c r="M21906" s="202"/>
    </row>
    <row r="21907" spans="13:13">
      <c r="M21907" s="202"/>
    </row>
    <row r="21908" spans="13:13">
      <c r="M21908" s="202"/>
    </row>
    <row r="21909" spans="13:13">
      <c r="M21909" s="202"/>
    </row>
    <row r="21910" spans="13:13">
      <c r="M21910" s="202"/>
    </row>
    <row r="21911" spans="13:13">
      <c r="M21911" s="202"/>
    </row>
    <row r="21912" spans="13:13">
      <c r="M21912" s="202"/>
    </row>
    <row r="21913" spans="13:13">
      <c r="M21913" s="202"/>
    </row>
    <row r="21914" spans="13:13">
      <c r="M21914" s="202"/>
    </row>
    <row r="21915" spans="13:13">
      <c r="M21915" s="202"/>
    </row>
    <row r="21916" spans="13:13">
      <c r="M21916" s="202"/>
    </row>
    <row r="21917" spans="13:13">
      <c r="M21917" s="202"/>
    </row>
    <row r="21918" spans="13:13">
      <c r="M21918" s="202"/>
    </row>
    <row r="21919" spans="13:13">
      <c r="M21919" s="202"/>
    </row>
    <row r="21920" spans="13:13">
      <c r="M21920" s="202"/>
    </row>
    <row r="21921" spans="13:13">
      <c r="M21921" s="202"/>
    </row>
    <row r="21922" spans="13:13">
      <c r="M21922" s="202"/>
    </row>
    <row r="21923" spans="13:13">
      <c r="M21923" s="202"/>
    </row>
    <row r="21924" spans="13:13">
      <c r="M21924" s="202"/>
    </row>
    <row r="21925" spans="13:13">
      <c r="M21925" s="202"/>
    </row>
    <row r="21926" spans="13:13">
      <c r="M21926" s="202"/>
    </row>
    <row r="21927" spans="13:13">
      <c r="M21927" s="202"/>
    </row>
    <row r="21928" spans="13:13">
      <c r="M21928" s="202"/>
    </row>
    <row r="21929" spans="13:13">
      <c r="M21929" s="202"/>
    </row>
    <row r="21930" spans="13:13">
      <c r="M21930" s="202"/>
    </row>
    <row r="21931" spans="13:13">
      <c r="M21931" s="202"/>
    </row>
    <row r="21932" spans="13:13">
      <c r="M21932" s="202"/>
    </row>
    <row r="21933" spans="13:13">
      <c r="M21933" s="202"/>
    </row>
    <row r="21934" spans="13:13">
      <c r="M21934" s="202"/>
    </row>
    <row r="21935" spans="13:13">
      <c r="M21935" s="202"/>
    </row>
    <row r="21936" spans="13:13">
      <c r="M21936" s="202"/>
    </row>
    <row r="21937" spans="13:13">
      <c r="M21937" s="202"/>
    </row>
    <row r="21938" spans="13:13">
      <c r="M21938" s="202"/>
    </row>
    <row r="21939" spans="13:13">
      <c r="M21939" s="202"/>
    </row>
    <row r="21940" spans="13:13">
      <c r="M21940" s="202"/>
    </row>
    <row r="21941" spans="13:13">
      <c r="M21941" s="202"/>
    </row>
    <row r="21942" spans="13:13">
      <c r="M21942" s="202"/>
    </row>
    <row r="21943" spans="13:13">
      <c r="M21943" s="202"/>
    </row>
    <row r="21944" spans="13:13">
      <c r="M21944" s="202"/>
    </row>
    <row r="21945" spans="13:13">
      <c r="M21945" s="202"/>
    </row>
    <row r="21946" spans="13:13">
      <c r="M21946" s="202"/>
    </row>
    <row r="21947" spans="13:13">
      <c r="M21947" s="202"/>
    </row>
    <row r="21948" spans="13:13">
      <c r="M21948" s="202"/>
    </row>
    <row r="21949" spans="13:13">
      <c r="M21949" s="202"/>
    </row>
    <row r="21950" spans="13:13">
      <c r="M21950" s="202"/>
    </row>
    <row r="21951" spans="13:13">
      <c r="M21951" s="202"/>
    </row>
    <row r="21952" spans="13:13">
      <c r="M21952" s="202"/>
    </row>
    <row r="21953" spans="13:13">
      <c r="M21953" s="202"/>
    </row>
    <row r="21954" spans="13:13">
      <c r="M21954" s="202"/>
    </row>
    <row r="21955" spans="13:13">
      <c r="M21955" s="202"/>
    </row>
    <row r="21956" spans="13:13">
      <c r="M21956" s="202"/>
    </row>
    <row r="21957" spans="13:13">
      <c r="M21957" s="202"/>
    </row>
    <row r="21958" spans="13:13">
      <c r="M21958" s="202"/>
    </row>
    <row r="21959" spans="13:13">
      <c r="M21959" s="202"/>
    </row>
    <row r="21960" spans="13:13">
      <c r="M21960" s="202"/>
    </row>
    <row r="21961" spans="13:13">
      <c r="M21961" s="202"/>
    </row>
    <row r="21962" spans="13:13">
      <c r="M21962" s="202"/>
    </row>
    <row r="21963" spans="13:13">
      <c r="M21963" s="202"/>
    </row>
    <row r="21964" spans="13:13">
      <c r="M21964" s="202"/>
    </row>
    <row r="21965" spans="13:13">
      <c r="M21965" s="202"/>
    </row>
    <row r="21966" spans="13:13">
      <c r="M21966" s="202"/>
    </row>
    <row r="21967" spans="13:13">
      <c r="M21967" s="202"/>
    </row>
    <row r="21968" spans="13:13">
      <c r="M21968" s="202"/>
    </row>
    <row r="21969" spans="13:13">
      <c r="M21969" s="202"/>
    </row>
    <row r="21970" spans="13:13">
      <c r="M21970" s="202"/>
    </row>
    <row r="21971" spans="13:13">
      <c r="M21971" s="202"/>
    </row>
    <row r="21972" spans="13:13">
      <c r="M21972" s="202"/>
    </row>
    <row r="21973" spans="13:13">
      <c r="M21973" s="202"/>
    </row>
    <row r="21974" spans="13:13">
      <c r="M21974" s="202"/>
    </row>
    <row r="21975" spans="13:13">
      <c r="M21975" s="202"/>
    </row>
    <row r="21976" spans="13:13">
      <c r="M21976" s="202"/>
    </row>
    <row r="21977" spans="13:13">
      <c r="M21977" s="202"/>
    </row>
    <row r="21978" spans="13:13">
      <c r="M21978" s="202"/>
    </row>
    <row r="21979" spans="13:13">
      <c r="M21979" s="202"/>
    </row>
    <row r="21980" spans="13:13">
      <c r="M21980" s="202"/>
    </row>
    <row r="21981" spans="13:13">
      <c r="M21981" s="202"/>
    </row>
    <row r="21982" spans="13:13">
      <c r="M21982" s="202"/>
    </row>
    <row r="21983" spans="13:13">
      <c r="M21983" s="202"/>
    </row>
    <row r="21984" spans="13:13">
      <c r="M21984" s="202"/>
    </row>
    <row r="21985" spans="13:13">
      <c r="M21985" s="202"/>
    </row>
    <row r="21986" spans="13:13">
      <c r="M21986" s="202"/>
    </row>
    <row r="21987" spans="13:13">
      <c r="M21987" s="202"/>
    </row>
    <row r="21988" spans="13:13">
      <c r="M21988" s="202"/>
    </row>
    <row r="21989" spans="13:13">
      <c r="M21989" s="202"/>
    </row>
    <row r="21990" spans="13:13">
      <c r="M21990" s="202"/>
    </row>
    <row r="21991" spans="13:13">
      <c r="M21991" s="202"/>
    </row>
    <row r="21992" spans="13:13">
      <c r="M21992" s="202"/>
    </row>
    <row r="21993" spans="13:13">
      <c r="M21993" s="202"/>
    </row>
    <row r="21994" spans="13:13">
      <c r="M21994" s="202"/>
    </row>
    <row r="21995" spans="13:13">
      <c r="M21995" s="202"/>
    </row>
    <row r="21996" spans="13:13">
      <c r="M21996" s="202"/>
    </row>
    <row r="21997" spans="13:13">
      <c r="M21997" s="202"/>
    </row>
    <row r="21998" spans="13:13">
      <c r="M21998" s="202"/>
    </row>
    <row r="21999" spans="13:13">
      <c r="M21999" s="202"/>
    </row>
    <row r="22000" spans="13:13">
      <c r="M22000" s="202"/>
    </row>
    <row r="22001" spans="13:13">
      <c r="M22001" s="202"/>
    </row>
    <row r="22002" spans="13:13">
      <c r="M22002" s="202"/>
    </row>
    <row r="22003" spans="13:13">
      <c r="M22003" s="202"/>
    </row>
    <row r="22004" spans="13:13">
      <c r="M22004" s="202"/>
    </row>
    <row r="22005" spans="13:13">
      <c r="M22005" s="202"/>
    </row>
    <row r="22006" spans="13:13">
      <c r="M22006" s="202"/>
    </row>
    <row r="22007" spans="13:13">
      <c r="M22007" s="202"/>
    </row>
    <row r="22008" spans="13:13">
      <c r="M22008" s="202"/>
    </row>
    <row r="22009" spans="13:13">
      <c r="M22009" s="202"/>
    </row>
    <row r="22010" spans="13:13">
      <c r="M22010" s="202"/>
    </row>
    <row r="22011" spans="13:13">
      <c r="M22011" s="202"/>
    </row>
    <row r="22012" spans="13:13">
      <c r="M22012" s="202"/>
    </row>
    <row r="22013" spans="13:13">
      <c r="M22013" s="202"/>
    </row>
    <row r="22014" spans="13:13">
      <c r="M22014" s="202"/>
    </row>
    <row r="22015" spans="13:13">
      <c r="M22015" s="202"/>
    </row>
    <row r="22016" spans="13:13">
      <c r="M22016" s="202"/>
    </row>
    <row r="22017" spans="13:13">
      <c r="M22017" s="202"/>
    </row>
    <row r="22018" spans="13:13">
      <c r="M22018" s="202"/>
    </row>
    <row r="22019" spans="13:13">
      <c r="M22019" s="202"/>
    </row>
    <row r="22020" spans="13:13">
      <c r="M22020" s="202"/>
    </row>
    <row r="22021" spans="13:13">
      <c r="M22021" s="202"/>
    </row>
    <row r="22022" spans="13:13">
      <c r="M22022" s="202"/>
    </row>
    <row r="22023" spans="13:13">
      <c r="M22023" s="202"/>
    </row>
    <row r="22024" spans="13:13">
      <c r="M22024" s="202"/>
    </row>
    <row r="22025" spans="13:13">
      <c r="M22025" s="202"/>
    </row>
    <row r="22026" spans="13:13">
      <c r="M22026" s="202"/>
    </row>
    <row r="22027" spans="13:13">
      <c r="M22027" s="202"/>
    </row>
    <row r="22028" spans="13:13">
      <c r="M22028" s="202"/>
    </row>
    <row r="22029" spans="13:13">
      <c r="M22029" s="202"/>
    </row>
    <row r="22030" spans="13:13">
      <c r="M22030" s="202"/>
    </row>
    <row r="22031" spans="13:13">
      <c r="M22031" s="202"/>
    </row>
    <row r="22032" spans="13:13">
      <c r="M22032" s="202"/>
    </row>
    <row r="22033" spans="13:13">
      <c r="M22033" s="202"/>
    </row>
    <row r="22034" spans="13:13">
      <c r="M22034" s="202"/>
    </row>
    <row r="22035" spans="13:13">
      <c r="M22035" s="202"/>
    </row>
    <row r="22036" spans="13:13">
      <c r="M22036" s="202"/>
    </row>
    <row r="22037" spans="13:13">
      <c r="M22037" s="202"/>
    </row>
    <row r="22038" spans="13:13">
      <c r="M22038" s="202"/>
    </row>
    <row r="22039" spans="13:13">
      <c r="M22039" s="202"/>
    </row>
    <row r="22040" spans="13:13">
      <c r="M22040" s="202"/>
    </row>
    <row r="22041" spans="13:13">
      <c r="M22041" s="202"/>
    </row>
    <row r="22042" spans="13:13">
      <c r="M22042" s="202"/>
    </row>
    <row r="22043" spans="13:13">
      <c r="M22043" s="202"/>
    </row>
    <row r="22044" spans="13:13">
      <c r="M22044" s="202"/>
    </row>
    <row r="22045" spans="13:13">
      <c r="M22045" s="202"/>
    </row>
    <row r="22046" spans="13:13">
      <c r="M22046" s="202"/>
    </row>
    <row r="22047" spans="13:13">
      <c r="M22047" s="202"/>
    </row>
    <row r="22048" spans="13:13">
      <c r="M22048" s="202"/>
    </row>
    <row r="22049" spans="13:13">
      <c r="M22049" s="202"/>
    </row>
    <row r="22050" spans="13:13">
      <c r="M22050" s="202"/>
    </row>
    <row r="22051" spans="13:13">
      <c r="M22051" s="202"/>
    </row>
    <row r="22052" spans="13:13">
      <c r="M22052" s="202"/>
    </row>
    <row r="22053" spans="13:13">
      <c r="M22053" s="202"/>
    </row>
    <row r="22054" spans="13:13">
      <c r="M22054" s="202"/>
    </row>
    <row r="22055" spans="13:13">
      <c r="M22055" s="202"/>
    </row>
    <row r="22056" spans="13:13">
      <c r="M22056" s="202"/>
    </row>
    <row r="22057" spans="13:13">
      <c r="M22057" s="202"/>
    </row>
    <row r="22058" spans="13:13">
      <c r="M22058" s="202"/>
    </row>
    <row r="22059" spans="13:13">
      <c r="M22059" s="202"/>
    </row>
    <row r="22060" spans="13:13">
      <c r="M22060" s="202"/>
    </row>
    <row r="22061" spans="13:13">
      <c r="M22061" s="202"/>
    </row>
    <row r="22062" spans="13:13">
      <c r="M22062" s="202"/>
    </row>
    <row r="22063" spans="13:13">
      <c r="M22063" s="202"/>
    </row>
    <row r="22064" spans="13:13">
      <c r="M22064" s="202"/>
    </row>
    <row r="22065" spans="13:13">
      <c r="M22065" s="202"/>
    </row>
    <row r="22066" spans="13:13">
      <c r="M22066" s="202"/>
    </row>
    <row r="22067" spans="13:13">
      <c r="M22067" s="202"/>
    </row>
    <row r="22068" spans="13:13">
      <c r="M22068" s="202"/>
    </row>
    <row r="22069" spans="13:13">
      <c r="M22069" s="202"/>
    </row>
    <row r="22070" spans="13:13">
      <c r="M22070" s="202"/>
    </row>
    <row r="22071" spans="13:13">
      <c r="M22071" s="202"/>
    </row>
    <row r="22072" spans="13:13">
      <c r="M22072" s="202"/>
    </row>
    <row r="22073" spans="13:13">
      <c r="M22073" s="202"/>
    </row>
    <row r="22074" spans="13:13">
      <c r="M22074" s="202"/>
    </row>
    <row r="22075" spans="13:13">
      <c r="M22075" s="202"/>
    </row>
    <row r="22076" spans="13:13">
      <c r="M22076" s="202"/>
    </row>
    <row r="22077" spans="13:13">
      <c r="M22077" s="202"/>
    </row>
    <row r="22078" spans="13:13">
      <c r="M22078" s="202"/>
    </row>
    <row r="22079" spans="13:13">
      <c r="M22079" s="202"/>
    </row>
    <row r="22080" spans="13:13">
      <c r="M22080" s="202"/>
    </row>
    <row r="22081" spans="13:13">
      <c r="M22081" s="202"/>
    </row>
    <row r="22082" spans="13:13">
      <c r="M22082" s="202"/>
    </row>
    <row r="22083" spans="13:13">
      <c r="M22083" s="202"/>
    </row>
    <row r="22084" spans="13:13">
      <c r="M22084" s="202"/>
    </row>
    <row r="22085" spans="13:13">
      <c r="M22085" s="202"/>
    </row>
    <row r="22086" spans="13:13">
      <c r="M22086" s="202"/>
    </row>
    <row r="22087" spans="13:13">
      <c r="M22087" s="202"/>
    </row>
    <row r="22088" spans="13:13">
      <c r="M22088" s="202"/>
    </row>
    <row r="22089" spans="13:13">
      <c r="M22089" s="202"/>
    </row>
    <row r="22090" spans="13:13">
      <c r="M22090" s="202"/>
    </row>
    <row r="22091" spans="13:13">
      <c r="M22091" s="202"/>
    </row>
    <row r="22092" spans="13:13">
      <c r="M22092" s="202"/>
    </row>
    <row r="22093" spans="13:13">
      <c r="M22093" s="202"/>
    </row>
    <row r="22094" spans="13:13">
      <c r="M22094" s="202"/>
    </row>
    <row r="22095" spans="13:13">
      <c r="M22095" s="202"/>
    </row>
    <row r="22096" spans="13:13">
      <c r="M22096" s="202"/>
    </row>
    <row r="22097" spans="13:13">
      <c r="M22097" s="202"/>
    </row>
    <row r="22098" spans="13:13">
      <c r="M22098" s="202"/>
    </row>
    <row r="22099" spans="13:13">
      <c r="M22099" s="202"/>
    </row>
    <row r="22100" spans="13:13">
      <c r="M22100" s="202"/>
    </row>
    <row r="22101" spans="13:13">
      <c r="M22101" s="202"/>
    </row>
    <row r="22102" spans="13:13">
      <c r="M22102" s="202"/>
    </row>
    <row r="22103" spans="13:13">
      <c r="M22103" s="202"/>
    </row>
    <row r="22104" spans="13:13">
      <c r="M22104" s="202"/>
    </row>
    <row r="22105" spans="13:13">
      <c r="M22105" s="202"/>
    </row>
    <row r="22106" spans="13:13">
      <c r="M22106" s="202"/>
    </row>
    <row r="22107" spans="13:13">
      <c r="M22107" s="202"/>
    </row>
    <row r="22108" spans="13:13">
      <c r="M22108" s="202"/>
    </row>
    <row r="22109" spans="13:13">
      <c r="M22109" s="202"/>
    </row>
    <row r="22110" spans="13:13">
      <c r="M22110" s="202"/>
    </row>
    <row r="22111" spans="13:13">
      <c r="M22111" s="202"/>
    </row>
    <row r="22112" spans="13:13">
      <c r="M22112" s="202"/>
    </row>
    <row r="22113" spans="13:13">
      <c r="M22113" s="202"/>
    </row>
    <row r="22114" spans="13:13">
      <c r="M22114" s="202"/>
    </row>
    <row r="22115" spans="13:13">
      <c r="M22115" s="202"/>
    </row>
    <row r="22116" spans="13:13">
      <c r="M22116" s="202"/>
    </row>
    <row r="22117" spans="13:13">
      <c r="M22117" s="202"/>
    </row>
    <row r="22118" spans="13:13">
      <c r="M22118" s="202"/>
    </row>
    <row r="22119" spans="13:13">
      <c r="M22119" s="202"/>
    </row>
    <row r="22120" spans="13:13">
      <c r="M22120" s="202"/>
    </row>
    <row r="22121" spans="13:13">
      <c r="M22121" s="202"/>
    </row>
    <row r="22122" spans="13:13">
      <c r="M22122" s="202"/>
    </row>
    <row r="22123" spans="13:13">
      <c r="M22123" s="202"/>
    </row>
    <row r="22124" spans="13:13">
      <c r="M22124" s="202"/>
    </row>
    <row r="22125" spans="13:13">
      <c r="M22125" s="202"/>
    </row>
    <row r="22126" spans="13:13">
      <c r="M22126" s="202"/>
    </row>
    <row r="22127" spans="13:13">
      <c r="M22127" s="202"/>
    </row>
    <row r="22128" spans="13:13">
      <c r="M22128" s="202"/>
    </row>
    <row r="22129" spans="13:13">
      <c r="M22129" s="202"/>
    </row>
    <row r="22130" spans="13:13">
      <c r="M22130" s="202"/>
    </row>
    <row r="22131" spans="13:13">
      <c r="M22131" s="202"/>
    </row>
    <row r="22132" spans="13:13">
      <c r="M22132" s="202"/>
    </row>
    <row r="22133" spans="13:13">
      <c r="M22133" s="202"/>
    </row>
    <row r="22134" spans="13:13">
      <c r="M22134" s="202"/>
    </row>
    <row r="22135" spans="13:13">
      <c r="M22135" s="202"/>
    </row>
    <row r="22136" spans="13:13">
      <c r="M22136" s="202"/>
    </row>
    <row r="22137" spans="13:13">
      <c r="M22137" s="202"/>
    </row>
    <row r="22138" spans="13:13">
      <c r="M22138" s="202"/>
    </row>
    <row r="22139" spans="13:13">
      <c r="M22139" s="202"/>
    </row>
    <row r="22140" spans="13:13">
      <c r="M22140" s="202"/>
    </row>
    <row r="22141" spans="13:13">
      <c r="M22141" s="202"/>
    </row>
    <row r="22142" spans="13:13">
      <c r="M22142" s="202"/>
    </row>
    <row r="22143" spans="13:13">
      <c r="M22143" s="202"/>
    </row>
    <row r="22144" spans="13:13">
      <c r="M22144" s="202"/>
    </row>
    <row r="22145" spans="13:13">
      <c r="M22145" s="202"/>
    </row>
    <row r="22146" spans="13:13">
      <c r="M22146" s="202"/>
    </row>
    <row r="22147" spans="13:13">
      <c r="M22147" s="202"/>
    </row>
    <row r="22148" spans="13:13">
      <c r="M22148" s="202"/>
    </row>
    <row r="22149" spans="13:13">
      <c r="M22149" s="202"/>
    </row>
    <row r="22150" spans="13:13">
      <c r="M22150" s="202"/>
    </row>
    <row r="22151" spans="13:13">
      <c r="M22151" s="202"/>
    </row>
    <row r="22152" spans="13:13">
      <c r="M22152" s="202"/>
    </row>
    <row r="22153" spans="13:13">
      <c r="M22153" s="202"/>
    </row>
    <row r="22154" spans="13:13">
      <c r="M22154" s="202"/>
    </row>
    <row r="22155" spans="13:13">
      <c r="M22155" s="202"/>
    </row>
    <row r="22156" spans="13:13">
      <c r="M22156" s="202"/>
    </row>
    <row r="22157" spans="13:13">
      <c r="M22157" s="202"/>
    </row>
    <row r="22158" spans="13:13">
      <c r="M22158" s="202"/>
    </row>
    <row r="22159" spans="13:13">
      <c r="M22159" s="202"/>
    </row>
    <row r="22160" spans="13:13">
      <c r="M22160" s="202"/>
    </row>
    <row r="22161" spans="13:13">
      <c r="M22161" s="202"/>
    </row>
    <row r="22162" spans="13:13">
      <c r="M22162" s="202"/>
    </row>
    <row r="22163" spans="13:13">
      <c r="M22163" s="202"/>
    </row>
    <row r="22164" spans="13:13">
      <c r="M22164" s="202"/>
    </row>
    <row r="22165" spans="13:13">
      <c r="M22165" s="202"/>
    </row>
    <row r="22166" spans="13:13">
      <c r="M22166" s="202"/>
    </row>
    <row r="22167" spans="13:13">
      <c r="M22167" s="202"/>
    </row>
    <row r="22168" spans="13:13">
      <c r="M22168" s="202"/>
    </row>
    <row r="22169" spans="13:13">
      <c r="M22169" s="202"/>
    </row>
    <row r="22170" spans="13:13">
      <c r="M22170" s="202"/>
    </row>
    <row r="22171" spans="13:13">
      <c r="M22171" s="202"/>
    </row>
    <row r="22172" spans="13:13">
      <c r="M22172" s="202"/>
    </row>
    <row r="22173" spans="13:13">
      <c r="M22173" s="202"/>
    </row>
    <row r="22174" spans="13:13">
      <c r="M22174" s="202"/>
    </row>
    <row r="22175" spans="13:13">
      <c r="M22175" s="202"/>
    </row>
    <row r="22176" spans="13:13">
      <c r="M22176" s="202"/>
    </row>
    <row r="22177" spans="13:13">
      <c r="M22177" s="202"/>
    </row>
    <row r="22178" spans="13:13">
      <c r="M22178" s="202"/>
    </row>
    <row r="22179" spans="13:13">
      <c r="M22179" s="202"/>
    </row>
    <row r="22180" spans="13:13">
      <c r="M22180" s="202"/>
    </row>
    <row r="22181" spans="13:13">
      <c r="M22181" s="202"/>
    </row>
    <row r="22182" spans="13:13">
      <c r="M22182" s="202"/>
    </row>
    <row r="22183" spans="13:13">
      <c r="M22183" s="202"/>
    </row>
    <row r="22184" spans="13:13">
      <c r="M22184" s="202"/>
    </row>
    <row r="22185" spans="13:13">
      <c r="M22185" s="202"/>
    </row>
    <row r="22186" spans="13:13">
      <c r="M22186" s="202"/>
    </row>
    <row r="22187" spans="13:13">
      <c r="M22187" s="202"/>
    </row>
    <row r="22188" spans="13:13">
      <c r="M22188" s="202"/>
    </row>
    <row r="22189" spans="13:13">
      <c r="M22189" s="202"/>
    </row>
    <row r="22190" spans="13:13">
      <c r="M22190" s="202"/>
    </row>
    <row r="22191" spans="13:13">
      <c r="M22191" s="202"/>
    </row>
    <row r="22192" spans="13:13">
      <c r="M22192" s="202"/>
    </row>
    <row r="22193" spans="13:13">
      <c r="M22193" s="202"/>
    </row>
    <row r="22194" spans="13:13">
      <c r="M22194" s="202"/>
    </row>
    <row r="22195" spans="13:13">
      <c r="M22195" s="202"/>
    </row>
    <row r="22196" spans="13:13">
      <c r="M22196" s="202"/>
    </row>
    <row r="22197" spans="13:13">
      <c r="M22197" s="202"/>
    </row>
    <row r="22198" spans="13:13">
      <c r="M22198" s="202"/>
    </row>
    <row r="22199" spans="13:13">
      <c r="M22199" s="202"/>
    </row>
    <row r="22200" spans="13:13">
      <c r="M22200" s="202"/>
    </row>
    <row r="22201" spans="13:13">
      <c r="M22201" s="202"/>
    </row>
    <row r="22202" spans="13:13">
      <c r="M22202" s="202"/>
    </row>
    <row r="22203" spans="13:13">
      <c r="M22203" s="202"/>
    </row>
    <row r="22204" spans="13:13">
      <c r="M22204" s="202"/>
    </row>
    <row r="22205" spans="13:13">
      <c r="M22205" s="202"/>
    </row>
    <row r="22206" spans="13:13">
      <c r="M22206" s="202"/>
    </row>
    <row r="22207" spans="13:13">
      <c r="M22207" s="202"/>
    </row>
    <row r="22208" spans="13:13">
      <c r="M22208" s="202"/>
    </row>
    <row r="22209" spans="13:13">
      <c r="M22209" s="202"/>
    </row>
    <row r="22210" spans="13:13">
      <c r="M22210" s="202"/>
    </row>
    <row r="22211" spans="13:13">
      <c r="M22211" s="202"/>
    </row>
    <row r="22212" spans="13:13">
      <c r="M22212" s="202"/>
    </row>
    <row r="22213" spans="13:13">
      <c r="M22213" s="202"/>
    </row>
    <row r="22214" spans="13:13">
      <c r="M22214" s="202"/>
    </row>
    <row r="22215" spans="13:13">
      <c r="M22215" s="202"/>
    </row>
    <row r="22216" spans="13:13">
      <c r="M22216" s="202"/>
    </row>
    <row r="22217" spans="13:13">
      <c r="M22217" s="202"/>
    </row>
    <row r="22218" spans="13:13">
      <c r="M22218" s="202"/>
    </row>
    <row r="22219" spans="13:13">
      <c r="M22219" s="202"/>
    </row>
    <row r="22220" spans="13:13">
      <c r="M22220" s="202"/>
    </row>
    <row r="22221" spans="13:13">
      <c r="M22221" s="202"/>
    </row>
    <row r="22222" spans="13:13">
      <c r="M22222" s="202"/>
    </row>
    <row r="22223" spans="13:13">
      <c r="M22223" s="202"/>
    </row>
    <row r="22224" spans="13:13">
      <c r="M22224" s="202"/>
    </row>
    <row r="22225" spans="13:13">
      <c r="M22225" s="202"/>
    </row>
    <row r="22226" spans="13:13">
      <c r="M22226" s="202"/>
    </row>
    <row r="22227" spans="13:13">
      <c r="M22227" s="202"/>
    </row>
    <row r="22228" spans="13:13">
      <c r="M22228" s="202"/>
    </row>
    <row r="22229" spans="13:13">
      <c r="M22229" s="202"/>
    </row>
    <row r="22230" spans="13:13">
      <c r="M22230" s="202"/>
    </row>
    <row r="22231" spans="13:13">
      <c r="M22231" s="202"/>
    </row>
    <row r="22232" spans="13:13">
      <c r="M22232" s="202"/>
    </row>
    <row r="22233" spans="13:13">
      <c r="M22233" s="202"/>
    </row>
    <row r="22234" spans="13:13">
      <c r="M22234" s="202"/>
    </row>
    <row r="22235" spans="13:13">
      <c r="M22235" s="202"/>
    </row>
    <row r="22236" spans="13:13">
      <c r="M22236" s="202"/>
    </row>
    <row r="22237" spans="13:13">
      <c r="M22237" s="202"/>
    </row>
    <row r="22238" spans="13:13">
      <c r="M22238" s="202"/>
    </row>
    <row r="22239" spans="13:13">
      <c r="M22239" s="202"/>
    </row>
    <row r="22240" spans="13:13">
      <c r="M22240" s="202"/>
    </row>
    <row r="22241" spans="13:13">
      <c r="M22241" s="202"/>
    </row>
    <row r="22242" spans="13:13">
      <c r="M22242" s="202"/>
    </row>
    <row r="22243" spans="13:13">
      <c r="M22243" s="202"/>
    </row>
    <row r="22244" spans="13:13">
      <c r="M22244" s="202"/>
    </row>
    <row r="22245" spans="13:13">
      <c r="M22245" s="202"/>
    </row>
    <row r="22246" spans="13:13">
      <c r="M22246" s="202"/>
    </row>
    <row r="22247" spans="13:13">
      <c r="M22247" s="202"/>
    </row>
    <row r="22248" spans="13:13">
      <c r="M22248" s="202"/>
    </row>
    <row r="22249" spans="13:13">
      <c r="M22249" s="202"/>
    </row>
    <row r="22250" spans="13:13">
      <c r="M22250" s="202"/>
    </row>
    <row r="22251" spans="13:13">
      <c r="M22251" s="202"/>
    </row>
    <row r="22252" spans="13:13">
      <c r="M22252" s="202"/>
    </row>
    <row r="22253" spans="13:13">
      <c r="M22253" s="202"/>
    </row>
    <row r="22254" spans="13:13">
      <c r="M22254" s="202"/>
    </row>
    <row r="22255" spans="13:13">
      <c r="M22255" s="202"/>
    </row>
    <row r="22256" spans="13:13">
      <c r="M22256" s="202"/>
    </row>
    <row r="22257" spans="13:13">
      <c r="M22257" s="202"/>
    </row>
    <row r="22258" spans="13:13">
      <c r="M22258" s="202"/>
    </row>
    <row r="22259" spans="13:13">
      <c r="M22259" s="202"/>
    </row>
    <row r="22260" spans="13:13">
      <c r="M22260" s="202"/>
    </row>
    <row r="22261" spans="13:13">
      <c r="M22261" s="202"/>
    </row>
    <row r="22262" spans="13:13">
      <c r="M22262" s="202"/>
    </row>
    <row r="22263" spans="13:13">
      <c r="M22263" s="202"/>
    </row>
    <row r="22264" spans="13:13">
      <c r="M22264" s="202"/>
    </row>
    <row r="22265" spans="13:13">
      <c r="M22265" s="202"/>
    </row>
    <row r="22266" spans="13:13">
      <c r="M22266" s="202"/>
    </row>
    <row r="22267" spans="13:13">
      <c r="M22267" s="202"/>
    </row>
    <row r="22268" spans="13:13">
      <c r="M22268" s="202"/>
    </row>
    <row r="22269" spans="13:13">
      <c r="M22269" s="202"/>
    </row>
    <row r="22270" spans="13:13">
      <c r="M22270" s="202"/>
    </row>
    <row r="22271" spans="13:13">
      <c r="M22271" s="202"/>
    </row>
    <row r="22272" spans="13:13">
      <c r="M22272" s="202"/>
    </row>
    <row r="22273" spans="13:13">
      <c r="M22273" s="202"/>
    </row>
    <row r="22274" spans="13:13">
      <c r="M22274" s="202"/>
    </row>
    <row r="22275" spans="13:13">
      <c r="M22275" s="202"/>
    </row>
    <row r="22276" spans="13:13">
      <c r="M22276" s="202"/>
    </row>
    <row r="22277" spans="13:13">
      <c r="M22277" s="202"/>
    </row>
    <row r="22278" spans="13:13">
      <c r="M22278" s="202"/>
    </row>
    <row r="22279" spans="13:13">
      <c r="M22279" s="202"/>
    </row>
    <row r="22280" spans="13:13">
      <c r="M22280" s="202"/>
    </row>
    <row r="22281" spans="13:13">
      <c r="M22281" s="202"/>
    </row>
    <row r="22282" spans="13:13">
      <c r="M22282" s="202"/>
    </row>
    <row r="22283" spans="13:13">
      <c r="M22283" s="202"/>
    </row>
    <row r="22284" spans="13:13">
      <c r="M22284" s="202"/>
    </row>
    <row r="22285" spans="13:13">
      <c r="M22285" s="202"/>
    </row>
    <row r="22286" spans="13:13">
      <c r="M22286" s="202"/>
    </row>
    <row r="22287" spans="13:13">
      <c r="M22287" s="202"/>
    </row>
    <row r="22288" spans="13:13">
      <c r="M22288" s="202"/>
    </row>
    <row r="22289" spans="13:13">
      <c r="M22289" s="202"/>
    </row>
    <row r="22290" spans="13:13">
      <c r="M22290" s="202"/>
    </row>
    <row r="22291" spans="13:13">
      <c r="M22291" s="202"/>
    </row>
    <row r="22292" spans="13:13">
      <c r="M22292" s="202"/>
    </row>
    <row r="22293" spans="13:13">
      <c r="M22293" s="202"/>
    </row>
    <row r="22294" spans="13:13">
      <c r="M22294" s="202"/>
    </row>
    <row r="22295" spans="13:13">
      <c r="M22295" s="202"/>
    </row>
    <row r="22296" spans="13:13">
      <c r="M22296" s="202"/>
    </row>
    <row r="22297" spans="13:13">
      <c r="M22297" s="202"/>
    </row>
    <row r="22298" spans="13:13">
      <c r="M22298" s="202"/>
    </row>
    <row r="22299" spans="13:13">
      <c r="M22299" s="202"/>
    </row>
    <row r="22300" spans="13:13">
      <c r="M22300" s="202"/>
    </row>
    <row r="22301" spans="13:13">
      <c r="M22301" s="202"/>
    </row>
    <row r="22302" spans="13:13">
      <c r="M22302" s="202"/>
    </row>
    <row r="22303" spans="13:13">
      <c r="M22303" s="202"/>
    </row>
    <row r="22304" spans="13:13">
      <c r="M22304" s="202"/>
    </row>
    <row r="22305" spans="13:13">
      <c r="M22305" s="202"/>
    </row>
    <row r="22306" spans="13:13">
      <c r="M22306" s="202"/>
    </row>
    <row r="22307" spans="13:13">
      <c r="M22307" s="202"/>
    </row>
    <row r="22308" spans="13:13">
      <c r="M22308" s="202"/>
    </row>
    <row r="22309" spans="13:13">
      <c r="M22309" s="202"/>
    </row>
    <row r="22310" spans="13:13">
      <c r="M22310" s="202"/>
    </row>
    <row r="22311" spans="13:13">
      <c r="M22311" s="202"/>
    </row>
    <row r="22312" spans="13:13">
      <c r="M22312" s="202"/>
    </row>
    <row r="22313" spans="13:13">
      <c r="M22313" s="202"/>
    </row>
    <row r="22314" spans="13:13">
      <c r="M22314" s="202"/>
    </row>
    <row r="22315" spans="13:13">
      <c r="M22315" s="202"/>
    </row>
    <row r="22316" spans="13:13">
      <c r="M22316" s="202"/>
    </row>
    <row r="22317" spans="13:13">
      <c r="M22317" s="202"/>
    </row>
    <row r="22318" spans="13:13">
      <c r="M22318" s="202"/>
    </row>
    <row r="22319" spans="13:13">
      <c r="M22319" s="202"/>
    </row>
    <row r="22320" spans="13:13">
      <c r="M22320" s="202"/>
    </row>
    <row r="22321" spans="13:13">
      <c r="M22321" s="202"/>
    </row>
    <row r="22322" spans="13:13">
      <c r="M22322" s="202"/>
    </row>
    <row r="22323" spans="13:13">
      <c r="M22323" s="202"/>
    </row>
    <row r="22324" spans="13:13">
      <c r="M22324" s="202"/>
    </row>
    <row r="22325" spans="13:13">
      <c r="M22325" s="202"/>
    </row>
    <row r="22326" spans="13:13">
      <c r="M22326" s="202"/>
    </row>
    <row r="22327" spans="13:13">
      <c r="M22327" s="202"/>
    </row>
    <row r="22328" spans="13:13">
      <c r="M22328" s="202"/>
    </row>
    <row r="22329" spans="13:13">
      <c r="M22329" s="202"/>
    </row>
    <row r="22330" spans="13:13">
      <c r="M22330" s="202"/>
    </row>
    <row r="22331" spans="13:13">
      <c r="M22331" s="202"/>
    </row>
    <row r="22332" spans="13:13">
      <c r="M22332" s="202"/>
    </row>
    <row r="22333" spans="13:13">
      <c r="M22333" s="202"/>
    </row>
    <row r="22334" spans="13:13">
      <c r="M22334" s="202"/>
    </row>
    <row r="22335" spans="13:13">
      <c r="M22335" s="202"/>
    </row>
    <row r="22336" spans="13:13">
      <c r="M22336" s="202"/>
    </row>
    <row r="22337" spans="13:13">
      <c r="M22337" s="202"/>
    </row>
    <row r="22338" spans="13:13">
      <c r="M22338" s="202"/>
    </row>
    <row r="22339" spans="13:13">
      <c r="M22339" s="202"/>
    </row>
    <row r="22340" spans="13:13">
      <c r="M22340" s="202"/>
    </row>
    <row r="22341" spans="13:13">
      <c r="M22341" s="202"/>
    </row>
    <row r="22342" spans="13:13">
      <c r="M22342" s="202"/>
    </row>
    <row r="22343" spans="13:13">
      <c r="M22343" s="202"/>
    </row>
    <row r="22344" spans="13:13">
      <c r="M22344" s="202"/>
    </row>
    <row r="22345" spans="13:13">
      <c r="M22345" s="202"/>
    </row>
    <row r="22346" spans="13:13">
      <c r="M22346" s="202"/>
    </row>
    <row r="22347" spans="13:13">
      <c r="M22347" s="202"/>
    </row>
    <row r="22348" spans="13:13">
      <c r="M22348" s="202"/>
    </row>
    <row r="22349" spans="13:13">
      <c r="M22349" s="202"/>
    </row>
    <row r="22350" spans="13:13">
      <c r="M22350" s="202"/>
    </row>
    <row r="22351" spans="13:13">
      <c r="M22351" s="202"/>
    </row>
    <row r="22352" spans="13:13">
      <c r="M22352" s="202"/>
    </row>
    <row r="22353" spans="13:13">
      <c r="M22353" s="202"/>
    </row>
    <row r="22354" spans="13:13">
      <c r="M22354" s="202"/>
    </row>
    <row r="22355" spans="13:13">
      <c r="M22355" s="202"/>
    </row>
    <row r="22356" spans="13:13">
      <c r="M22356" s="202"/>
    </row>
    <row r="22357" spans="13:13">
      <c r="M22357" s="202"/>
    </row>
    <row r="22358" spans="13:13">
      <c r="M22358" s="202"/>
    </row>
    <row r="22359" spans="13:13">
      <c r="M22359" s="202"/>
    </row>
    <row r="22360" spans="13:13">
      <c r="M22360" s="202"/>
    </row>
    <row r="22361" spans="13:13">
      <c r="M22361" s="202"/>
    </row>
    <row r="22362" spans="13:13">
      <c r="M22362" s="202"/>
    </row>
    <row r="22363" spans="13:13">
      <c r="M22363" s="202"/>
    </row>
    <row r="22364" spans="13:13">
      <c r="M22364" s="202"/>
    </row>
    <row r="22365" spans="13:13">
      <c r="M22365" s="202"/>
    </row>
    <row r="22366" spans="13:13">
      <c r="M22366" s="202"/>
    </row>
    <row r="22367" spans="13:13">
      <c r="M22367" s="202"/>
    </row>
    <row r="22368" spans="13:13">
      <c r="M22368" s="202"/>
    </row>
    <row r="22369" spans="13:13">
      <c r="M22369" s="202"/>
    </row>
    <row r="22370" spans="13:13">
      <c r="M22370" s="202"/>
    </row>
    <row r="22371" spans="13:13">
      <c r="M22371" s="202"/>
    </row>
    <row r="22372" spans="13:13">
      <c r="M22372" s="202"/>
    </row>
    <row r="22373" spans="13:13">
      <c r="M22373" s="202"/>
    </row>
    <row r="22374" spans="13:13">
      <c r="M22374" s="202"/>
    </row>
    <row r="22375" spans="13:13">
      <c r="M22375" s="202"/>
    </row>
    <row r="22376" spans="13:13">
      <c r="M22376" s="202"/>
    </row>
    <row r="22377" spans="13:13">
      <c r="M22377" s="202"/>
    </row>
    <row r="22378" spans="13:13">
      <c r="M22378" s="202"/>
    </row>
    <row r="22379" spans="13:13">
      <c r="M22379" s="202"/>
    </row>
    <row r="22380" spans="13:13">
      <c r="M22380" s="202"/>
    </row>
    <row r="22381" spans="13:13">
      <c r="M22381" s="202"/>
    </row>
    <row r="22382" spans="13:13">
      <c r="M22382" s="202"/>
    </row>
    <row r="22383" spans="13:13">
      <c r="M22383" s="202"/>
    </row>
    <row r="22384" spans="13:13">
      <c r="M22384" s="202"/>
    </row>
    <row r="22385" spans="13:13">
      <c r="M22385" s="202"/>
    </row>
    <row r="22386" spans="13:13">
      <c r="M22386" s="202"/>
    </row>
    <row r="22387" spans="13:13">
      <c r="M22387" s="202"/>
    </row>
    <row r="22388" spans="13:13">
      <c r="M22388" s="202"/>
    </row>
    <row r="22389" spans="13:13">
      <c r="M22389" s="202"/>
    </row>
    <row r="22390" spans="13:13">
      <c r="M22390" s="202"/>
    </row>
    <row r="22391" spans="13:13">
      <c r="M22391" s="202"/>
    </row>
    <row r="22392" spans="13:13">
      <c r="M22392" s="202"/>
    </row>
    <row r="22393" spans="13:13">
      <c r="M22393" s="202"/>
    </row>
    <row r="22394" spans="13:13">
      <c r="M22394" s="202"/>
    </row>
    <row r="22395" spans="13:13">
      <c r="M22395" s="202"/>
    </row>
    <row r="22396" spans="13:13">
      <c r="M22396" s="202"/>
    </row>
    <row r="22397" spans="13:13">
      <c r="M22397" s="202"/>
    </row>
    <row r="22398" spans="13:13">
      <c r="M22398" s="202"/>
    </row>
    <row r="22399" spans="13:13">
      <c r="M22399" s="202"/>
    </row>
    <row r="22400" spans="13:13">
      <c r="M22400" s="202"/>
    </row>
    <row r="22401" spans="13:13">
      <c r="M22401" s="202"/>
    </row>
    <row r="22402" spans="13:13">
      <c r="M22402" s="202"/>
    </row>
    <row r="22403" spans="13:13">
      <c r="M22403" s="202"/>
    </row>
    <row r="22404" spans="13:13">
      <c r="M22404" s="202"/>
    </row>
    <row r="22405" spans="13:13">
      <c r="M22405" s="202"/>
    </row>
    <row r="22406" spans="13:13">
      <c r="M22406" s="202"/>
    </row>
    <row r="22407" spans="13:13">
      <c r="M22407" s="202"/>
    </row>
    <row r="22408" spans="13:13">
      <c r="M22408" s="202"/>
    </row>
    <row r="22409" spans="13:13">
      <c r="M22409" s="202"/>
    </row>
    <row r="22410" spans="13:13">
      <c r="M22410" s="202"/>
    </row>
    <row r="22411" spans="13:13">
      <c r="M22411" s="202"/>
    </row>
    <row r="22412" spans="13:13">
      <c r="M22412" s="202"/>
    </row>
    <row r="22413" spans="13:13">
      <c r="M22413" s="202"/>
    </row>
    <row r="22414" spans="13:13">
      <c r="M22414" s="202"/>
    </row>
    <row r="22415" spans="13:13">
      <c r="M22415" s="202"/>
    </row>
    <row r="22416" spans="13:13">
      <c r="M22416" s="202"/>
    </row>
    <row r="22417" spans="13:13">
      <c r="M22417" s="202"/>
    </row>
    <row r="22418" spans="13:13">
      <c r="M22418" s="202"/>
    </row>
    <row r="22419" spans="13:13">
      <c r="M22419" s="202"/>
    </row>
    <row r="22420" spans="13:13">
      <c r="M22420" s="202"/>
    </row>
    <row r="22421" spans="13:13">
      <c r="M22421" s="202"/>
    </row>
    <row r="22422" spans="13:13">
      <c r="M22422" s="202"/>
    </row>
    <row r="22423" spans="13:13">
      <c r="M22423" s="202"/>
    </row>
    <row r="22424" spans="13:13">
      <c r="M22424" s="202"/>
    </row>
    <row r="22425" spans="13:13">
      <c r="M22425" s="202"/>
    </row>
    <row r="22426" spans="13:13">
      <c r="M22426" s="202"/>
    </row>
    <row r="22427" spans="13:13">
      <c r="M22427" s="202"/>
    </row>
    <row r="22428" spans="13:13">
      <c r="M22428" s="202"/>
    </row>
    <row r="22429" spans="13:13">
      <c r="M22429" s="202"/>
    </row>
    <row r="22430" spans="13:13">
      <c r="M22430" s="202"/>
    </row>
    <row r="22431" spans="13:13">
      <c r="M22431" s="202"/>
    </row>
    <row r="22432" spans="13:13">
      <c r="M22432" s="202"/>
    </row>
    <row r="22433" spans="13:13">
      <c r="M22433" s="202"/>
    </row>
    <row r="22434" spans="13:13">
      <c r="M22434" s="202"/>
    </row>
    <row r="22435" spans="13:13">
      <c r="M22435" s="202"/>
    </row>
    <row r="22436" spans="13:13">
      <c r="M22436" s="202"/>
    </row>
    <row r="22437" spans="13:13">
      <c r="M22437" s="202"/>
    </row>
    <row r="22438" spans="13:13">
      <c r="M22438" s="202"/>
    </row>
    <row r="22439" spans="13:13">
      <c r="M22439" s="202"/>
    </row>
    <row r="22440" spans="13:13">
      <c r="M22440" s="202"/>
    </row>
    <row r="22441" spans="13:13">
      <c r="M22441" s="202"/>
    </row>
    <row r="22442" spans="13:13">
      <c r="M22442" s="202"/>
    </row>
    <row r="22443" spans="13:13">
      <c r="M22443" s="202"/>
    </row>
    <row r="22444" spans="13:13">
      <c r="M22444" s="202"/>
    </row>
    <row r="22445" spans="13:13">
      <c r="M22445" s="202"/>
    </row>
    <row r="22446" spans="13:13">
      <c r="M22446" s="202"/>
    </row>
    <row r="22447" spans="13:13">
      <c r="M22447" s="202"/>
    </row>
    <row r="22448" spans="13:13">
      <c r="M22448" s="202"/>
    </row>
    <row r="22449" spans="13:13">
      <c r="M22449" s="202"/>
    </row>
    <row r="22450" spans="13:13">
      <c r="M22450" s="202"/>
    </row>
    <row r="22451" spans="13:13">
      <c r="M22451" s="202"/>
    </row>
    <row r="22452" spans="13:13">
      <c r="M22452" s="202"/>
    </row>
    <row r="22453" spans="13:13">
      <c r="M22453" s="202"/>
    </row>
    <row r="22454" spans="13:13">
      <c r="M22454" s="202"/>
    </row>
    <row r="22455" spans="13:13">
      <c r="M22455" s="202"/>
    </row>
    <row r="22456" spans="13:13">
      <c r="M22456" s="202"/>
    </row>
    <row r="22457" spans="13:13">
      <c r="M22457" s="202"/>
    </row>
    <row r="22458" spans="13:13">
      <c r="M22458" s="202"/>
    </row>
    <row r="22459" spans="13:13">
      <c r="M22459" s="202"/>
    </row>
    <row r="22460" spans="13:13">
      <c r="M22460" s="202"/>
    </row>
    <row r="22461" spans="13:13">
      <c r="M22461" s="202"/>
    </row>
    <row r="22462" spans="13:13">
      <c r="M22462" s="202"/>
    </row>
    <row r="22463" spans="13:13">
      <c r="M22463" s="202"/>
    </row>
    <row r="22464" spans="13:13">
      <c r="M22464" s="202"/>
    </row>
    <row r="22465" spans="13:13">
      <c r="M22465" s="202"/>
    </row>
    <row r="22466" spans="13:13">
      <c r="M22466" s="202"/>
    </row>
    <row r="22467" spans="13:13">
      <c r="M22467" s="202"/>
    </row>
    <row r="22468" spans="13:13">
      <c r="M22468" s="202"/>
    </row>
    <row r="22469" spans="13:13">
      <c r="M22469" s="202"/>
    </row>
    <row r="22470" spans="13:13">
      <c r="M22470" s="202"/>
    </row>
    <row r="22471" spans="13:13">
      <c r="M22471" s="202"/>
    </row>
    <row r="22472" spans="13:13">
      <c r="M22472" s="202"/>
    </row>
    <row r="22473" spans="13:13">
      <c r="M22473" s="202"/>
    </row>
    <row r="22474" spans="13:13">
      <c r="M22474" s="202"/>
    </row>
    <row r="22475" spans="13:13">
      <c r="M22475" s="202"/>
    </row>
    <row r="22476" spans="13:13">
      <c r="M22476" s="202"/>
    </row>
    <row r="22477" spans="13:13">
      <c r="M22477" s="202"/>
    </row>
    <row r="22478" spans="13:13">
      <c r="M22478" s="202"/>
    </row>
    <row r="22479" spans="13:13">
      <c r="M22479" s="202"/>
    </row>
    <row r="22480" spans="13:13">
      <c r="M22480" s="202"/>
    </row>
    <row r="22481" spans="13:13">
      <c r="M22481" s="202"/>
    </row>
    <row r="22482" spans="13:13">
      <c r="M22482" s="202"/>
    </row>
    <row r="22483" spans="13:13">
      <c r="M22483" s="202"/>
    </row>
    <row r="22484" spans="13:13">
      <c r="M22484" s="202"/>
    </row>
    <row r="22485" spans="13:13">
      <c r="M22485" s="202"/>
    </row>
    <row r="22486" spans="13:13">
      <c r="M22486" s="202"/>
    </row>
    <row r="22487" spans="13:13">
      <c r="M22487" s="202"/>
    </row>
    <row r="22488" spans="13:13">
      <c r="M22488" s="202"/>
    </row>
    <row r="22489" spans="13:13">
      <c r="M22489" s="202"/>
    </row>
    <row r="22490" spans="13:13">
      <c r="M22490" s="202"/>
    </row>
    <row r="22491" spans="13:13">
      <c r="M22491" s="202"/>
    </row>
    <row r="22492" spans="13:13">
      <c r="M22492" s="202"/>
    </row>
    <row r="22493" spans="13:13">
      <c r="M22493" s="202"/>
    </row>
    <row r="22494" spans="13:13">
      <c r="M22494" s="202"/>
    </row>
    <row r="22495" spans="13:13">
      <c r="M22495" s="202"/>
    </row>
    <row r="22496" spans="13:13">
      <c r="M22496" s="202"/>
    </row>
    <row r="22497" spans="13:13">
      <c r="M22497" s="202"/>
    </row>
    <row r="22498" spans="13:13">
      <c r="M22498" s="202"/>
    </row>
    <row r="22499" spans="13:13">
      <c r="M22499" s="202"/>
    </row>
    <row r="22500" spans="13:13">
      <c r="M22500" s="202"/>
    </row>
    <row r="22501" spans="13:13">
      <c r="M22501" s="202"/>
    </row>
    <row r="22502" spans="13:13">
      <c r="M22502" s="202"/>
    </row>
    <row r="22503" spans="13:13">
      <c r="M22503" s="202"/>
    </row>
    <row r="22504" spans="13:13">
      <c r="M22504" s="202"/>
    </row>
    <row r="22505" spans="13:13">
      <c r="M22505" s="202"/>
    </row>
    <row r="22506" spans="13:13">
      <c r="M22506" s="202"/>
    </row>
    <row r="22507" spans="13:13">
      <c r="M22507" s="202"/>
    </row>
    <row r="22508" spans="13:13">
      <c r="M22508" s="202"/>
    </row>
    <row r="22509" spans="13:13">
      <c r="M22509" s="202"/>
    </row>
    <row r="22510" spans="13:13">
      <c r="M22510" s="202"/>
    </row>
    <row r="22511" spans="13:13">
      <c r="M22511" s="202"/>
    </row>
    <row r="22512" spans="13:13">
      <c r="M22512" s="202"/>
    </row>
    <row r="22513" spans="13:13">
      <c r="M22513" s="202"/>
    </row>
    <row r="22514" spans="13:13">
      <c r="M22514" s="202"/>
    </row>
    <row r="22515" spans="13:13">
      <c r="M22515" s="202"/>
    </row>
    <row r="22516" spans="13:13">
      <c r="M22516" s="202"/>
    </row>
    <row r="22517" spans="13:13">
      <c r="M22517" s="202"/>
    </row>
    <row r="22518" spans="13:13">
      <c r="M22518" s="202"/>
    </row>
    <row r="22519" spans="13:13">
      <c r="M22519" s="202"/>
    </row>
    <row r="22520" spans="13:13">
      <c r="M22520" s="202"/>
    </row>
    <row r="22521" spans="13:13">
      <c r="M22521" s="202"/>
    </row>
    <row r="22522" spans="13:13">
      <c r="M22522" s="202"/>
    </row>
    <row r="22523" spans="13:13">
      <c r="M22523" s="202"/>
    </row>
    <row r="22524" spans="13:13">
      <c r="M22524" s="202"/>
    </row>
    <row r="22525" spans="13:13">
      <c r="M22525" s="202"/>
    </row>
    <row r="22526" spans="13:13">
      <c r="M22526" s="202"/>
    </row>
    <row r="22527" spans="13:13">
      <c r="M22527" s="202"/>
    </row>
    <row r="22528" spans="13:13">
      <c r="M22528" s="202"/>
    </row>
    <row r="22529" spans="13:13">
      <c r="M22529" s="202"/>
    </row>
    <row r="22530" spans="13:13">
      <c r="M22530" s="202"/>
    </row>
    <row r="22531" spans="13:13">
      <c r="M22531" s="202"/>
    </row>
    <row r="22532" spans="13:13">
      <c r="M22532" s="202"/>
    </row>
    <row r="22533" spans="13:13">
      <c r="M22533" s="202"/>
    </row>
    <row r="22534" spans="13:13">
      <c r="M22534" s="202"/>
    </row>
    <row r="22535" spans="13:13">
      <c r="M22535" s="202"/>
    </row>
    <row r="22536" spans="13:13">
      <c r="M22536" s="202"/>
    </row>
    <row r="22537" spans="13:13">
      <c r="M22537" s="202"/>
    </row>
    <row r="22538" spans="13:13">
      <c r="M22538" s="202"/>
    </row>
    <row r="22539" spans="13:13">
      <c r="M22539" s="202"/>
    </row>
    <row r="22540" spans="13:13">
      <c r="M22540" s="202"/>
    </row>
    <row r="22541" spans="13:13">
      <c r="M22541" s="202"/>
    </row>
    <row r="22542" spans="13:13">
      <c r="M22542" s="202"/>
    </row>
    <row r="22543" spans="13:13">
      <c r="M22543" s="202"/>
    </row>
    <row r="22544" spans="13:13">
      <c r="M22544" s="202"/>
    </row>
    <row r="22545" spans="13:13">
      <c r="M22545" s="202"/>
    </row>
    <row r="22546" spans="13:13">
      <c r="M22546" s="202"/>
    </row>
    <row r="22547" spans="13:13">
      <c r="M22547" s="202"/>
    </row>
    <row r="22548" spans="13:13">
      <c r="M22548" s="202"/>
    </row>
    <row r="22549" spans="13:13">
      <c r="M22549" s="202"/>
    </row>
    <row r="22550" spans="13:13">
      <c r="M22550" s="202"/>
    </row>
    <row r="22551" spans="13:13">
      <c r="M22551" s="202"/>
    </row>
    <row r="22552" spans="13:13">
      <c r="M22552" s="202"/>
    </row>
    <row r="22553" spans="13:13">
      <c r="M22553" s="202"/>
    </row>
    <row r="22554" spans="13:13">
      <c r="M22554" s="202"/>
    </row>
    <row r="22555" spans="13:13">
      <c r="M22555" s="202"/>
    </row>
    <row r="22556" spans="13:13">
      <c r="M22556" s="202"/>
    </row>
    <row r="22557" spans="13:13">
      <c r="M22557" s="202"/>
    </row>
    <row r="22558" spans="13:13">
      <c r="M22558" s="202"/>
    </row>
    <row r="22559" spans="13:13">
      <c r="M22559" s="202"/>
    </row>
    <row r="22560" spans="13:13">
      <c r="M22560" s="202"/>
    </row>
    <row r="22561" spans="13:13">
      <c r="M22561" s="202"/>
    </row>
    <row r="22562" spans="13:13">
      <c r="M22562" s="202"/>
    </row>
    <row r="22563" spans="13:13">
      <c r="M22563" s="202"/>
    </row>
    <row r="22564" spans="13:13">
      <c r="M22564" s="202"/>
    </row>
    <row r="22565" spans="13:13">
      <c r="M22565" s="202"/>
    </row>
    <row r="22566" spans="13:13">
      <c r="M22566" s="202"/>
    </row>
    <row r="22567" spans="13:13">
      <c r="M22567" s="202"/>
    </row>
    <row r="22568" spans="13:13">
      <c r="M22568" s="202"/>
    </row>
    <row r="22569" spans="13:13">
      <c r="M22569" s="202"/>
    </row>
    <row r="22570" spans="13:13">
      <c r="M22570" s="202"/>
    </row>
    <row r="22571" spans="13:13">
      <c r="M22571" s="202"/>
    </row>
    <row r="22572" spans="13:13">
      <c r="M22572" s="202"/>
    </row>
    <row r="22573" spans="13:13">
      <c r="M22573" s="202"/>
    </row>
    <row r="22574" spans="13:13">
      <c r="M22574" s="202"/>
    </row>
    <row r="22575" spans="13:13">
      <c r="M22575" s="202"/>
    </row>
    <row r="22576" spans="13:13">
      <c r="M22576" s="202"/>
    </row>
    <row r="22577" spans="13:13">
      <c r="M22577" s="202"/>
    </row>
    <row r="22578" spans="13:13">
      <c r="M22578" s="202"/>
    </row>
    <row r="22579" spans="13:13">
      <c r="M22579" s="202"/>
    </row>
    <row r="22580" spans="13:13">
      <c r="M22580" s="202"/>
    </row>
    <row r="22581" spans="13:13">
      <c r="M22581" s="202"/>
    </row>
    <row r="22582" spans="13:13">
      <c r="M22582" s="202"/>
    </row>
    <row r="22583" spans="13:13">
      <c r="M22583" s="202"/>
    </row>
    <row r="22584" spans="13:13">
      <c r="M22584" s="202"/>
    </row>
    <row r="22585" spans="13:13">
      <c r="M22585" s="202"/>
    </row>
    <row r="22586" spans="13:13">
      <c r="M22586" s="202"/>
    </row>
    <row r="22587" spans="13:13">
      <c r="M22587" s="202"/>
    </row>
    <row r="22588" spans="13:13">
      <c r="M22588" s="202"/>
    </row>
    <row r="22589" spans="13:13">
      <c r="M22589" s="202"/>
    </row>
    <row r="22590" spans="13:13">
      <c r="M22590" s="202"/>
    </row>
    <row r="22591" spans="13:13">
      <c r="M22591" s="202"/>
    </row>
    <row r="22592" spans="13:13">
      <c r="M22592" s="202"/>
    </row>
    <row r="22593" spans="13:13">
      <c r="M22593" s="202"/>
    </row>
    <row r="22594" spans="13:13">
      <c r="M22594" s="202"/>
    </row>
    <row r="22595" spans="13:13">
      <c r="M22595" s="202"/>
    </row>
    <row r="22596" spans="13:13">
      <c r="M22596" s="202"/>
    </row>
    <row r="22597" spans="13:13">
      <c r="M22597" s="202"/>
    </row>
    <row r="22598" spans="13:13">
      <c r="M22598" s="202"/>
    </row>
    <row r="22599" spans="13:13">
      <c r="M22599" s="202"/>
    </row>
    <row r="22600" spans="13:13">
      <c r="M22600" s="202"/>
    </row>
    <row r="22601" spans="13:13">
      <c r="M22601" s="202"/>
    </row>
    <row r="22602" spans="13:13">
      <c r="M22602" s="202"/>
    </row>
    <row r="22603" spans="13:13">
      <c r="M22603" s="202"/>
    </row>
    <row r="22604" spans="13:13">
      <c r="M22604" s="202"/>
    </row>
    <row r="22605" spans="13:13">
      <c r="M22605" s="202"/>
    </row>
    <row r="22606" spans="13:13">
      <c r="M22606" s="202"/>
    </row>
    <row r="22607" spans="13:13">
      <c r="M22607" s="202"/>
    </row>
    <row r="22608" spans="13:13">
      <c r="M22608" s="202"/>
    </row>
    <row r="22609" spans="13:13">
      <c r="M22609" s="202"/>
    </row>
    <row r="22610" spans="13:13">
      <c r="M22610" s="202"/>
    </row>
    <row r="22611" spans="13:13">
      <c r="M22611" s="202"/>
    </row>
    <row r="22612" spans="13:13">
      <c r="M22612" s="202"/>
    </row>
    <row r="22613" spans="13:13">
      <c r="M22613" s="202"/>
    </row>
    <row r="22614" spans="13:13">
      <c r="M22614" s="202"/>
    </row>
    <row r="22615" spans="13:13">
      <c r="M22615" s="202"/>
    </row>
    <row r="22616" spans="13:13">
      <c r="M22616" s="202"/>
    </row>
    <row r="22617" spans="13:13">
      <c r="M22617" s="202"/>
    </row>
    <row r="22618" spans="13:13">
      <c r="M22618" s="202"/>
    </row>
    <row r="22619" spans="13:13">
      <c r="M22619" s="202"/>
    </row>
    <row r="22620" spans="13:13">
      <c r="M22620" s="202"/>
    </row>
    <row r="22621" spans="13:13">
      <c r="M22621" s="202"/>
    </row>
    <row r="22622" spans="13:13">
      <c r="M22622" s="202"/>
    </row>
    <row r="22623" spans="13:13">
      <c r="M22623" s="202"/>
    </row>
    <row r="22624" spans="13:13">
      <c r="M22624" s="202"/>
    </row>
    <row r="22625" spans="13:13">
      <c r="M22625" s="202"/>
    </row>
    <row r="22626" spans="13:13">
      <c r="M22626" s="202"/>
    </row>
    <row r="22627" spans="13:13">
      <c r="M22627" s="202"/>
    </row>
    <row r="22628" spans="13:13">
      <c r="M22628" s="202"/>
    </row>
    <row r="22629" spans="13:13">
      <c r="M22629" s="202"/>
    </row>
    <row r="22630" spans="13:13">
      <c r="M22630" s="202"/>
    </row>
    <row r="22631" spans="13:13">
      <c r="M22631" s="202"/>
    </row>
    <row r="22632" spans="13:13">
      <c r="M22632" s="202"/>
    </row>
    <row r="22633" spans="13:13">
      <c r="M22633" s="202"/>
    </row>
    <row r="22634" spans="13:13">
      <c r="M22634" s="202"/>
    </row>
    <row r="22635" spans="13:13">
      <c r="M22635" s="202"/>
    </row>
    <row r="22636" spans="13:13">
      <c r="M22636" s="202"/>
    </row>
    <row r="22637" spans="13:13">
      <c r="M22637" s="202"/>
    </row>
    <row r="22638" spans="13:13">
      <c r="M22638" s="202"/>
    </row>
    <row r="22639" spans="13:13">
      <c r="M22639" s="202"/>
    </row>
    <row r="22640" spans="13:13">
      <c r="M22640" s="202"/>
    </row>
    <row r="22641" spans="13:13">
      <c r="M22641" s="202"/>
    </row>
    <row r="22642" spans="13:13">
      <c r="M22642" s="202"/>
    </row>
    <row r="22643" spans="13:13">
      <c r="M22643" s="202"/>
    </row>
    <row r="22644" spans="13:13">
      <c r="M22644" s="202"/>
    </row>
    <row r="22645" spans="13:13">
      <c r="M22645" s="202"/>
    </row>
    <row r="22646" spans="13:13">
      <c r="M22646" s="202"/>
    </row>
    <row r="22647" spans="13:13">
      <c r="M22647" s="202"/>
    </row>
    <row r="22648" spans="13:13">
      <c r="M22648" s="202"/>
    </row>
    <row r="22649" spans="13:13">
      <c r="M22649" s="202"/>
    </row>
    <row r="22650" spans="13:13">
      <c r="M22650" s="202"/>
    </row>
    <row r="22651" spans="13:13">
      <c r="M22651" s="202"/>
    </row>
    <row r="22652" spans="13:13">
      <c r="M22652" s="202"/>
    </row>
    <row r="22653" spans="13:13">
      <c r="M22653" s="202"/>
    </row>
    <row r="22654" spans="13:13">
      <c r="M22654" s="202"/>
    </row>
    <row r="22655" spans="13:13">
      <c r="M22655" s="202"/>
    </row>
    <row r="22656" spans="13:13">
      <c r="M22656" s="202"/>
    </row>
    <row r="22657" spans="13:13">
      <c r="M22657" s="202"/>
    </row>
    <row r="22658" spans="13:13">
      <c r="M22658" s="202"/>
    </row>
    <row r="22659" spans="13:13">
      <c r="M22659" s="202"/>
    </row>
    <row r="22660" spans="13:13">
      <c r="M22660" s="202"/>
    </row>
    <row r="22661" spans="13:13">
      <c r="M22661" s="202"/>
    </row>
    <row r="22662" spans="13:13">
      <c r="M22662" s="202"/>
    </row>
    <row r="22663" spans="13:13">
      <c r="M22663" s="202"/>
    </row>
    <row r="22664" spans="13:13">
      <c r="M22664" s="202"/>
    </row>
    <row r="22665" spans="13:13">
      <c r="M22665" s="202"/>
    </row>
    <row r="22666" spans="13:13">
      <c r="M22666" s="202"/>
    </row>
    <row r="22667" spans="13:13">
      <c r="M22667" s="202"/>
    </row>
    <row r="22668" spans="13:13">
      <c r="M22668" s="202"/>
    </row>
    <row r="22669" spans="13:13">
      <c r="M22669" s="202"/>
    </row>
    <row r="22670" spans="13:13">
      <c r="M22670" s="202"/>
    </row>
    <row r="22671" spans="13:13">
      <c r="M22671" s="202"/>
    </row>
    <row r="22672" spans="13:13">
      <c r="M22672" s="202"/>
    </row>
    <row r="22673" spans="13:13">
      <c r="M22673" s="202"/>
    </row>
    <row r="22674" spans="13:13">
      <c r="M22674" s="202"/>
    </row>
    <row r="22675" spans="13:13">
      <c r="M22675" s="202"/>
    </row>
    <row r="22676" spans="13:13">
      <c r="M22676" s="202"/>
    </row>
    <row r="22677" spans="13:13">
      <c r="M22677" s="202"/>
    </row>
    <row r="22678" spans="13:13">
      <c r="M22678" s="202"/>
    </row>
    <row r="22679" spans="13:13">
      <c r="M22679" s="202"/>
    </row>
    <row r="22680" spans="13:13">
      <c r="M22680" s="202"/>
    </row>
    <row r="22681" spans="13:13">
      <c r="M22681" s="202"/>
    </row>
    <row r="22682" spans="13:13">
      <c r="M22682" s="202"/>
    </row>
    <row r="22683" spans="13:13">
      <c r="M22683" s="202"/>
    </row>
    <row r="22684" spans="13:13">
      <c r="M22684" s="202"/>
    </row>
    <row r="22685" spans="13:13">
      <c r="M22685" s="202"/>
    </row>
    <row r="22686" spans="13:13">
      <c r="M22686" s="202"/>
    </row>
    <row r="22687" spans="13:13">
      <c r="M22687" s="202"/>
    </row>
    <row r="22688" spans="13:13">
      <c r="M22688" s="202"/>
    </row>
    <row r="22689" spans="13:13">
      <c r="M22689" s="202"/>
    </row>
    <row r="22690" spans="13:13">
      <c r="M22690" s="202"/>
    </row>
    <row r="22691" spans="13:13">
      <c r="M22691" s="202"/>
    </row>
    <row r="22692" spans="13:13">
      <c r="M22692" s="202"/>
    </row>
    <row r="22693" spans="13:13">
      <c r="M22693" s="202"/>
    </row>
    <row r="22694" spans="13:13">
      <c r="M22694" s="202"/>
    </row>
    <row r="22695" spans="13:13">
      <c r="M22695" s="202"/>
    </row>
    <row r="22696" spans="13:13">
      <c r="M22696" s="202"/>
    </row>
    <row r="22697" spans="13:13">
      <c r="M22697" s="202"/>
    </row>
    <row r="22698" spans="13:13">
      <c r="M22698" s="202"/>
    </row>
    <row r="22699" spans="13:13">
      <c r="M22699" s="202"/>
    </row>
    <row r="22700" spans="13:13">
      <c r="M22700" s="202"/>
    </row>
    <row r="22701" spans="13:13">
      <c r="M22701" s="202"/>
    </row>
    <row r="22702" spans="13:13">
      <c r="M22702" s="202"/>
    </row>
    <row r="22703" spans="13:13">
      <c r="M22703" s="202"/>
    </row>
    <row r="22704" spans="13:13">
      <c r="M22704" s="202"/>
    </row>
    <row r="22705" spans="13:13">
      <c r="M22705" s="202"/>
    </row>
    <row r="22706" spans="13:13">
      <c r="M22706" s="202"/>
    </row>
    <row r="22707" spans="13:13">
      <c r="M22707" s="202"/>
    </row>
    <row r="22708" spans="13:13">
      <c r="M22708" s="202"/>
    </row>
    <row r="22709" spans="13:13">
      <c r="M22709" s="202"/>
    </row>
    <row r="22710" spans="13:13">
      <c r="M22710" s="202"/>
    </row>
    <row r="22711" spans="13:13">
      <c r="M22711" s="202"/>
    </row>
    <row r="22712" spans="13:13">
      <c r="M22712" s="202"/>
    </row>
    <row r="22713" spans="13:13">
      <c r="M22713" s="202"/>
    </row>
    <row r="22714" spans="13:13">
      <c r="M22714" s="202"/>
    </row>
    <row r="22715" spans="13:13">
      <c r="M22715" s="202"/>
    </row>
    <row r="22716" spans="13:13">
      <c r="M22716" s="202"/>
    </row>
    <row r="22717" spans="13:13">
      <c r="M22717" s="202"/>
    </row>
    <row r="22718" spans="13:13">
      <c r="M22718" s="202"/>
    </row>
    <row r="22719" spans="13:13">
      <c r="M22719" s="202"/>
    </row>
    <row r="22720" spans="13:13">
      <c r="M22720" s="202"/>
    </row>
    <row r="22721" spans="13:13">
      <c r="M22721" s="202"/>
    </row>
    <row r="22722" spans="13:13">
      <c r="M22722" s="202"/>
    </row>
    <row r="22723" spans="13:13">
      <c r="M22723" s="202"/>
    </row>
    <row r="22724" spans="13:13">
      <c r="M22724" s="202"/>
    </row>
    <row r="22725" spans="13:13">
      <c r="M22725" s="202"/>
    </row>
    <row r="22726" spans="13:13">
      <c r="M22726" s="202"/>
    </row>
    <row r="22727" spans="13:13">
      <c r="M22727" s="202"/>
    </row>
    <row r="22728" spans="13:13">
      <c r="M22728" s="202"/>
    </row>
    <row r="22729" spans="13:13">
      <c r="M22729" s="202"/>
    </row>
    <row r="22730" spans="13:13">
      <c r="M22730" s="202"/>
    </row>
    <row r="22731" spans="13:13">
      <c r="M22731" s="202"/>
    </row>
    <row r="22732" spans="13:13">
      <c r="M22732" s="202"/>
    </row>
    <row r="22733" spans="13:13">
      <c r="M22733" s="202"/>
    </row>
    <row r="22734" spans="13:13">
      <c r="M22734" s="202"/>
    </row>
    <row r="22735" spans="13:13">
      <c r="M22735" s="202"/>
    </row>
    <row r="22736" spans="13:13">
      <c r="M22736" s="202"/>
    </row>
    <row r="22737" spans="13:13">
      <c r="M22737" s="202"/>
    </row>
    <row r="22738" spans="13:13">
      <c r="M22738" s="202"/>
    </row>
    <row r="22739" spans="13:13">
      <c r="M22739" s="202"/>
    </row>
    <row r="22740" spans="13:13">
      <c r="M22740" s="202"/>
    </row>
    <row r="22741" spans="13:13">
      <c r="M22741" s="202"/>
    </row>
    <row r="22742" spans="13:13">
      <c r="M22742" s="202"/>
    </row>
    <row r="22743" spans="13:13">
      <c r="M22743" s="202"/>
    </row>
    <row r="22744" spans="13:13">
      <c r="M22744" s="202"/>
    </row>
    <row r="22745" spans="13:13">
      <c r="M22745" s="202"/>
    </row>
    <row r="22746" spans="13:13">
      <c r="M22746" s="202"/>
    </row>
    <row r="22747" spans="13:13">
      <c r="M22747" s="202"/>
    </row>
    <row r="22748" spans="13:13">
      <c r="M22748" s="202"/>
    </row>
    <row r="22749" spans="13:13">
      <c r="M22749" s="202"/>
    </row>
    <row r="22750" spans="13:13">
      <c r="M22750" s="202"/>
    </row>
    <row r="22751" spans="13:13">
      <c r="M22751" s="202"/>
    </row>
    <row r="22752" spans="13:13">
      <c r="M22752" s="202"/>
    </row>
    <row r="22753" spans="13:13">
      <c r="M22753" s="202"/>
    </row>
    <row r="22754" spans="13:13">
      <c r="M22754" s="202"/>
    </row>
    <row r="22755" spans="13:13">
      <c r="M22755" s="202"/>
    </row>
    <row r="22756" spans="13:13">
      <c r="M22756" s="202"/>
    </row>
    <row r="22757" spans="13:13">
      <c r="M22757" s="202"/>
    </row>
    <row r="22758" spans="13:13">
      <c r="M22758" s="202"/>
    </row>
    <row r="22759" spans="13:13">
      <c r="M22759" s="202"/>
    </row>
    <row r="22760" spans="13:13">
      <c r="M22760" s="202"/>
    </row>
    <row r="22761" spans="13:13">
      <c r="M22761" s="202"/>
    </row>
    <row r="22762" spans="13:13">
      <c r="M22762" s="202"/>
    </row>
    <row r="22763" spans="13:13">
      <c r="M22763" s="202"/>
    </row>
    <row r="22764" spans="13:13">
      <c r="M22764" s="202"/>
    </row>
    <row r="22765" spans="13:13">
      <c r="M22765" s="202"/>
    </row>
    <row r="22766" spans="13:13">
      <c r="M22766" s="202"/>
    </row>
    <row r="22767" spans="13:13">
      <c r="M22767" s="202"/>
    </row>
    <row r="22768" spans="13:13">
      <c r="M22768" s="202"/>
    </row>
    <row r="22769" spans="13:13">
      <c r="M22769" s="202"/>
    </row>
    <row r="22770" spans="13:13">
      <c r="M22770" s="202"/>
    </row>
    <row r="22771" spans="13:13">
      <c r="M22771" s="202"/>
    </row>
    <row r="22772" spans="13:13">
      <c r="M22772" s="202"/>
    </row>
    <row r="22773" spans="13:13">
      <c r="M22773" s="202"/>
    </row>
    <row r="22774" spans="13:13">
      <c r="M22774" s="202"/>
    </row>
    <row r="22775" spans="13:13">
      <c r="M22775" s="202"/>
    </row>
    <row r="22776" spans="13:13">
      <c r="M22776" s="202"/>
    </row>
    <row r="22777" spans="13:13">
      <c r="M22777" s="202"/>
    </row>
    <row r="22778" spans="13:13">
      <c r="M22778" s="202"/>
    </row>
    <row r="22779" spans="13:13">
      <c r="M22779" s="202"/>
    </row>
    <row r="22780" spans="13:13">
      <c r="M22780" s="202"/>
    </row>
    <row r="22781" spans="13:13">
      <c r="M22781" s="202"/>
    </row>
    <row r="22782" spans="13:13">
      <c r="M22782" s="202"/>
    </row>
    <row r="22783" spans="13:13">
      <c r="M22783" s="202"/>
    </row>
    <row r="22784" spans="13:13">
      <c r="M22784" s="202"/>
    </row>
    <row r="22785" spans="13:13">
      <c r="M22785" s="202"/>
    </row>
    <row r="22786" spans="13:13">
      <c r="M22786" s="202"/>
    </row>
    <row r="22787" spans="13:13">
      <c r="M22787" s="202"/>
    </row>
    <row r="22788" spans="13:13">
      <c r="M22788" s="202"/>
    </row>
    <row r="22789" spans="13:13">
      <c r="M22789" s="202"/>
    </row>
    <row r="22790" spans="13:13">
      <c r="M22790" s="202"/>
    </row>
    <row r="22791" spans="13:13">
      <c r="M22791" s="202"/>
    </row>
    <row r="22792" spans="13:13">
      <c r="M22792" s="202"/>
    </row>
    <row r="22793" spans="13:13">
      <c r="M22793" s="202"/>
    </row>
    <row r="22794" spans="13:13">
      <c r="M22794" s="202"/>
    </row>
    <row r="22795" spans="13:13">
      <c r="M22795" s="202"/>
    </row>
    <row r="22796" spans="13:13">
      <c r="M22796" s="202"/>
    </row>
    <row r="22797" spans="13:13">
      <c r="M22797" s="202"/>
    </row>
    <row r="22798" spans="13:13">
      <c r="M22798" s="202"/>
    </row>
    <row r="22799" spans="13:13">
      <c r="M22799" s="202"/>
    </row>
    <row r="22800" spans="13:13">
      <c r="M22800" s="202"/>
    </row>
    <row r="22801" spans="13:13">
      <c r="M22801" s="202"/>
    </row>
    <row r="22802" spans="13:13">
      <c r="M22802" s="202"/>
    </row>
    <row r="22803" spans="13:13">
      <c r="M22803" s="202"/>
    </row>
    <row r="22804" spans="13:13">
      <c r="M22804" s="202"/>
    </row>
    <row r="22805" spans="13:13">
      <c r="M22805" s="202"/>
    </row>
    <row r="22806" spans="13:13">
      <c r="M22806" s="202"/>
    </row>
    <row r="22807" spans="13:13">
      <c r="M22807" s="202"/>
    </row>
    <row r="22808" spans="13:13">
      <c r="M22808" s="202"/>
    </row>
    <row r="22809" spans="13:13">
      <c r="M22809" s="202"/>
    </row>
    <row r="22810" spans="13:13">
      <c r="M22810" s="202"/>
    </row>
    <row r="22811" spans="13:13">
      <c r="M22811" s="202"/>
    </row>
    <row r="22812" spans="13:13">
      <c r="M22812" s="202"/>
    </row>
    <row r="22813" spans="13:13">
      <c r="M22813" s="202"/>
    </row>
    <row r="22814" spans="13:13">
      <c r="M22814" s="202"/>
    </row>
    <row r="22815" spans="13:13">
      <c r="M22815" s="202"/>
    </row>
    <row r="22816" spans="13:13">
      <c r="M22816" s="202"/>
    </row>
    <row r="22817" spans="13:13">
      <c r="M22817" s="202"/>
    </row>
    <row r="22818" spans="13:13">
      <c r="M22818" s="202"/>
    </row>
    <row r="22819" spans="13:13">
      <c r="M22819" s="202"/>
    </row>
    <row r="22820" spans="13:13">
      <c r="M22820" s="202"/>
    </row>
    <row r="22821" spans="13:13">
      <c r="M22821" s="202"/>
    </row>
    <row r="22822" spans="13:13">
      <c r="M22822" s="202"/>
    </row>
    <row r="22823" spans="13:13">
      <c r="M22823" s="202"/>
    </row>
    <row r="22824" spans="13:13">
      <c r="M22824" s="202"/>
    </row>
    <row r="22825" spans="13:13">
      <c r="M22825" s="202"/>
    </row>
    <row r="22826" spans="13:13">
      <c r="M22826" s="202"/>
    </row>
    <row r="22827" spans="13:13">
      <c r="M22827" s="202"/>
    </row>
    <row r="22828" spans="13:13">
      <c r="M22828" s="202"/>
    </row>
    <row r="22829" spans="13:13">
      <c r="M22829" s="202"/>
    </row>
    <row r="22830" spans="13:13">
      <c r="M22830" s="202"/>
    </row>
    <row r="22831" spans="13:13">
      <c r="M22831" s="202"/>
    </row>
    <row r="22832" spans="13:13">
      <c r="M22832" s="202"/>
    </row>
    <row r="22833" spans="13:13">
      <c r="M22833" s="202"/>
    </row>
    <row r="22834" spans="13:13">
      <c r="M22834" s="202"/>
    </row>
    <row r="22835" spans="13:13">
      <c r="M22835" s="202"/>
    </row>
    <row r="22836" spans="13:13">
      <c r="M22836" s="202"/>
    </row>
    <row r="22837" spans="13:13">
      <c r="M22837" s="202"/>
    </row>
    <row r="22838" spans="13:13">
      <c r="M22838" s="202"/>
    </row>
    <row r="22839" spans="13:13">
      <c r="M22839" s="202"/>
    </row>
    <row r="22840" spans="13:13">
      <c r="M22840" s="202"/>
    </row>
    <row r="22841" spans="13:13">
      <c r="M22841" s="202"/>
    </row>
    <row r="22842" spans="13:13">
      <c r="M22842" s="202"/>
    </row>
    <row r="22843" spans="13:13">
      <c r="M22843" s="202"/>
    </row>
    <row r="22844" spans="13:13">
      <c r="M22844" s="202"/>
    </row>
    <row r="22845" spans="13:13">
      <c r="M22845" s="202"/>
    </row>
    <row r="22846" spans="13:13">
      <c r="M22846" s="202"/>
    </row>
    <row r="22847" spans="13:13">
      <c r="M22847" s="202"/>
    </row>
    <row r="22848" spans="13:13">
      <c r="M22848" s="202"/>
    </row>
    <row r="22849" spans="13:13">
      <c r="M22849" s="202"/>
    </row>
    <row r="22850" spans="13:13">
      <c r="M22850" s="202"/>
    </row>
    <row r="22851" spans="13:13">
      <c r="M22851" s="202"/>
    </row>
    <row r="22852" spans="13:13">
      <c r="M22852" s="202"/>
    </row>
    <row r="22853" spans="13:13">
      <c r="M22853" s="202"/>
    </row>
    <row r="22854" spans="13:13">
      <c r="M22854" s="202"/>
    </row>
    <row r="22855" spans="13:13">
      <c r="M22855" s="202"/>
    </row>
    <row r="22856" spans="13:13">
      <c r="M22856" s="202"/>
    </row>
    <row r="22857" spans="13:13">
      <c r="M22857" s="202"/>
    </row>
    <row r="22858" spans="13:13">
      <c r="M22858" s="202"/>
    </row>
    <row r="22859" spans="13:13">
      <c r="M22859" s="202"/>
    </row>
    <row r="22860" spans="13:13">
      <c r="M22860" s="202"/>
    </row>
    <row r="22861" spans="13:13">
      <c r="M22861" s="202"/>
    </row>
    <row r="22862" spans="13:13">
      <c r="M22862" s="202"/>
    </row>
    <row r="22863" spans="13:13">
      <c r="M22863" s="202"/>
    </row>
    <row r="22864" spans="13:13">
      <c r="M22864" s="202"/>
    </row>
    <row r="22865" spans="13:13">
      <c r="M22865" s="202"/>
    </row>
    <row r="22866" spans="13:13">
      <c r="M22866" s="202"/>
    </row>
    <row r="22867" spans="13:13">
      <c r="M22867" s="202"/>
    </row>
    <row r="22868" spans="13:13">
      <c r="M22868" s="202"/>
    </row>
    <row r="22869" spans="13:13">
      <c r="M22869" s="202"/>
    </row>
    <row r="22870" spans="13:13">
      <c r="M22870" s="202"/>
    </row>
    <row r="22871" spans="13:13">
      <c r="M22871" s="202"/>
    </row>
    <row r="22872" spans="13:13">
      <c r="M22872" s="202"/>
    </row>
    <row r="22873" spans="13:13">
      <c r="M22873" s="202"/>
    </row>
    <row r="22874" spans="13:13">
      <c r="M22874" s="202"/>
    </row>
    <row r="22875" spans="13:13">
      <c r="M22875" s="202"/>
    </row>
    <row r="22876" spans="13:13">
      <c r="M22876" s="202"/>
    </row>
    <row r="22877" spans="13:13">
      <c r="M22877" s="202"/>
    </row>
    <row r="22878" spans="13:13">
      <c r="M22878" s="202"/>
    </row>
    <row r="22879" spans="13:13">
      <c r="M22879" s="202"/>
    </row>
    <row r="22880" spans="13:13">
      <c r="M22880" s="202"/>
    </row>
    <row r="22881" spans="13:13">
      <c r="M22881" s="202"/>
    </row>
    <row r="22882" spans="13:13">
      <c r="M22882" s="202"/>
    </row>
    <row r="22883" spans="13:13">
      <c r="M22883" s="202"/>
    </row>
    <row r="22884" spans="13:13">
      <c r="M22884" s="202"/>
    </row>
    <row r="22885" spans="13:13">
      <c r="M22885" s="202"/>
    </row>
    <row r="22886" spans="13:13">
      <c r="M22886" s="202"/>
    </row>
    <row r="22887" spans="13:13">
      <c r="M22887" s="202"/>
    </row>
    <row r="22888" spans="13:13">
      <c r="M22888" s="202"/>
    </row>
    <row r="22889" spans="13:13">
      <c r="M22889" s="202"/>
    </row>
    <row r="22890" spans="13:13">
      <c r="M22890" s="202"/>
    </row>
    <row r="22891" spans="13:13">
      <c r="M22891" s="202"/>
    </row>
    <row r="22892" spans="13:13">
      <c r="M22892" s="202"/>
    </row>
    <row r="22893" spans="13:13">
      <c r="M22893" s="202"/>
    </row>
    <row r="22894" spans="13:13">
      <c r="M22894" s="202"/>
    </row>
    <row r="22895" spans="13:13">
      <c r="M22895" s="202"/>
    </row>
    <row r="22896" spans="13:13">
      <c r="M22896" s="202"/>
    </row>
    <row r="22897" spans="13:13">
      <c r="M22897" s="202"/>
    </row>
    <row r="22898" spans="13:13">
      <c r="M22898" s="202"/>
    </row>
    <row r="22899" spans="13:13">
      <c r="M22899" s="202"/>
    </row>
    <row r="22900" spans="13:13">
      <c r="M22900" s="202"/>
    </row>
    <row r="22901" spans="13:13">
      <c r="M22901" s="202"/>
    </row>
    <row r="22902" spans="13:13">
      <c r="M22902" s="202"/>
    </row>
    <row r="22903" spans="13:13">
      <c r="M22903" s="202"/>
    </row>
    <row r="22904" spans="13:13">
      <c r="M22904" s="202"/>
    </row>
    <row r="22905" spans="13:13">
      <c r="M22905" s="202"/>
    </row>
    <row r="22906" spans="13:13">
      <c r="M22906" s="202"/>
    </row>
    <row r="22907" spans="13:13">
      <c r="M22907" s="202"/>
    </row>
    <row r="22908" spans="13:13">
      <c r="M22908" s="202"/>
    </row>
    <row r="22909" spans="13:13">
      <c r="M22909" s="202"/>
    </row>
    <row r="22910" spans="13:13">
      <c r="M22910" s="202"/>
    </row>
    <row r="22911" spans="13:13">
      <c r="M22911" s="202"/>
    </row>
    <row r="22912" spans="13:13">
      <c r="M22912" s="202"/>
    </row>
    <row r="22913" spans="13:13">
      <c r="M22913" s="202"/>
    </row>
    <row r="22914" spans="13:13">
      <c r="M22914" s="202"/>
    </row>
    <row r="22915" spans="13:13">
      <c r="M22915" s="202"/>
    </row>
    <row r="22916" spans="13:13">
      <c r="M22916" s="202"/>
    </row>
    <row r="22917" spans="13:13">
      <c r="M22917" s="202"/>
    </row>
    <row r="22918" spans="13:13">
      <c r="M22918" s="202"/>
    </row>
    <row r="22919" spans="13:13">
      <c r="M22919" s="202"/>
    </row>
    <row r="22920" spans="13:13">
      <c r="M22920" s="202"/>
    </row>
    <row r="22921" spans="13:13">
      <c r="M22921" s="202"/>
    </row>
    <row r="22922" spans="13:13">
      <c r="M22922" s="202"/>
    </row>
    <row r="22923" spans="13:13">
      <c r="M22923" s="202"/>
    </row>
    <row r="22924" spans="13:13">
      <c r="M22924" s="202"/>
    </row>
    <row r="22925" spans="13:13">
      <c r="M22925" s="202"/>
    </row>
    <row r="22926" spans="13:13">
      <c r="M22926" s="202"/>
    </row>
    <row r="22927" spans="13:13">
      <c r="M22927" s="202"/>
    </row>
    <row r="22928" spans="13:13">
      <c r="M22928" s="202"/>
    </row>
    <row r="22929" spans="13:13">
      <c r="M22929" s="202"/>
    </row>
    <row r="22930" spans="13:13">
      <c r="M22930" s="202"/>
    </row>
    <row r="22931" spans="13:13">
      <c r="M22931" s="202"/>
    </row>
    <row r="22932" spans="13:13">
      <c r="M22932" s="202"/>
    </row>
    <row r="22933" spans="13:13">
      <c r="M22933" s="202"/>
    </row>
    <row r="22934" spans="13:13">
      <c r="M22934" s="202"/>
    </row>
    <row r="22935" spans="13:13">
      <c r="M22935" s="202"/>
    </row>
    <row r="22936" spans="13:13">
      <c r="M22936" s="202"/>
    </row>
    <row r="22937" spans="13:13">
      <c r="M22937" s="202"/>
    </row>
    <row r="22938" spans="13:13">
      <c r="M22938" s="202"/>
    </row>
    <row r="22939" spans="13:13">
      <c r="M22939" s="202"/>
    </row>
    <row r="22940" spans="13:13">
      <c r="M22940" s="202"/>
    </row>
    <row r="22941" spans="13:13">
      <c r="M22941" s="202"/>
    </row>
    <row r="22942" spans="13:13">
      <c r="M22942" s="202"/>
    </row>
    <row r="22943" spans="13:13">
      <c r="M22943" s="202"/>
    </row>
    <row r="22944" spans="13:13">
      <c r="M22944" s="202"/>
    </row>
    <row r="22945" spans="13:13">
      <c r="M22945" s="202"/>
    </row>
    <row r="22946" spans="13:13">
      <c r="M22946" s="202"/>
    </row>
    <row r="22947" spans="13:13">
      <c r="M22947" s="202"/>
    </row>
    <row r="22948" spans="13:13">
      <c r="M22948" s="202"/>
    </row>
    <row r="22949" spans="13:13">
      <c r="M22949" s="202"/>
    </row>
    <row r="22950" spans="13:13">
      <c r="M22950" s="202"/>
    </row>
    <row r="22951" spans="13:13">
      <c r="M22951" s="202"/>
    </row>
    <row r="22952" spans="13:13">
      <c r="M22952" s="202"/>
    </row>
    <row r="22953" spans="13:13">
      <c r="M22953" s="202"/>
    </row>
    <row r="22954" spans="13:13">
      <c r="M22954" s="202"/>
    </row>
    <row r="22955" spans="13:13">
      <c r="M22955" s="202"/>
    </row>
    <row r="22956" spans="13:13">
      <c r="M22956" s="202"/>
    </row>
    <row r="22957" spans="13:13">
      <c r="M22957" s="202"/>
    </row>
    <row r="22958" spans="13:13">
      <c r="M22958" s="202"/>
    </row>
    <row r="22959" spans="13:13">
      <c r="M22959" s="202"/>
    </row>
    <row r="22960" spans="13:13">
      <c r="M22960" s="202"/>
    </row>
    <row r="22961" spans="13:13">
      <c r="M22961" s="202"/>
    </row>
    <row r="22962" spans="13:13">
      <c r="M22962" s="202"/>
    </row>
    <row r="22963" spans="13:13">
      <c r="M22963" s="202"/>
    </row>
    <row r="22964" spans="13:13">
      <c r="M22964" s="202"/>
    </row>
    <row r="22965" spans="13:13">
      <c r="M22965" s="202"/>
    </row>
    <row r="22966" spans="13:13">
      <c r="M22966" s="202"/>
    </row>
    <row r="22967" spans="13:13">
      <c r="M22967" s="202"/>
    </row>
    <row r="22968" spans="13:13">
      <c r="M22968" s="202"/>
    </row>
    <row r="22969" spans="13:13">
      <c r="M22969" s="202"/>
    </row>
    <row r="22970" spans="13:13">
      <c r="M22970" s="202"/>
    </row>
    <row r="22971" spans="13:13">
      <c r="M22971" s="202"/>
    </row>
    <row r="22972" spans="13:13">
      <c r="M22972" s="202"/>
    </row>
    <row r="22973" spans="13:13">
      <c r="M22973" s="202"/>
    </row>
    <row r="22974" spans="13:13">
      <c r="M22974" s="202"/>
    </row>
    <row r="22975" spans="13:13">
      <c r="M22975" s="202"/>
    </row>
    <row r="22976" spans="13:13">
      <c r="M22976" s="202"/>
    </row>
    <row r="22977" spans="13:13">
      <c r="M22977" s="202"/>
    </row>
    <row r="22978" spans="13:13">
      <c r="M22978" s="202"/>
    </row>
    <row r="22979" spans="13:13">
      <c r="M22979" s="202"/>
    </row>
    <row r="22980" spans="13:13">
      <c r="M22980" s="202"/>
    </row>
    <row r="22981" spans="13:13">
      <c r="M22981" s="202"/>
    </row>
    <row r="22982" spans="13:13">
      <c r="M22982" s="202"/>
    </row>
    <row r="22983" spans="13:13">
      <c r="M22983" s="202"/>
    </row>
    <row r="22984" spans="13:13">
      <c r="M22984" s="202"/>
    </row>
    <row r="22985" spans="13:13">
      <c r="M22985" s="202"/>
    </row>
    <row r="22986" spans="13:13">
      <c r="M22986" s="202"/>
    </row>
    <row r="22987" spans="13:13">
      <c r="M22987" s="202"/>
    </row>
    <row r="22988" spans="13:13">
      <c r="M22988" s="202"/>
    </row>
    <row r="22989" spans="13:13">
      <c r="M22989" s="202"/>
    </row>
    <row r="22990" spans="13:13">
      <c r="M22990" s="202"/>
    </row>
    <row r="22991" spans="13:13">
      <c r="M22991" s="202"/>
    </row>
    <row r="22992" spans="13:13">
      <c r="M22992" s="202"/>
    </row>
    <row r="22993" spans="13:13">
      <c r="M22993" s="202"/>
    </row>
    <row r="22994" spans="13:13">
      <c r="M22994" s="202"/>
    </row>
    <row r="22995" spans="13:13">
      <c r="M22995" s="202"/>
    </row>
    <row r="22996" spans="13:13">
      <c r="M22996" s="202"/>
    </row>
    <row r="22997" spans="13:13">
      <c r="M22997" s="202"/>
    </row>
    <row r="22998" spans="13:13">
      <c r="M22998" s="202"/>
    </row>
    <row r="22999" spans="13:13">
      <c r="M22999" s="202"/>
    </row>
    <row r="23000" spans="13:13">
      <c r="M23000" s="202"/>
    </row>
    <row r="23001" spans="13:13">
      <c r="M23001" s="202"/>
    </row>
    <row r="23002" spans="13:13">
      <c r="M23002" s="202"/>
    </row>
    <row r="23003" spans="13:13">
      <c r="M23003" s="202"/>
    </row>
    <row r="23004" spans="13:13">
      <c r="M23004" s="202"/>
    </row>
    <row r="23005" spans="13:13">
      <c r="M23005" s="202"/>
    </row>
    <row r="23006" spans="13:13">
      <c r="M23006" s="202"/>
    </row>
    <row r="23007" spans="13:13">
      <c r="M23007" s="202"/>
    </row>
    <row r="23008" spans="13:13">
      <c r="M23008" s="202"/>
    </row>
    <row r="23009" spans="13:13">
      <c r="M23009" s="202"/>
    </row>
    <row r="23010" spans="13:13">
      <c r="M23010" s="202"/>
    </row>
    <row r="23011" spans="13:13">
      <c r="M23011" s="202"/>
    </row>
    <row r="23012" spans="13:13">
      <c r="M23012" s="202"/>
    </row>
    <row r="23013" spans="13:13">
      <c r="M23013" s="202"/>
    </row>
    <row r="23014" spans="13:13">
      <c r="M23014" s="202"/>
    </row>
    <row r="23015" spans="13:13">
      <c r="M23015" s="202"/>
    </row>
    <row r="23016" spans="13:13">
      <c r="M23016" s="202"/>
    </row>
    <row r="23017" spans="13:13">
      <c r="M23017" s="202"/>
    </row>
    <row r="23018" spans="13:13">
      <c r="M23018" s="202"/>
    </row>
    <row r="23019" spans="13:13">
      <c r="M23019" s="202"/>
    </row>
    <row r="23020" spans="13:13">
      <c r="M23020" s="202"/>
    </row>
    <row r="23021" spans="13:13">
      <c r="M23021" s="202"/>
    </row>
    <row r="23022" spans="13:13">
      <c r="M23022" s="202"/>
    </row>
    <row r="23023" spans="13:13">
      <c r="M23023" s="202"/>
    </row>
    <row r="23024" spans="13:13">
      <c r="M23024" s="202"/>
    </row>
    <row r="23025" spans="13:13">
      <c r="M23025" s="202"/>
    </row>
    <row r="23026" spans="13:13">
      <c r="M23026" s="202"/>
    </row>
    <row r="23027" spans="13:13">
      <c r="M23027" s="202"/>
    </row>
    <row r="23028" spans="13:13">
      <c r="M23028" s="202"/>
    </row>
    <row r="23029" spans="13:13">
      <c r="M23029" s="202"/>
    </row>
    <row r="23030" spans="13:13">
      <c r="M23030" s="202"/>
    </row>
    <row r="23031" spans="13:13">
      <c r="M23031" s="202"/>
    </row>
    <row r="23032" spans="13:13">
      <c r="M23032" s="202"/>
    </row>
    <row r="23033" spans="13:13">
      <c r="M23033" s="202"/>
    </row>
    <row r="23034" spans="13:13">
      <c r="M23034" s="202"/>
    </row>
    <row r="23035" spans="13:13">
      <c r="M23035" s="202"/>
    </row>
    <row r="23036" spans="13:13">
      <c r="M23036" s="202"/>
    </row>
    <row r="23037" spans="13:13">
      <c r="M23037" s="202"/>
    </row>
    <row r="23038" spans="13:13">
      <c r="M23038" s="202"/>
    </row>
    <row r="23039" spans="13:13">
      <c r="M23039" s="202"/>
    </row>
    <row r="23040" spans="13:13">
      <c r="M23040" s="202"/>
    </row>
    <row r="23041" spans="13:13">
      <c r="M23041" s="202"/>
    </row>
    <row r="23042" spans="13:13">
      <c r="M23042" s="202"/>
    </row>
    <row r="23043" spans="13:13">
      <c r="M23043" s="202"/>
    </row>
    <row r="23044" spans="13:13">
      <c r="M23044" s="202"/>
    </row>
    <row r="23045" spans="13:13">
      <c r="M23045" s="202"/>
    </row>
    <row r="23046" spans="13:13">
      <c r="M23046" s="202"/>
    </row>
    <row r="23047" spans="13:13">
      <c r="M23047" s="202"/>
    </row>
    <row r="23048" spans="13:13">
      <c r="M23048" s="202"/>
    </row>
    <row r="23049" spans="13:13">
      <c r="M23049" s="202"/>
    </row>
    <row r="23050" spans="13:13">
      <c r="M23050" s="202"/>
    </row>
    <row r="23051" spans="13:13">
      <c r="M23051" s="202"/>
    </row>
    <row r="23052" spans="13:13">
      <c r="M23052" s="202"/>
    </row>
    <row r="23053" spans="13:13">
      <c r="M23053" s="202"/>
    </row>
    <row r="23054" spans="13:13">
      <c r="M23054" s="202"/>
    </row>
    <row r="23055" spans="13:13">
      <c r="M23055" s="202"/>
    </row>
    <row r="23056" spans="13:13">
      <c r="M23056" s="202"/>
    </row>
    <row r="23057" spans="13:13">
      <c r="M23057" s="202"/>
    </row>
    <row r="23058" spans="13:13">
      <c r="M23058" s="202"/>
    </row>
    <row r="23059" spans="13:13">
      <c r="M23059" s="202"/>
    </row>
    <row r="23060" spans="13:13">
      <c r="M23060" s="202"/>
    </row>
    <row r="23061" spans="13:13">
      <c r="M23061" s="202"/>
    </row>
    <row r="23062" spans="13:13">
      <c r="M23062" s="202"/>
    </row>
    <row r="23063" spans="13:13">
      <c r="M23063" s="202"/>
    </row>
    <row r="23064" spans="13:13">
      <c r="M23064" s="202"/>
    </row>
    <row r="23065" spans="13:13">
      <c r="M23065" s="202"/>
    </row>
    <row r="23066" spans="13:13">
      <c r="M23066" s="202"/>
    </row>
    <row r="23067" spans="13:13">
      <c r="M23067" s="202"/>
    </row>
    <row r="23068" spans="13:13">
      <c r="M23068" s="202"/>
    </row>
    <row r="23069" spans="13:13">
      <c r="M23069" s="202"/>
    </row>
    <row r="23070" spans="13:13">
      <c r="M23070" s="202"/>
    </row>
    <row r="23071" spans="13:13">
      <c r="M23071" s="202"/>
    </row>
    <row r="23072" spans="13:13">
      <c r="M23072" s="202"/>
    </row>
    <row r="23073" spans="13:13">
      <c r="M23073" s="202"/>
    </row>
    <row r="23074" spans="13:13">
      <c r="M23074" s="202"/>
    </row>
    <row r="23075" spans="13:13">
      <c r="M23075" s="202"/>
    </row>
    <row r="23076" spans="13:13">
      <c r="M23076" s="202"/>
    </row>
    <row r="23077" spans="13:13">
      <c r="M23077" s="202"/>
    </row>
    <row r="23078" spans="13:13">
      <c r="M23078" s="202"/>
    </row>
    <row r="23079" spans="13:13">
      <c r="M23079" s="202"/>
    </row>
    <row r="23080" spans="13:13">
      <c r="M23080" s="202"/>
    </row>
    <row r="23081" spans="13:13">
      <c r="M23081" s="202"/>
    </row>
    <row r="23082" spans="13:13">
      <c r="M23082" s="202"/>
    </row>
    <row r="23083" spans="13:13">
      <c r="M23083" s="202"/>
    </row>
    <row r="23084" spans="13:13">
      <c r="M23084" s="202"/>
    </row>
    <row r="23085" spans="13:13">
      <c r="M23085" s="202"/>
    </row>
    <row r="23086" spans="13:13">
      <c r="M23086" s="202"/>
    </row>
    <row r="23087" spans="13:13">
      <c r="M23087" s="202"/>
    </row>
    <row r="23088" spans="13:13">
      <c r="M23088" s="202"/>
    </row>
    <row r="23089" spans="13:13">
      <c r="M23089" s="202"/>
    </row>
    <row r="23090" spans="13:13">
      <c r="M23090" s="202"/>
    </row>
    <row r="23091" spans="13:13">
      <c r="M23091" s="202"/>
    </row>
    <row r="23092" spans="13:13">
      <c r="M23092" s="202"/>
    </row>
    <row r="23093" spans="13:13">
      <c r="M23093" s="202"/>
    </row>
    <row r="23094" spans="13:13">
      <c r="M23094" s="202"/>
    </row>
    <row r="23095" spans="13:13">
      <c r="M23095" s="202"/>
    </row>
    <row r="23096" spans="13:13">
      <c r="M23096" s="202"/>
    </row>
    <row r="23097" spans="13:13">
      <c r="M23097" s="202"/>
    </row>
    <row r="23098" spans="13:13">
      <c r="M23098" s="202"/>
    </row>
    <row r="23099" spans="13:13">
      <c r="M23099" s="202"/>
    </row>
    <row r="23100" spans="13:13">
      <c r="M23100" s="202"/>
    </row>
    <row r="23101" spans="13:13">
      <c r="M23101" s="202"/>
    </row>
    <row r="23102" spans="13:13">
      <c r="M23102" s="202"/>
    </row>
    <row r="23103" spans="13:13">
      <c r="M23103" s="202"/>
    </row>
    <row r="23104" spans="13:13">
      <c r="M23104" s="202"/>
    </row>
    <row r="23105" spans="13:13">
      <c r="M23105" s="202"/>
    </row>
    <row r="23106" spans="13:13">
      <c r="M23106" s="202"/>
    </row>
    <row r="23107" spans="13:13">
      <c r="M23107" s="202"/>
    </row>
    <row r="23108" spans="13:13">
      <c r="M23108" s="202"/>
    </row>
    <row r="23109" spans="13:13">
      <c r="M23109" s="202"/>
    </row>
    <row r="23110" spans="13:13">
      <c r="M23110" s="202"/>
    </row>
    <row r="23111" spans="13:13">
      <c r="M23111" s="202"/>
    </row>
    <row r="23112" spans="13:13">
      <c r="M23112" s="202"/>
    </row>
    <row r="23113" spans="13:13">
      <c r="M23113" s="202"/>
    </row>
    <row r="23114" spans="13:13">
      <c r="M23114" s="202"/>
    </row>
    <row r="23115" spans="13:13">
      <c r="M23115" s="202"/>
    </row>
    <row r="23116" spans="13:13">
      <c r="M23116" s="202"/>
    </row>
    <row r="23117" spans="13:13">
      <c r="M23117" s="202"/>
    </row>
    <row r="23118" spans="13:13">
      <c r="M23118" s="202"/>
    </row>
    <row r="23119" spans="13:13">
      <c r="M23119" s="202"/>
    </row>
    <row r="23120" spans="13:13">
      <c r="M23120" s="202"/>
    </row>
    <row r="23121" spans="13:13">
      <c r="M23121" s="202"/>
    </row>
    <row r="23122" spans="13:13">
      <c r="M23122" s="202"/>
    </row>
    <row r="23123" spans="13:13">
      <c r="M23123" s="202"/>
    </row>
    <row r="23124" spans="13:13">
      <c r="M23124" s="202"/>
    </row>
    <row r="23125" spans="13:13">
      <c r="M23125" s="202"/>
    </row>
    <row r="23126" spans="13:13">
      <c r="M23126" s="202"/>
    </row>
    <row r="23127" spans="13:13">
      <c r="M23127" s="202"/>
    </row>
    <row r="23128" spans="13:13">
      <c r="M23128" s="202"/>
    </row>
    <row r="23129" spans="13:13">
      <c r="M23129" s="202"/>
    </row>
    <row r="23130" spans="13:13">
      <c r="M23130" s="202"/>
    </row>
    <row r="23131" spans="13:13">
      <c r="M23131" s="202"/>
    </row>
    <row r="23132" spans="13:13">
      <c r="M23132" s="202"/>
    </row>
    <row r="23133" spans="13:13">
      <c r="M23133" s="202"/>
    </row>
    <row r="23134" spans="13:13">
      <c r="M23134" s="202"/>
    </row>
    <row r="23135" spans="13:13">
      <c r="M23135" s="202"/>
    </row>
    <row r="23136" spans="13:13">
      <c r="M23136" s="202"/>
    </row>
    <row r="23137" spans="13:13">
      <c r="M23137" s="202"/>
    </row>
    <row r="23138" spans="13:13">
      <c r="M23138" s="202"/>
    </row>
    <row r="23139" spans="13:13">
      <c r="M23139" s="202"/>
    </row>
    <row r="23140" spans="13:13">
      <c r="M23140" s="202"/>
    </row>
    <row r="23141" spans="13:13">
      <c r="M23141" s="202"/>
    </row>
    <row r="23142" spans="13:13">
      <c r="M23142" s="202"/>
    </row>
    <row r="23143" spans="13:13">
      <c r="M23143" s="202"/>
    </row>
    <row r="23144" spans="13:13">
      <c r="M23144" s="202"/>
    </row>
    <row r="23145" spans="13:13">
      <c r="M23145" s="202"/>
    </row>
    <row r="23146" spans="13:13">
      <c r="M23146" s="202"/>
    </row>
    <row r="23147" spans="13:13">
      <c r="M23147" s="202"/>
    </row>
    <row r="23148" spans="13:13">
      <c r="M23148" s="202"/>
    </row>
    <row r="23149" spans="13:13">
      <c r="M23149" s="202"/>
    </row>
    <row r="23150" spans="13:13">
      <c r="M23150" s="202"/>
    </row>
    <row r="23151" spans="13:13">
      <c r="M23151" s="202"/>
    </row>
    <row r="23152" spans="13:13">
      <c r="M23152" s="202"/>
    </row>
    <row r="23153" spans="13:13">
      <c r="M23153" s="202"/>
    </row>
    <row r="23154" spans="13:13">
      <c r="M23154" s="202"/>
    </row>
    <row r="23155" spans="13:13">
      <c r="M23155" s="202"/>
    </row>
    <row r="23156" spans="13:13">
      <c r="M23156" s="202"/>
    </row>
    <row r="23157" spans="13:13">
      <c r="M23157" s="202"/>
    </row>
    <row r="23158" spans="13:13">
      <c r="M23158" s="202"/>
    </row>
    <row r="23159" spans="13:13">
      <c r="M23159" s="202"/>
    </row>
    <row r="23160" spans="13:13">
      <c r="M23160" s="202"/>
    </row>
    <row r="23161" spans="13:13">
      <c r="M23161" s="202"/>
    </row>
    <row r="23162" spans="13:13">
      <c r="M23162" s="202"/>
    </row>
    <row r="23163" spans="13:13">
      <c r="M23163" s="202"/>
    </row>
    <row r="23164" spans="13:13">
      <c r="M23164" s="202"/>
    </row>
    <row r="23165" spans="13:13">
      <c r="M23165" s="202"/>
    </row>
    <row r="23166" spans="13:13">
      <c r="M23166" s="202"/>
    </row>
    <row r="23167" spans="13:13">
      <c r="M23167" s="202"/>
    </row>
    <row r="23168" spans="13:13">
      <c r="M23168" s="202"/>
    </row>
    <row r="23169" spans="13:13">
      <c r="M23169" s="202"/>
    </row>
    <row r="23170" spans="13:13">
      <c r="M23170" s="202"/>
    </row>
    <row r="23171" spans="13:13">
      <c r="M23171" s="202"/>
    </row>
    <row r="23172" spans="13:13">
      <c r="M23172" s="202"/>
    </row>
    <row r="23173" spans="13:13">
      <c r="M23173" s="202"/>
    </row>
    <row r="23174" spans="13:13">
      <c r="M23174" s="202"/>
    </row>
    <row r="23175" spans="13:13">
      <c r="M23175" s="202"/>
    </row>
    <row r="23176" spans="13:13">
      <c r="M23176" s="202"/>
    </row>
    <row r="23177" spans="13:13">
      <c r="M23177" s="202"/>
    </row>
    <row r="23178" spans="13:13">
      <c r="M23178" s="202"/>
    </row>
    <row r="23179" spans="13:13">
      <c r="M23179" s="202"/>
    </row>
    <row r="23180" spans="13:13">
      <c r="M23180" s="202"/>
    </row>
    <row r="23181" spans="13:13">
      <c r="M23181" s="202"/>
    </row>
    <row r="23182" spans="13:13">
      <c r="M23182" s="202"/>
    </row>
    <row r="23183" spans="13:13">
      <c r="M23183" s="202"/>
    </row>
    <row r="23184" spans="13:13">
      <c r="M23184" s="202"/>
    </row>
    <row r="23185" spans="13:13">
      <c r="M23185" s="202"/>
    </row>
    <row r="23186" spans="13:13">
      <c r="M23186" s="202"/>
    </row>
    <row r="23187" spans="13:13">
      <c r="M23187" s="202"/>
    </row>
    <row r="23188" spans="13:13">
      <c r="M23188" s="202"/>
    </row>
    <row r="23189" spans="13:13">
      <c r="M23189" s="202"/>
    </row>
    <row r="23190" spans="13:13">
      <c r="M23190" s="202"/>
    </row>
    <row r="23191" spans="13:13">
      <c r="M23191" s="202"/>
    </row>
    <row r="23192" spans="13:13">
      <c r="M23192" s="202"/>
    </row>
    <row r="23193" spans="13:13">
      <c r="M23193" s="202"/>
    </row>
    <row r="23194" spans="13:13">
      <c r="M23194" s="202"/>
    </row>
    <row r="23195" spans="13:13">
      <c r="M23195" s="202"/>
    </row>
    <row r="23196" spans="13:13">
      <c r="M23196" s="202"/>
    </row>
    <row r="23197" spans="13:13">
      <c r="M23197" s="202"/>
    </row>
    <row r="23198" spans="13:13">
      <c r="M23198" s="202"/>
    </row>
    <row r="23199" spans="13:13">
      <c r="M23199" s="202"/>
    </row>
    <row r="23200" spans="13:13">
      <c r="M23200" s="202"/>
    </row>
    <row r="23201" spans="13:13">
      <c r="M23201" s="202"/>
    </row>
    <row r="23202" spans="13:13">
      <c r="M23202" s="202"/>
    </row>
    <row r="23203" spans="13:13">
      <c r="M23203" s="202"/>
    </row>
    <row r="23204" spans="13:13">
      <c r="M23204" s="202"/>
    </row>
    <row r="23205" spans="13:13">
      <c r="M23205" s="202"/>
    </row>
    <row r="23206" spans="13:13">
      <c r="M23206" s="202"/>
    </row>
    <row r="23207" spans="13:13">
      <c r="M23207" s="202"/>
    </row>
    <row r="23208" spans="13:13">
      <c r="M23208" s="202"/>
    </row>
    <row r="23209" spans="13:13">
      <c r="M23209" s="202"/>
    </row>
    <row r="23210" spans="13:13">
      <c r="M23210" s="202"/>
    </row>
    <row r="23211" spans="13:13">
      <c r="M23211" s="202"/>
    </row>
    <row r="23212" spans="13:13">
      <c r="M23212" s="202"/>
    </row>
    <row r="23213" spans="13:13">
      <c r="M23213" s="202"/>
    </row>
    <row r="23214" spans="13:13">
      <c r="M23214" s="202"/>
    </row>
    <row r="23215" spans="13:13">
      <c r="M23215" s="202"/>
    </row>
    <row r="23216" spans="13:13">
      <c r="M23216" s="202"/>
    </row>
    <row r="23217" spans="13:13">
      <c r="M23217" s="202"/>
    </row>
    <row r="23218" spans="13:13">
      <c r="M23218" s="202"/>
    </row>
    <row r="23219" spans="13:13">
      <c r="M23219" s="202"/>
    </row>
    <row r="23220" spans="13:13">
      <c r="M23220" s="202"/>
    </row>
    <row r="23221" spans="13:13">
      <c r="M23221" s="202"/>
    </row>
    <row r="23222" spans="13:13">
      <c r="M23222" s="202"/>
    </row>
    <row r="23223" spans="13:13">
      <c r="M23223" s="202"/>
    </row>
    <row r="23224" spans="13:13">
      <c r="M23224" s="202"/>
    </row>
    <row r="23225" spans="13:13">
      <c r="M23225" s="202"/>
    </row>
    <row r="23226" spans="13:13">
      <c r="M23226" s="202"/>
    </row>
    <row r="23227" spans="13:13">
      <c r="M23227" s="202"/>
    </row>
    <row r="23228" spans="13:13">
      <c r="M23228" s="202"/>
    </row>
    <row r="23229" spans="13:13">
      <c r="M23229" s="202"/>
    </row>
    <row r="23230" spans="13:13">
      <c r="M23230" s="202"/>
    </row>
    <row r="23231" spans="13:13">
      <c r="M23231" s="202"/>
    </row>
    <row r="23232" spans="13:13">
      <c r="M23232" s="202"/>
    </row>
    <row r="23233" spans="13:13">
      <c r="M23233" s="202"/>
    </row>
    <row r="23234" spans="13:13">
      <c r="M23234" s="202"/>
    </row>
    <row r="23235" spans="13:13">
      <c r="M23235" s="202"/>
    </row>
    <row r="23236" spans="13:13">
      <c r="M23236" s="202"/>
    </row>
    <row r="23237" spans="13:13">
      <c r="M23237" s="202"/>
    </row>
    <row r="23238" spans="13:13">
      <c r="M23238" s="202"/>
    </row>
    <row r="23239" spans="13:13">
      <c r="M23239" s="202"/>
    </row>
    <row r="23240" spans="13:13">
      <c r="M23240" s="202"/>
    </row>
    <row r="23241" spans="13:13">
      <c r="M23241" s="202"/>
    </row>
    <row r="23242" spans="13:13">
      <c r="M23242" s="202"/>
    </row>
    <row r="23243" spans="13:13">
      <c r="M23243" s="202"/>
    </row>
    <row r="23244" spans="13:13">
      <c r="M23244" s="202"/>
    </row>
    <row r="23245" spans="13:13">
      <c r="M23245" s="202"/>
    </row>
    <row r="23246" spans="13:13">
      <c r="M23246" s="202"/>
    </row>
    <row r="23247" spans="13:13">
      <c r="M23247" s="202"/>
    </row>
    <row r="23248" spans="13:13">
      <c r="M23248" s="202"/>
    </row>
    <row r="23249" spans="13:13">
      <c r="M23249" s="202"/>
    </row>
    <row r="23250" spans="13:13">
      <c r="M23250" s="202"/>
    </row>
    <row r="23251" spans="13:13">
      <c r="M23251" s="202"/>
    </row>
    <row r="23252" spans="13:13">
      <c r="M23252" s="202"/>
    </row>
    <row r="23253" spans="13:13">
      <c r="M23253" s="202"/>
    </row>
    <row r="23254" spans="13:13">
      <c r="M23254" s="202"/>
    </row>
    <row r="23255" spans="13:13">
      <c r="M23255" s="202"/>
    </row>
    <row r="23256" spans="13:13">
      <c r="M23256" s="202"/>
    </row>
    <row r="23257" spans="13:13">
      <c r="M23257" s="202"/>
    </row>
    <row r="23258" spans="13:13">
      <c r="M23258" s="202"/>
    </row>
    <row r="23259" spans="13:13">
      <c r="M23259" s="202"/>
    </row>
    <row r="23260" spans="13:13">
      <c r="M23260" s="202"/>
    </row>
    <row r="23261" spans="13:13">
      <c r="M23261" s="202"/>
    </row>
    <row r="23262" spans="13:13">
      <c r="M23262" s="202"/>
    </row>
    <row r="23263" spans="13:13">
      <c r="M23263" s="202"/>
    </row>
    <row r="23264" spans="13:13">
      <c r="M23264" s="202"/>
    </row>
    <row r="23265" spans="13:13">
      <c r="M23265" s="202"/>
    </row>
    <row r="23266" spans="13:13">
      <c r="M23266" s="202"/>
    </row>
    <row r="23267" spans="13:13">
      <c r="M23267" s="202"/>
    </row>
    <row r="23268" spans="13:13">
      <c r="M23268" s="202"/>
    </row>
    <row r="23269" spans="13:13">
      <c r="M23269" s="202"/>
    </row>
    <row r="23270" spans="13:13">
      <c r="M23270" s="202"/>
    </row>
    <row r="23271" spans="13:13">
      <c r="M23271" s="202"/>
    </row>
    <row r="23272" spans="13:13">
      <c r="M23272" s="202"/>
    </row>
    <row r="23273" spans="13:13">
      <c r="M23273" s="202"/>
    </row>
    <row r="23274" spans="13:13">
      <c r="M23274" s="202"/>
    </row>
    <row r="23275" spans="13:13">
      <c r="M23275" s="202"/>
    </row>
    <row r="23276" spans="13:13">
      <c r="M23276" s="202"/>
    </row>
    <row r="23277" spans="13:13">
      <c r="M23277" s="202"/>
    </row>
    <row r="23278" spans="13:13">
      <c r="M23278" s="202"/>
    </row>
    <row r="23279" spans="13:13">
      <c r="M23279" s="202"/>
    </row>
    <row r="23280" spans="13:13">
      <c r="M23280" s="202"/>
    </row>
    <row r="23281" spans="13:13">
      <c r="M23281" s="202"/>
    </row>
    <row r="23282" spans="13:13">
      <c r="M23282" s="202"/>
    </row>
    <row r="23283" spans="13:13">
      <c r="M23283" s="202"/>
    </row>
    <row r="23284" spans="13:13">
      <c r="M23284" s="202"/>
    </row>
    <row r="23285" spans="13:13">
      <c r="M23285" s="202"/>
    </row>
    <row r="23286" spans="13:13">
      <c r="M23286" s="202"/>
    </row>
    <row r="23287" spans="13:13">
      <c r="M23287" s="202"/>
    </row>
    <row r="23288" spans="13:13">
      <c r="M23288" s="202"/>
    </row>
    <row r="23289" spans="13:13">
      <c r="M23289" s="202"/>
    </row>
    <row r="23290" spans="13:13">
      <c r="M23290" s="202"/>
    </row>
    <row r="23291" spans="13:13">
      <c r="M23291" s="202"/>
    </row>
    <row r="23292" spans="13:13">
      <c r="M23292" s="202"/>
    </row>
    <row r="23293" spans="13:13">
      <c r="M23293" s="202"/>
    </row>
    <row r="23294" spans="13:13">
      <c r="M23294" s="202"/>
    </row>
    <row r="23295" spans="13:13">
      <c r="M23295" s="202"/>
    </row>
    <row r="23296" spans="13:13">
      <c r="M23296" s="202"/>
    </row>
    <row r="23297" spans="13:13">
      <c r="M23297" s="202"/>
    </row>
    <row r="23298" spans="13:13">
      <c r="M23298" s="202"/>
    </row>
    <row r="23299" spans="13:13">
      <c r="M23299" s="202"/>
    </row>
    <row r="23300" spans="13:13">
      <c r="M23300" s="202"/>
    </row>
    <row r="23301" spans="13:13">
      <c r="M23301" s="202"/>
    </row>
    <row r="23302" spans="13:13">
      <c r="M23302" s="202"/>
    </row>
    <row r="23303" spans="13:13">
      <c r="M23303" s="202"/>
    </row>
    <row r="23304" spans="13:13">
      <c r="M23304" s="202"/>
    </row>
    <row r="23305" spans="13:13">
      <c r="M23305" s="202"/>
    </row>
    <row r="23306" spans="13:13">
      <c r="M23306" s="202"/>
    </row>
    <row r="23307" spans="13:13">
      <c r="M23307" s="202"/>
    </row>
    <row r="23308" spans="13:13">
      <c r="M23308" s="202"/>
    </row>
    <row r="23309" spans="13:13">
      <c r="M23309" s="202"/>
    </row>
    <row r="23310" spans="13:13">
      <c r="M23310" s="202"/>
    </row>
    <row r="23311" spans="13:13">
      <c r="M23311" s="202"/>
    </row>
    <row r="23312" spans="13:13">
      <c r="M23312" s="202"/>
    </row>
    <row r="23313" spans="13:13">
      <c r="M23313" s="202"/>
    </row>
    <row r="23314" spans="13:13">
      <c r="M23314" s="202"/>
    </row>
    <row r="23315" spans="13:13">
      <c r="M23315" s="202"/>
    </row>
    <row r="23316" spans="13:13">
      <c r="M23316" s="202"/>
    </row>
    <row r="23317" spans="13:13">
      <c r="M23317" s="202"/>
    </row>
    <row r="23318" spans="13:13">
      <c r="M23318" s="202"/>
    </row>
    <row r="23319" spans="13:13">
      <c r="M23319" s="202"/>
    </row>
    <row r="23320" spans="13:13">
      <c r="M23320" s="202"/>
    </row>
    <row r="23321" spans="13:13">
      <c r="M23321" s="202"/>
    </row>
    <row r="23322" spans="13:13">
      <c r="M23322" s="202"/>
    </row>
    <row r="23323" spans="13:13">
      <c r="M23323" s="202"/>
    </row>
    <row r="23324" spans="13:13">
      <c r="M23324" s="202"/>
    </row>
    <row r="23325" spans="13:13">
      <c r="M23325" s="202"/>
    </row>
    <row r="23326" spans="13:13">
      <c r="M23326" s="202"/>
    </row>
    <row r="23327" spans="13:13">
      <c r="M23327" s="202"/>
    </row>
    <row r="23328" spans="13:13">
      <c r="M23328" s="202"/>
    </row>
    <row r="23329" spans="13:13">
      <c r="M23329" s="202"/>
    </row>
    <row r="23330" spans="13:13">
      <c r="M23330" s="202"/>
    </row>
    <row r="23331" spans="13:13">
      <c r="M23331" s="202"/>
    </row>
    <row r="23332" spans="13:13">
      <c r="M23332" s="202"/>
    </row>
    <row r="23333" spans="13:13">
      <c r="M23333" s="202"/>
    </row>
    <row r="23334" spans="13:13">
      <c r="M23334" s="202"/>
    </row>
    <row r="23335" spans="13:13">
      <c r="M23335" s="202"/>
    </row>
    <row r="23336" spans="13:13">
      <c r="M23336" s="202"/>
    </row>
    <row r="23337" spans="13:13">
      <c r="M23337" s="202"/>
    </row>
    <row r="23338" spans="13:13">
      <c r="M23338" s="202"/>
    </row>
    <row r="23339" spans="13:13">
      <c r="M23339" s="202"/>
    </row>
    <row r="23340" spans="13:13">
      <c r="M23340" s="202"/>
    </row>
    <row r="23341" spans="13:13">
      <c r="M23341" s="202"/>
    </row>
    <row r="23342" spans="13:13">
      <c r="M23342" s="202"/>
    </row>
    <row r="23343" spans="13:13">
      <c r="M23343" s="202"/>
    </row>
    <row r="23344" spans="13:13">
      <c r="M23344" s="202"/>
    </row>
    <row r="23345" spans="13:13">
      <c r="M23345" s="202"/>
    </row>
    <row r="23346" spans="13:13">
      <c r="M23346" s="202"/>
    </row>
    <row r="23347" spans="13:13">
      <c r="M23347" s="202"/>
    </row>
    <row r="23348" spans="13:13">
      <c r="M23348" s="202"/>
    </row>
    <row r="23349" spans="13:13">
      <c r="M23349" s="202"/>
    </row>
    <row r="23350" spans="13:13">
      <c r="M23350" s="202"/>
    </row>
    <row r="23351" spans="13:13">
      <c r="M23351" s="202"/>
    </row>
    <row r="23352" spans="13:13">
      <c r="M23352" s="202"/>
    </row>
    <row r="23353" spans="13:13">
      <c r="M23353" s="202"/>
    </row>
    <row r="23354" spans="13:13">
      <c r="M23354" s="202"/>
    </row>
    <row r="23355" spans="13:13">
      <c r="M23355" s="202"/>
    </row>
    <row r="23356" spans="13:13">
      <c r="M23356" s="202"/>
    </row>
    <row r="23357" spans="13:13">
      <c r="M23357" s="202"/>
    </row>
    <row r="23358" spans="13:13">
      <c r="M23358" s="202"/>
    </row>
    <row r="23359" spans="13:13">
      <c r="M23359" s="202"/>
    </row>
    <row r="23360" spans="13:13">
      <c r="M23360" s="202"/>
    </row>
    <row r="23361" spans="13:13">
      <c r="M23361" s="202"/>
    </row>
    <row r="23362" spans="13:13">
      <c r="M23362" s="202"/>
    </row>
    <row r="23363" spans="13:13">
      <c r="M23363" s="202"/>
    </row>
    <row r="23364" spans="13:13">
      <c r="M23364" s="202"/>
    </row>
    <row r="23365" spans="13:13">
      <c r="M23365" s="202"/>
    </row>
    <row r="23366" spans="13:13">
      <c r="M23366" s="202"/>
    </row>
    <row r="23367" spans="13:13">
      <c r="M23367" s="202"/>
    </row>
    <row r="23368" spans="13:13">
      <c r="M23368" s="202"/>
    </row>
    <row r="23369" spans="13:13">
      <c r="M23369" s="202"/>
    </row>
    <row r="23370" spans="13:13">
      <c r="M23370" s="202"/>
    </row>
    <row r="23371" spans="13:13">
      <c r="M23371" s="202"/>
    </row>
    <row r="23372" spans="13:13">
      <c r="M23372" s="202"/>
    </row>
    <row r="23373" spans="13:13">
      <c r="M23373" s="202"/>
    </row>
    <row r="23374" spans="13:13">
      <c r="M23374" s="202"/>
    </row>
    <row r="23375" spans="13:13">
      <c r="M23375" s="202"/>
    </row>
    <row r="23376" spans="13:13">
      <c r="M23376" s="202"/>
    </row>
    <row r="23377" spans="13:13">
      <c r="M23377" s="202"/>
    </row>
    <row r="23378" spans="13:13">
      <c r="M23378" s="202"/>
    </row>
    <row r="23379" spans="13:13">
      <c r="M23379" s="202"/>
    </row>
    <row r="23380" spans="13:13">
      <c r="M23380" s="202"/>
    </row>
    <row r="23381" spans="13:13">
      <c r="M23381" s="202"/>
    </row>
    <row r="23382" spans="13:13">
      <c r="M23382" s="202"/>
    </row>
    <row r="23383" spans="13:13">
      <c r="M23383" s="202"/>
    </row>
    <row r="23384" spans="13:13">
      <c r="M23384" s="202"/>
    </row>
    <row r="23385" spans="13:13">
      <c r="M23385" s="202"/>
    </row>
    <row r="23386" spans="13:13">
      <c r="M23386" s="202"/>
    </row>
    <row r="23387" spans="13:13">
      <c r="M23387" s="202"/>
    </row>
    <row r="23388" spans="13:13">
      <c r="M23388" s="202"/>
    </row>
    <row r="23389" spans="13:13">
      <c r="M23389" s="202"/>
    </row>
    <row r="23390" spans="13:13">
      <c r="M23390" s="202"/>
    </row>
    <row r="23391" spans="13:13">
      <c r="M23391" s="202"/>
    </row>
    <row r="23392" spans="13:13">
      <c r="M23392" s="202"/>
    </row>
    <row r="23393" spans="13:13">
      <c r="M23393" s="202"/>
    </row>
    <row r="23394" spans="13:13">
      <c r="M23394" s="202"/>
    </row>
    <row r="23395" spans="13:13">
      <c r="M23395" s="202"/>
    </row>
    <row r="23396" spans="13:13">
      <c r="M23396" s="202"/>
    </row>
    <row r="23397" spans="13:13">
      <c r="M23397" s="202"/>
    </row>
    <row r="23398" spans="13:13">
      <c r="M23398" s="202"/>
    </row>
    <row r="23399" spans="13:13">
      <c r="M23399" s="202"/>
    </row>
    <row r="23400" spans="13:13">
      <c r="M23400" s="202"/>
    </row>
    <row r="23401" spans="13:13">
      <c r="M23401" s="202"/>
    </row>
    <row r="23402" spans="13:13">
      <c r="M23402" s="202"/>
    </row>
    <row r="23403" spans="13:13">
      <c r="M23403" s="202"/>
    </row>
    <row r="23404" spans="13:13">
      <c r="M23404" s="202"/>
    </row>
    <row r="23405" spans="13:13">
      <c r="M23405" s="202"/>
    </row>
    <row r="23406" spans="13:13">
      <c r="M23406" s="202"/>
    </row>
    <row r="23407" spans="13:13">
      <c r="M23407" s="202"/>
    </row>
    <row r="23408" spans="13:13">
      <c r="M23408" s="202"/>
    </row>
    <row r="23409" spans="13:13">
      <c r="M23409" s="202"/>
    </row>
    <row r="23410" spans="13:13">
      <c r="M23410" s="202"/>
    </row>
    <row r="23411" spans="13:13">
      <c r="M23411" s="202"/>
    </row>
    <row r="23412" spans="13:13">
      <c r="M23412" s="202"/>
    </row>
    <row r="23413" spans="13:13">
      <c r="M23413" s="202"/>
    </row>
    <row r="23414" spans="13:13">
      <c r="M23414" s="202"/>
    </row>
    <row r="23415" spans="13:13">
      <c r="M23415" s="202"/>
    </row>
    <row r="23416" spans="13:13">
      <c r="M23416" s="202"/>
    </row>
    <row r="23417" spans="13:13">
      <c r="M23417" s="202"/>
    </row>
    <row r="23418" spans="13:13">
      <c r="M23418" s="202"/>
    </row>
    <row r="23419" spans="13:13">
      <c r="M23419" s="202"/>
    </row>
    <row r="23420" spans="13:13">
      <c r="M23420" s="202"/>
    </row>
    <row r="23421" spans="13:13">
      <c r="M23421" s="202"/>
    </row>
    <row r="23422" spans="13:13">
      <c r="M23422" s="202"/>
    </row>
    <row r="23423" spans="13:13">
      <c r="M23423" s="202"/>
    </row>
    <row r="23424" spans="13:13">
      <c r="M23424" s="202"/>
    </row>
    <row r="23425" spans="13:13">
      <c r="M23425" s="202"/>
    </row>
    <row r="23426" spans="13:13">
      <c r="M23426" s="202"/>
    </row>
    <row r="23427" spans="13:13">
      <c r="M23427" s="202"/>
    </row>
    <row r="23428" spans="13:13">
      <c r="M23428" s="202"/>
    </row>
    <row r="23429" spans="13:13">
      <c r="M23429" s="202"/>
    </row>
    <row r="23430" spans="13:13">
      <c r="M23430" s="202"/>
    </row>
    <row r="23431" spans="13:13">
      <c r="M23431" s="202"/>
    </row>
    <row r="23432" spans="13:13">
      <c r="M23432" s="202"/>
    </row>
    <row r="23433" spans="13:13">
      <c r="M23433" s="202"/>
    </row>
    <row r="23434" spans="13:13">
      <c r="M23434" s="202"/>
    </row>
    <row r="23435" spans="13:13">
      <c r="M23435" s="202"/>
    </row>
    <row r="23436" spans="13:13">
      <c r="M23436" s="202"/>
    </row>
    <row r="23437" spans="13:13">
      <c r="M23437" s="202"/>
    </row>
    <row r="23438" spans="13:13">
      <c r="M23438" s="202"/>
    </row>
    <row r="23439" spans="13:13">
      <c r="M23439" s="202"/>
    </row>
    <row r="23440" spans="13:13">
      <c r="M23440" s="202"/>
    </row>
    <row r="23441" spans="13:13">
      <c r="M23441" s="202"/>
    </row>
    <row r="23442" spans="13:13">
      <c r="M23442" s="202"/>
    </row>
    <row r="23443" spans="13:13">
      <c r="M23443" s="202"/>
    </row>
    <row r="23444" spans="13:13">
      <c r="M23444" s="202"/>
    </row>
    <row r="23445" spans="13:13">
      <c r="M23445" s="202"/>
    </row>
    <row r="23446" spans="13:13">
      <c r="M23446" s="202"/>
    </row>
    <row r="23447" spans="13:13">
      <c r="M23447" s="202"/>
    </row>
    <row r="23448" spans="13:13">
      <c r="M23448" s="202"/>
    </row>
    <row r="23449" spans="13:13">
      <c r="M23449" s="202"/>
    </row>
    <row r="23450" spans="13:13">
      <c r="M23450" s="202"/>
    </row>
    <row r="23451" spans="13:13">
      <c r="M23451" s="202"/>
    </row>
    <row r="23452" spans="13:13">
      <c r="M23452" s="202"/>
    </row>
    <row r="23453" spans="13:13">
      <c r="M23453" s="202"/>
    </row>
    <row r="23454" spans="13:13">
      <c r="M23454" s="202"/>
    </row>
    <row r="23455" spans="13:13">
      <c r="M23455" s="202"/>
    </row>
    <row r="23456" spans="13:13">
      <c r="M23456" s="202"/>
    </row>
    <row r="23457" spans="13:13">
      <c r="M23457" s="202"/>
    </row>
    <row r="23458" spans="13:13">
      <c r="M23458" s="202"/>
    </row>
    <row r="23459" spans="13:13">
      <c r="M23459" s="202"/>
    </row>
    <row r="23460" spans="13:13">
      <c r="M23460" s="202"/>
    </row>
    <row r="23461" spans="13:13">
      <c r="M23461" s="202"/>
    </row>
    <row r="23462" spans="13:13">
      <c r="M23462" s="202"/>
    </row>
    <row r="23463" spans="13:13">
      <c r="M23463" s="202"/>
    </row>
    <row r="23464" spans="13:13">
      <c r="M23464" s="202"/>
    </row>
    <row r="23465" spans="13:13">
      <c r="M23465" s="202"/>
    </row>
    <row r="23466" spans="13:13">
      <c r="M23466" s="202"/>
    </row>
    <row r="23467" spans="13:13">
      <c r="M23467" s="202"/>
    </row>
    <row r="23468" spans="13:13">
      <c r="M23468" s="202"/>
    </row>
    <row r="23469" spans="13:13">
      <c r="M23469" s="202"/>
    </row>
    <row r="23470" spans="13:13">
      <c r="M23470" s="202"/>
    </row>
    <row r="23471" spans="13:13">
      <c r="M23471" s="202"/>
    </row>
    <row r="23472" spans="13:13">
      <c r="M23472" s="202"/>
    </row>
    <row r="23473" spans="13:13">
      <c r="M23473" s="202"/>
    </row>
    <row r="23474" spans="13:13">
      <c r="M23474" s="202"/>
    </row>
    <row r="23475" spans="13:13">
      <c r="M23475" s="202"/>
    </row>
    <row r="23476" spans="13:13">
      <c r="M23476" s="202"/>
    </row>
    <row r="23477" spans="13:13">
      <c r="M23477" s="202"/>
    </row>
    <row r="23478" spans="13:13">
      <c r="M23478" s="202"/>
    </row>
    <row r="23479" spans="13:13">
      <c r="M23479" s="202"/>
    </row>
    <row r="23480" spans="13:13">
      <c r="M23480" s="202"/>
    </row>
    <row r="23481" spans="13:13">
      <c r="M23481" s="202"/>
    </row>
    <row r="23482" spans="13:13">
      <c r="M23482" s="202"/>
    </row>
    <row r="23483" spans="13:13">
      <c r="M23483" s="202"/>
    </row>
    <row r="23484" spans="13:13">
      <c r="M23484" s="202"/>
    </row>
    <row r="23485" spans="13:13">
      <c r="M23485" s="202"/>
    </row>
    <row r="23486" spans="13:13">
      <c r="M23486" s="202"/>
    </row>
    <row r="23487" spans="13:13">
      <c r="M23487" s="202"/>
    </row>
    <row r="23488" spans="13:13">
      <c r="M23488" s="202"/>
    </row>
    <row r="23489" spans="13:13">
      <c r="M23489" s="202"/>
    </row>
    <row r="23490" spans="13:13">
      <c r="M23490" s="202"/>
    </row>
    <row r="23491" spans="13:13">
      <c r="M23491" s="202"/>
    </row>
    <row r="23492" spans="13:13">
      <c r="M23492" s="202"/>
    </row>
    <row r="23493" spans="13:13">
      <c r="M23493" s="202"/>
    </row>
    <row r="23494" spans="13:13">
      <c r="M23494" s="202"/>
    </row>
    <row r="23495" spans="13:13">
      <c r="M23495" s="202"/>
    </row>
    <row r="23496" spans="13:13">
      <c r="M23496" s="202"/>
    </row>
    <row r="23497" spans="13:13">
      <c r="M23497" s="202"/>
    </row>
    <row r="23498" spans="13:13">
      <c r="M23498" s="202"/>
    </row>
    <row r="23499" spans="13:13">
      <c r="M23499" s="202"/>
    </row>
    <row r="23500" spans="13:13">
      <c r="M23500" s="202"/>
    </row>
    <row r="23501" spans="13:13">
      <c r="M23501" s="202"/>
    </row>
    <row r="23502" spans="13:13">
      <c r="M23502" s="202"/>
    </row>
    <row r="23503" spans="13:13">
      <c r="M23503" s="202"/>
    </row>
    <row r="23504" spans="13:13">
      <c r="M23504" s="202"/>
    </row>
    <row r="23505" spans="13:13">
      <c r="M23505" s="202"/>
    </row>
    <row r="23506" spans="13:13">
      <c r="M23506" s="202"/>
    </row>
    <row r="23507" spans="13:13">
      <c r="M23507" s="202"/>
    </row>
    <row r="23508" spans="13:13">
      <c r="M23508" s="202"/>
    </row>
    <row r="23509" spans="13:13">
      <c r="M23509" s="202"/>
    </row>
    <row r="23510" spans="13:13">
      <c r="M23510" s="202"/>
    </row>
    <row r="23511" spans="13:13">
      <c r="M23511" s="202"/>
    </row>
    <row r="23512" spans="13:13">
      <c r="M23512" s="202"/>
    </row>
    <row r="23513" spans="13:13">
      <c r="M23513" s="202"/>
    </row>
    <row r="23514" spans="13:13">
      <c r="M23514" s="202"/>
    </row>
    <row r="23515" spans="13:13">
      <c r="M23515" s="202"/>
    </row>
    <row r="23516" spans="13:13">
      <c r="M23516" s="202"/>
    </row>
    <row r="23517" spans="13:13">
      <c r="M23517" s="202"/>
    </row>
    <row r="23518" spans="13:13">
      <c r="M23518" s="202"/>
    </row>
    <row r="23519" spans="13:13">
      <c r="M23519" s="202"/>
    </row>
    <row r="23520" spans="13:13">
      <c r="M23520" s="202"/>
    </row>
    <row r="23521" spans="13:13">
      <c r="M23521" s="202"/>
    </row>
    <row r="23522" spans="13:13">
      <c r="M23522" s="202"/>
    </row>
    <row r="23523" spans="13:13">
      <c r="M23523" s="202"/>
    </row>
    <row r="23524" spans="13:13">
      <c r="M23524" s="202"/>
    </row>
    <row r="23525" spans="13:13">
      <c r="M23525" s="202"/>
    </row>
    <row r="23526" spans="13:13">
      <c r="M23526" s="202"/>
    </row>
    <row r="23527" spans="13:13">
      <c r="M23527" s="202"/>
    </row>
    <row r="23528" spans="13:13">
      <c r="M23528" s="202"/>
    </row>
    <row r="23529" spans="13:13">
      <c r="M23529" s="202"/>
    </row>
    <row r="23530" spans="13:13">
      <c r="M23530" s="202"/>
    </row>
    <row r="23531" spans="13:13">
      <c r="M23531" s="202"/>
    </row>
    <row r="23532" spans="13:13">
      <c r="M23532" s="202"/>
    </row>
    <row r="23533" spans="13:13">
      <c r="M23533" s="202"/>
    </row>
    <row r="23534" spans="13:13">
      <c r="M23534" s="202"/>
    </row>
    <row r="23535" spans="13:13">
      <c r="M23535" s="202"/>
    </row>
    <row r="23536" spans="13:13">
      <c r="M23536" s="202"/>
    </row>
    <row r="23537" spans="13:13">
      <c r="M23537" s="202"/>
    </row>
    <row r="23538" spans="13:13">
      <c r="M23538" s="202"/>
    </row>
    <row r="23539" spans="13:13">
      <c r="M23539" s="202"/>
    </row>
    <row r="23540" spans="13:13">
      <c r="M23540" s="202"/>
    </row>
    <row r="23541" spans="13:13">
      <c r="M23541" s="202"/>
    </row>
    <row r="23542" spans="13:13">
      <c r="M23542" s="202"/>
    </row>
    <row r="23543" spans="13:13">
      <c r="M23543" s="202"/>
    </row>
    <row r="23544" spans="13:13">
      <c r="M23544" s="202"/>
    </row>
    <row r="23545" spans="13:13">
      <c r="M23545" s="202"/>
    </row>
    <row r="23546" spans="13:13">
      <c r="M23546" s="202"/>
    </row>
    <row r="23547" spans="13:13">
      <c r="M23547" s="202"/>
    </row>
    <row r="23548" spans="13:13">
      <c r="M23548" s="202"/>
    </row>
    <row r="23549" spans="13:13">
      <c r="M23549" s="202"/>
    </row>
    <row r="23550" spans="13:13">
      <c r="M23550" s="202"/>
    </row>
    <row r="23551" spans="13:13">
      <c r="M23551" s="202"/>
    </row>
    <row r="23552" spans="13:13">
      <c r="M23552" s="202"/>
    </row>
    <row r="23553" spans="13:13">
      <c r="M23553" s="202"/>
    </row>
    <row r="23554" spans="13:13">
      <c r="M23554" s="202"/>
    </row>
    <row r="23555" spans="13:13">
      <c r="M23555" s="202"/>
    </row>
    <row r="23556" spans="13:13">
      <c r="M23556" s="202"/>
    </row>
    <row r="23557" spans="13:13">
      <c r="M23557" s="202"/>
    </row>
    <row r="23558" spans="13:13">
      <c r="M23558" s="202"/>
    </row>
    <row r="23559" spans="13:13">
      <c r="M23559" s="202"/>
    </row>
    <row r="23560" spans="13:13">
      <c r="M23560" s="202"/>
    </row>
    <row r="23561" spans="13:13">
      <c r="M23561" s="202"/>
    </row>
    <row r="23562" spans="13:13">
      <c r="M23562" s="202"/>
    </row>
    <row r="23563" spans="13:13">
      <c r="M23563" s="202"/>
    </row>
    <row r="23564" spans="13:13">
      <c r="M23564" s="202"/>
    </row>
    <row r="23565" spans="13:13">
      <c r="M23565" s="202"/>
    </row>
    <row r="23566" spans="13:13">
      <c r="M23566" s="202"/>
    </row>
    <row r="23567" spans="13:13">
      <c r="M23567" s="202"/>
    </row>
    <row r="23568" spans="13:13">
      <c r="M23568" s="202"/>
    </row>
    <row r="23569" spans="13:13">
      <c r="M23569" s="202"/>
    </row>
    <row r="23570" spans="13:13">
      <c r="M23570" s="202"/>
    </row>
    <row r="23571" spans="13:13">
      <c r="M23571" s="202"/>
    </row>
    <row r="23572" spans="13:13">
      <c r="M23572" s="202"/>
    </row>
    <row r="23573" spans="13:13">
      <c r="M23573" s="202"/>
    </row>
    <row r="23574" spans="13:13">
      <c r="M23574" s="202"/>
    </row>
    <row r="23575" spans="13:13">
      <c r="M23575" s="202"/>
    </row>
    <row r="23576" spans="13:13">
      <c r="M23576" s="202"/>
    </row>
    <row r="23577" spans="13:13">
      <c r="M23577" s="202"/>
    </row>
    <row r="23578" spans="13:13">
      <c r="M23578" s="202"/>
    </row>
    <row r="23579" spans="13:13">
      <c r="M23579" s="202"/>
    </row>
    <row r="23580" spans="13:13">
      <c r="M23580" s="202"/>
    </row>
    <row r="23581" spans="13:13">
      <c r="M23581" s="202"/>
    </row>
    <row r="23582" spans="13:13">
      <c r="M23582" s="202"/>
    </row>
    <row r="23583" spans="13:13">
      <c r="M23583" s="202"/>
    </row>
    <row r="23584" spans="13:13">
      <c r="M23584" s="202"/>
    </row>
    <row r="23585" spans="13:13">
      <c r="M23585" s="202"/>
    </row>
    <row r="23586" spans="13:13">
      <c r="M23586" s="202"/>
    </row>
    <row r="23587" spans="13:13">
      <c r="M23587" s="202"/>
    </row>
    <row r="23588" spans="13:13">
      <c r="M23588" s="202"/>
    </row>
    <row r="23589" spans="13:13">
      <c r="M23589" s="202"/>
    </row>
    <row r="23590" spans="13:13">
      <c r="M23590" s="202"/>
    </row>
    <row r="23591" spans="13:13">
      <c r="M23591" s="202"/>
    </row>
    <row r="23592" spans="13:13">
      <c r="M23592" s="202"/>
    </row>
    <row r="23593" spans="13:13">
      <c r="M23593" s="202"/>
    </row>
    <row r="23594" spans="13:13">
      <c r="M23594" s="202"/>
    </row>
    <row r="23595" spans="13:13">
      <c r="M23595" s="202"/>
    </row>
    <row r="23596" spans="13:13">
      <c r="M23596" s="202"/>
    </row>
    <row r="23597" spans="13:13">
      <c r="M23597" s="202"/>
    </row>
    <row r="23598" spans="13:13">
      <c r="M23598" s="202"/>
    </row>
    <row r="23599" spans="13:13">
      <c r="M23599" s="202"/>
    </row>
    <row r="23600" spans="13:13">
      <c r="M23600" s="202"/>
    </row>
    <row r="23601" spans="13:13">
      <c r="M23601" s="202"/>
    </row>
    <row r="23602" spans="13:13">
      <c r="M23602" s="202"/>
    </row>
    <row r="23603" spans="13:13">
      <c r="M23603" s="202"/>
    </row>
    <row r="23604" spans="13:13">
      <c r="M23604" s="202"/>
    </row>
    <row r="23605" spans="13:13">
      <c r="M23605" s="202"/>
    </row>
    <row r="23606" spans="13:13">
      <c r="M23606" s="202"/>
    </row>
    <row r="23607" spans="13:13">
      <c r="M23607" s="202"/>
    </row>
    <row r="23608" spans="13:13">
      <c r="M23608" s="202"/>
    </row>
    <row r="23609" spans="13:13">
      <c r="M23609" s="202"/>
    </row>
    <row r="23610" spans="13:13">
      <c r="M23610" s="202"/>
    </row>
    <row r="23611" spans="13:13">
      <c r="M23611" s="202"/>
    </row>
    <row r="23612" spans="13:13">
      <c r="M23612" s="202"/>
    </row>
    <row r="23613" spans="13:13">
      <c r="M23613" s="202"/>
    </row>
    <row r="23614" spans="13:13">
      <c r="M23614" s="202"/>
    </row>
    <row r="23615" spans="13:13">
      <c r="M23615" s="202"/>
    </row>
    <row r="23616" spans="13:13">
      <c r="M23616" s="202"/>
    </row>
    <row r="23617" spans="13:13">
      <c r="M23617" s="202"/>
    </row>
    <row r="23618" spans="13:13">
      <c r="M23618" s="202"/>
    </row>
    <row r="23619" spans="13:13">
      <c r="M23619" s="202"/>
    </row>
    <row r="23620" spans="13:13">
      <c r="M23620" s="202"/>
    </row>
    <row r="23621" spans="13:13">
      <c r="M23621" s="202"/>
    </row>
    <row r="23622" spans="13:13">
      <c r="M23622" s="202"/>
    </row>
    <row r="23623" spans="13:13">
      <c r="M23623" s="202"/>
    </row>
    <row r="23624" spans="13:13">
      <c r="M23624" s="202"/>
    </row>
    <row r="23625" spans="13:13">
      <c r="M23625" s="202"/>
    </row>
    <row r="23626" spans="13:13">
      <c r="M23626" s="202"/>
    </row>
    <row r="23627" spans="13:13">
      <c r="M23627" s="202"/>
    </row>
    <row r="23628" spans="13:13">
      <c r="M23628" s="202"/>
    </row>
    <row r="23629" spans="13:13">
      <c r="M23629" s="202"/>
    </row>
    <row r="23630" spans="13:13">
      <c r="M23630" s="202"/>
    </row>
    <row r="23631" spans="13:13">
      <c r="M23631" s="202"/>
    </row>
    <row r="23632" spans="13:13">
      <c r="M23632" s="202"/>
    </row>
    <row r="23633" spans="13:13">
      <c r="M23633" s="202"/>
    </row>
    <row r="23634" spans="13:13">
      <c r="M23634" s="202"/>
    </row>
    <row r="23635" spans="13:13">
      <c r="M23635" s="202"/>
    </row>
    <row r="23636" spans="13:13">
      <c r="M23636" s="202"/>
    </row>
    <row r="23637" spans="13:13">
      <c r="M23637" s="202"/>
    </row>
    <row r="23638" spans="13:13">
      <c r="M23638" s="202"/>
    </row>
    <row r="23639" spans="13:13">
      <c r="M23639" s="202"/>
    </row>
    <row r="23640" spans="13:13">
      <c r="M23640" s="202"/>
    </row>
    <row r="23641" spans="13:13">
      <c r="M23641" s="202"/>
    </row>
    <row r="23642" spans="13:13">
      <c r="M23642" s="202"/>
    </row>
    <row r="23643" spans="13:13">
      <c r="M23643" s="202"/>
    </row>
    <row r="23644" spans="13:13">
      <c r="M23644" s="202"/>
    </row>
    <row r="23645" spans="13:13">
      <c r="M23645" s="202"/>
    </row>
    <row r="23646" spans="13:13">
      <c r="M23646" s="202"/>
    </row>
    <row r="23647" spans="13:13">
      <c r="M23647" s="202"/>
    </row>
    <row r="23648" spans="13:13">
      <c r="M23648" s="202"/>
    </row>
    <row r="23649" spans="13:13">
      <c r="M23649" s="202"/>
    </row>
    <row r="23650" spans="13:13">
      <c r="M23650" s="202"/>
    </row>
    <row r="23651" spans="13:13">
      <c r="M23651" s="202"/>
    </row>
    <row r="23652" spans="13:13">
      <c r="M23652" s="202"/>
    </row>
    <row r="23653" spans="13:13">
      <c r="M23653" s="202"/>
    </row>
    <row r="23654" spans="13:13">
      <c r="M23654" s="202"/>
    </row>
    <row r="23655" spans="13:13">
      <c r="M23655" s="202"/>
    </row>
    <row r="23656" spans="13:13">
      <c r="M23656" s="202"/>
    </row>
    <row r="23657" spans="13:13">
      <c r="M23657" s="202"/>
    </row>
    <row r="23658" spans="13:13">
      <c r="M23658" s="202"/>
    </row>
    <row r="23659" spans="13:13">
      <c r="M23659" s="202"/>
    </row>
    <row r="23660" spans="13:13">
      <c r="M23660" s="202"/>
    </row>
    <row r="23661" spans="13:13">
      <c r="M23661" s="202"/>
    </row>
    <row r="23662" spans="13:13">
      <c r="M23662" s="202"/>
    </row>
    <row r="23663" spans="13:13">
      <c r="M23663" s="202"/>
    </row>
    <row r="23664" spans="13:13">
      <c r="M23664" s="202"/>
    </row>
    <row r="23665" spans="13:13">
      <c r="M23665" s="202"/>
    </row>
    <row r="23666" spans="13:13">
      <c r="M23666" s="202"/>
    </row>
    <row r="23667" spans="13:13">
      <c r="M23667" s="202"/>
    </row>
    <row r="23668" spans="13:13">
      <c r="M23668" s="202"/>
    </row>
    <row r="23669" spans="13:13">
      <c r="M23669" s="202"/>
    </row>
    <row r="23670" spans="13:13">
      <c r="M23670" s="202"/>
    </row>
    <row r="23671" spans="13:13">
      <c r="M23671" s="202"/>
    </row>
    <row r="23672" spans="13:13">
      <c r="M23672" s="202"/>
    </row>
    <row r="23673" spans="13:13">
      <c r="M23673" s="202"/>
    </row>
    <row r="23674" spans="13:13">
      <c r="M23674" s="202"/>
    </row>
    <row r="23675" spans="13:13">
      <c r="M23675" s="202"/>
    </row>
    <row r="23676" spans="13:13">
      <c r="M23676" s="202"/>
    </row>
    <row r="23677" spans="13:13">
      <c r="M23677" s="202"/>
    </row>
    <row r="23678" spans="13:13">
      <c r="M23678" s="202"/>
    </row>
    <row r="23679" spans="13:13">
      <c r="M23679" s="202"/>
    </row>
    <row r="23680" spans="13:13">
      <c r="M23680" s="202"/>
    </row>
    <row r="23681" spans="13:13">
      <c r="M23681" s="202"/>
    </row>
    <row r="23682" spans="13:13">
      <c r="M23682" s="202"/>
    </row>
    <row r="23683" spans="13:13">
      <c r="M23683" s="202"/>
    </row>
    <row r="23684" spans="13:13">
      <c r="M23684" s="202"/>
    </row>
    <row r="23685" spans="13:13">
      <c r="M23685" s="202"/>
    </row>
    <row r="23686" spans="13:13">
      <c r="M23686" s="202"/>
    </row>
    <row r="23687" spans="13:13">
      <c r="M23687" s="202"/>
    </row>
    <row r="23688" spans="13:13">
      <c r="M23688" s="202"/>
    </row>
    <row r="23689" spans="13:13">
      <c r="M23689" s="202"/>
    </row>
    <row r="23690" spans="13:13">
      <c r="M23690" s="202"/>
    </row>
    <row r="23691" spans="13:13">
      <c r="M23691" s="202"/>
    </row>
    <row r="23692" spans="13:13">
      <c r="M23692" s="202"/>
    </row>
    <row r="23693" spans="13:13">
      <c r="M23693" s="202"/>
    </row>
    <row r="23694" spans="13:13">
      <c r="M23694" s="202"/>
    </row>
    <row r="23695" spans="13:13">
      <c r="M23695" s="202"/>
    </row>
    <row r="23696" spans="13:13">
      <c r="M23696" s="202"/>
    </row>
    <row r="23697" spans="13:13">
      <c r="M23697" s="202"/>
    </row>
    <row r="23698" spans="13:13">
      <c r="M23698" s="202"/>
    </row>
    <row r="23699" spans="13:13">
      <c r="M23699" s="202"/>
    </row>
    <row r="23700" spans="13:13">
      <c r="M23700" s="202"/>
    </row>
    <row r="23701" spans="13:13">
      <c r="M23701" s="202"/>
    </row>
    <row r="23702" spans="13:13">
      <c r="M23702" s="202"/>
    </row>
    <row r="23703" spans="13:13">
      <c r="M23703" s="202"/>
    </row>
    <row r="23704" spans="13:13">
      <c r="M23704" s="202"/>
    </row>
    <row r="23705" spans="13:13">
      <c r="M23705" s="202"/>
    </row>
    <row r="23706" spans="13:13">
      <c r="M23706" s="202"/>
    </row>
    <row r="23707" spans="13:13">
      <c r="M23707" s="202"/>
    </row>
    <row r="23708" spans="13:13">
      <c r="M23708" s="202"/>
    </row>
    <row r="23709" spans="13:13">
      <c r="M23709" s="202"/>
    </row>
    <row r="23710" spans="13:13">
      <c r="M23710" s="202"/>
    </row>
    <row r="23711" spans="13:13">
      <c r="M23711" s="202"/>
    </row>
    <row r="23712" spans="13:13">
      <c r="M23712" s="202"/>
    </row>
    <row r="23713" spans="13:13">
      <c r="M23713" s="202"/>
    </row>
    <row r="23714" spans="13:13">
      <c r="M23714" s="202"/>
    </row>
    <row r="23715" spans="13:13">
      <c r="M23715" s="202"/>
    </row>
    <row r="23716" spans="13:13">
      <c r="M23716" s="202"/>
    </row>
    <row r="23717" spans="13:13">
      <c r="M23717" s="202"/>
    </row>
    <row r="23718" spans="13:13">
      <c r="M23718" s="202"/>
    </row>
    <row r="23719" spans="13:13">
      <c r="M23719" s="202"/>
    </row>
    <row r="23720" spans="13:13">
      <c r="M23720" s="202"/>
    </row>
    <row r="23721" spans="13:13">
      <c r="M23721" s="202"/>
    </row>
    <row r="23722" spans="13:13">
      <c r="M23722" s="202"/>
    </row>
    <row r="23723" spans="13:13">
      <c r="M23723" s="202"/>
    </row>
    <row r="23724" spans="13:13">
      <c r="M23724" s="202"/>
    </row>
    <row r="23725" spans="13:13">
      <c r="M23725" s="202"/>
    </row>
    <row r="23726" spans="13:13">
      <c r="M23726" s="202"/>
    </row>
    <row r="23727" spans="13:13">
      <c r="M23727" s="202"/>
    </row>
    <row r="23728" spans="13:13">
      <c r="M23728" s="202"/>
    </row>
    <row r="23729" spans="13:13">
      <c r="M23729" s="202"/>
    </row>
    <row r="23730" spans="13:13">
      <c r="M23730" s="202"/>
    </row>
    <row r="23731" spans="13:13">
      <c r="M23731" s="202"/>
    </row>
    <row r="23732" spans="13:13">
      <c r="M23732" s="202"/>
    </row>
    <row r="23733" spans="13:13">
      <c r="M23733" s="202"/>
    </row>
    <row r="23734" spans="13:13">
      <c r="M23734" s="202"/>
    </row>
    <row r="23735" spans="13:13">
      <c r="M23735" s="202"/>
    </row>
    <row r="23736" spans="13:13">
      <c r="M23736" s="202"/>
    </row>
    <row r="23737" spans="13:13">
      <c r="M23737" s="202"/>
    </row>
    <row r="23738" spans="13:13">
      <c r="M23738" s="202"/>
    </row>
    <row r="23739" spans="13:13">
      <c r="M23739" s="202"/>
    </row>
    <row r="23740" spans="13:13">
      <c r="M23740" s="202"/>
    </row>
    <row r="23741" spans="13:13">
      <c r="M23741" s="202"/>
    </row>
    <row r="23742" spans="13:13">
      <c r="M23742" s="202"/>
    </row>
    <row r="23743" spans="13:13">
      <c r="M23743" s="202"/>
    </row>
    <row r="23744" spans="13:13">
      <c r="M23744" s="202"/>
    </row>
    <row r="23745" spans="13:13">
      <c r="M23745" s="202"/>
    </row>
    <row r="23746" spans="13:13">
      <c r="M23746" s="202"/>
    </row>
    <row r="23747" spans="13:13">
      <c r="M23747" s="202"/>
    </row>
    <row r="23748" spans="13:13">
      <c r="M23748" s="202"/>
    </row>
    <row r="23749" spans="13:13">
      <c r="M23749" s="202"/>
    </row>
    <row r="23750" spans="13:13">
      <c r="M23750" s="202"/>
    </row>
    <row r="23751" spans="13:13">
      <c r="M23751" s="202"/>
    </row>
    <row r="23752" spans="13:13">
      <c r="M23752" s="202"/>
    </row>
    <row r="23753" spans="13:13">
      <c r="M23753" s="202"/>
    </row>
    <row r="23754" spans="13:13">
      <c r="M23754" s="202"/>
    </row>
    <row r="23755" spans="13:13">
      <c r="M23755" s="202"/>
    </row>
    <row r="23756" spans="13:13">
      <c r="M23756" s="202"/>
    </row>
    <row r="23757" spans="13:13">
      <c r="M23757" s="202"/>
    </row>
    <row r="23758" spans="13:13">
      <c r="M23758" s="202"/>
    </row>
    <row r="23759" spans="13:13">
      <c r="M23759" s="202"/>
    </row>
    <row r="23760" spans="13:13">
      <c r="M23760" s="202"/>
    </row>
    <row r="23761" spans="13:13">
      <c r="M23761" s="202"/>
    </row>
    <row r="23762" spans="13:13">
      <c r="M23762" s="202"/>
    </row>
    <row r="23763" spans="13:13">
      <c r="M23763" s="202"/>
    </row>
    <row r="23764" spans="13:13">
      <c r="M23764" s="202"/>
    </row>
    <row r="23765" spans="13:13">
      <c r="M23765" s="202"/>
    </row>
    <row r="23766" spans="13:13">
      <c r="M23766" s="202"/>
    </row>
    <row r="23767" spans="13:13">
      <c r="M23767" s="202"/>
    </row>
    <row r="23768" spans="13:13">
      <c r="M23768" s="202"/>
    </row>
    <row r="23769" spans="13:13">
      <c r="M23769" s="202"/>
    </row>
    <row r="23770" spans="13:13">
      <c r="M23770" s="202"/>
    </row>
    <row r="23771" spans="13:13">
      <c r="M23771" s="202"/>
    </row>
    <row r="23772" spans="13:13">
      <c r="M23772" s="202"/>
    </row>
    <row r="23773" spans="13:13">
      <c r="M23773" s="202"/>
    </row>
    <row r="23774" spans="13:13">
      <c r="M23774" s="202"/>
    </row>
    <row r="23775" spans="13:13">
      <c r="M23775" s="202"/>
    </row>
    <row r="23776" spans="13:13">
      <c r="M23776" s="202"/>
    </row>
    <row r="23777" spans="13:13">
      <c r="M23777" s="202"/>
    </row>
    <row r="23778" spans="13:13">
      <c r="M23778" s="202"/>
    </row>
    <row r="23779" spans="13:13">
      <c r="M23779" s="202"/>
    </row>
    <row r="23780" spans="13:13">
      <c r="M23780" s="202"/>
    </row>
    <row r="23781" spans="13:13">
      <c r="M23781" s="202"/>
    </row>
    <row r="23782" spans="13:13">
      <c r="M23782" s="202"/>
    </row>
    <row r="23783" spans="13:13">
      <c r="M23783" s="202"/>
    </row>
    <row r="23784" spans="13:13">
      <c r="M23784" s="202"/>
    </row>
    <row r="23785" spans="13:13">
      <c r="M23785" s="202"/>
    </row>
    <row r="23786" spans="13:13">
      <c r="M23786" s="202"/>
    </row>
    <row r="23787" spans="13:13">
      <c r="M23787" s="202"/>
    </row>
    <row r="23788" spans="13:13">
      <c r="M23788" s="202"/>
    </row>
    <row r="23789" spans="13:13">
      <c r="M23789" s="202"/>
    </row>
    <row r="23790" spans="13:13">
      <c r="M23790" s="202"/>
    </row>
    <row r="23791" spans="13:13">
      <c r="M23791" s="202"/>
    </row>
    <row r="23792" spans="13:13">
      <c r="M23792" s="202"/>
    </row>
    <row r="23793" spans="13:13">
      <c r="M23793" s="202"/>
    </row>
    <row r="23794" spans="13:13">
      <c r="M23794" s="202"/>
    </row>
    <row r="23795" spans="13:13">
      <c r="M23795" s="202"/>
    </row>
    <row r="23796" spans="13:13">
      <c r="M23796" s="202"/>
    </row>
    <row r="23797" spans="13:13">
      <c r="M23797" s="202"/>
    </row>
    <row r="23798" spans="13:13">
      <c r="M23798" s="202"/>
    </row>
    <row r="23799" spans="13:13">
      <c r="M23799" s="202"/>
    </row>
    <row r="23800" spans="13:13">
      <c r="M23800" s="202"/>
    </row>
    <row r="23801" spans="13:13">
      <c r="M23801" s="202"/>
    </row>
    <row r="23802" spans="13:13">
      <c r="M23802" s="202"/>
    </row>
    <row r="23803" spans="13:13">
      <c r="M23803" s="202"/>
    </row>
    <row r="23804" spans="13:13">
      <c r="M23804" s="202"/>
    </row>
    <row r="23805" spans="13:13">
      <c r="M23805" s="202"/>
    </row>
    <row r="23806" spans="13:13">
      <c r="M23806" s="202"/>
    </row>
    <row r="23807" spans="13:13">
      <c r="M23807" s="202"/>
    </row>
    <row r="23808" spans="13:13">
      <c r="M23808" s="202"/>
    </row>
    <row r="23809" spans="13:13">
      <c r="M23809" s="202"/>
    </row>
    <row r="23810" spans="13:13">
      <c r="M23810" s="202"/>
    </row>
    <row r="23811" spans="13:13">
      <c r="M23811" s="202"/>
    </row>
    <row r="23812" spans="13:13">
      <c r="M23812" s="202"/>
    </row>
    <row r="23813" spans="13:13">
      <c r="M23813" s="202"/>
    </row>
    <row r="23814" spans="13:13">
      <c r="M23814" s="202"/>
    </row>
    <row r="23815" spans="13:13">
      <c r="M23815" s="202"/>
    </row>
    <row r="23816" spans="13:13">
      <c r="M23816" s="202"/>
    </row>
    <row r="23817" spans="13:13">
      <c r="M23817" s="202"/>
    </row>
    <row r="23818" spans="13:13">
      <c r="M23818" s="202"/>
    </row>
    <row r="23819" spans="13:13">
      <c r="M23819" s="202"/>
    </row>
    <row r="23820" spans="13:13">
      <c r="M23820" s="202"/>
    </row>
    <row r="23821" spans="13:13">
      <c r="M23821" s="202"/>
    </row>
    <row r="23822" spans="13:13">
      <c r="M23822" s="202"/>
    </row>
    <row r="23823" spans="13:13">
      <c r="M23823" s="202"/>
    </row>
    <row r="23824" spans="13:13">
      <c r="M23824" s="202"/>
    </row>
    <row r="23825" spans="13:13">
      <c r="M23825" s="202"/>
    </row>
    <row r="23826" spans="13:13">
      <c r="M23826" s="202"/>
    </row>
    <row r="23827" spans="13:13">
      <c r="M23827" s="202"/>
    </row>
    <row r="23828" spans="13:13">
      <c r="M23828" s="202"/>
    </row>
    <row r="23829" spans="13:13">
      <c r="M23829" s="202"/>
    </row>
    <row r="23830" spans="13:13">
      <c r="M23830" s="202"/>
    </row>
    <row r="23831" spans="13:13">
      <c r="M23831" s="202"/>
    </row>
    <row r="23832" spans="13:13">
      <c r="M23832" s="202"/>
    </row>
    <row r="23833" spans="13:13">
      <c r="M23833" s="202"/>
    </row>
    <row r="23834" spans="13:13">
      <c r="M23834" s="202"/>
    </row>
    <row r="23835" spans="13:13">
      <c r="M23835" s="202"/>
    </row>
    <row r="23836" spans="13:13">
      <c r="M23836" s="202"/>
    </row>
    <row r="23837" spans="13:13">
      <c r="M23837" s="202"/>
    </row>
    <row r="23838" spans="13:13">
      <c r="M23838" s="202"/>
    </row>
    <row r="23839" spans="13:13">
      <c r="M23839" s="202"/>
    </row>
    <row r="23840" spans="13:13">
      <c r="M23840" s="202"/>
    </row>
    <row r="23841" spans="13:13">
      <c r="M23841" s="202"/>
    </row>
    <row r="23842" spans="13:13">
      <c r="M23842" s="202"/>
    </row>
    <row r="23843" spans="13:13">
      <c r="M23843" s="202"/>
    </row>
    <row r="23844" spans="13:13">
      <c r="M23844" s="202"/>
    </row>
    <row r="23845" spans="13:13">
      <c r="M23845" s="202"/>
    </row>
    <row r="23846" spans="13:13">
      <c r="M23846" s="202"/>
    </row>
    <row r="23847" spans="13:13">
      <c r="M23847" s="202"/>
    </row>
    <row r="23848" spans="13:13">
      <c r="M23848" s="202"/>
    </row>
    <row r="23849" spans="13:13">
      <c r="M23849" s="202"/>
    </row>
    <row r="23850" spans="13:13">
      <c r="M23850" s="202"/>
    </row>
    <row r="23851" spans="13:13">
      <c r="M23851" s="202"/>
    </row>
    <row r="23852" spans="13:13">
      <c r="M23852" s="202"/>
    </row>
    <row r="23853" spans="13:13">
      <c r="M23853" s="202"/>
    </row>
    <row r="23854" spans="13:13">
      <c r="M23854" s="202"/>
    </row>
    <row r="23855" spans="13:13">
      <c r="M23855" s="202"/>
    </row>
    <row r="23856" spans="13:13">
      <c r="M23856" s="202"/>
    </row>
    <row r="23857" spans="13:13">
      <c r="M23857" s="202"/>
    </row>
    <row r="23858" spans="13:13">
      <c r="M23858" s="202"/>
    </row>
    <row r="23859" spans="13:13">
      <c r="M23859" s="202"/>
    </row>
    <row r="23860" spans="13:13">
      <c r="M23860" s="202"/>
    </row>
    <row r="23861" spans="13:13">
      <c r="M23861" s="202"/>
    </row>
    <row r="23862" spans="13:13">
      <c r="M23862" s="202"/>
    </row>
    <row r="23863" spans="13:13">
      <c r="M23863" s="202"/>
    </row>
    <row r="23864" spans="13:13">
      <c r="M23864" s="202"/>
    </row>
    <row r="23865" spans="13:13">
      <c r="M23865" s="202"/>
    </row>
    <row r="23866" spans="13:13">
      <c r="M23866" s="202"/>
    </row>
    <row r="23867" spans="13:13">
      <c r="M23867" s="202"/>
    </row>
    <row r="23868" spans="13:13">
      <c r="M23868" s="202"/>
    </row>
    <row r="23869" spans="13:13">
      <c r="M23869" s="202"/>
    </row>
    <row r="23870" spans="13:13">
      <c r="M23870" s="202"/>
    </row>
    <row r="23871" spans="13:13">
      <c r="M23871" s="202"/>
    </row>
    <row r="23872" spans="13:13">
      <c r="M23872" s="202"/>
    </row>
    <row r="23873" spans="13:13">
      <c r="M23873" s="202"/>
    </row>
    <row r="23874" spans="13:13">
      <c r="M23874" s="202"/>
    </row>
    <row r="23875" spans="13:13">
      <c r="M23875" s="202"/>
    </row>
    <row r="23876" spans="13:13">
      <c r="M23876" s="202"/>
    </row>
    <row r="23877" spans="13:13">
      <c r="M23877" s="202"/>
    </row>
    <row r="23878" spans="13:13">
      <c r="M23878" s="202"/>
    </row>
    <row r="23879" spans="13:13">
      <c r="M23879" s="202"/>
    </row>
    <row r="23880" spans="13:13">
      <c r="M23880" s="202"/>
    </row>
    <row r="23881" spans="13:13">
      <c r="M23881" s="202"/>
    </row>
    <row r="23882" spans="13:13">
      <c r="M23882" s="202"/>
    </row>
    <row r="23883" spans="13:13">
      <c r="M23883" s="202"/>
    </row>
    <row r="23884" spans="13:13">
      <c r="M23884" s="202"/>
    </row>
    <row r="23885" spans="13:13">
      <c r="M23885" s="202"/>
    </row>
    <row r="23886" spans="13:13">
      <c r="M23886" s="202"/>
    </row>
    <row r="23887" spans="13:13">
      <c r="M23887" s="202"/>
    </row>
    <row r="23888" spans="13:13">
      <c r="M23888" s="202"/>
    </row>
    <row r="23889" spans="13:13">
      <c r="M23889" s="202"/>
    </row>
    <row r="23890" spans="13:13">
      <c r="M23890" s="202"/>
    </row>
    <row r="23891" spans="13:13">
      <c r="M23891" s="202"/>
    </row>
    <row r="23892" spans="13:13">
      <c r="M23892" s="202"/>
    </row>
    <row r="23893" spans="13:13">
      <c r="M23893" s="202"/>
    </row>
    <row r="23894" spans="13:13">
      <c r="M23894" s="202"/>
    </row>
    <row r="23895" spans="13:13">
      <c r="M23895" s="202"/>
    </row>
    <row r="23896" spans="13:13">
      <c r="M23896" s="202"/>
    </row>
    <row r="23897" spans="13:13">
      <c r="M23897" s="202"/>
    </row>
    <row r="23898" spans="13:13">
      <c r="M23898" s="202"/>
    </row>
    <row r="23899" spans="13:13">
      <c r="M23899" s="202"/>
    </row>
    <row r="23900" spans="13:13">
      <c r="M23900" s="202"/>
    </row>
    <row r="23901" spans="13:13">
      <c r="M23901" s="202"/>
    </row>
    <row r="23902" spans="13:13">
      <c r="M23902" s="202"/>
    </row>
    <row r="23903" spans="13:13">
      <c r="M23903" s="202"/>
    </row>
    <row r="23904" spans="13:13">
      <c r="M23904" s="202"/>
    </row>
    <row r="23905" spans="13:13">
      <c r="M23905" s="202"/>
    </row>
    <row r="23906" spans="13:13">
      <c r="M23906" s="202"/>
    </row>
    <row r="23907" spans="13:13">
      <c r="M23907" s="202"/>
    </row>
    <row r="23908" spans="13:13">
      <c r="M23908" s="202"/>
    </row>
    <row r="23909" spans="13:13">
      <c r="M23909" s="202"/>
    </row>
    <row r="23910" spans="13:13">
      <c r="M23910" s="202"/>
    </row>
    <row r="23911" spans="13:13">
      <c r="M23911" s="202"/>
    </row>
    <row r="23912" spans="13:13">
      <c r="M23912" s="202"/>
    </row>
    <row r="23913" spans="13:13">
      <c r="M23913" s="202"/>
    </row>
    <row r="23914" spans="13:13">
      <c r="M23914" s="202"/>
    </row>
    <row r="23915" spans="13:13">
      <c r="M23915" s="202"/>
    </row>
    <row r="23916" spans="13:13">
      <c r="M23916" s="202"/>
    </row>
    <row r="23917" spans="13:13">
      <c r="M23917" s="202"/>
    </row>
    <row r="23918" spans="13:13">
      <c r="M23918" s="202"/>
    </row>
    <row r="23919" spans="13:13">
      <c r="M23919" s="202"/>
    </row>
    <row r="23920" spans="13:13">
      <c r="M23920" s="202"/>
    </row>
    <row r="23921" spans="13:13">
      <c r="M23921" s="202"/>
    </row>
    <row r="23922" spans="13:13">
      <c r="M23922" s="202"/>
    </row>
    <row r="23923" spans="13:13">
      <c r="M23923" s="202"/>
    </row>
    <row r="23924" spans="13:13">
      <c r="M23924" s="202"/>
    </row>
    <row r="23925" spans="13:13">
      <c r="M23925" s="202"/>
    </row>
    <row r="23926" spans="13:13">
      <c r="M23926" s="202"/>
    </row>
    <row r="23927" spans="13:13">
      <c r="M23927" s="202"/>
    </row>
    <row r="23928" spans="13:13">
      <c r="M23928" s="202"/>
    </row>
    <row r="23929" spans="13:13">
      <c r="M23929" s="202"/>
    </row>
    <row r="23930" spans="13:13">
      <c r="M23930" s="202"/>
    </row>
    <row r="23931" spans="13:13">
      <c r="M23931" s="202"/>
    </row>
    <row r="23932" spans="13:13">
      <c r="M23932" s="202"/>
    </row>
    <row r="23933" spans="13:13">
      <c r="M23933" s="202"/>
    </row>
    <row r="23934" spans="13:13">
      <c r="M23934" s="202"/>
    </row>
    <row r="23935" spans="13:13">
      <c r="M23935" s="202"/>
    </row>
    <row r="23936" spans="13:13">
      <c r="M23936" s="202"/>
    </row>
    <row r="23937" spans="13:13">
      <c r="M23937" s="202"/>
    </row>
    <row r="23938" spans="13:13">
      <c r="M23938" s="202"/>
    </row>
    <row r="23939" spans="13:13">
      <c r="M23939" s="202"/>
    </row>
    <row r="23940" spans="13:13">
      <c r="M23940" s="202"/>
    </row>
    <row r="23941" spans="13:13">
      <c r="M23941" s="202"/>
    </row>
    <row r="23942" spans="13:13">
      <c r="M23942" s="202"/>
    </row>
    <row r="23943" spans="13:13">
      <c r="M23943" s="202"/>
    </row>
    <row r="23944" spans="13:13">
      <c r="M23944" s="202"/>
    </row>
    <row r="23945" spans="13:13">
      <c r="M23945" s="202"/>
    </row>
    <row r="23946" spans="13:13">
      <c r="M23946" s="202"/>
    </row>
    <row r="23947" spans="13:13">
      <c r="M23947" s="202"/>
    </row>
    <row r="23948" spans="13:13">
      <c r="M23948" s="202"/>
    </row>
    <row r="23949" spans="13:13">
      <c r="M23949" s="202"/>
    </row>
    <row r="23950" spans="13:13">
      <c r="M23950" s="202"/>
    </row>
    <row r="23951" spans="13:13">
      <c r="M23951" s="202"/>
    </row>
    <row r="23952" spans="13:13">
      <c r="M23952" s="202"/>
    </row>
    <row r="23953" spans="13:13">
      <c r="M23953" s="202"/>
    </row>
    <row r="23954" spans="13:13">
      <c r="M23954" s="202"/>
    </row>
    <row r="23955" spans="13:13">
      <c r="M23955" s="202"/>
    </row>
    <row r="23956" spans="13:13">
      <c r="M23956" s="202"/>
    </row>
    <row r="23957" spans="13:13">
      <c r="M23957" s="202"/>
    </row>
    <row r="23958" spans="13:13">
      <c r="M23958" s="202"/>
    </row>
    <row r="23959" spans="13:13">
      <c r="M23959" s="202"/>
    </row>
    <row r="23960" spans="13:13">
      <c r="M23960" s="202"/>
    </row>
    <row r="23961" spans="13:13">
      <c r="M23961" s="202"/>
    </row>
    <row r="23962" spans="13:13">
      <c r="M23962" s="202"/>
    </row>
    <row r="23963" spans="13:13">
      <c r="M23963" s="202"/>
    </row>
    <row r="23964" spans="13:13">
      <c r="M23964" s="202"/>
    </row>
    <row r="23965" spans="13:13">
      <c r="M23965" s="202"/>
    </row>
    <row r="23966" spans="13:13">
      <c r="M23966" s="202"/>
    </row>
    <row r="23967" spans="13:13">
      <c r="M23967" s="202"/>
    </row>
    <row r="23968" spans="13:13">
      <c r="M23968" s="202"/>
    </row>
    <row r="23969" spans="13:13">
      <c r="M23969" s="202"/>
    </row>
    <row r="23970" spans="13:13">
      <c r="M23970" s="202"/>
    </row>
    <row r="23971" spans="13:13">
      <c r="M23971" s="202"/>
    </row>
    <row r="23972" spans="13:13">
      <c r="M23972" s="202"/>
    </row>
    <row r="23973" spans="13:13">
      <c r="M23973" s="202"/>
    </row>
    <row r="23974" spans="13:13">
      <c r="M23974" s="202"/>
    </row>
    <row r="23975" spans="13:13">
      <c r="M23975" s="202"/>
    </row>
    <row r="23976" spans="13:13">
      <c r="M23976" s="202"/>
    </row>
    <row r="23977" spans="13:13">
      <c r="M23977" s="202"/>
    </row>
    <row r="23978" spans="13:13">
      <c r="M23978" s="202"/>
    </row>
    <row r="23979" spans="13:13">
      <c r="M23979" s="202"/>
    </row>
    <row r="23980" spans="13:13">
      <c r="M23980" s="202"/>
    </row>
    <row r="23981" spans="13:13">
      <c r="M23981" s="202"/>
    </row>
    <row r="23982" spans="13:13">
      <c r="M23982" s="202"/>
    </row>
    <row r="23983" spans="13:13">
      <c r="M23983" s="202"/>
    </row>
    <row r="23984" spans="13:13">
      <c r="M23984" s="202"/>
    </row>
    <row r="23985" spans="13:13">
      <c r="M23985" s="202"/>
    </row>
    <row r="23986" spans="13:13">
      <c r="M23986" s="202"/>
    </row>
    <row r="23987" spans="13:13">
      <c r="M23987" s="202"/>
    </row>
    <row r="23988" spans="13:13">
      <c r="M23988" s="202"/>
    </row>
    <row r="23989" spans="13:13">
      <c r="M23989" s="202"/>
    </row>
    <row r="23990" spans="13:13">
      <c r="M23990" s="202"/>
    </row>
    <row r="23991" spans="13:13">
      <c r="M23991" s="202"/>
    </row>
    <row r="23992" spans="13:13">
      <c r="M23992" s="202"/>
    </row>
    <row r="23993" spans="13:13">
      <c r="M23993" s="202"/>
    </row>
    <row r="23994" spans="13:13">
      <c r="M23994" s="202"/>
    </row>
    <row r="23995" spans="13:13">
      <c r="M23995" s="202"/>
    </row>
    <row r="23996" spans="13:13">
      <c r="M23996" s="202"/>
    </row>
    <row r="23997" spans="13:13">
      <c r="M23997" s="202"/>
    </row>
    <row r="23998" spans="13:13">
      <c r="M23998" s="202"/>
    </row>
    <row r="23999" spans="13:13">
      <c r="M23999" s="202"/>
    </row>
    <row r="24000" spans="13:13">
      <c r="M24000" s="202"/>
    </row>
    <row r="24001" spans="13:13">
      <c r="M24001" s="202"/>
    </row>
    <row r="24002" spans="13:13">
      <c r="M24002" s="202"/>
    </row>
    <row r="24003" spans="13:13">
      <c r="M24003" s="202"/>
    </row>
    <row r="24004" spans="13:13">
      <c r="M24004" s="202"/>
    </row>
    <row r="24005" spans="13:13">
      <c r="M24005" s="202"/>
    </row>
    <row r="24006" spans="13:13">
      <c r="M24006" s="202"/>
    </row>
    <row r="24007" spans="13:13">
      <c r="M24007" s="202"/>
    </row>
    <row r="24008" spans="13:13">
      <c r="M24008" s="202"/>
    </row>
    <row r="24009" spans="13:13">
      <c r="M24009" s="202"/>
    </row>
    <row r="24010" spans="13:13">
      <c r="M24010" s="202"/>
    </row>
    <row r="24011" spans="13:13">
      <c r="M24011" s="202"/>
    </row>
    <row r="24012" spans="13:13">
      <c r="M24012" s="202"/>
    </row>
    <row r="24013" spans="13:13">
      <c r="M24013" s="202"/>
    </row>
    <row r="24014" spans="13:13">
      <c r="M24014" s="202"/>
    </row>
    <row r="24015" spans="13:13">
      <c r="M24015" s="202"/>
    </row>
    <row r="24016" spans="13:13">
      <c r="M24016" s="202"/>
    </row>
    <row r="24017" spans="13:13">
      <c r="M24017" s="202"/>
    </row>
    <row r="24018" spans="13:13">
      <c r="M24018" s="202"/>
    </row>
    <row r="24019" spans="13:13">
      <c r="M24019" s="202"/>
    </row>
    <row r="24020" spans="13:13">
      <c r="M24020" s="202"/>
    </row>
    <row r="24021" spans="13:13">
      <c r="M24021" s="202"/>
    </row>
    <row r="24022" spans="13:13">
      <c r="M24022" s="202"/>
    </row>
    <row r="24023" spans="13:13">
      <c r="M24023" s="202"/>
    </row>
    <row r="24024" spans="13:13">
      <c r="M24024" s="202"/>
    </row>
    <row r="24025" spans="13:13">
      <c r="M24025" s="202"/>
    </row>
    <row r="24026" spans="13:13">
      <c r="M24026" s="202"/>
    </row>
    <row r="24027" spans="13:13">
      <c r="M24027" s="202"/>
    </row>
    <row r="24028" spans="13:13">
      <c r="M24028" s="202"/>
    </row>
    <row r="24029" spans="13:13">
      <c r="M24029" s="202"/>
    </row>
    <row r="24030" spans="13:13">
      <c r="M24030" s="202"/>
    </row>
    <row r="24031" spans="13:13">
      <c r="M24031" s="202"/>
    </row>
    <row r="24032" spans="13:13">
      <c r="M24032" s="202"/>
    </row>
    <row r="24033" spans="13:13">
      <c r="M24033" s="202"/>
    </row>
    <row r="24034" spans="13:13">
      <c r="M24034" s="202"/>
    </row>
    <row r="24035" spans="13:13">
      <c r="M24035" s="202"/>
    </row>
    <row r="24036" spans="13:13">
      <c r="M24036" s="202"/>
    </row>
    <row r="24037" spans="13:13">
      <c r="M24037" s="202"/>
    </row>
    <row r="24038" spans="13:13">
      <c r="M24038" s="202"/>
    </row>
    <row r="24039" spans="13:13">
      <c r="M24039" s="202"/>
    </row>
    <row r="24040" spans="13:13">
      <c r="M24040" s="202"/>
    </row>
    <row r="24041" spans="13:13">
      <c r="M24041" s="202"/>
    </row>
    <row r="24042" spans="13:13">
      <c r="M24042" s="202"/>
    </row>
    <row r="24043" spans="13:13">
      <c r="M24043" s="202"/>
    </row>
    <row r="24044" spans="13:13">
      <c r="M24044" s="202"/>
    </row>
    <row r="24045" spans="13:13">
      <c r="M24045" s="202"/>
    </row>
    <row r="24046" spans="13:13">
      <c r="M24046" s="202"/>
    </row>
    <row r="24047" spans="13:13">
      <c r="M24047" s="202"/>
    </row>
    <row r="24048" spans="13:13">
      <c r="M24048" s="202"/>
    </row>
    <row r="24049" spans="13:13">
      <c r="M24049" s="202"/>
    </row>
    <row r="24050" spans="13:13">
      <c r="M24050" s="202"/>
    </row>
    <row r="24051" spans="13:13">
      <c r="M24051" s="202"/>
    </row>
    <row r="24052" spans="13:13">
      <c r="M24052" s="202"/>
    </row>
    <row r="24053" spans="13:13">
      <c r="M24053" s="202"/>
    </row>
    <row r="24054" spans="13:13">
      <c r="M24054" s="202"/>
    </row>
    <row r="24055" spans="13:13">
      <c r="M24055" s="202"/>
    </row>
    <row r="24056" spans="13:13">
      <c r="M24056" s="202"/>
    </row>
    <row r="24057" spans="13:13">
      <c r="M24057" s="202"/>
    </row>
    <row r="24058" spans="13:13">
      <c r="M24058" s="202"/>
    </row>
    <row r="24059" spans="13:13">
      <c r="M24059" s="202"/>
    </row>
    <row r="24060" spans="13:13">
      <c r="M24060" s="202"/>
    </row>
    <row r="24061" spans="13:13">
      <c r="M24061" s="202"/>
    </row>
    <row r="24062" spans="13:13">
      <c r="M24062" s="202"/>
    </row>
    <row r="24063" spans="13:13">
      <c r="M24063" s="202"/>
    </row>
    <row r="24064" spans="13:13">
      <c r="M24064" s="202"/>
    </row>
    <row r="24065" spans="13:13">
      <c r="M24065" s="202"/>
    </row>
    <row r="24066" spans="13:13">
      <c r="M24066" s="202"/>
    </row>
    <row r="24067" spans="13:13">
      <c r="M24067" s="202"/>
    </row>
    <row r="24068" spans="13:13">
      <c r="M24068" s="202"/>
    </row>
    <row r="24069" spans="13:13">
      <c r="M24069" s="202"/>
    </row>
    <row r="24070" spans="13:13">
      <c r="M24070" s="202"/>
    </row>
    <row r="24071" spans="13:13">
      <c r="M24071" s="202"/>
    </row>
    <row r="24072" spans="13:13">
      <c r="M24072" s="202"/>
    </row>
    <row r="24073" spans="13:13">
      <c r="M24073" s="202"/>
    </row>
    <row r="24074" spans="13:13">
      <c r="M24074" s="202"/>
    </row>
    <row r="24075" spans="13:13">
      <c r="M24075" s="202"/>
    </row>
    <row r="24076" spans="13:13">
      <c r="M24076" s="202"/>
    </row>
    <row r="24077" spans="13:13">
      <c r="M24077" s="202"/>
    </row>
    <row r="24078" spans="13:13">
      <c r="M24078" s="202"/>
    </row>
    <row r="24079" spans="13:13">
      <c r="M24079" s="202"/>
    </row>
    <row r="24080" spans="13:13">
      <c r="M24080" s="202"/>
    </row>
    <row r="24081" spans="13:13">
      <c r="M24081" s="202"/>
    </row>
    <row r="24082" spans="13:13">
      <c r="M24082" s="202"/>
    </row>
    <row r="24083" spans="13:13">
      <c r="M24083" s="202"/>
    </row>
    <row r="24084" spans="13:13">
      <c r="M24084" s="202"/>
    </row>
    <row r="24085" spans="13:13">
      <c r="M24085" s="202"/>
    </row>
    <row r="24086" spans="13:13">
      <c r="M24086" s="202"/>
    </row>
    <row r="24087" spans="13:13">
      <c r="M24087" s="202"/>
    </row>
    <row r="24088" spans="13:13">
      <c r="M24088" s="202"/>
    </row>
    <row r="24089" spans="13:13">
      <c r="M24089" s="202"/>
    </row>
    <row r="24090" spans="13:13">
      <c r="M24090" s="202"/>
    </row>
    <row r="24091" spans="13:13">
      <c r="M24091" s="202"/>
    </row>
    <row r="24092" spans="13:13">
      <c r="M24092" s="202"/>
    </row>
    <row r="24093" spans="13:13">
      <c r="M24093" s="202"/>
    </row>
    <row r="24094" spans="13:13">
      <c r="M24094" s="202"/>
    </row>
    <row r="24095" spans="13:13">
      <c r="M24095" s="202"/>
    </row>
    <row r="24096" spans="13:13">
      <c r="M24096" s="202"/>
    </row>
    <row r="24097" spans="13:13">
      <c r="M24097" s="202"/>
    </row>
    <row r="24098" spans="13:13">
      <c r="M24098" s="202"/>
    </row>
    <row r="24099" spans="13:13">
      <c r="M24099" s="202"/>
    </row>
    <row r="24100" spans="13:13">
      <c r="M24100" s="202"/>
    </row>
    <row r="24101" spans="13:13">
      <c r="M24101" s="202"/>
    </row>
    <row r="24102" spans="13:13">
      <c r="M24102" s="202"/>
    </row>
    <row r="24103" spans="13:13">
      <c r="M24103" s="202"/>
    </row>
    <row r="24104" spans="13:13">
      <c r="M24104" s="202"/>
    </row>
    <row r="24105" spans="13:13">
      <c r="M24105" s="202"/>
    </row>
    <row r="24106" spans="13:13">
      <c r="M24106" s="202"/>
    </row>
    <row r="24107" spans="13:13">
      <c r="M24107" s="202"/>
    </row>
    <row r="24108" spans="13:13">
      <c r="M24108" s="202"/>
    </row>
    <row r="24109" spans="13:13">
      <c r="M24109" s="202"/>
    </row>
    <row r="24110" spans="13:13">
      <c r="M24110" s="202"/>
    </row>
    <row r="24111" spans="13:13">
      <c r="M24111" s="202"/>
    </row>
    <row r="24112" spans="13:13">
      <c r="M24112" s="202"/>
    </row>
    <row r="24113" spans="13:13">
      <c r="M24113" s="202"/>
    </row>
    <row r="24114" spans="13:13">
      <c r="M24114" s="202"/>
    </row>
    <row r="24115" spans="13:13">
      <c r="M24115" s="202"/>
    </row>
    <row r="24116" spans="13:13">
      <c r="M24116" s="202"/>
    </row>
    <row r="24117" spans="13:13">
      <c r="M24117" s="202"/>
    </row>
    <row r="24118" spans="13:13">
      <c r="M24118" s="202"/>
    </row>
    <row r="24119" spans="13:13">
      <c r="M24119" s="202"/>
    </row>
    <row r="24120" spans="13:13">
      <c r="M24120" s="202"/>
    </row>
    <row r="24121" spans="13:13">
      <c r="M24121" s="202"/>
    </row>
    <row r="24122" spans="13:13">
      <c r="M24122" s="202"/>
    </row>
    <row r="24123" spans="13:13">
      <c r="M24123" s="202"/>
    </row>
    <row r="24124" spans="13:13">
      <c r="M24124" s="202"/>
    </row>
    <row r="24125" spans="13:13">
      <c r="M24125" s="202"/>
    </row>
    <row r="24126" spans="13:13">
      <c r="M24126" s="202"/>
    </row>
    <row r="24127" spans="13:13">
      <c r="M24127" s="202"/>
    </row>
    <row r="24128" spans="13:13">
      <c r="M24128" s="202"/>
    </row>
    <row r="24129" spans="13:13">
      <c r="M24129" s="202"/>
    </row>
    <row r="24130" spans="13:13">
      <c r="M24130" s="202"/>
    </row>
    <row r="24131" spans="13:13">
      <c r="M24131" s="202"/>
    </row>
    <row r="24132" spans="13:13">
      <c r="M24132" s="202"/>
    </row>
    <row r="24133" spans="13:13">
      <c r="M24133" s="202"/>
    </row>
    <row r="24134" spans="13:13">
      <c r="M24134" s="202"/>
    </row>
    <row r="24135" spans="13:13">
      <c r="M24135" s="202"/>
    </row>
    <row r="24136" spans="13:13">
      <c r="M24136" s="202"/>
    </row>
    <row r="24137" spans="13:13">
      <c r="M24137" s="202"/>
    </row>
    <row r="24138" spans="13:13">
      <c r="M24138" s="202"/>
    </row>
    <row r="24139" spans="13:13">
      <c r="M24139" s="202"/>
    </row>
    <row r="24140" spans="13:13">
      <c r="M24140" s="202"/>
    </row>
    <row r="24141" spans="13:13">
      <c r="M24141" s="202"/>
    </row>
    <row r="24142" spans="13:13">
      <c r="M24142" s="202"/>
    </row>
    <row r="24143" spans="13:13">
      <c r="M24143" s="202"/>
    </row>
    <row r="24144" spans="13:13">
      <c r="M24144" s="202"/>
    </row>
    <row r="24145" spans="13:13">
      <c r="M24145" s="202"/>
    </row>
    <row r="24146" spans="13:13">
      <c r="M24146" s="202"/>
    </row>
    <row r="24147" spans="13:13">
      <c r="M24147" s="202"/>
    </row>
    <row r="24148" spans="13:13">
      <c r="M24148" s="202"/>
    </row>
    <row r="24149" spans="13:13">
      <c r="M24149" s="202"/>
    </row>
    <row r="24150" spans="13:13">
      <c r="M24150" s="202"/>
    </row>
    <row r="24151" spans="13:13">
      <c r="M24151" s="202"/>
    </row>
    <row r="24152" spans="13:13">
      <c r="M24152" s="202"/>
    </row>
    <row r="24153" spans="13:13">
      <c r="M24153" s="202"/>
    </row>
    <row r="24154" spans="13:13">
      <c r="M24154" s="202"/>
    </row>
    <row r="24155" spans="13:13">
      <c r="M24155" s="202"/>
    </row>
    <row r="24156" spans="13:13">
      <c r="M24156" s="202"/>
    </row>
    <row r="24157" spans="13:13">
      <c r="M24157" s="202"/>
    </row>
    <row r="24158" spans="13:13">
      <c r="M24158" s="202"/>
    </row>
    <row r="24159" spans="13:13">
      <c r="M24159" s="202"/>
    </row>
    <row r="24160" spans="13:13">
      <c r="M24160" s="202"/>
    </row>
    <row r="24161" spans="13:13">
      <c r="M24161" s="202"/>
    </row>
    <row r="24162" spans="13:13">
      <c r="M24162" s="202"/>
    </row>
    <row r="24163" spans="13:13">
      <c r="M24163" s="202"/>
    </row>
    <row r="24164" spans="13:13">
      <c r="M24164" s="202"/>
    </row>
    <row r="24165" spans="13:13">
      <c r="M24165" s="202"/>
    </row>
    <row r="24166" spans="13:13">
      <c r="M24166" s="202"/>
    </row>
    <row r="24167" spans="13:13">
      <c r="M24167" s="202"/>
    </row>
    <row r="24168" spans="13:13">
      <c r="M24168" s="202"/>
    </row>
    <row r="24169" spans="13:13">
      <c r="M24169" s="202"/>
    </row>
    <row r="24170" spans="13:13">
      <c r="M24170" s="202"/>
    </row>
    <row r="24171" spans="13:13">
      <c r="M24171" s="202"/>
    </row>
    <row r="24172" spans="13:13">
      <c r="M24172" s="202"/>
    </row>
    <row r="24173" spans="13:13">
      <c r="M24173" s="202"/>
    </row>
    <row r="24174" spans="13:13">
      <c r="M24174" s="202"/>
    </row>
    <row r="24175" spans="13:13">
      <c r="M24175" s="202"/>
    </row>
    <row r="24176" spans="13:13">
      <c r="M24176" s="202"/>
    </row>
    <row r="24177" spans="13:13">
      <c r="M24177" s="202"/>
    </row>
    <row r="24178" spans="13:13">
      <c r="M24178" s="202"/>
    </row>
    <row r="24179" spans="13:13">
      <c r="M24179" s="202"/>
    </row>
    <row r="24180" spans="13:13">
      <c r="M24180" s="202"/>
    </row>
    <row r="24181" spans="13:13">
      <c r="M24181" s="202"/>
    </row>
    <row r="24182" spans="13:13">
      <c r="M24182" s="202"/>
    </row>
    <row r="24183" spans="13:13">
      <c r="M24183" s="202"/>
    </row>
    <row r="24184" spans="13:13">
      <c r="M24184" s="202"/>
    </row>
    <row r="24185" spans="13:13">
      <c r="M24185" s="202"/>
    </row>
    <row r="24186" spans="13:13">
      <c r="M24186" s="202"/>
    </row>
    <row r="24187" spans="13:13">
      <c r="M24187" s="202"/>
    </row>
    <row r="24188" spans="13:13">
      <c r="M24188" s="202"/>
    </row>
    <row r="24189" spans="13:13">
      <c r="M24189" s="202"/>
    </row>
    <row r="24190" spans="13:13">
      <c r="M24190" s="202"/>
    </row>
    <row r="24191" spans="13:13">
      <c r="M24191" s="202"/>
    </row>
    <row r="24192" spans="13:13">
      <c r="M24192" s="202"/>
    </row>
    <row r="24193" spans="13:13">
      <c r="M24193" s="202"/>
    </row>
    <row r="24194" spans="13:13">
      <c r="M24194" s="202"/>
    </row>
    <row r="24195" spans="13:13">
      <c r="M24195" s="202"/>
    </row>
    <row r="24196" spans="13:13">
      <c r="M24196" s="202"/>
    </row>
    <row r="24197" spans="13:13">
      <c r="M24197" s="202"/>
    </row>
    <row r="24198" spans="13:13">
      <c r="M24198" s="202"/>
    </row>
    <row r="24199" spans="13:13">
      <c r="M24199" s="202"/>
    </row>
    <row r="24200" spans="13:13">
      <c r="M24200" s="202"/>
    </row>
    <row r="24201" spans="13:13">
      <c r="M24201" s="202"/>
    </row>
    <row r="24202" spans="13:13">
      <c r="M24202" s="202"/>
    </row>
    <row r="24203" spans="13:13">
      <c r="M24203" s="202"/>
    </row>
    <row r="24204" spans="13:13">
      <c r="M24204" s="202"/>
    </row>
    <row r="24205" spans="13:13">
      <c r="M24205" s="202"/>
    </row>
    <row r="24206" spans="13:13">
      <c r="M24206" s="202"/>
    </row>
    <row r="24207" spans="13:13">
      <c r="M24207" s="202"/>
    </row>
    <row r="24208" spans="13:13">
      <c r="M24208" s="202"/>
    </row>
    <row r="24209" spans="13:13">
      <c r="M24209" s="202"/>
    </row>
    <row r="24210" spans="13:13">
      <c r="M24210" s="202"/>
    </row>
    <row r="24211" spans="13:13">
      <c r="M24211" s="202"/>
    </row>
    <row r="24212" spans="13:13">
      <c r="M24212" s="202"/>
    </row>
    <row r="24213" spans="13:13">
      <c r="M24213" s="202"/>
    </row>
    <row r="24214" spans="13:13">
      <c r="M24214" s="202"/>
    </row>
    <row r="24215" spans="13:13">
      <c r="M24215" s="202"/>
    </row>
    <row r="24216" spans="13:13">
      <c r="M24216" s="202"/>
    </row>
    <row r="24217" spans="13:13">
      <c r="M24217" s="202"/>
    </row>
    <row r="24218" spans="13:13">
      <c r="M24218" s="202"/>
    </row>
    <row r="24219" spans="13:13">
      <c r="M24219" s="202"/>
    </row>
    <row r="24220" spans="13:13">
      <c r="M24220" s="202"/>
    </row>
    <row r="24221" spans="13:13">
      <c r="M24221" s="202"/>
    </row>
    <row r="24222" spans="13:13">
      <c r="M24222" s="202"/>
    </row>
    <row r="24223" spans="13:13">
      <c r="M24223" s="202"/>
    </row>
    <row r="24224" spans="13:13">
      <c r="M24224" s="202"/>
    </row>
    <row r="24225" spans="13:13">
      <c r="M24225" s="202"/>
    </row>
    <row r="24226" spans="13:13">
      <c r="M24226" s="202"/>
    </row>
    <row r="24227" spans="13:13">
      <c r="M24227" s="202"/>
    </row>
    <row r="24228" spans="13:13">
      <c r="M24228" s="202"/>
    </row>
    <row r="24229" spans="13:13">
      <c r="M24229" s="202"/>
    </row>
    <row r="24230" spans="13:13">
      <c r="M24230" s="202"/>
    </row>
    <row r="24231" spans="13:13">
      <c r="M24231" s="202"/>
    </row>
    <row r="24232" spans="13:13">
      <c r="M24232" s="202"/>
    </row>
    <row r="24233" spans="13:13">
      <c r="M24233" s="202"/>
    </row>
    <row r="24234" spans="13:13">
      <c r="M24234" s="202"/>
    </row>
    <row r="24235" spans="13:13">
      <c r="M24235" s="202"/>
    </row>
    <row r="24236" spans="13:13">
      <c r="M24236" s="202"/>
    </row>
    <row r="24237" spans="13:13">
      <c r="M24237" s="202"/>
    </row>
    <row r="24238" spans="13:13">
      <c r="M24238" s="202"/>
    </row>
    <row r="24239" spans="13:13">
      <c r="M24239" s="202"/>
    </row>
    <row r="24240" spans="13:13">
      <c r="M24240" s="202"/>
    </row>
    <row r="24241" spans="13:13">
      <c r="M24241" s="202"/>
    </row>
    <row r="24242" spans="13:13">
      <c r="M24242" s="202"/>
    </row>
    <row r="24243" spans="13:13">
      <c r="M24243" s="202"/>
    </row>
    <row r="24244" spans="13:13">
      <c r="M24244" s="202"/>
    </row>
    <row r="24245" spans="13:13">
      <c r="M24245" s="202"/>
    </row>
    <row r="24246" spans="13:13">
      <c r="M24246" s="202"/>
    </row>
    <row r="24247" spans="13:13">
      <c r="M24247" s="202"/>
    </row>
    <row r="24248" spans="13:13">
      <c r="M24248" s="202"/>
    </row>
    <row r="24249" spans="13:13">
      <c r="M24249" s="202"/>
    </row>
    <row r="24250" spans="13:13">
      <c r="M24250" s="202"/>
    </row>
    <row r="24251" spans="13:13">
      <c r="M24251" s="202"/>
    </row>
    <row r="24252" spans="13:13">
      <c r="M24252" s="202"/>
    </row>
    <row r="24253" spans="13:13">
      <c r="M24253" s="202"/>
    </row>
    <row r="24254" spans="13:13">
      <c r="M24254" s="202"/>
    </row>
    <row r="24255" spans="13:13">
      <c r="M24255" s="202"/>
    </row>
    <row r="24256" spans="13:13">
      <c r="M24256" s="202"/>
    </row>
    <row r="24257" spans="13:13">
      <c r="M24257" s="202"/>
    </row>
    <row r="24258" spans="13:13">
      <c r="M24258" s="202"/>
    </row>
    <row r="24259" spans="13:13">
      <c r="M24259" s="202"/>
    </row>
    <row r="24260" spans="13:13">
      <c r="M24260" s="202"/>
    </row>
    <row r="24261" spans="13:13">
      <c r="M24261" s="202"/>
    </row>
    <row r="24262" spans="13:13">
      <c r="M24262" s="202"/>
    </row>
    <row r="24263" spans="13:13">
      <c r="M24263" s="202"/>
    </row>
    <row r="24264" spans="13:13">
      <c r="M24264" s="202"/>
    </row>
    <row r="24265" spans="13:13">
      <c r="M24265" s="202"/>
    </row>
    <row r="24266" spans="13:13">
      <c r="M24266" s="202"/>
    </row>
    <row r="24267" spans="13:13">
      <c r="M24267" s="202"/>
    </row>
    <row r="24268" spans="13:13">
      <c r="M24268" s="202"/>
    </row>
    <row r="24269" spans="13:13">
      <c r="M24269" s="202"/>
    </row>
    <row r="24270" spans="13:13">
      <c r="M24270" s="202"/>
    </row>
    <row r="24271" spans="13:13">
      <c r="M24271" s="202"/>
    </row>
    <row r="24272" spans="13:13">
      <c r="M24272" s="202"/>
    </row>
    <row r="24273" spans="13:13">
      <c r="M24273" s="202"/>
    </row>
    <row r="24274" spans="13:13">
      <c r="M24274" s="202"/>
    </row>
    <row r="24275" spans="13:13">
      <c r="M24275" s="202"/>
    </row>
    <row r="24276" spans="13:13">
      <c r="M24276" s="202"/>
    </row>
    <row r="24277" spans="13:13">
      <c r="M24277" s="202"/>
    </row>
    <row r="24278" spans="13:13">
      <c r="M24278" s="202"/>
    </row>
    <row r="24279" spans="13:13">
      <c r="M24279" s="202"/>
    </row>
    <row r="24280" spans="13:13">
      <c r="M24280" s="202"/>
    </row>
    <row r="24281" spans="13:13">
      <c r="M24281" s="202"/>
    </row>
    <row r="24282" spans="13:13">
      <c r="M24282" s="202"/>
    </row>
    <row r="24283" spans="13:13">
      <c r="M24283" s="202"/>
    </row>
    <row r="24284" spans="13:13">
      <c r="M24284" s="202"/>
    </row>
    <row r="24285" spans="13:13">
      <c r="M24285" s="202"/>
    </row>
    <row r="24286" spans="13:13">
      <c r="M24286" s="202"/>
    </row>
    <row r="24287" spans="13:13">
      <c r="M24287" s="202"/>
    </row>
    <row r="24288" spans="13:13">
      <c r="M24288" s="202"/>
    </row>
    <row r="24289" spans="13:13">
      <c r="M24289" s="202"/>
    </row>
    <row r="24290" spans="13:13">
      <c r="M24290" s="202"/>
    </row>
    <row r="24291" spans="13:13">
      <c r="M24291" s="202"/>
    </row>
    <row r="24292" spans="13:13">
      <c r="M24292" s="202"/>
    </row>
    <row r="24293" spans="13:13">
      <c r="M24293" s="202"/>
    </row>
    <row r="24294" spans="13:13">
      <c r="M24294" s="202"/>
    </row>
    <row r="24295" spans="13:13">
      <c r="M24295" s="202"/>
    </row>
    <row r="24296" spans="13:13">
      <c r="M24296" s="202"/>
    </row>
    <row r="24297" spans="13:13">
      <c r="M24297" s="202"/>
    </row>
    <row r="24298" spans="13:13">
      <c r="M24298" s="202"/>
    </row>
    <row r="24299" spans="13:13">
      <c r="M24299" s="202"/>
    </row>
    <row r="24300" spans="13:13">
      <c r="M24300" s="202"/>
    </row>
    <row r="24301" spans="13:13">
      <c r="M24301" s="202"/>
    </row>
    <row r="24302" spans="13:13">
      <c r="M24302" s="202"/>
    </row>
    <row r="24303" spans="13:13">
      <c r="M24303" s="202"/>
    </row>
    <row r="24304" spans="13:13">
      <c r="M24304" s="202"/>
    </row>
    <row r="24305" spans="13:13">
      <c r="M24305" s="202"/>
    </row>
    <row r="24306" spans="13:13">
      <c r="M24306" s="202"/>
    </row>
    <row r="24307" spans="13:13">
      <c r="M24307" s="202"/>
    </row>
    <row r="24308" spans="13:13">
      <c r="M24308" s="202"/>
    </row>
    <row r="24309" spans="13:13">
      <c r="M24309" s="202"/>
    </row>
    <row r="24310" spans="13:13">
      <c r="M24310" s="202"/>
    </row>
    <row r="24311" spans="13:13">
      <c r="M24311" s="202"/>
    </row>
    <row r="24312" spans="13:13">
      <c r="M24312" s="202"/>
    </row>
    <row r="24313" spans="13:13">
      <c r="M24313" s="202"/>
    </row>
    <row r="24314" spans="13:13">
      <c r="M24314" s="202"/>
    </row>
    <row r="24315" spans="13:13">
      <c r="M24315" s="202"/>
    </row>
    <row r="24316" spans="13:13">
      <c r="M24316" s="202"/>
    </row>
    <row r="24317" spans="13:13">
      <c r="M24317" s="202"/>
    </row>
    <row r="24318" spans="13:13">
      <c r="M24318" s="202"/>
    </row>
    <row r="24319" spans="13:13">
      <c r="M24319" s="202"/>
    </row>
    <row r="24320" spans="13:13">
      <c r="M24320" s="202"/>
    </row>
    <row r="24321" spans="13:13">
      <c r="M24321" s="202"/>
    </row>
    <row r="24322" spans="13:13">
      <c r="M24322" s="202"/>
    </row>
    <row r="24323" spans="13:13">
      <c r="M24323" s="202"/>
    </row>
    <row r="24324" spans="13:13">
      <c r="M24324" s="202"/>
    </row>
    <row r="24325" spans="13:13">
      <c r="M24325" s="202"/>
    </row>
    <row r="24326" spans="13:13">
      <c r="M24326" s="202"/>
    </row>
    <row r="24327" spans="13:13">
      <c r="M24327" s="202"/>
    </row>
    <row r="24328" spans="13:13">
      <c r="M24328" s="202"/>
    </row>
    <row r="24329" spans="13:13">
      <c r="M24329" s="202"/>
    </row>
    <row r="24330" spans="13:13">
      <c r="M24330" s="202"/>
    </row>
    <row r="24331" spans="13:13">
      <c r="M24331" s="202"/>
    </row>
    <row r="24332" spans="13:13">
      <c r="M24332" s="202"/>
    </row>
    <row r="24333" spans="13:13">
      <c r="M24333" s="202"/>
    </row>
    <row r="24334" spans="13:13">
      <c r="M24334" s="202"/>
    </row>
    <row r="24335" spans="13:13">
      <c r="M24335" s="202"/>
    </row>
    <row r="24336" spans="13:13">
      <c r="M24336" s="202"/>
    </row>
    <row r="24337" spans="13:13">
      <c r="M24337" s="202"/>
    </row>
    <row r="24338" spans="13:13">
      <c r="M24338" s="202"/>
    </row>
    <row r="24339" spans="13:13">
      <c r="M24339" s="202"/>
    </row>
    <row r="24340" spans="13:13">
      <c r="M24340" s="202"/>
    </row>
    <row r="24341" spans="13:13">
      <c r="M24341" s="202"/>
    </row>
    <row r="24342" spans="13:13">
      <c r="M24342" s="202"/>
    </row>
    <row r="24343" spans="13:13">
      <c r="M24343" s="202"/>
    </row>
    <row r="24344" spans="13:13">
      <c r="M24344" s="202"/>
    </row>
    <row r="24345" spans="13:13">
      <c r="M24345" s="202"/>
    </row>
    <row r="24346" spans="13:13">
      <c r="M24346" s="202"/>
    </row>
    <row r="24347" spans="13:13">
      <c r="M24347" s="202"/>
    </row>
    <row r="24348" spans="13:13">
      <c r="M24348" s="202"/>
    </row>
    <row r="24349" spans="13:13">
      <c r="M24349" s="202"/>
    </row>
    <row r="24350" spans="13:13">
      <c r="M24350" s="202"/>
    </row>
    <row r="24351" spans="13:13">
      <c r="M24351" s="202"/>
    </row>
    <row r="24352" spans="13:13">
      <c r="M24352" s="202"/>
    </row>
    <row r="24353" spans="13:13">
      <c r="M24353" s="202"/>
    </row>
    <row r="24354" spans="13:13">
      <c r="M24354" s="202"/>
    </row>
    <row r="24355" spans="13:13">
      <c r="M24355" s="202"/>
    </row>
    <row r="24356" spans="13:13">
      <c r="M24356" s="202"/>
    </row>
    <row r="24357" spans="13:13">
      <c r="M24357" s="202"/>
    </row>
    <row r="24358" spans="13:13">
      <c r="M24358" s="202"/>
    </row>
    <row r="24359" spans="13:13">
      <c r="M24359" s="202"/>
    </row>
    <row r="24360" spans="13:13">
      <c r="M24360" s="202"/>
    </row>
    <row r="24361" spans="13:13">
      <c r="M24361" s="202"/>
    </row>
    <row r="24362" spans="13:13">
      <c r="M24362" s="202"/>
    </row>
    <row r="24363" spans="13:13">
      <c r="M24363" s="202"/>
    </row>
    <row r="24364" spans="13:13">
      <c r="M24364" s="202"/>
    </row>
    <row r="24365" spans="13:13">
      <c r="M24365" s="202"/>
    </row>
    <row r="24366" spans="13:13">
      <c r="M24366" s="202"/>
    </row>
    <row r="24367" spans="13:13">
      <c r="M24367" s="202"/>
    </row>
    <row r="24368" spans="13:13">
      <c r="M24368" s="202"/>
    </row>
    <row r="24369" spans="13:13">
      <c r="M24369" s="202"/>
    </row>
    <row r="24370" spans="13:13">
      <c r="M24370" s="202"/>
    </row>
    <row r="24371" spans="13:13">
      <c r="M24371" s="202"/>
    </row>
    <row r="24372" spans="13:13">
      <c r="M24372" s="202"/>
    </row>
    <row r="24373" spans="13:13">
      <c r="M24373" s="202"/>
    </row>
    <row r="24374" spans="13:13">
      <c r="M24374" s="202"/>
    </row>
    <row r="24375" spans="13:13">
      <c r="M24375" s="202"/>
    </row>
    <row r="24376" spans="13:13">
      <c r="M24376" s="202"/>
    </row>
    <row r="24377" spans="13:13">
      <c r="M24377" s="202"/>
    </row>
    <row r="24378" spans="13:13">
      <c r="M24378" s="202"/>
    </row>
    <row r="24379" spans="13:13">
      <c r="M24379" s="202"/>
    </row>
    <row r="24380" spans="13:13">
      <c r="M24380" s="202"/>
    </row>
    <row r="24381" spans="13:13">
      <c r="M24381" s="202"/>
    </row>
    <row r="24382" spans="13:13">
      <c r="M24382" s="202"/>
    </row>
    <row r="24383" spans="13:13">
      <c r="M24383" s="202"/>
    </row>
    <row r="24384" spans="13:13">
      <c r="M24384" s="202"/>
    </row>
    <row r="24385" spans="13:13">
      <c r="M24385" s="202"/>
    </row>
    <row r="24386" spans="13:13">
      <c r="M24386" s="202"/>
    </row>
    <row r="24387" spans="13:13">
      <c r="M24387" s="202"/>
    </row>
    <row r="24388" spans="13:13">
      <c r="M24388" s="202"/>
    </row>
    <row r="24389" spans="13:13">
      <c r="M24389" s="202"/>
    </row>
    <row r="24390" spans="13:13">
      <c r="M24390" s="202"/>
    </row>
    <row r="24391" spans="13:13">
      <c r="M24391" s="202"/>
    </row>
    <row r="24392" spans="13:13">
      <c r="M24392" s="202"/>
    </row>
    <row r="24393" spans="13:13">
      <c r="M24393" s="202"/>
    </row>
    <row r="24394" spans="13:13">
      <c r="M24394" s="202"/>
    </row>
    <row r="24395" spans="13:13">
      <c r="M24395" s="202"/>
    </row>
    <row r="24396" spans="13:13">
      <c r="M24396" s="202"/>
    </row>
    <row r="24397" spans="13:13">
      <c r="M24397" s="202"/>
    </row>
    <row r="24398" spans="13:13">
      <c r="M24398" s="202"/>
    </row>
    <row r="24399" spans="13:13">
      <c r="M24399" s="202"/>
    </row>
    <row r="24400" spans="13:13">
      <c r="M24400" s="202"/>
    </row>
    <row r="24401" spans="13:13">
      <c r="M24401" s="202"/>
    </row>
    <row r="24402" spans="13:13">
      <c r="M24402" s="202"/>
    </row>
    <row r="24403" spans="13:13">
      <c r="M24403" s="202"/>
    </row>
    <row r="24404" spans="13:13">
      <c r="M24404" s="202"/>
    </row>
    <row r="24405" spans="13:13">
      <c r="M24405" s="202"/>
    </row>
    <row r="24406" spans="13:13">
      <c r="M24406" s="202"/>
    </row>
    <row r="24407" spans="13:13">
      <c r="M24407" s="202"/>
    </row>
    <row r="24408" spans="13:13">
      <c r="M24408" s="202"/>
    </row>
    <row r="24409" spans="13:13">
      <c r="M24409" s="202"/>
    </row>
    <row r="24410" spans="13:13">
      <c r="M24410" s="202"/>
    </row>
    <row r="24411" spans="13:13">
      <c r="M24411" s="202"/>
    </row>
    <row r="24412" spans="13:13">
      <c r="M24412" s="202"/>
    </row>
    <row r="24413" spans="13:13">
      <c r="M24413" s="202"/>
    </row>
    <row r="24414" spans="13:13">
      <c r="M24414" s="202"/>
    </row>
    <row r="24415" spans="13:13">
      <c r="M24415" s="202"/>
    </row>
    <row r="24416" spans="13:13">
      <c r="M24416" s="202"/>
    </row>
    <row r="24417" spans="13:13">
      <c r="M24417" s="202"/>
    </row>
    <row r="24418" spans="13:13">
      <c r="M24418" s="202"/>
    </row>
    <row r="24419" spans="13:13">
      <c r="M24419" s="202"/>
    </row>
    <row r="24420" spans="13:13">
      <c r="M24420" s="202"/>
    </row>
    <row r="24421" spans="13:13">
      <c r="M24421" s="202"/>
    </row>
    <row r="24422" spans="13:13">
      <c r="M24422" s="202"/>
    </row>
    <row r="24423" spans="13:13">
      <c r="M24423" s="202"/>
    </row>
    <row r="24424" spans="13:13">
      <c r="M24424" s="202"/>
    </row>
    <row r="24425" spans="13:13">
      <c r="M24425" s="202"/>
    </row>
    <row r="24426" spans="13:13">
      <c r="M24426" s="202"/>
    </row>
    <row r="24427" spans="13:13">
      <c r="M24427" s="202"/>
    </row>
    <row r="24428" spans="13:13">
      <c r="M24428" s="202"/>
    </row>
    <row r="24429" spans="13:13">
      <c r="M24429" s="202"/>
    </row>
    <row r="24430" spans="13:13">
      <c r="M24430" s="202"/>
    </row>
    <row r="24431" spans="13:13">
      <c r="M24431" s="202"/>
    </row>
    <row r="24432" spans="13:13">
      <c r="M24432" s="202"/>
    </row>
    <row r="24433" spans="13:13">
      <c r="M24433" s="202"/>
    </row>
    <row r="24434" spans="13:13">
      <c r="M24434" s="202"/>
    </row>
    <row r="24435" spans="13:13">
      <c r="M24435" s="202"/>
    </row>
    <row r="24436" spans="13:13">
      <c r="M24436" s="202"/>
    </row>
    <row r="24437" spans="13:13">
      <c r="M24437" s="202"/>
    </row>
    <row r="24438" spans="13:13">
      <c r="M24438" s="202"/>
    </row>
    <row r="24439" spans="13:13">
      <c r="M24439" s="202"/>
    </row>
    <row r="24440" spans="13:13">
      <c r="M24440" s="202"/>
    </row>
    <row r="24441" spans="13:13">
      <c r="M24441" s="202"/>
    </row>
    <row r="24442" spans="13:13">
      <c r="M24442" s="202"/>
    </row>
    <row r="24443" spans="13:13">
      <c r="M24443" s="202"/>
    </row>
    <row r="24444" spans="13:13">
      <c r="M24444" s="202"/>
    </row>
    <row r="24445" spans="13:13">
      <c r="M24445" s="202"/>
    </row>
    <row r="24446" spans="13:13">
      <c r="M24446" s="202"/>
    </row>
    <row r="24447" spans="13:13">
      <c r="M24447" s="202"/>
    </row>
    <row r="24448" spans="13:13">
      <c r="M24448" s="202"/>
    </row>
    <row r="24449" spans="13:13">
      <c r="M24449" s="202"/>
    </row>
    <row r="24450" spans="13:13">
      <c r="M24450" s="202"/>
    </row>
    <row r="24451" spans="13:13">
      <c r="M24451" s="202"/>
    </row>
    <row r="24452" spans="13:13">
      <c r="M24452" s="202"/>
    </row>
    <row r="24453" spans="13:13">
      <c r="M24453" s="202"/>
    </row>
    <row r="24454" spans="13:13">
      <c r="M24454" s="202"/>
    </row>
    <row r="24455" spans="13:13">
      <c r="M24455" s="202"/>
    </row>
    <row r="24456" spans="13:13">
      <c r="M24456" s="202"/>
    </row>
    <row r="24457" spans="13:13">
      <c r="M24457" s="202"/>
    </row>
    <row r="24458" spans="13:13">
      <c r="M24458" s="202"/>
    </row>
    <row r="24459" spans="13:13">
      <c r="M24459" s="202"/>
    </row>
    <row r="24460" spans="13:13">
      <c r="M24460" s="202"/>
    </row>
    <row r="24461" spans="13:13">
      <c r="M24461" s="202"/>
    </row>
    <row r="24462" spans="13:13">
      <c r="M24462" s="202"/>
    </row>
    <row r="24463" spans="13:13">
      <c r="M24463" s="202"/>
    </row>
    <row r="24464" spans="13:13">
      <c r="M24464" s="202"/>
    </row>
    <row r="24465" spans="13:13">
      <c r="M24465" s="202"/>
    </row>
    <row r="24466" spans="13:13">
      <c r="M24466" s="202"/>
    </row>
    <row r="24467" spans="13:13">
      <c r="M24467" s="202"/>
    </row>
    <row r="24468" spans="13:13">
      <c r="M24468" s="202"/>
    </row>
    <row r="24469" spans="13:13">
      <c r="M24469" s="202"/>
    </row>
    <row r="24470" spans="13:13">
      <c r="M24470" s="202"/>
    </row>
    <row r="24471" spans="13:13">
      <c r="M24471" s="202"/>
    </row>
    <row r="24472" spans="13:13">
      <c r="M24472" s="202"/>
    </row>
    <row r="24473" spans="13:13">
      <c r="M24473" s="202"/>
    </row>
    <row r="24474" spans="13:13">
      <c r="M24474" s="202"/>
    </row>
    <row r="24475" spans="13:13">
      <c r="M24475" s="202"/>
    </row>
    <row r="24476" spans="13:13">
      <c r="M24476" s="202"/>
    </row>
    <row r="24477" spans="13:13">
      <c r="M24477" s="202"/>
    </row>
    <row r="24478" spans="13:13">
      <c r="M24478" s="202"/>
    </row>
    <row r="24479" spans="13:13">
      <c r="M24479" s="202"/>
    </row>
    <row r="24480" spans="13:13">
      <c r="M24480" s="202"/>
    </row>
    <row r="24481" spans="13:13">
      <c r="M24481" s="202"/>
    </row>
    <row r="24482" spans="13:13">
      <c r="M24482" s="202"/>
    </row>
    <row r="24483" spans="13:13">
      <c r="M24483" s="202"/>
    </row>
    <row r="24484" spans="13:13">
      <c r="M24484" s="202"/>
    </row>
    <row r="24485" spans="13:13">
      <c r="M24485" s="202"/>
    </row>
    <row r="24486" spans="13:13">
      <c r="M24486" s="202"/>
    </row>
    <row r="24487" spans="13:13">
      <c r="M24487" s="202"/>
    </row>
    <row r="24488" spans="13:13">
      <c r="M24488" s="202"/>
    </row>
    <row r="24489" spans="13:13">
      <c r="M24489" s="202"/>
    </row>
    <row r="24490" spans="13:13">
      <c r="M24490" s="202"/>
    </row>
    <row r="24491" spans="13:13">
      <c r="M24491" s="202"/>
    </row>
    <row r="24492" spans="13:13">
      <c r="M24492" s="202"/>
    </row>
    <row r="24493" spans="13:13">
      <c r="M24493" s="202"/>
    </row>
    <row r="24494" spans="13:13">
      <c r="M24494" s="202"/>
    </row>
    <row r="24495" spans="13:13">
      <c r="M24495" s="202"/>
    </row>
    <row r="24496" spans="13:13">
      <c r="M24496" s="202"/>
    </row>
    <row r="24497" spans="13:13">
      <c r="M24497" s="202"/>
    </row>
    <row r="24498" spans="13:13">
      <c r="M24498" s="202"/>
    </row>
    <row r="24499" spans="13:13">
      <c r="M24499" s="202"/>
    </row>
    <row r="24500" spans="13:13">
      <c r="M24500" s="202"/>
    </row>
    <row r="24501" spans="13:13">
      <c r="M24501" s="202"/>
    </row>
    <row r="24502" spans="13:13">
      <c r="M24502" s="202"/>
    </row>
    <row r="24503" spans="13:13">
      <c r="M24503" s="202"/>
    </row>
    <row r="24504" spans="13:13">
      <c r="M24504" s="202"/>
    </row>
    <row r="24505" spans="13:13">
      <c r="M24505" s="202"/>
    </row>
    <row r="24506" spans="13:13">
      <c r="M24506" s="202"/>
    </row>
    <row r="24507" spans="13:13">
      <c r="M24507" s="202"/>
    </row>
    <row r="24508" spans="13:13">
      <c r="M24508" s="202"/>
    </row>
    <row r="24509" spans="13:13">
      <c r="M24509" s="202"/>
    </row>
    <row r="24510" spans="13:13">
      <c r="M24510" s="202"/>
    </row>
    <row r="24511" spans="13:13">
      <c r="M24511" s="202"/>
    </row>
    <row r="24512" spans="13:13">
      <c r="M24512" s="202"/>
    </row>
    <row r="24513" spans="13:13">
      <c r="M24513" s="202"/>
    </row>
    <row r="24514" spans="13:13">
      <c r="M24514" s="202"/>
    </row>
    <row r="24515" spans="13:13">
      <c r="M24515" s="202"/>
    </row>
    <row r="24516" spans="13:13">
      <c r="M24516" s="202"/>
    </row>
    <row r="24517" spans="13:13">
      <c r="M24517" s="202"/>
    </row>
    <row r="24518" spans="13:13">
      <c r="M24518" s="202"/>
    </row>
    <row r="24519" spans="13:13">
      <c r="M24519" s="202"/>
    </row>
    <row r="24520" spans="13:13">
      <c r="M24520" s="202"/>
    </row>
    <row r="24521" spans="13:13">
      <c r="M24521" s="202"/>
    </row>
    <row r="24522" spans="13:13">
      <c r="M24522" s="202"/>
    </row>
    <row r="24523" spans="13:13">
      <c r="M24523" s="202"/>
    </row>
    <row r="24524" spans="13:13">
      <c r="M24524" s="202"/>
    </row>
    <row r="24525" spans="13:13">
      <c r="M24525" s="202"/>
    </row>
    <row r="24526" spans="13:13">
      <c r="M24526" s="202"/>
    </row>
    <row r="24527" spans="13:13">
      <c r="M24527" s="202"/>
    </row>
    <row r="24528" spans="13:13">
      <c r="M24528" s="202"/>
    </row>
    <row r="24529" spans="13:13">
      <c r="M24529" s="202"/>
    </row>
    <row r="24530" spans="13:13">
      <c r="M24530" s="202"/>
    </row>
    <row r="24531" spans="13:13">
      <c r="M24531" s="202"/>
    </row>
    <row r="24532" spans="13:13">
      <c r="M24532" s="202"/>
    </row>
    <row r="24533" spans="13:13">
      <c r="M24533" s="202"/>
    </row>
    <row r="24534" spans="13:13">
      <c r="M24534" s="202"/>
    </row>
    <row r="24535" spans="13:13">
      <c r="M24535" s="202"/>
    </row>
    <row r="24536" spans="13:13">
      <c r="M24536" s="202"/>
    </row>
    <row r="24537" spans="13:13">
      <c r="M24537" s="202"/>
    </row>
    <row r="24538" spans="13:13">
      <c r="M24538" s="202"/>
    </row>
    <row r="24539" spans="13:13">
      <c r="M24539" s="202"/>
    </row>
    <row r="24540" spans="13:13">
      <c r="M24540" s="202"/>
    </row>
    <row r="24541" spans="13:13">
      <c r="M24541" s="202"/>
    </row>
    <row r="24542" spans="13:13">
      <c r="M24542" s="202"/>
    </row>
    <row r="24543" spans="13:13">
      <c r="M24543" s="202"/>
    </row>
    <row r="24544" spans="13:13">
      <c r="M24544" s="202"/>
    </row>
    <row r="24545" spans="13:13">
      <c r="M24545" s="202"/>
    </row>
    <row r="24546" spans="13:13">
      <c r="M24546" s="202"/>
    </row>
    <row r="24547" spans="13:13">
      <c r="M24547" s="202"/>
    </row>
    <row r="24548" spans="13:13">
      <c r="M24548" s="202"/>
    </row>
    <row r="24549" spans="13:13">
      <c r="M24549" s="202"/>
    </row>
    <row r="24550" spans="13:13">
      <c r="M24550" s="202"/>
    </row>
    <row r="24551" spans="13:13">
      <c r="M24551" s="202"/>
    </row>
    <row r="24552" spans="13:13">
      <c r="M24552" s="202"/>
    </row>
    <row r="24553" spans="13:13">
      <c r="M24553" s="202"/>
    </row>
    <row r="24554" spans="13:13">
      <c r="M24554" s="202"/>
    </row>
    <row r="24555" spans="13:13">
      <c r="M24555" s="202"/>
    </row>
    <row r="24556" spans="13:13">
      <c r="M24556" s="202"/>
    </row>
    <row r="24557" spans="13:13">
      <c r="M24557" s="202"/>
    </row>
    <row r="24558" spans="13:13">
      <c r="M24558" s="202"/>
    </row>
    <row r="24559" spans="13:13">
      <c r="M24559" s="202"/>
    </row>
    <row r="24560" spans="13:13">
      <c r="M24560" s="202"/>
    </row>
    <row r="24561" spans="13:13">
      <c r="M24561" s="202"/>
    </row>
    <row r="24562" spans="13:13">
      <c r="M24562" s="202"/>
    </row>
    <row r="24563" spans="13:13">
      <c r="M24563" s="202"/>
    </row>
    <row r="24564" spans="13:13">
      <c r="M24564" s="202"/>
    </row>
    <row r="24565" spans="13:13">
      <c r="M24565" s="202"/>
    </row>
    <row r="24566" spans="13:13">
      <c r="M24566" s="202"/>
    </row>
    <row r="24567" spans="13:13">
      <c r="M24567" s="202"/>
    </row>
    <row r="24568" spans="13:13">
      <c r="M24568" s="202"/>
    </row>
    <row r="24569" spans="13:13">
      <c r="M24569" s="202"/>
    </row>
    <row r="24570" spans="13:13">
      <c r="M24570" s="202"/>
    </row>
    <row r="24571" spans="13:13">
      <c r="M24571" s="202"/>
    </row>
    <row r="24572" spans="13:13">
      <c r="M24572" s="202"/>
    </row>
    <row r="24573" spans="13:13">
      <c r="M24573" s="202"/>
    </row>
    <row r="24574" spans="13:13">
      <c r="M24574" s="202"/>
    </row>
    <row r="24575" spans="13:13">
      <c r="M24575" s="202"/>
    </row>
    <row r="24576" spans="13:13">
      <c r="M24576" s="202"/>
    </row>
    <row r="24577" spans="13:13">
      <c r="M24577" s="202"/>
    </row>
    <row r="24578" spans="13:13">
      <c r="M24578" s="202"/>
    </row>
    <row r="24579" spans="13:13">
      <c r="M24579" s="202"/>
    </row>
    <row r="24580" spans="13:13">
      <c r="M24580" s="202"/>
    </row>
    <row r="24581" spans="13:13">
      <c r="M24581" s="202"/>
    </row>
    <row r="24582" spans="13:13">
      <c r="M24582" s="202"/>
    </row>
    <row r="24583" spans="13:13">
      <c r="M24583" s="202"/>
    </row>
    <row r="24584" spans="13:13">
      <c r="M24584" s="202"/>
    </row>
    <row r="24585" spans="13:13">
      <c r="M24585" s="202"/>
    </row>
    <row r="24586" spans="13:13">
      <c r="M24586" s="202"/>
    </row>
    <row r="24587" spans="13:13">
      <c r="M24587" s="202"/>
    </row>
    <row r="24588" spans="13:13">
      <c r="M24588" s="202"/>
    </row>
    <row r="24589" spans="13:13">
      <c r="M24589" s="202"/>
    </row>
    <row r="24590" spans="13:13">
      <c r="M24590" s="202"/>
    </row>
    <row r="24591" spans="13:13">
      <c r="M24591" s="202"/>
    </row>
    <row r="24592" spans="13:13">
      <c r="M24592" s="202"/>
    </row>
    <row r="24593" spans="13:13">
      <c r="M24593" s="202"/>
    </row>
    <row r="24594" spans="13:13">
      <c r="M24594" s="202"/>
    </row>
    <row r="24595" spans="13:13">
      <c r="M24595" s="202"/>
    </row>
    <row r="24596" spans="13:13">
      <c r="M24596" s="202"/>
    </row>
    <row r="24597" spans="13:13">
      <c r="M24597" s="202"/>
    </row>
    <row r="24598" spans="13:13">
      <c r="M24598" s="202"/>
    </row>
    <row r="24599" spans="13:13">
      <c r="M24599" s="202"/>
    </row>
    <row r="24600" spans="13:13">
      <c r="M24600" s="202"/>
    </row>
    <row r="24601" spans="13:13">
      <c r="M24601" s="202"/>
    </row>
    <row r="24602" spans="13:13">
      <c r="M24602" s="202"/>
    </row>
    <row r="24603" spans="13:13">
      <c r="M24603" s="202"/>
    </row>
    <row r="24604" spans="13:13">
      <c r="M24604" s="202"/>
    </row>
    <row r="24605" spans="13:13">
      <c r="M24605" s="202"/>
    </row>
    <row r="24606" spans="13:13">
      <c r="M24606" s="202"/>
    </row>
    <row r="24607" spans="13:13">
      <c r="M24607" s="202"/>
    </row>
    <row r="24608" spans="13:13">
      <c r="M24608" s="202"/>
    </row>
    <row r="24609" spans="13:13">
      <c r="M24609" s="202"/>
    </row>
    <row r="24610" spans="13:13">
      <c r="M24610" s="202"/>
    </row>
    <row r="24611" spans="13:13">
      <c r="M24611" s="202"/>
    </row>
    <row r="24612" spans="13:13">
      <c r="M24612" s="202"/>
    </row>
    <row r="24613" spans="13:13">
      <c r="M24613" s="202"/>
    </row>
    <row r="24614" spans="13:13">
      <c r="M24614" s="202"/>
    </row>
    <row r="24615" spans="13:13">
      <c r="M24615" s="202"/>
    </row>
    <row r="24616" spans="13:13">
      <c r="M24616" s="202"/>
    </row>
    <row r="24617" spans="13:13">
      <c r="M24617" s="202"/>
    </row>
    <row r="24618" spans="13:13">
      <c r="M24618" s="202"/>
    </row>
    <row r="24619" spans="13:13">
      <c r="M24619" s="202"/>
    </row>
    <row r="24620" spans="13:13">
      <c r="M24620" s="202"/>
    </row>
    <row r="24621" spans="13:13">
      <c r="M24621" s="202"/>
    </row>
    <row r="24622" spans="13:13">
      <c r="M24622" s="202"/>
    </row>
    <row r="24623" spans="13:13">
      <c r="M24623" s="202"/>
    </row>
    <row r="24624" spans="13:13">
      <c r="M24624" s="202"/>
    </row>
    <row r="24625" spans="13:13">
      <c r="M24625" s="202"/>
    </row>
    <row r="24626" spans="13:13">
      <c r="M24626" s="202"/>
    </row>
    <row r="24627" spans="13:13">
      <c r="M24627" s="202"/>
    </row>
    <row r="24628" spans="13:13">
      <c r="M24628" s="202"/>
    </row>
    <row r="24629" spans="13:13">
      <c r="M24629" s="202"/>
    </row>
    <row r="24630" spans="13:13">
      <c r="M24630" s="202"/>
    </row>
    <row r="24631" spans="13:13">
      <c r="M24631" s="202"/>
    </row>
    <row r="24632" spans="13:13">
      <c r="M24632" s="202"/>
    </row>
    <row r="24633" spans="13:13">
      <c r="M24633" s="202"/>
    </row>
    <row r="24634" spans="13:13">
      <c r="M24634" s="202"/>
    </row>
    <row r="24635" spans="13:13">
      <c r="M24635" s="202"/>
    </row>
    <row r="24636" spans="13:13">
      <c r="M24636" s="202"/>
    </row>
    <row r="24637" spans="13:13">
      <c r="M24637" s="202"/>
    </row>
    <row r="24638" spans="13:13">
      <c r="M24638" s="202"/>
    </row>
    <row r="24639" spans="13:13">
      <c r="M24639" s="202"/>
    </row>
    <row r="24640" spans="13:13">
      <c r="M24640" s="202"/>
    </row>
    <row r="24641" spans="13:13">
      <c r="M24641" s="202"/>
    </row>
    <row r="24642" spans="13:13">
      <c r="M24642" s="202"/>
    </row>
    <row r="24643" spans="13:13">
      <c r="M24643" s="202"/>
    </row>
    <row r="24644" spans="13:13">
      <c r="M24644" s="202"/>
    </row>
    <row r="24645" spans="13:13">
      <c r="M24645" s="202"/>
    </row>
    <row r="24646" spans="13:13">
      <c r="M24646" s="202"/>
    </row>
    <row r="24647" spans="13:13">
      <c r="M24647" s="202"/>
    </row>
    <row r="24648" spans="13:13">
      <c r="M24648" s="202"/>
    </row>
    <row r="24649" spans="13:13">
      <c r="M24649" s="202"/>
    </row>
    <row r="24650" spans="13:13">
      <c r="M24650" s="202"/>
    </row>
    <row r="24651" spans="13:13">
      <c r="M24651" s="202"/>
    </row>
    <row r="24652" spans="13:13">
      <c r="M24652" s="202"/>
    </row>
    <row r="24653" spans="13:13">
      <c r="M24653" s="202"/>
    </row>
    <row r="24654" spans="13:13">
      <c r="M24654" s="202"/>
    </row>
    <row r="24655" spans="13:13">
      <c r="M24655" s="202"/>
    </row>
    <row r="24656" spans="13:13">
      <c r="M24656" s="202"/>
    </row>
    <row r="24657" spans="13:13">
      <c r="M24657" s="202"/>
    </row>
    <row r="24658" spans="13:13">
      <c r="M24658" s="202"/>
    </row>
    <row r="24659" spans="13:13">
      <c r="M24659" s="202"/>
    </row>
    <row r="24660" spans="13:13">
      <c r="M24660" s="202"/>
    </row>
    <row r="24661" spans="13:13">
      <c r="M24661" s="202"/>
    </row>
    <row r="24662" spans="13:13">
      <c r="M24662" s="202"/>
    </row>
    <row r="24663" spans="13:13">
      <c r="M24663" s="202"/>
    </row>
    <row r="24664" spans="13:13">
      <c r="M24664" s="202"/>
    </row>
    <row r="24665" spans="13:13">
      <c r="M24665" s="202"/>
    </row>
    <row r="24666" spans="13:13">
      <c r="M24666" s="202"/>
    </row>
    <row r="24667" spans="13:13">
      <c r="M24667" s="202"/>
    </row>
    <row r="24668" spans="13:13">
      <c r="M24668" s="202"/>
    </row>
    <row r="24669" spans="13:13">
      <c r="M24669" s="202"/>
    </row>
    <row r="24670" spans="13:13">
      <c r="M24670" s="202"/>
    </row>
    <row r="24671" spans="13:13">
      <c r="M24671" s="202"/>
    </row>
    <row r="24672" spans="13:13">
      <c r="M24672" s="202"/>
    </row>
    <row r="24673" spans="13:13">
      <c r="M24673" s="202"/>
    </row>
    <row r="24674" spans="13:13">
      <c r="M24674" s="202"/>
    </row>
    <row r="24675" spans="13:13">
      <c r="M24675" s="202"/>
    </row>
    <row r="24676" spans="13:13">
      <c r="M24676" s="202"/>
    </row>
    <row r="24677" spans="13:13">
      <c r="M24677" s="202"/>
    </row>
    <row r="24678" spans="13:13">
      <c r="M24678" s="202"/>
    </row>
    <row r="24679" spans="13:13">
      <c r="M24679" s="202"/>
    </row>
    <row r="24680" spans="13:13">
      <c r="M24680" s="202"/>
    </row>
    <row r="24681" spans="13:13">
      <c r="M24681" s="202"/>
    </row>
    <row r="24682" spans="13:13">
      <c r="M24682" s="202"/>
    </row>
    <row r="24683" spans="13:13">
      <c r="M24683" s="202"/>
    </row>
    <row r="24684" spans="13:13">
      <c r="M24684" s="202"/>
    </row>
    <row r="24685" spans="13:13">
      <c r="M24685" s="202"/>
    </row>
    <row r="24686" spans="13:13">
      <c r="M24686" s="202"/>
    </row>
    <row r="24687" spans="13:13">
      <c r="M24687" s="202"/>
    </row>
    <row r="24688" spans="13:13">
      <c r="M24688" s="202"/>
    </row>
    <row r="24689" spans="13:13">
      <c r="M24689" s="202"/>
    </row>
    <row r="24690" spans="13:13">
      <c r="M24690" s="202"/>
    </row>
    <row r="24691" spans="13:13">
      <c r="M24691" s="202"/>
    </row>
    <row r="24692" spans="13:13">
      <c r="M24692" s="202"/>
    </row>
    <row r="24693" spans="13:13">
      <c r="M24693" s="202"/>
    </row>
    <row r="24694" spans="13:13">
      <c r="M24694" s="202"/>
    </row>
    <row r="24695" spans="13:13">
      <c r="M24695" s="202"/>
    </row>
    <row r="24696" spans="13:13">
      <c r="M24696" s="202"/>
    </row>
    <row r="24697" spans="13:13">
      <c r="M24697" s="202"/>
    </row>
    <row r="24698" spans="13:13">
      <c r="M24698" s="202"/>
    </row>
    <row r="24699" spans="13:13">
      <c r="M24699" s="202"/>
    </row>
    <row r="24700" spans="13:13">
      <c r="M24700" s="202"/>
    </row>
    <row r="24701" spans="13:13">
      <c r="M24701" s="202"/>
    </row>
    <row r="24702" spans="13:13">
      <c r="M24702" s="202"/>
    </row>
    <row r="24703" spans="13:13">
      <c r="M24703" s="202"/>
    </row>
    <row r="24704" spans="13:13">
      <c r="M24704" s="202"/>
    </row>
    <row r="24705" spans="13:13">
      <c r="M24705" s="202"/>
    </row>
    <row r="24706" spans="13:13">
      <c r="M24706" s="202"/>
    </row>
    <row r="24707" spans="13:13">
      <c r="M24707" s="202"/>
    </row>
    <row r="24708" spans="13:13">
      <c r="M24708" s="202"/>
    </row>
    <row r="24709" spans="13:13">
      <c r="M24709" s="202"/>
    </row>
    <row r="24710" spans="13:13">
      <c r="M24710" s="202"/>
    </row>
    <row r="24711" spans="13:13">
      <c r="M24711" s="202"/>
    </row>
    <row r="24712" spans="13:13">
      <c r="M24712" s="202"/>
    </row>
    <row r="24713" spans="13:13">
      <c r="M24713" s="202"/>
    </row>
    <row r="24714" spans="13:13">
      <c r="M24714" s="202"/>
    </row>
    <row r="24715" spans="13:13">
      <c r="M24715" s="202"/>
    </row>
    <row r="24716" spans="13:13">
      <c r="M24716" s="202"/>
    </row>
    <row r="24717" spans="13:13">
      <c r="M24717" s="202"/>
    </row>
    <row r="24718" spans="13:13">
      <c r="M24718" s="202"/>
    </row>
    <row r="24719" spans="13:13">
      <c r="M24719" s="202"/>
    </row>
    <row r="24720" spans="13:13">
      <c r="M24720" s="202"/>
    </row>
    <row r="24721" spans="13:13">
      <c r="M24721" s="202"/>
    </row>
    <row r="24722" spans="13:13">
      <c r="M24722" s="202"/>
    </row>
    <row r="24723" spans="13:13">
      <c r="M24723" s="202"/>
    </row>
    <row r="24724" spans="13:13">
      <c r="M24724" s="202"/>
    </row>
    <row r="24725" spans="13:13">
      <c r="M24725" s="202"/>
    </row>
    <row r="24726" spans="13:13">
      <c r="M24726" s="202"/>
    </row>
    <row r="24727" spans="13:13">
      <c r="M24727" s="202"/>
    </row>
    <row r="24728" spans="13:13">
      <c r="M24728" s="202"/>
    </row>
    <row r="24729" spans="13:13">
      <c r="M24729" s="202"/>
    </row>
    <row r="24730" spans="13:13">
      <c r="M24730" s="202"/>
    </row>
    <row r="24731" spans="13:13">
      <c r="M24731" s="202"/>
    </row>
    <row r="24732" spans="13:13">
      <c r="M24732" s="202"/>
    </row>
    <row r="24733" spans="13:13">
      <c r="M24733" s="202"/>
    </row>
    <row r="24734" spans="13:13">
      <c r="M24734" s="202"/>
    </row>
    <row r="24735" spans="13:13">
      <c r="M24735" s="202"/>
    </row>
    <row r="24736" spans="13:13">
      <c r="M24736" s="202"/>
    </row>
    <row r="24737" spans="13:13">
      <c r="M24737" s="202"/>
    </row>
    <row r="24738" spans="13:13">
      <c r="M24738" s="202"/>
    </row>
    <row r="24739" spans="13:13">
      <c r="M24739" s="202"/>
    </row>
    <row r="24740" spans="13:13">
      <c r="M24740" s="202"/>
    </row>
    <row r="24741" spans="13:13">
      <c r="M24741" s="202"/>
    </row>
    <row r="24742" spans="13:13">
      <c r="M24742" s="202"/>
    </row>
    <row r="24743" spans="13:13">
      <c r="M24743" s="202"/>
    </row>
    <row r="24744" spans="13:13">
      <c r="M24744" s="202"/>
    </row>
    <row r="24745" spans="13:13">
      <c r="M24745" s="202"/>
    </row>
    <row r="24746" spans="13:13">
      <c r="M24746" s="202"/>
    </row>
    <row r="24747" spans="13:13">
      <c r="M24747" s="202"/>
    </row>
    <row r="24748" spans="13:13">
      <c r="M24748" s="202"/>
    </row>
    <row r="24749" spans="13:13">
      <c r="M24749" s="202"/>
    </row>
    <row r="24750" spans="13:13">
      <c r="M24750" s="202"/>
    </row>
    <row r="24751" spans="13:13">
      <c r="M24751" s="202"/>
    </row>
    <row r="24752" spans="13:13">
      <c r="M24752" s="202"/>
    </row>
    <row r="24753" spans="13:13">
      <c r="M24753" s="202"/>
    </row>
    <row r="24754" spans="13:13">
      <c r="M24754" s="202"/>
    </row>
    <row r="24755" spans="13:13">
      <c r="M24755" s="202"/>
    </row>
    <row r="24756" spans="13:13">
      <c r="M24756" s="202"/>
    </row>
    <row r="24757" spans="13:13">
      <c r="M24757" s="202"/>
    </row>
    <row r="24758" spans="13:13">
      <c r="M24758" s="202"/>
    </row>
    <row r="24759" spans="13:13">
      <c r="M24759" s="202"/>
    </row>
    <row r="24760" spans="13:13">
      <c r="M24760" s="202"/>
    </row>
    <row r="24761" spans="13:13">
      <c r="M24761" s="202"/>
    </row>
    <row r="24762" spans="13:13">
      <c r="M24762" s="202"/>
    </row>
    <row r="24763" spans="13:13">
      <c r="M24763" s="202"/>
    </row>
    <row r="24764" spans="13:13">
      <c r="M24764" s="202"/>
    </row>
    <row r="24765" spans="13:13">
      <c r="M24765" s="202"/>
    </row>
    <row r="24766" spans="13:13">
      <c r="M24766" s="202"/>
    </row>
    <row r="24767" spans="13:13">
      <c r="M24767" s="202"/>
    </row>
    <row r="24768" spans="13:13">
      <c r="M24768" s="202"/>
    </row>
    <row r="24769" spans="13:13">
      <c r="M24769" s="202"/>
    </row>
    <row r="24770" spans="13:13">
      <c r="M24770" s="202"/>
    </row>
    <row r="24771" spans="13:13">
      <c r="M24771" s="202"/>
    </row>
    <row r="24772" spans="13:13">
      <c r="M24772" s="202"/>
    </row>
    <row r="24773" spans="13:13">
      <c r="M24773" s="202"/>
    </row>
    <row r="24774" spans="13:13">
      <c r="M24774" s="202"/>
    </row>
    <row r="24775" spans="13:13">
      <c r="M24775" s="202"/>
    </row>
    <row r="24776" spans="13:13">
      <c r="M24776" s="202"/>
    </row>
    <row r="24777" spans="13:13">
      <c r="M24777" s="202"/>
    </row>
    <row r="24778" spans="13:13">
      <c r="M24778" s="202"/>
    </row>
    <row r="24779" spans="13:13">
      <c r="M24779" s="202"/>
    </row>
    <row r="24780" spans="13:13">
      <c r="M24780" s="202"/>
    </row>
    <row r="24781" spans="13:13">
      <c r="M24781" s="202"/>
    </row>
    <row r="24782" spans="13:13">
      <c r="M24782" s="202"/>
    </row>
    <row r="24783" spans="13:13">
      <c r="M24783" s="202"/>
    </row>
    <row r="24784" spans="13:13">
      <c r="M24784" s="202"/>
    </row>
    <row r="24785" spans="13:13">
      <c r="M24785" s="202"/>
    </row>
    <row r="24786" spans="13:13">
      <c r="M24786" s="202"/>
    </row>
    <row r="24787" spans="13:13">
      <c r="M24787" s="202"/>
    </row>
    <row r="24788" spans="13:13">
      <c r="M24788" s="202"/>
    </row>
    <row r="24789" spans="13:13">
      <c r="M24789" s="202"/>
    </row>
    <row r="24790" spans="13:13">
      <c r="M24790" s="202"/>
    </row>
    <row r="24791" spans="13:13">
      <c r="M24791" s="202"/>
    </row>
    <row r="24792" spans="13:13">
      <c r="M24792" s="202"/>
    </row>
    <row r="24793" spans="13:13">
      <c r="M24793" s="202"/>
    </row>
    <row r="24794" spans="13:13">
      <c r="M24794" s="202"/>
    </row>
    <row r="24795" spans="13:13">
      <c r="M24795" s="202"/>
    </row>
    <row r="24796" spans="13:13">
      <c r="M24796" s="202"/>
    </row>
    <row r="24797" spans="13:13">
      <c r="M24797" s="202"/>
    </row>
    <row r="24798" spans="13:13">
      <c r="M24798" s="202"/>
    </row>
    <row r="24799" spans="13:13">
      <c r="M24799" s="202"/>
    </row>
    <row r="24800" spans="13:13">
      <c r="M24800" s="202"/>
    </row>
    <row r="24801" spans="13:13">
      <c r="M24801" s="202"/>
    </row>
    <row r="24802" spans="13:13">
      <c r="M24802" s="202"/>
    </row>
    <row r="24803" spans="13:13">
      <c r="M24803" s="202"/>
    </row>
    <row r="24804" spans="13:13">
      <c r="M24804" s="202"/>
    </row>
    <row r="24805" spans="13:13">
      <c r="M24805" s="202"/>
    </row>
    <row r="24806" spans="13:13">
      <c r="M24806" s="202"/>
    </row>
    <row r="24807" spans="13:13">
      <c r="M24807" s="202"/>
    </row>
    <row r="24808" spans="13:13">
      <c r="M24808" s="202"/>
    </row>
    <row r="24809" spans="13:13">
      <c r="M24809" s="202"/>
    </row>
    <row r="24810" spans="13:13">
      <c r="M24810" s="202"/>
    </row>
    <row r="24811" spans="13:13">
      <c r="M24811" s="202"/>
    </row>
    <row r="24812" spans="13:13">
      <c r="M24812" s="202"/>
    </row>
    <row r="24813" spans="13:13">
      <c r="M24813" s="202"/>
    </row>
    <row r="24814" spans="13:13">
      <c r="M24814" s="202"/>
    </row>
    <row r="24815" spans="13:13">
      <c r="M24815" s="202"/>
    </row>
    <row r="24816" spans="13:13">
      <c r="M24816" s="202"/>
    </row>
    <row r="24817" spans="13:13">
      <c r="M24817" s="202"/>
    </row>
    <row r="24818" spans="13:13">
      <c r="M24818" s="202"/>
    </row>
    <row r="24819" spans="13:13">
      <c r="M24819" s="202"/>
    </row>
    <row r="24820" spans="13:13">
      <c r="M24820" s="202"/>
    </row>
    <row r="24821" spans="13:13">
      <c r="M24821" s="202"/>
    </row>
    <row r="24822" spans="13:13">
      <c r="M24822" s="202"/>
    </row>
    <row r="24823" spans="13:13">
      <c r="M24823" s="202"/>
    </row>
    <row r="24824" spans="13:13">
      <c r="M24824" s="202"/>
    </row>
    <row r="24825" spans="13:13">
      <c r="M24825" s="202"/>
    </row>
    <row r="24826" spans="13:13">
      <c r="M24826" s="202"/>
    </row>
    <row r="24827" spans="13:13">
      <c r="M24827" s="202"/>
    </row>
    <row r="24828" spans="13:13">
      <c r="M24828" s="202"/>
    </row>
    <row r="24829" spans="13:13">
      <c r="M24829" s="202"/>
    </row>
    <row r="24830" spans="13:13">
      <c r="M24830" s="202"/>
    </row>
    <row r="24831" spans="13:13">
      <c r="M24831" s="202"/>
    </row>
    <row r="24832" spans="13:13">
      <c r="M24832" s="202"/>
    </row>
    <row r="24833" spans="13:13">
      <c r="M24833" s="202"/>
    </row>
    <row r="24834" spans="13:13">
      <c r="M24834" s="202"/>
    </row>
    <row r="24835" spans="13:13">
      <c r="M24835" s="202"/>
    </row>
    <row r="24836" spans="13:13">
      <c r="M24836" s="202"/>
    </row>
    <row r="24837" spans="13:13">
      <c r="M24837" s="202"/>
    </row>
    <row r="24838" spans="13:13">
      <c r="M24838" s="202"/>
    </row>
    <row r="24839" spans="13:13">
      <c r="M24839" s="202"/>
    </row>
    <row r="24840" spans="13:13">
      <c r="M24840" s="202"/>
    </row>
    <row r="24841" spans="13:13">
      <c r="M24841" s="202"/>
    </row>
    <row r="24842" spans="13:13">
      <c r="M24842" s="202"/>
    </row>
    <row r="24843" spans="13:13">
      <c r="M24843" s="202"/>
    </row>
    <row r="24844" spans="13:13">
      <c r="M24844" s="202"/>
    </row>
    <row r="24845" spans="13:13">
      <c r="M24845" s="202"/>
    </row>
    <row r="24846" spans="13:13">
      <c r="M24846" s="202"/>
    </row>
    <row r="24847" spans="13:13">
      <c r="M24847" s="202"/>
    </row>
    <row r="24848" spans="13:13">
      <c r="M24848" s="202"/>
    </row>
    <row r="24849" spans="13:13">
      <c r="M24849" s="202"/>
    </row>
    <row r="24850" spans="13:13">
      <c r="M24850" s="202"/>
    </row>
    <row r="24851" spans="13:13">
      <c r="M24851" s="202"/>
    </row>
    <row r="24852" spans="13:13">
      <c r="M24852" s="202"/>
    </row>
    <row r="24853" spans="13:13">
      <c r="M24853" s="202"/>
    </row>
    <row r="24854" spans="13:13">
      <c r="M24854" s="202"/>
    </row>
    <row r="24855" spans="13:13">
      <c r="M24855" s="202"/>
    </row>
    <row r="24856" spans="13:13">
      <c r="M24856" s="202"/>
    </row>
    <row r="24857" spans="13:13">
      <c r="M24857" s="202"/>
    </row>
    <row r="24858" spans="13:13">
      <c r="M24858" s="202"/>
    </row>
    <row r="24859" spans="13:13">
      <c r="M24859" s="202"/>
    </row>
    <row r="24860" spans="13:13">
      <c r="M24860" s="202"/>
    </row>
    <row r="24861" spans="13:13">
      <c r="M24861" s="202"/>
    </row>
    <row r="24862" spans="13:13">
      <c r="M24862" s="202"/>
    </row>
    <row r="24863" spans="13:13">
      <c r="M24863" s="202"/>
    </row>
    <row r="24864" spans="13:13">
      <c r="M24864" s="202"/>
    </row>
    <row r="24865" spans="13:13">
      <c r="M24865" s="202"/>
    </row>
    <row r="24866" spans="13:13">
      <c r="M24866" s="202"/>
    </row>
    <row r="24867" spans="13:13">
      <c r="M24867" s="202"/>
    </row>
    <row r="24868" spans="13:13">
      <c r="M24868" s="202"/>
    </row>
    <row r="24869" spans="13:13">
      <c r="M24869" s="202"/>
    </row>
    <row r="24870" spans="13:13">
      <c r="M24870" s="202"/>
    </row>
    <row r="24871" spans="13:13">
      <c r="M24871" s="202"/>
    </row>
    <row r="24872" spans="13:13">
      <c r="M24872" s="202"/>
    </row>
    <row r="24873" spans="13:13">
      <c r="M24873" s="202"/>
    </row>
    <row r="24874" spans="13:13">
      <c r="M24874" s="202"/>
    </row>
    <row r="24875" spans="13:13">
      <c r="M24875" s="202"/>
    </row>
    <row r="24876" spans="13:13">
      <c r="M24876" s="202"/>
    </row>
    <row r="24877" spans="13:13">
      <c r="M24877" s="202"/>
    </row>
    <row r="24878" spans="13:13">
      <c r="M24878" s="202"/>
    </row>
    <row r="24879" spans="13:13">
      <c r="M24879" s="202"/>
    </row>
    <row r="24880" spans="13:13">
      <c r="M24880" s="202"/>
    </row>
    <row r="24881" spans="13:13">
      <c r="M24881" s="202"/>
    </row>
    <row r="24882" spans="13:13">
      <c r="M24882" s="202"/>
    </row>
    <row r="24883" spans="13:13">
      <c r="M24883" s="202"/>
    </row>
    <row r="24884" spans="13:13">
      <c r="M24884" s="202"/>
    </row>
    <row r="24885" spans="13:13">
      <c r="M24885" s="202"/>
    </row>
    <row r="24886" spans="13:13">
      <c r="M24886" s="202"/>
    </row>
    <row r="24887" spans="13:13">
      <c r="M24887" s="202"/>
    </row>
    <row r="24888" spans="13:13">
      <c r="M24888" s="202"/>
    </row>
    <row r="24889" spans="13:13">
      <c r="M24889" s="202"/>
    </row>
    <row r="24890" spans="13:13">
      <c r="M24890" s="202"/>
    </row>
    <row r="24891" spans="13:13">
      <c r="M24891" s="202"/>
    </row>
    <row r="24892" spans="13:13">
      <c r="M24892" s="202"/>
    </row>
    <row r="24893" spans="13:13">
      <c r="M24893" s="202"/>
    </row>
    <row r="24894" spans="13:13">
      <c r="M24894" s="202"/>
    </row>
    <row r="24895" spans="13:13">
      <c r="M24895" s="202"/>
    </row>
    <row r="24896" spans="13:13">
      <c r="M24896" s="202"/>
    </row>
    <row r="24897" spans="13:13">
      <c r="M24897" s="202"/>
    </row>
    <row r="24898" spans="13:13">
      <c r="M24898" s="202"/>
    </row>
    <row r="24899" spans="13:13">
      <c r="M24899" s="202"/>
    </row>
    <row r="24900" spans="13:13">
      <c r="M24900" s="202"/>
    </row>
    <row r="24901" spans="13:13">
      <c r="M24901" s="202"/>
    </row>
    <row r="24902" spans="13:13">
      <c r="M24902" s="202"/>
    </row>
    <row r="24903" spans="13:13">
      <c r="M24903" s="202"/>
    </row>
    <row r="24904" spans="13:13">
      <c r="M24904" s="202"/>
    </row>
    <row r="24905" spans="13:13">
      <c r="M24905" s="202"/>
    </row>
    <row r="24906" spans="13:13">
      <c r="M24906" s="202"/>
    </row>
    <row r="24907" spans="13:13">
      <c r="M24907" s="202"/>
    </row>
    <row r="24908" spans="13:13">
      <c r="M24908" s="202"/>
    </row>
    <row r="24909" spans="13:13">
      <c r="M24909" s="202"/>
    </row>
    <row r="24910" spans="13:13">
      <c r="M24910" s="202"/>
    </row>
    <row r="24911" spans="13:13">
      <c r="M24911" s="202"/>
    </row>
    <row r="24912" spans="13:13">
      <c r="M24912" s="202"/>
    </row>
    <row r="24913" spans="13:13">
      <c r="M24913" s="202"/>
    </row>
    <row r="24914" spans="13:13">
      <c r="M24914" s="202"/>
    </row>
    <row r="24915" spans="13:13">
      <c r="M24915" s="202"/>
    </row>
    <row r="24916" spans="13:13">
      <c r="M24916" s="202"/>
    </row>
    <row r="24917" spans="13:13">
      <c r="M24917" s="202"/>
    </row>
    <row r="24918" spans="13:13">
      <c r="M24918" s="202"/>
    </row>
    <row r="24919" spans="13:13">
      <c r="M24919" s="202"/>
    </row>
    <row r="24920" spans="13:13">
      <c r="M24920" s="202"/>
    </row>
    <row r="24921" spans="13:13">
      <c r="M24921" s="202"/>
    </row>
    <row r="24922" spans="13:13">
      <c r="M24922" s="202"/>
    </row>
    <row r="24923" spans="13:13">
      <c r="M24923" s="202"/>
    </row>
    <row r="24924" spans="13:13">
      <c r="M24924" s="202"/>
    </row>
    <row r="24925" spans="13:13">
      <c r="M24925" s="202"/>
    </row>
    <row r="24926" spans="13:13">
      <c r="M24926" s="202"/>
    </row>
    <row r="24927" spans="13:13">
      <c r="M24927" s="202"/>
    </row>
    <row r="24928" spans="13:13">
      <c r="M24928" s="202"/>
    </row>
    <row r="24929" spans="13:13">
      <c r="M24929" s="202"/>
    </row>
    <row r="24930" spans="13:13">
      <c r="M24930" s="202"/>
    </row>
    <row r="24931" spans="13:13">
      <c r="M24931" s="202"/>
    </row>
    <row r="24932" spans="13:13">
      <c r="M24932" s="202"/>
    </row>
    <row r="24933" spans="13:13">
      <c r="M24933" s="202"/>
    </row>
    <row r="24934" spans="13:13">
      <c r="M24934" s="202"/>
    </row>
    <row r="24935" spans="13:13">
      <c r="M24935" s="202"/>
    </row>
    <row r="24936" spans="13:13">
      <c r="M24936" s="202"/>
    </row>
    <row r="24937" spans="13:13">
      <c r="M24937" s="202"/>
    </row>
    <row r="24938" spans="13:13">
      <c r="M24938" s="202"/>
    </row>
    <row r="24939" spans="13:13">
      <c r="M24939" s="202"/>
    </row>
    <row r="24940" spans="13:13">
      <c r="M24940" s="202"/>
    </row>
    <row r="24941" spans="13:13">
      <c r="M24941" s="202"/>
    </row>
    <row r="24942" spans="13:13">
      <c r="M24942" s="202"/>
    </row>
    <row r="24943" spans="13:13">
      <c r="M24943" s="202"/>
    </row>
    <row r="24944" spans="13:13">
      <c r="M24944" s="202"/>
    </row>
    <row r="24945" spans="13:13">
      <c r="M24945" s="202"/>
    </row>
    <row r="24946" spans="13:13">
      <c r="M24946" s="202"/>
    </row>
    <row r="24947" spans="13:13">
      <c r="M24947" s="202"/>
    </row>
    <row r="24948" spans="13:13">
      <c r="M24948" s="202"/>
    </row>
    <row r="24949" spans="13:13">
      <c r="M24949" s="202"/>
    </row>
    <row r="24950" spans="13:13">
      <c r="M24950" s="202"/>
    </row>
    <row r="24951" spans="13:13">
      <c r="M24951" s="202"/>
    </row>
    <row r="24952" spans="13:13">
      <c r="M24952" s="202"/>
    </row>
    <row r="24953" spans="13:13">
      <c r="M24953" s="202"/>
    </row>
    <row r="24954" spans="13:13">
      <c r="M24954" s="202"/>
    </row>
    <row r="24955" spans="13:13">
      <c r="M24955" s="202"/>
    </row>
    <row r="24956" spans="13:13">
      <c r="M24956" s="202"/>
    </row>
    <row r="24957" spans="13:13">
      <c r="M24957" s="202"/>
    </row>
    <row r="24958" spans="13:13">
      <c r="M24958" s="202"/>
    </row>
    <row r="24959" spans="13:13">
      <c r="M24959" s="202"/>
    </row>
    <row r="24960" spans="13:13">
      <c r="M24960" s="202"/>
    </row>
    <row r="24961" spans="13:13">
      <c r="M24961" s="202"/>
    </row>
    <row r="24962" spans="13:13">
      <c r="M24962" s="202"/>
    </row>
    <row r="24963" spans="13:13">
      <c r="M24963" s="202"/>
    </row>
    <row r="24964" spans="13:13">
      <c r="M24964" s="202"/>
    </row>
    <row r="24965" spans="13:13">
      <c r="M24965" s="202"/>
    </row>
    <row r="24966" spans="13:13">
      <c r="M24966" s="202"/>
    </row>
    <row r="24967" spans="13:13">
      <c r="M24967" s="202"/>
    </row>
    <row r="24968" spans="13:13">
      <c r="M24968" s="202"/>
    </row>
    <row r="24969" spans="13:13">
      <c r="M24969" s="202"/>
    </row>
    <row r="24970" spans="13:13">
      <c r="M24970" s="202"/>
    </row>
    <row r="24971" spans="13:13">
      <c r="M24971" s="202"/>
    </row>
    <row r="24972" spans="13:13">
      <c r="M24972" s="202"/>
    </row>
    <row r="24973" spans="13:13">
      <c r="M24973" s="202"/>
    </row>
    <row r="24974" spans="13:13">
      <c r="M24974" s="202"/>
    </row>
    <row r="24975" spans="13:13">
      <c r="M24975" s="202"/>
    </row>
    <row r="24976" spans="13:13">
      <c r="M24976" s="202"/>
    </row>
    <row r="24977" spans="13:13">
      <c r="M24977" s="202"/>
    </row>
    <row r="24978" spans="13:13">
      <c r="M24978" s="202"/>
    </row>
    <row r="24979" spans="13:13">
      <c r="M24979" s="202"/>
    </row>
    <row r="24980" spans="13:13">
      <c r="M24980" s="202"/>
    </row>
    <row r="24981" spans="13:13">
      <c r="M24981" s="202"/>
    </row>
    <row r="24982" spans="13:13">
      <c r="M24982" s="202"/>
    </row>
    <row r="24983" spans="13:13">
      <c r="M24983" s="202"/>
    </row>
    <row r="24984" spans="13:13">
      <c r="M24984" s="202"/>
    </row>
    <row r="24985" spans="13:13">
      <c r="M24985" s="202"/>
    </row>
    <row r="24986" spans="13:13">
      <c r="M24986" s="202"/>
    </row>
    <row r="24987" spans="13:13">
      <c r="M24987" s="202"/>
    </row>
    <row r="24988" spans="13:13">
      <c r="M24988" s="202"/>
    </row>
    <row r="24989" spans="13:13">
      <c r="M24989" s="202"/>
    </row>
    <row r="24990" spans="13:13">
      <c r="M24990" s="202"/>
    </row>
    <row r="24991" spans="13:13">
      <c r="M24991" s="202"/>
    </row>
    <row r="24992" spans="13:13">
      <c r="M24992" s="202"/>
    </row>
    <row r="24993" spans="13:13">
      <c r="M24993" s="202"/>
    </row>
    <row r="24994" spans="13:13">
      <c r="M24994" s="202"/>
    </row>
    <row r="24995" spans="13:13">
      <c r="M24995" s="202"/>
    </row>
    <row r="24996" spans="13:13">
      <c r="M24996" s="202"/>
    </row>
    <row r="24997" spans="13:13">
      <c r="M24997" s="202"/>
    </row>
    <row r="24998" spans="13:13">
      <c r="M24998" s="202"/>
    </row>
    <row r="24999" spans="13:13">
      <c r="M24999" s="202"/>
    </row>
    <row r="25000" spans="13:13">
      <c r="M25000" s="202"/>
    </row>
    <row r="25001" spans="13:13">
      <c r="M25001" s="202"/>
    </row>
    <row r="25002" spans="13:13">
      <c r="M25002" s="202"/>
    </row>
    <row r="25003" spans="13:13">
      <c r="M25003" s="202"/>
    </row>
    <row r="25004" spans="13:13">
      <c r="M25004" s="202"/>
    </row>
    <row r="25005" spans="13:13">
      <c r="M25005" s="202"/>
    </row>
    <row r="25006" spans="13:13">
      <c r="M25006" s="202"/>
    </row>
    <row r="25007" spans="13:13">
      <c r="M25007" s="202"/>
    </row>
    <row r="25008" spans="13:13">
      <c r="M25008" s="202"/>
    </row>
    <row r="25009" spans="13:13">
      <c r="M25009" s="202"/>
    </row>
    <row r="25010" spans="13:13">
      <c r="M25010" s="202"/>
    </row>
    <row r="25011" spans="13:13">
      <c r="M25011" s="202"/>
    </row>
    <row r="25012" spans="13:13">
      <c r="M25012" s="202"/>
    </row>
    <row r="25013" spans="13:13">
      <c r="M25013" s="202"/>
    </row>
    <row r="25014" spans="13:13">
      <c r="M25014" s="202"/>
    </row>
    <row r="25015" spans="13:13">
      <c r="M25015" s="202"/>
    </row>
    <row r="25016" spans="13:13">
      <c r="M25016" s="202"/>
    </row>
    <row r="25017" spans="13:13">
      <c r="M25017" s="202"/>
    </row>
    <row r="25018" spans="13:13">
      <c r="M25018" s="202"/>
    </row>
    <row r="25019" spans="13:13">
      <c r="M25019" s="202"/>
    </row>
    <row r="25020" spans="13:13">
      <c r="M25020" s="202"/>
    </row>
    <row r="25021" spans="13:13">
      <c r="M25021" s="202"/>
    </row>
    <row r="25022" spans="13:13">
      <c r="M25022" s="202"/>
    </row>
    <row r="25023" spans="13:13">
      <c r="M25023" s="202"/>
    </row>
    <row r="25024" spans="13:13">
      <c r="M25024" s="202"/>
    </row>
    <row r="25025" spans="13:13">
      <c r="M25025" s="202"/>
    </row>
    <row r="25026" spans="13:13">
      <c r="M25026" s="202"/>
    </row>
    <row r="25027" spans="13:13">
      <c r="M25027" s="202"/>
    </row>
    <row r="25028" spans="13:13">
      <c r="M25028" s="202"/>
    </row>
    <row r="25029" spans="13:13">
      <c r="M25029" s="202"/>
    </row>
    <row r="25030" spans="13:13">
      <c r="M25030" s="202"/>
    </row>
    <row r="25031" spans="13:13">
      <c r="M25031" s="202"/>
    </row>
    <row r="25032" spans="13:13">
      <c r="M25032" s="202"/>
    </row>
    <row r="25033" spans="13:13">
      <c r="M25033" s="202"/>
    </row>
    <row r="25034" spans="13:13">
      <c r="M25034" s="202"/>
    </row>
    <row r="25035" spans="13:13">
      <c r="M25035" s="202"/>
    </row>
    <row r="25036" spans="13:13">
      <c r="M25036" s="202"/>
    </row>
    <row r="25037" spans="13:13">
      <c r="M25037" s="202"/>
    </row>
    <row r="25038" spans="13:13">
      <c r="M25038" s="202"/>
    </row>
    <row r="25039" spans="13:13">
      <c r="M25039" s="202"/>
    </row>
    <row r="25040" spans="13:13">
      <c r="M25040" s="202"/>
    </row>
    <row r="25041" spans="13:13">
      <c r="M25041" s="202"/>
    </row>
    <row r="25042" spans="13:13">
      <c r="M25042" s="202"/>
    </row>
    <row r="25043" spans="13:13">
      <c r="M25043" s="202"/>
    </row>
    <row r="25044" spans="13:13">
      <c r="M25044" s="202"/>
    </row>
    <row r="25045" spans="13:13">
      <c r="M25045" s="202"/>
    </row>
    <row r="25046" spans="13:13">
      <c r="M25046" s="202"/>
    </row>
    <row r="25047" spans="13:13">
      <c r="M25047" s="202"/>
    </row>
    <row r="25048" spans="13:13">
      <c r="M25048" s="202"/>
    </row>
    <row r="25049" spans="13:13">
      <c r="M25049" s="202"/>
    </row>
    <row r="25050" spans="13:13">
      <c r="M25050" s="202"/>
    </row>
    <row r="25051" spans="13:13">
      <c r="M25051" s="202"/>
    </row>
    <row r="25052" spans="13:13">
      <c r="M25052" s="202"/>
    </row>
    <row r="25053" spans="13:13">
      <c r="M25053" s="202"/>
    </row>
    <row r="25054" spans="13:13">
      <c r="M25054" s="202"/>
    </row>
    <row r="25055" spans="13:13">
      <c r="M25055" s="202"/>
    </row>
    <row r="25056" spans="13:13">
      <c r="M25056" s="202"/>
    </row>
    <row r="25057" spans="13:13">
      <c r="M25057" s="202"/>
    </row>
    <row r="25058" spans="13:13">
      <c r="M25058" s="202"/>
    </row>
    <row r="25059" spans="13:13">
      <c r="M25059" s="202"/>
    </row>
    <row r="25060" spans="13:13">
      <c r="M25060" s="202"/>
    </row>
    <row r="25061" spans="13:13">
      <c r="M25061" s="202"/>
    </row>
    <row r="25062" spans="13:13">
      <c r="M25062" s="202"/>
    </row>
    <row r="25063" spans="13:13">
      <c r="M25063" s="202"/>
    </row>
    <row r="25064" spans="13:13">
      <c r="M25064" s="202"/>
    </row>
    <row r="25065" spans="13:13">
      <c r="M25065" s="202"/>
    </row>
    <row r="25066" spans="13:13">
      <c r="M25066" s="202"/>
    </row>
    <row r="25067" spans="13:13">
      <c r="M25067" s="202"/>
    </row>
    <row r="25068" spans="13:13">
      <c r="M25068" s="202"/>
    </row>
    <row r="25069" spans="13:13">
      <c r="M25069" s="202"/>
    </row>
    <row r="25070" spans="13:13">
      <c r="M25070" s="202"/>
    </row>
    <row r="25071" spans="13:13">
      <c r="M25071" s="202"/>
    </row>
    <row r="25072" spans="13:13">
      <c r="M25072" s="202"/>
    </row>
    <row r="25073" spans="13:13">
      <c r="M25073" s="202"/>
    </row>
    <row r="25074" spans="13:13">
      <c r="M25074" s="202"/>
    </row>
    <row r="25075" spans="13:13">
      <c r="M25075" s="202"/>
    </row>
    <row r="25076" spans="13:13">
      <c r="M25076" s="202"/>
    </row>
    <row r="25077" spans="13:13">
      <c r="M25077" s="202"/>
    </row>
    <row r="25078" spans="13:13">
      <c r="M25078" s="202"/>
    </row>
    <row r="25079" spans="13:13">
      <c r="M25079" s="202"/>
    </row>
    <row r="25080" spans="13:13">
      <c r="M25080" s="202"/>
    </row>
    <row r="25081" spans="13:13">
      <c r="M25081" s="202"/>
    </row>
    <row r="25082" spans="13:13">
      <c r="M25082" s="202"/>
    </row>
    <row r="25083" spans="13:13">
      <c r="M25083" s="202"/>
    </row>
    <row r="25084" spans="13:13">
      <c r="M25084" s="202"/>
    </row>
    <row r="25085" spans="13:13">
      <c r="M25085" s="202"/>
    </row>
    <row r="25086" spans="13:13">
      <c r="M25086" s="202"/>
    </row>
    <row r="25087" spans="13:13">
      <c r="M25087" s="202"/>
    </row>
    <row r="25088" spans="13:13">
      <c r="M25088" s="202"/>
    </row>
    <row r="25089" spans="13:13">
      <c r="M25089" s="202"/>
    </row>
    <row r="25090" spans="13:13">
      <c r="M25090" s="202"/>
    </row>
    <row r="25091" spans="13:13">
      <c r="M25091" s="202"/>
    </row>
    <row r="25092" spans="13:13">
      <c r="M25092" s="202"/>
    </row>
    <row r="25093" spans="13:13">
      <c r="M25093" s="202"/>
    </row>
    <row r="25094" spans="13:13">
      <c r="M25094" s="202"/>
    </row>
    <row r="25095" spans="13:13">
      <c r="M25095" s="202"/>
    </row>
    <row r="25096" spans="13:13">
      <c r="M25096" s="202"/>
    </row>
    <row r="25097" spans="13:13">
      <c r="M25097" s="202"/>
    </row>
    <row r="25098" spans="13:13">
      <c r="M25098" s="202"/>
    </row>
    <row r="25099" spans="13:13">
      <c r="M25099" s="202"/>
    </row>
    <row r="25100" spans="13:13">
      <c r="M25100" s="202"/>
    </row>
    <row r="25101" spans="13:13">
      <c r="M25101" s="202"/>
    </row>
    <row r="25102" spans="13:13">
      <c r="M25102" s="202"/>
    </row>
    <row r="25103" spans="13:13">
      <c r="M25103" s="202"/>
    </row>
    <row r="25104" spans="13:13">
      <c r="M25104" s="202"/>
    </row>
    <row r="25105" spans="13:13">
      <c r="M25105" s="202"/>
    </row>
    <row r="25106" spans="13:13">
      <c r="M25106" s="202"/>
    </row>
    <row r="25107" spans="13:13">
      <c r="M25107" s="202"/>
    </row>
    <row r="25108" spans="13:13">
      <c r="M25108" s="202"/>
    </row>
    <row r="25109" spans="13:13">
      <c r="M25109" s="202"/>
    </row>
    <row r="25110" spans="13:13">
      <c r="M25110" s="202"/>
    </row>
    <row r="25111" spans="13:13">
      <c r="M25111" s="202"/>
    </row>
    <row r="25112" spans="13:13">
      <c r="M25112" s="202"/>
    </row>
    <row r="25113" spans="13:13">
      <c r="M25113" s="202"/>
    </row>
    <row r="25114" spans="13:13">
      <c r="M25114" s="202"/>
    </row>
    <row r="25115" spans="13:13">
      <c r="M25115" s="202"/>
    </row>
    <row r="25116" spans="13:13">
      <c r="M25116" s="202"/>
    </row>
    <row r="25117" spans="13:13">
      <c r="M25117" s="202"/>
    </row>
    <row r="25118" spans="13:13">
      <c r="M25118" s="202"/>
    </row>
    <row r="25119" spans="13:13">
      <c r="M25119" s="202"/>
    </row>
    <row r="25120" spans="13:13">
      <c r="M25120" s="202"/>
    </row>
    <row r="25121" spans="13:13">
      <c r="M25121" s="202"/>
    </row>
    <row r="25122" spans="13:13">
      <c r="M25122" s="202"/>
    </row>
    <row r="25123" spans="13:13">
      <c r="M25123" s="202"/>
    </row>
    <row r="25124" spans="13:13">
      <c r="M25124" s="202"/>
    </row>
    <row r="25125" spans="13:13">
      <c r="M25125" s="202"/>
    </row>
    <row r="25126" spans="13:13">
      <c r="M25126" s="202"/>
    </row>
    <row r="25127" spans="13:13">
      <c r="M25127" s="202"/>
    </row>
    <row r="25128" spans="13:13">
      <c r="M25128" s="202"/>
    </row>
    <row r="25129" spans="13:13">
      <c r="M25129" s="202"/>
    </row>
    <row r="25130" spans="13:13">
      <c r="M25130" s="202"/>
    </row>
    <row r="25131" spans="13:13">
      <c r="M25131" s="202"/>
    </row>
    <row r="25132" spans="13:13">
      <c r="M25132" s="202"/>
    </row>
    <row r="25133" spans="13:13">
      <c r="M25133" s="202"/>
    </row>
    <row r="25134" spans="13:13">
      <c r="M25134" s="202"/>
    </row>
    <row r="25135" spans="13:13">
      <c r="M25135" s="202"/>
    </row>
    <row r="25136" spans="13:13">
      <c r="M25136" s="202"/>
    </row>
    <row r="25137" spans="13:13">
      <c r="M25137" s="202"/>
    </row>
    <row r="25138" spans="13:13">
      <c r="M25138" s="202"/>
    </row>
    <row r="25139" spans="13:13">
      <c r="M25139" s="202"/>
    </row>
    <row r="25140" spans="13:13">
      <c r="M25140" s="202"/>
    </row>
    <row r="25141" spans="13:13">
      <c r="M25141" s="202"/>
    </row>
    <row r="25142" spans="13:13">
      <c r="M25142" s="202"/>
    </row>
    <row r="25143" spans="13:13">
      <c r="M25143" s="202"/>
    </row>
    <row r="25144" spans="13:13">
      <c r="M25144" s="202"/>
    </row>
    <row r="25145" spans="13:13">
      <c r="M25145" s="202"/>
    </row>
    <row r="25146" spans="13:13">
      <c r="M25146" s="202"/>
    </row>
    <row r="25147" spans="13:13">
      <c r="M25147" s="202"/>
    </row>
    <row r="25148" spans="13:13">
      <c r="M25148" s="202"/>
    </row>
    <row r="25149" spans="13:13">
      <c r="M25149" s="202"/>
    </row>
    <row r="25150" spans="13:13">
      <c r="M25150" s="202"/>
    </row>
    <row r="25151" spans="13:13">
      <c r="M25151" s="202"/>
    </row>
    <row r="25152" spans="13:13">
      <c r="M25152" s="202"/>
    </row>
    <row r="25153" spans="13:13">
      <c r="M25153" s="202"/>
    </row>
    <row r="25154" spans="13:13">
      <c r="M25154" s="202"/>
    </row>
    <row r="25155" spans="13:13">
      <c r="M25155" s="202"/>
    </row>
    <row r="25156" spans="13:13">
      <c r="M25156" s="202"/>
    </row>
    <row r="25157" spans="13:13">
      <c r="M25157" s="202"/>
    </row>
    <row r="25158" spans="13:13">
      <c r="M25158" s="202"/>
    </row>
    <row r="25159" spans="13:13">
      <c r="M25159" s="202"/>
    </row>
    <row r="25160" spans="13:13">
      <c r="M25160" s="202"/>
    </row>
    <row r="25161" spans="13:13">
      <c r="M25161" s="202"/>
    </row>
    <row r="25162" spans="13:13">
      <c r="M25162" s="202"/>
    </row>
    <row r="25163" spans="13:13">
      <c r="M25163" s="202"/>
    </row>
    <row r="25164" spans="13:13">
      <c r="M25164" s="202"/>
    </row>
    <row r="25165" spans="13:13">
      <c r="M25165" s="202"/>
    </row>
    <row r="25166" spans="13:13">
      <c r="M25166" s="202"/>
    </row>
    <row r="25167" spans="13:13">
      <c r="M25167" s="202"/>
    </row>
    <row r="25168" spans="13:13">
      <c r="M25168" s="202"/>
    </row>
    <row r="25169" spans="13:13">
      <c r="M25169" s="202"/>
    </row>
    <row r="25170" spans="13:13">
      <c r="M25170" s="202"/>
    </row>
    <row r="25171" spans="13:13">
      <c r="M25171" s="202"/>
    </row>
    <row r="25172" spans="13:13">
      <c r="M25172" s="202"/>
    </row>
    <row r="25173" spans="13:13">
      <c r="M25173" s="202"/>
    </row>
    <row r="25174" spans="13:13">
      <c r="M25174" s="202"/>
    </row>
    <row r="25175" spans="13:13">
      <c r="M25175" s="202"/>
    </row>
    <row r="25176" spans="13:13">
      <c r="M25176" s="202"/>
    </row>
    <row r="25177" spans="13:13">
      <c r="M25177" s="202"/>
    </row>
    <row r="25178" spans="13:13">
      <c r="M25178" s="202"/>
    </row>
    <row r="25179" spans="13:13">
      <c r="M25179" s="202"/>
    </row>
    <row r="25180" spans="13:13">
      <c r="M25180" s="202"/>
    </row>
    <row r="25181" spans="13:13">
      <c r="M25181" s="202"/>
    </row>
    <row r="25182" spans="13:13">
      <c r="M25182" s="202"/>
    </row>
    <row r="25183" spans="13:13">
      <c r="M25183" s="202"/>
    </row>
    <row r="25184" spans="13:13">
      <c r="M25184" s="202"/>
    </row>
    <row r="25185" spans="13:13">
      <c r="M25185" s="202"/>
    </row>
    <row r="25186" spans="13:13">
      <c r="M25186" s="202"/>
    </row>
    <row r="25187" spans="13:13">
      <c r="M25187" s="202"/>
    </row>
    <row r="25188" spans="13:13">
      <c r="M25188" s="202"/>
    </row>
    <row r="25189" spans="13:13">
      <c r="M25189" s="202"/>
    </row>
    <row r="25190" spans="13:13">
      <c r="M25190" s="202"/>
    </row>
    <row r="25191" spans="13:13">
      <c r="M25191" s="202"/>
    </row>
    <row r="25192" spans="13:13">
      <c r="M25192" s="202"/>
    </row>
    <row r="25193" spans="13:13">
      <c r="M25193" s="202"/>
    </row>
    <row r="25194" spans="13:13">
      <c r="M25194" s="202"/>
    </row>
    <row r="25195" spans="13:13">
      <c r="M25195" s="202"/>
    </row>
    <row r="25196" spans="13:13">
      <c r="M25196" s="202"/>
    </row>
    <row r="25197" spans="13:13">
      <c r="M25197" s="202"/>
    </row>
    <row r="25198" spans="13:13">
      <c r="M25198" s="202"/>
    </row>
    <row r="25199" spans="13:13">
      <c r="M25199" s="202"/>
    </row>
    <row r="25200" spans="13:13">
      <c r="M25200" s="202"/>
    </row>
    <row r="25201" spans="13:13">
      <c r="M25201" s="202"/>
    </row>
    <row r="25202" spans="13:13">
      <c r="M25202" s="202"/>
    </row>
    <row r="25203" spans="13:13">
      <c r="M25203" s="202"/>
    </row>
    <row r="25204" spans="13:13">
      <c r="M25204" s="202"/>
    </row>
    <row r="25205" spans="13:13">
      <c r="M25205" s="202"/>
    </row>
    <row r="25206" spans="13:13">
      <c r="M25206" s="202"/>
    </row>
    <row r="25207" spans="13:13">
      <c r="M25207" s="202"/>
    </row>
    <row r="25208" spans="13:13">
      <c r="M25208" s="202"/>
    </row>
    <row r="25209" spans="13:13">
      <c r="M25209" s="202"/>
    </row>
    <row r="25210" spans="13:13">
      <c r="M25210" s="202"/>
    </row>
    <row r="25211" spans="13:13">
      <c r="M25211" s="202"/>
    </row>
    <row r="25212" spans="13:13">
      <c r="M25212" s="202"/>
    </row>
    <row r="25213" spans="13:13">
      <c r="M25213" s="202"/>
    </row>
    <row r="25214" spans="13:13">
      <c r="M25214" s="202"/>
    </row>
    <row r="25215" spans="13:13">
      <c r="M25215" s="202"/>
    </row>
    <row r="25216" spans="13:13">
      <c r="M25216" s="202"/>
    </row>
    <row r="25217" spans="13:13">
      <c r="M25217" s="202"/>
    </row>
    <row r="25218" spans="13:13">
      <c r="M25218" s="202"/>
    </row>
    <row r="25219" spans="13:13">
      <c r="M25219" s="202"/>
    </row>
    <row r="25220" spans="13:13">
      <c r="M25220" s="202"/>
    </row>
    <row r="25221" spans="13:13">
      <c r="M25221" s="202"/>
    </row>
    <row r="25222" spans="13:13">
      <c r="M25222" s="202"/>
    </row>
    <row r="25223" spans="13:13">
      <c r="M25223" s="202"/>
    </row>
    <row r="25224" spans="13:13">
      <c r="M25224" s="202"/>
    </row>
    <row r="25225" spans="13:13">
      <c r="M25225" s="202"/>
    </row>
    <row r="25226" spans="13:13">
      <c r="M25226" s="202"/>
    </row>
    <row r="25227" spans="13:13">
      <c r="M25227" s="202"/>
    </row>
    <row r="25228" spans="13:13">
      <c r="M25228" s="202"/>
    </row>
    <row r="25229" spans="13:13">
      <c r="M25229" s="202"/>
    </row>
    <row r="25230" spans="13:13">
      <c r="M25230" s="202"/>
    </row>
    <row r="25231" spans="13:13">
      <c r="M25231" s="202"/>
    </row>
    <row r="25232" spans="13:13">
      <c r="M25232" s="202"/>
    </row>
    <row r="25233" spans="13:13">
      <c r="M25233" s="202"/>
    </row>
    <row r="25234" spans="13:13">
      <c r="M25234" s="202"/>
    </row>
    <row r="25235" spans="13:13">
      <c r="M25235" s="202"/>
    </row>
    <row r="25236" spans="13:13">
      <c r="M25236" s="202"/>
    </row>
    <row r="25237" spans="13:13">
      <c r="M25237" s="202"/>
    </row>
    <row r="25238" spans="13:13">
      <c r="M25238" s="202"/>
    </row>
    <row r="25239" spans="13:13">
      <c r="M25239" s="202"/>
    </row>
    <row r="25240" spans="13:13">
      <c r="M25240" s="202"/>
    </row>
    <row r="25241" spans="13:13">
      <c r="M25241" s="202"/>
    </row>
    <row r="25242" spans="13:13">
      <c r="M25242" s="202"/>
    </row>
    <row r="25243" spans="13:13">
      <c r="M25243" s="202"/>
    </row>
    <row r="25244" spans="13:13">
      <c r="M25244" s="202"/>
    </row>
    <row r="25245" spans="13:13">
      <c r="M25245" s="202"/>
    </row>
    <row r="25246" spans="13:13">
      <c r="M25246" s="202"/>
    </row>
    <row r="25247" spans="13:13">
      <c r="M25247" s="202"/>
    </row>
    <row r="25248" spans="13:13">
      <c r="M25248" s="202"/>
    </row>
    <row r="25249" spans="13:13">
      <c r="M25249" s="202"/>
    </row>
    <row r="25250" spans="13:13">
      <c r="M25250" s="202"/>
    </row>
    <row r="25251" spans="13:13">
      <c r="M25251" s="202"/>
    </row>
    <row r="25252" spans="13:13">
      <c r="M25252" s="202"/>
    </row>
    <row r="25253" spans="13:13">
      <c r="M25253" s="202"/>
    </row>
    <row r="25254" spans="13:13">
      <c r="M25254" s="202"/>
    </row>
    <row r="25255" spans="13:13">
      <c r="M25255" s="202"/>
    </row>
    <row r="25256" spans="13:13">
      <c r="M25256" s="202"/>
    </row>
    <row r="25257" spans="13:13">
      <c r="M25257" s="202"/>
    </row>
    <row r="25258" spans="13:13">
      <c r="M25258" s="202"/>
    </row>
    <row r="25259" spans="13:13">
      <c r="M25259" s="202"/>
    </row>
    <row r="25260" spans="13:13">
      <c r="M25260" s="202"/>
    </row>
    <row r="25261" spans="13:13">
      <c r="M25261" s="202"/>
    </row>
    <row r="25262" spans="13:13">
      <c r="M25262" s="202"/>
    </row>
    <row r="25263" spans="13:13">
      <c r="M25263" s="202"/>
    </row>
    <row r="25264" spans="13:13">
      <c r="M25264" s="202"/>
    </row>
    <row r="25265" spans="13:13">
      <c r="M25265" s="202"/>
    </row>
    <row r="25266" spans="13:13">
      <c r="M25266" s="202"/>
    </row>
    <row r="25267" spans="13:13">
      <c r="M25267" s="202"/>
    </row>
    <row r="25268" spans="13:13">
      <c r="M25268" s="202"/>
    </row>
    <row r="25269" spans="13:13">
      <c r="M25269" s="202"/>
    </row>
    <row r="25270" spans="13:13">
      <c r="M25270" s="202"/>
    </row>
    <row r="25271" spans="13:13">
      <c r="M25271" s="202"/>
    </row>
    <row r="25272" spans="13:13">
      <c r="M25272" s="202"/>
    </row>
    <row r="25273" spans="13:13">
      <c r="M25273" s="202"/>
    </row>
    <row r="25274" spans="13:13">
      <c r="M25274" s="202"/>
    </row>
    <row r="25275" spans="13:13">
      <c r="M25275" s="202"/>
    </row>
    <row r="25276" spans="13:13">
      <c r="M25276" s="202"/>
    </row>
    <row r="25277" spans="13:13">
      <c r="M25277" s="202"/>
    </row>
    <row r="25278" spans="13:13">
      <c r="M25278" s="202"/>
    </row>
    <row r="25279" spans="13:13">
      <c r="M25279" s="202"/>
    </row>
    <row r="25280" spans="13:13">
      <c r="M25280" s="202"/>
    </row>
    <row r="25281" spans="13:13">
      <c r="M25281" s="202"/>
    </row>
    <row r="25282" spans="13:13">
      <c r="M25282" s="202"/>
    </row>
    <row r="25283" spans="13:13">
      <c r="M25283" s="202"/>
    </row>
    <row r="25284" spans="13:13">
      <c r="M25284" s="202"/>
    </row>
    <row r="25285" spans="13:13">
      <c r="M25285" s="202"/>
    </row>
    <row r="25286" spans="13:13">
      <c r="M25286" s="202"/>
    </row>
    <row r="25287" spans="13:13">
      <c r="M25287" s="202"/>
    </row>
    <row r="25288" spans="13:13">
      <c r="M25288" s="202"/>
    </row>
    <row r="25289" spans="13:13">
      <c r="M25289" s="202"/>
    </row>
    <row r="25290" spans="13:13">
      <c r="M25290" s="202"/>
    </row>
    <row r="25291" spans="13:13">
      <c r="M25291" s="202"/>
    </row>
    <row r="25292" spans="13:13">
      <c r="M25292" s="202"/>
    </row>
    <row r="25293" spans="13:13">
      <c r="M25293" s="202"/>
    </row>
    <row r="25294" spans="13:13">
      <c r="M25294" s="202"/>
    </row>
    <row r="25295" spans="13:13">
      <c r="M25295" s="202"/>
    </row>
    <row r="25296" spans="13:13">
      <c r="M25296" s="202"/>
    </row>
    <row r="25297" spans="13:13">
      <c r="M25297" s="202"/>
    </row>
    <row r="25298" spans="13:13">
      <c r="M25298" s="202"/>
    </row>
    <row r="25299" spans="13:13">
      <c r="M25299" s="202"/>
    </row>
    <row r="25300" spans="13:13">
      <c r="M25300" s="202"/>
    </row>
    <row r="25301" spans="13:13">
      <c r="M25301" s="202"/>
    </row>
    <row r="25302" spans="13:13">
      <c r="M25302" s="202"/>
    </row>
    <row r="25303" spans="13:13">
      <c r="M25303" s="202"/>
    </row>
    <row r="25304" spans="13:13">
      <c r="M25304" s="202"/>
    </row>
    <row r="25305" spans="13:13">
      <c r="M25305" s="202"/>
    </row>
    <row r="25306" spans="13:13">
      <c r="M25306" s="202"/>
    </row>
    <row r="25307" spans="13:13">
      <c r="M25307" s="202"/>
    </row>
    <row r="25308" spans="13:13">
      <c r="M25308" s="202"/>
    </row>
    <row r="25309" spans="13:13">
      <c r="M25309" s="202"/>
    </row>
    <row r="25310" spans="13:13">
      <c r="M25310" s="202"/>
    </row>
    <row r="25311" spans="13:13">
      <c r="M25311" s="202"/>
    </row>
    <row r="25312" spans="13:13">
      <c r="M25312" s="202"/>
    </row>
    <row r="25313" spans="13:13">
      <c r="M25313" s="202"/>
    </row>
    <row r="25314" spans="13:13">
      <c r="M25314" s="202"/>
    </row>
    <row r="25315" spans="13:13">
      <c r="M25315" s="202"/>
    </row>
    <row r="25316" spans="13:13">
      <c r="M25316" s="202"/>
    </row>
    <row r="25317" spans="13:13">
      <c r="M25317" s="202"/>
    </row>
    <row r="25318" spans="13:13">
      <c r="M25318" s="202"/>
    </row>
    <row r="25319" spans="13:13">
      <c r="M25319" s="202"/>
    </row>
    <row r="25320" spans="13:13">
      <c r="M25320" s="202"/>
    </row>
    <row r="25321" spans="13:13">
      <c r="M25321" s="202"/>
    </row>
    <row r="25322" spans="13:13">
      <c r="M25322" s="202"/>
    </row>
    <row r="25323" spans="13:13">
      <c r="M25323" s="202"/>
    </row>
    <row r="25324" spans="13:13">
      <c r="M25324" s="202"/>
    </row>
    <row r="25325" spans="13:13">
      <c r="M25325" s="202"/>
    </row>
    <row r="25326" spans="13:13">
      <c r="M25326" s="202"/>
    </row>
    <row r="25327" spans="13:13">
      <c r="M25327" s="202"/>
    </row>
    <row r="25328" spans="13:13">
      <c r="M25328" s="202"/>
    </row>
    <row r="25329" spans="13:13">
      <c r="M25329" s="202"/>
    </row>
    <row r="25330" spans="13:13">
      <c r="M25330" s="202"/>
    </row>
    <row r="25331" spans="13:13">
      <c r="M25331" s="202"/>
    </row>
    <row r="25332" spans="13:13">
      <c r="M25332" s="202"/>
    </row>
    <row r="25333" spans="13:13">
      <c r="M25333" s="202"/>
    </row>
    <row r="25334" spans="13:13">
      <c r="M25334" s="202"/>
    </row>
    <row r="25335" spans="13:13">
      <c r="M25335" s="202"/>
    </row>
    <row r="25336" spans="13:13">
      <c r="M25336" s="202"/>
    </row>
    <row r="25337" spans="13:13">
      <c r="M25337" s="202"/>
    </row>
    <row r="25338" spans="13:13">
      <c r="M25338" s="202"/>
    </row>
    <row r="25339" spans="13:13">
      <c r="M25339" s="202"/>
    </row>
    <row r="25340" spans="13:13">
      <c r="M25340" s="202"/>
    </row>
    <row r="25341" spans="13:13">
      <c r="M25341" s="202"/>
    </row>
    <row r="25342" spans="13:13">
      <c r="M25342" s="202"/>
    </row>
    <row r="25343" spans="13:13">
      <c r="M25343" s="202"/>
    </row>
    <row r="25344" spans="13:13">
      <c r="M25344" s="202"/>
    </row>
    <row r="25345" spans="13:13">
      <c r="M25345" s="202"/>
    </row>
    <row r="25346" spans="13:13">
      <c r="M25346" s="202"/>
    </row>
    <row r="25347" spans="13:13">
      <c r="M25347" s="202"/>
    </row>
    <row r="25348" spans="13:13">
      <c r="M25348" s="202"/>
    </row>
    <row r="25349" spans="13:13">
      <c r="M25349" s="202"/>
    </row>
    <row r="25350" spans="13:13">
      <c r="M25350" s="202"/>
    </row>
    <row r="25351" spans="13:13">
      <c r="M25351" s="202"/>
    </row>
    <row r="25352" spans="13:13">
      <c r="M25352" s="202"/>
    </row>
    <row r="25353" spans="13:13">
      <c r="M25353" s="202"/>
    </row>
    <row r="25354" spans="13:13">
      <c r="M25354" s="202"/>
    </row>
    <row r="25355" spans="13:13">
      <c r="M25355" s="202"/>
    </row>
    <row r="25356" spans="13:13">
      <c r="M25356" s="202"/>
    </row>
    <row r="25357" spans="13:13">
      <c r="M25357" s="202"/>
    </row>
    <row r="25358" spans="13:13">
      <c r="M25358" s="202"/>
    </row>
    <row r="25359" spans="13:13">
      <c r="M25359" s="202"/>
    </row>
    <row r="25360" spans="13:13">
      <c r="M25360" s="202"/>
    </row>
    <row r="25361" spans="13:13">
      <c r="M25361" s="202"/>
    </row>
    <row r="25362" spans="13:13">
      <c r="M25362" s="202"/>
    </row>
    <row r="25363" spans="13:13">
      <c r="M25363" s="202"/>
    </row>
    <row r="25364" spans="13:13">
      <c r="M25364" s="202"/>
    </row>
    <row r="25365" spans="13:13">
      <c r="M25365" s="202"/>
    </row>
    <row r="25366" spans="13:13">
      <c r="M25366" s="202"/>
    </row>
    <row r="25367" spans="13:13">
      <c r="M25367" s="202"/>
    </row>
    <row r="25368" spans="13:13">
      <c r="M25368" s="202"/>
    </row>
    <row r="25369" spans="13:13">
      <c r="M25369" s="202"/>
    </row>
    <row r="25370" spans="13:13">
      <c r="M25370" s="202"/>
    </row>
    <row r="25371" spans="13:13">
      <c r="M25371" s="202"/>
    </row>
    <row r="25372" spans="13:13">
      <c r="M25372" s="202"/>
    </row>
    <row r="25373" spans="13:13">
      <c r="M25373" s="202"/>
    </row>
    <row r="25374" spans="13:13">
      <c r="M25374" s="202"/>
    </row>
    <row r="25375" spans="13:13">
      <c r="M25375" s="202"/>
    </row>
    <row r="25376" spans="13:13">
      <c r="M25376" s="202"/>
    </row>
    <row r="25377" spans="13:13">
      <c r="M25377" s="202"/>
    </row>
    <row r="25378" spans="13:13">
      <c r="M25378" s="202"/>
    </row>
    <row r="25379" spans="13:13">
      <c r="M25379" s="202"/>
    </row>
    <row r="25380" spans="13:13">
      <c r="M25380" s="202"/>
    </row>
    <row r="25381" spans="13:13">
      <c r="M25381" s="202"/>
    </row>
    <row r="25382" spans="13:13">
      <c r="M25382" s="202"/>
    </row>
    <row r="25383" spans="13:13">
      <c r="M25383" s="202"/>
    </row>
    <row r="25384" spans="13:13">
      <c r="M25384" s="202"/>
    </row>
    <row r="25385" spans="13:13">
      <c r="M25385" s="202"/>
    </row>
    <row r="25386" spans="13:13">
      <c r="M25386" s="202"/>
    </row>
    <row r="25387" spans="13:13">
      <c r="M25387" s="202"/>
    </row>
    <row r="25388" spans="13:13">
      <c r="M25388" s="202"/>
    </row>
    <row r="25389" spans="13:13">
      <c r="M25389" s="202"/>
    </row>
    <row r="25390" spans="13:13">
      <c r="M25390" s="202"/>
    </row>
    <row r="25391" spans="13:13">
      <c r="M25391" s="202"/>
    </row>
    <row r="25392" spans="13:13">
      <c r="M25392" s="202"/>
    </row>
    <row r="25393" spans="13:13">
      <c r="M25393" s="202"/>
    </row>
    <row r="25394" spans="13:13">
      <c r="M25394" s="202"/>
    </row>
    <row r="25395" spans="13:13">
      <c r="M25395" s="202"/>
    </row>
    <row r="25396" spans="13:13">
      <c r="M25396" s="202"/>
    </row>
    <row r="25397" spans="13:13">
      <c r="M25397" s="202"/>
    </row>
    <row r="25398" spans="13:13">
      <c r="M25398" s="202"/>
    </row>
    <row r="25399" spans="13:13">
      <c r="M25399" s="202"/>
    </row>
    <row r="25400" spans="13:13">
      <c r="M25400" s="202"/>
    </row>
    <row r="25401" spans="13:13">
      <c r="M25401" s="202"/>
    </row>
    <row r="25402" spans="13:13">
      <c r="M25402" s="202"/>
    </row>
    <row r="25403" spans="13:13">
      <c r="M25403" s="202"/>
    </row>
    <row r="25404" spans="13:13">
      <c r="M25404" s="202"/>
    </row>
    <row r="25405" spans="13:13">
      <c r="M25405" s="202"/>
    </row>
    <row r="25406" spans="13:13">
      <c r="M25406" s="202"/>
    </row>
    <row r="25407" spans="13:13">
      <c r="M25407" s="202"/>
    </row>
    <row r="25408" spans="13:13">
      <c r="M25408" s="202"/>
    </row>
    <row r="25409" spans="13:13">
      <c r="M25409" s="202"/>
    </row>
    <row r="25410" spans="13:13">
      <c r="M25410" s="202"/>
    </row>
    <row r="25411" spans="13:13">
      <c r="M25411" s="202"/>
    </row>
    <row r="25412" spans="13:13">
      <c r="M25412" s="202"/>
    </row>
    <row r="25413" spans="13:13">
      <c r="M25413" s="202"/>
    </row>
    <row r="25414" spans="13:13">
      <c r="M25414" s="202"/>
    </row>
    <row r="25415" spans="13:13">
      <c r="M25415" s="202"/>
    </row>
    <row r="25416" spans="13:13">
      <c r="M25416" s="202"/>
    </row>
    <row r="25417" spans="13:13">
      <c r="M25417" s="202"/>
    </row>
    <row r="25418" spans="13:13">
      <c r="M25418" s="202"/>
    </row>
    <row r="25419" spans="13:13">
      <c r="M25419" s="202"/>
    </row>
    <row r="25420" spans="13:13">
      <c r="M25420" s="202"/>
    </row>
    <row r="25421" spans="13:13">
      <c r="M25421" s="202"/>
    </row>
    <row r="25422" spans="13:13">
      <c r="M25422" s="202"/>
    </row>
    <row r="25423" spans="13:13">
      <c r="M25423" s="202"/>
    </row>
    <row r="25424" spans="13:13">
      <c r="M25424" s="202"/>
    </row>
    <row r="25425" spans="13:13">
      <c r="M25425" s="202"/>
    </row>
    <row r="25426" spans="13:13">
      <c r="M25426" s="202"/>
    </row>
    <row r="25427" spans="13:13">
      <c r="M25427" s="202"/>
    </row>
    <row r="25428" spans="13:13">
      <c r="M25428" s="202"/>
    </row>
    <row r="25429" spans="13:13">
      <c r="M25429" s="202"/>
    </row>
    <row r="25430" spans="13:13">
      <c r="M25430" s="202"/>
    </row>
    <row r="25431" spans="13:13">
      <c r="M25431" s="202"/>
    </row>
    <row r="25432" spans="13:13">
      <c r="M25432" s="202"/>
    </row>
    <row r="25433" spans="13:13">
      <c r="M25433" s="202"/>
    </row>
    <row r="25434" spans="13:13">
      <c r="M25434" s="202"/>
    </row>
    <row r="25435" spans="13:13">
      <c r="M25435" s="202"/>
    </row>
    <row r="25436" spans="13:13">
      <c r="M25436" s="202"/>
    </row>
    <row r="25437" spans="13:13">
      <c r="M25437" s="202"/>
    </row>
    <row r="25438" spans="13:13">
      <c r="M25438" s="202"/>
    </row>
    <row r="25439" spans="13:13">
      <c r="M25439" s="202"/>
    </row>
    <row r="25440" spans="13:13">
      <c r="M25440" s="202"/>
    </row>
    <row r="25441" spans="13:13">
      <c r="M25441" s="202"/>
    </row>
    <row r="25442" spans="13:13">
      <c r="M25442" s="202"/>
    </row>
    <row r="25443" spans="13:13">
      <c r="M25443" s="202"/>
    </row>
    <row r="25444" spans="13:13">
      <c r="M25444" s="202"/>
    </row>
    <row r="25445" spans="13:13">
      <c r="M25445" s="202"/>
    </row>
    <row r="25446" spans="13:13">
      <c r="M25446" s="202"/>
    </row>
    <row r="25447" spans="13:13">
      <c r="M25447" s="202"/>
    </row>
    <row r="25448" spans="13:13">
      <c r="M25448" s="202"/>
    </row>
    <row r="25449" spans="13:13">
      <c r="M25449" s="202"/>
    </row>
    <row r="25450" spans="13:13">
      <c r="M25450" s="202"/>
    </row>
    <row r="25451" spans="13:13">
      <c r="M25451" s="202"/>
    </row>
    <row r="25452" spans="13:13">
      <c r="M25452" s="202"/>
    </row>
    <row r="25453" spans="13:13">
      <c r="M25453" s="202"/>
    </row>
    <row r="25454" spans="13:13">
      <c r="M25454" s="202"/>
    </row>
    <row r="25455" spans="13:13">
      <c r="M25455" s="202"/>
    </row>
    <row r="25456" spans="13:13">
      <c r="M25456" s="202"/>
    </row>
    <row r="25457" spans="13:13">
      <c r="M25457" s="202"/>
    </row>
    <row r="25458" spans="13:13">
      <c r="M25458" s="202"/>
    </row>
    <row r="25459" spans="13:13">
      <c r="M25459" s="202"/>
    </row>
    <row r="25460" spans="13:13">
      <c r="M25460" s="202"/>
    </row>
    <row r="25461" spans="13:13">
      <c r="M25461" s="202"/>
    </row>
    <row r="25462" spans="13:13">
      <c r="M25462" s="202"/>
    </row>
    <row r="25463" spans="13:13">
      <c r="M25463" s="202"/>
    </row>
    <row r="25464" spans="13:13">
      <c r="M25464" s="202"/>
    </row>
    <row r="25465" spans="13:13">
      <c r="M25465" s="202"/>
    </row>
    <row r="25466" spans="13:13">
      <c r="M25466" s="202"/>
    </row>
    <row r="25467" spans="13:13">
      <c r="M25467" s="202"/>
    </row>
    <row r="25468" spans="13:13">
      <c r="M25468" s="202"/>
    </row>
    <row r="25469" spans="13:13">
      <c r="M25469" s="202"/>
    </row>
    <row r="25470" spans="13:13">
      <c r="M25470" s="202"/>
    </row>
    <row r="25471" spans="13:13">
      <c r="M25471" s="202"/>
    </row>
    <row r="25472" spans="13:13">
      <c r="M25472" s="202"/>
    </row>
    <row r="25473" spans="13:13">
      <c r="M25473" s="202"/>
    </row>
    <row r="25474" spans="13:13">
      <c r="M25474" s="202"/>
    </row>
    <row r="25475" spans="13:13">
      <c r="M25475" s="202"/>
    </row>
    <row r="25476" spans="13:13">
      <c r="M25476" s="202"/>
    </row>
    <row r="25477" spans="13:13">
      <c r="M25477" s="202"/>
    </row>
    <row r="25478" spans="13:13">
      <c r="M25478" s="202"/>
    </row>
    <row r="25479" spans="13:13">
      <c r="M25479" s="202"/>
    </row>
    <row r="25480" spans="13:13">
      <c r="M25480" s="202"/>
    </row>
    <row r="25481" spans="13:13">
      <c r="M25481" s="202"/>
    </row>
    <row r="25482" spans="13:13">
      <c r="M25482" s="202"/>
    </row>
    <row r="25483" spans="13:13">
      <c r="M25483" s="202"/>
    </row>
    <row r="25484" spans="13:13">
      <c r="M25484" s="202"/>
    </row>
    <row r="25485" spans="13:13">
      <c r="M25485" s="202"/>
    </row>
    <row r="25486" spans="13:13">
      <c r="M25486" s="202"/>
    </row>
    <row r="25487" spans="13:13">
      <c r="M25487" s="202"/>
    </row>
    <row r="25488" spans="13:13">
      <c r="M25488" s="202"/>
    </row>
    <row r="25489" spans="13:13">
      <c r="M25489" s="202"/>
    </row>
    <row r="25490" spans="13:13">
      <c r="M25490" s="202"/>
    </row>
    <row r="25491" spans="13:13">
      <c r="M25491" s="202"/>
    </row>
    <row r="25492" spans="13:13">
      <c r="M25492" s="202"/>
    </row>
    <row r="25493" spans="13:13">
      <c r="M25493" s="202"/>
    </row>
    <row r="25494" spans="13:13">
      <c r="M25494" s="202"/>
    </row>
    <row r="25495" spans="13:13">
      <c r="M25495" s="202"/>
    </row>
    <row r="25496" spans="13:13">
      <c r="M25496" s="202"/>
    </row>
    <row r="25497" spans="13:13">
      <c r="M25497" s="202"/>
    </row>
    <row r="25498" spans="13:13">
      <c r="M25498" s="202"/>
    </row>
    <row r="25499" spans="13:13">
      <c r="M25499" s="202"/>
    </row>
    <row r="25500" spans="13:13">
      <c r="M25500" s="202"/>
    </row>
    <row r="25501" spans="13:13">
      <c r="M25501" s="202"/>
    </row>
    <row r="25502" spans="13:13">
      <c r="M25502" s="202"/>
    </row>
    <row r="25503" spans="13:13">
      <c r="M25503" s="202"/>
    </row>
    <row r="25504" spans="13:13">
      <c r="M25504" s="202"/>
    </row>
    <row r="25505" spans="13:13">
      <c r="M25505" s="202"/>
    </row>
    <row r="25506" spans="13:13">
      <c r="M25506" s="202"/>
    </row>
    <row r="25507" spans="13:13">
      <c r="M25507" s="202"/>
    </row>
    <row r="25508" spans="13:13">
      <c r="M25508" s="202"/>
    </row>
    <row r="25509" spans="13:13">
      <c r="M25509" s="202"/>
    </row>
    <row r="25510" spans="13:13">
      <c r="M25510" s="202"/>
    </row>
    <row r="25511" spans="13:13">
      <c r="M25511" s="202"/>
    </row>
    <row r="25512" spans="13:13">
      <c r="M25512" s="202"/>
    </row>
    <row r="25513" spans="13:13">
      <c r="M25513" s="202"/>
    </row>
    <row r="25514" spans="13:13">
      <c r="M25514" s="202"/>
    </row>
    <row r="25515" spans="13:13">
      <c r="M25515" s="202"/>
    </row>
    <row r="25516" spans="13:13">
      <c r="M25516" s="202"/>
    </row>
    <row r="25517" spans="13:13">
      <c r="M25517" s="202"/>
    </row>
    <row r="25518" spans="13:13">
      <c r="M25518" s="202"/>
    </row>
    <row r="25519" spans="13:13">
      <c r="M25519" s="202"/>
    </row>
    <row r="25520" spans="13:13">
      <c r="M25520" s="202"/>
    </row>
    <row r="25521" spans="13:13">
      <c r="M25521" s="202"/>
    </row>
    <row r="25522" spans="13:13">
      <c r="M25522" s="202"/>
    </row>
    <row r="25523" spans="13:13">
      <c r="M25523" s="202"/>
    </row>
    <row r="25524" spans="13:13">
      <c r="M25524" s="202"/>
    </row>
    <row r="25525" spans="13:13">
      <c r="M25525" s="202"/>
    </row>
    <row r="25526" spans="13:13">
      <c r="M25526" s="202"/>
    </row>
    <row r="25527" spans="13:13">
      <c r="M25527" s="202"/>
    </row>
    <row r="25528" spans="13:13">
      <c r="M25528" s="202"/>
    </row>
    <row r="25529" spans="13:13">
      <c r="M25529" s="202"/>
    </row>
    <row r="25530" spans="13:13">
      <c r="M25530" s="202"/>
    </row>
    <row r="25531" spans="13:13">
      <c r="M25531" s="202"/>
    </row>
    <row r="25532" spans="13:13">
      <c r="M25532" s="202"/>
    </row>
    <row r="25533" spans="13:13">
      <c r="M25533" s="202"/>
    </row>
    <row r="25534" spans="13:13">
      <c r="M25534" s="202"/>
    </row>
    <row r="25535" spans="13:13">
      <c r="M25535" s="202"/>
    </row>
    <row r="25536" spans="13:13">
      <c r="M25536" s="202"/>
    </row>
    <row r="25537" spans="13:13">
      <c r="M25537" s="202"/>
    </row>
    <row r="25538" spans="13:13">
      <c r="M25538" s="202"/>
    </row>
    <row r="25539" spans="13:13">
      <c r="M25539" s="202"/>
    </row>
    <row r="25540" spans="13:13">
      <c r="M25540" s="202"/>
    </row>
    <row r="25541" spans="13:13">
      <c r="M25541" s="202"/>
    </row>
    <row r="25542" spans="13:13">
      <c r="M25542" s="202"/>
    </row>
    <row r="25543" spans="13:13">
      <c r="M25543" s="202"/>
    </row>
    <row r="25544" spans="13:13">
      <c r="M25544" s="202"/>
    </row>
    <row r="25545" spans="13:13">
      <c r="M25545" s="202"/>
    </row>
    <row r="25546" spans="13:13">
      <c r="M25546" s="202"/>
    </row>
    <row r="25547" spans="13:13">
      <c r="M25547" s="202"/>
    </row>
    <row r="25548" spans="13:13">
      <c r="M25548" s="202"/>
    </row>
    <row r="25549" spans="13:13">
      <c r="M25549" s="202"/>
    </row>
    <row r="25550" spans="13:13">
      <c r="M25550" s="202"/>
    </row>
    <row r="25551" spans="13:13">
      <c r="M25551" s="202"/>
    </row>
    <row r="25552" spans="13:13">
      <c r="M25552" s="202"/>
    </row>
    <row r="25553" spans="13:13">
      <c r="M25553" s="202"/>
    </row>
    <row r="25554" spans="13:13">
      <c r="M25554" s="202"/>
    </row>
    <row r="25555" spans="13:13">
      <c r="M25555" s="202"/>
    </row>
    <row r="25556" spans="13:13">
      <c r="M25556" s="202"/>
    </row>
    <row r="25557" spans="13:13">
      <c r="M25557" s="202"/>
    </row>
    <row r="25558" spans="13:13">
      <c r="M25558" s="202"/>
    </row>
    <row r="25559" spans="13:13">
      <c r="M25559" s="202"/>
    </row>
    <row r="25560" spans="13:13">
      <c r="M25560" s="202"/>
    </row>
    <row r="25561" spans="13:13">
      <c r="M25561" s="202"/>
    </row>
    <row r="25562" spans="13:13">
      <c r="M25562" s="202"/>
    </row>
    <row r="25563" spans="13:13">
      <c r="M25563" s="202"/>
    </row>
    <row r="25564" spans="13:13">
      <c r="M25564" s="202"/>
    </row>
    <row r="25565" spans="13:13">
      <c r="M25565" s="202"/>
    </row>
    <row r="25566" spans="13:13">
      <c r="M25566" s="202"/>
    </row>
    <row r="25567" spans="13:13">
      <c r="M25567" s="202"/>
    </row>
    <row r="25568" spans="13:13">
      <c r="M25568" s="202"/>
    </row>
    <row r="25569" spans="13:13">
      <c r="M25569" s="202"/>
    </row>
    <row r="25570" spans="13:13">
      <c r="M25570" s="202"/>
    </row>
    <row r="25571" spans="13:13">
      <c r="M25571" s="202"/>
    </row>
    <row r="25572" spans="13:13">
      <c r="M25572" s="202"/>
    </row>
    <row r="25573" spans="13:13">
      <c r="M25573" s="202"/>
    </row>
    <row r="25574" spans="13:13">
      <c r="M25574" s="202"/>
    </row>
    <row r="25575" spans="13:13">
      <c r="M25575" s="202"/>
    </row>
    <row r="25576" spans="13:13">
      <c r="M25576" s="202"/>
    </row>
    <row r="25577" spans="13:13">
      <c r="M25577" s="202"/>
    </row>
    <row r="25578" spans="13:13">
      <c r="M25578" s="202"/>
    </row>
    <row r="25579" spans="13:13">
      <c r="M25579" s="202"/>
    </row>
    <row r="25580" spans="13:13">
      <c r="M25580" s="202"/>
    </row>
    <row r="25581" spans="13:13">
      <c r="M25581" s="202"/>
    </row>
    <row r="25582" spans="13:13">
      <c r="M25582" s="202"/>
    </row>
    <row r="25583" spans="13:13">
      <c r="M25583" s="202"/>
    </row>
    <row r="25584" spans="13:13">
      <c r="M25584" s="202"/>
    </row>
    <row r="25585" spans="13:13">
      <c r="M25585" s="202"/>
    </row>
    <row r="25586" spans="13:13">
      <c r="M25586" s="202"/>
    </row>
    <row r="25587" spans="13:13">
      <c r="M25587" s="202"/>
    </row>
    <row r="25588" spans="13:13">
      <c r="M25588" s="202"/>
    </row>
    <row r="25589" spans="13:13">
      <c r="M25589" s="202"/>
    </row>
    <row r="25590" spans="13:13">
      <c r="M25590" s="202"/>
    </row>
    <row r="25591" spans="13:13">
      <c r="M25591" s="202"/>
    </row>
    <row r="25592" spans="13:13">
      <c r="M25592" s="202"/>
    </row>
    <row r="25593" spans="13:13">
      <c r="M25593" s="202"/>
    </row>
    <row r="25594" spans="13:13">
      <c r="M25594" s="202"/>
    </row>
    <row r="25595" spans="13:13">
      <c r="M25595" s="202"/>
    </row>
    <row r="25596" spans="13:13">
      <c r="M25596" s="202"/>
    </row>
    <row r="25597" spans="13:13">
      <c r="M25597" s="202"/>
    </row>
    <row r="25598" spans="13:13">
      <c r="M25598" s="202"/>
    </row>
    <row r="25599" spans="13:13">
      <c r="M25599" s="202"/>
    </row>
    <row r="25600" spans="13:13">
      <c r="M25600" s="202"/>
    </row>
    <row r="25601" spans="13:13">
      <c r="M25601" s="202"/>
    </row>
    <row r="25602" spans="13:13">
      <c r="M25602" s="202"/>
    </row>
    <row r="25603" spans="13:13">
      <c r="M25603" s="202"/>
    </row>
    <row r="25604" spans="13:13">
      <c r="M25604" s="202"/>
    </row>
    <row r="25605" spans="13:13">
      <c r="M25605" s="202"/>
    </row>
    <row r="25606" spans="13:13">
      <c r="M25606" s="202"/>
    </row>
    <row r="25607" spans="13:13">
      <c r="M25607" s="202"/>
    </row>
    <row r="25608" spans="13:13">
      <c r="M25608" s="202"/>
    </row>
    <row r="25609" spans="13:13">
      <c r="M25609" s="202"/>
    </row>
    <row r="25610" spans="13:13">
      <c r="M25610" s="202"/>
    </row>
    <row r="25611" spans="13:13">
      <c r="M25611" s="202"/>
    </row>
    <row r="25612" spans="13:13">
      <c r="M25612" s="202"/>
    </row>
    <row r="25613" spans="13:13">
      <c r="M25613" s="202"/>
    </row>
    <row r="25614" spans="13:13">
      <c r="M25614" s="202"/>
    </row>
    <row r="25615" spans="13:13">
      <c r="M25615" s="202"/>
    </row>
    <row r="25616" spans="13:13">
      <c r="M25616" s="202"/>
    </row>
    <row r="25617" spans="13:13">
      <c r="M25617" s="202"/>
    </row>
    <row r="25618" spans="13:13">
      <c r="M25618" s="202"/>
    </row>
    <row r="25619" spans="13:13">
      <c r="M25619" s="202"/>
    </row>
    <row r="25620" spans="13:13">
      <c r="M25620" s="202"/>
    </row>
    <row r="25621" spans="13:13">
      <c r="M25621" s="202"/>
    </row>
    <row r="25622" spans="13:13">
      <c r="M25622" s="202"/>
    </row>
    <row r="25623" spans="13:13">
      <c r="M25623" s="202"/>
    </row>
    <row r="25624" spans="13:13">
      <c r="M25624" s="202"/>
    </row>
    <row r="25625" spans="13:13">
      <c r="M25625" s="202"/>
    </row>
    <row r="25626" spans="13:13">
      <c r="M25626" s="202"/>
    </row>
    <row r="25627" spans="13:13">
      <c r="M25627" s="202"/>
    </row>
    <row r="25628" spans="13:13">
      <c r="M25628" s="202"/>
    </row>
    <row r="25629" spans="13:13">
      <c r="M25629" s="202"/>
    </row>
    <row r="25630" spans="13:13">
      <c r="M25630" s="202"/>
    </row>
    <row r="25631" spans="13:13">
      <c r="M25631" s="202"/>
    </row>
    <row r="25632" spans="13:13">
      <c r="M25632" s="202"/>
    </row>
    <row r="25633" spans="13:13">
      <c r="M25633" s="202"/>
    </row>
    <row r="25634" spans="13:13">
      <c r="M25634" s="202"/>
    </row>
    <row r="25635" spans="13:13">
      <c r="M25635" s="202"/>
    </row>
    <row r="25636" spans="13:13">
      <c r="M25636" s="202"/>
    </row>
    <row r="25637" spans="13:13">
      <c r="M25637" s="202"/>
    </row>
    <row r="25638" spans="13:13">
      <c r="M25638" s="202"/>
    </row>
    <row r="25639" spans="13:13">
      <c r="M25639" s="202"/>
    </row>
    <row r="25640" spans="13:13">
      <c r="M25640" s="202"/>
    </row>
    <row r="25641" spans="13:13">
      <c r="M25641" s="202"/>
    </row>
    <row r="25642" spans="13:13">
      <c r="M25642" s="202"/>
    </row>
    <row r="25643" spans="13:13">
      <c r="M25643" s="202"/>
    </row>
    <row r="25644" spans="13:13">
      <c r="M25644" s="202"/>
    </row>
    <row r="25645" spans="13:13">
      <c r="M25645" s="202"/>
    </row>
    <row r="25646" spans="13:13">
      <c r="M25646" s="202"/>
    </row>
    <row r="25647" spans="13:13">
      <c r="M25647" s="202"/>
    </row>
    <row r="25648" spans="13:13">
      <c r="M25648" s="202"/>
    </row>
    <row r="25649" spans="13:13">
      <c r="M25649" s="202"/>
    </row>
    <row r="25650" spans="13:13">
      <c r="M25650" s="202"/>
    </row>
    <row r="25651" spans="13:13">
      <c r="M25651" s="202"/>
    </row>
    <row r="25652" spans="13:13">
      <c r="M25652" s="202"/>
    </row>
    <row r="25653" spans="13:13">
      <c r="M25653" s="202"/>
    </row>
    <row r="25654" spans="13:13">
      <c r="M25654" s="202"/>
    </row>
    <row r="25655" spans="13:13">
      <c r="M25655" s="202"/>
    </row>
    <row r="25656" spans="13:13">
      <c r="M25656" s="202"/>
    </row>
    <row r="25657" spans="13:13">
      <c r="M25657" s="202"/>
    </row>
    <row r="25658" spans="13:13">
      <c r="M25658" s="202"/>
    </row>
    <row r="25659" spans="13:13">
      <c r="M25659" s="202"/>
    </row>
    <row r="25660" spans="13:13">
      <c r="M25660" s="202"/>
    </row>
    <row r="25661" spans="13:13">
      <c r="M25661" s="202"/>
    </row>
    <row r="25662" spans="13:13">
      <c r="M25662" s="202"/>
    </row>
    <row r="25663" spans="13:13">
      <c r="M25663" s="202"/>
    </row>
    <row r="25664" spans="13:13">
      <c r="M25664" s="202"/>
    </row>
    <row r="25665" spans="13:13">
      <c r="M25665" s="202"/>
    </row>
    <row r="25666" spans="13:13">
      <c r="M25666" s="202"/>
    </row>
    <row r="25667" spans="13:13">
      <c r="M25667" s="202"/>
    </row>
    <row r="25668" spans="13:13">
      <c r="M25668" s="202"/>
    </row>
    <row r="25669" spans="13:13">
      <c r="M25669" s="202"/>
    </row>
    <row r="25670" spans="13:13">
      <c r="M25670" s="202"/>
    </row>
    <row r="25671" spans="13:13">
      <c r="M25671" s="202"/>
    </row>
    <row r="25672" spans="13:13">
      <c r="M25672" s="202"/>
    </row>
    <row r="25673" spans="13:13">
      <c r="M25673" s="202"/>
    </row>
    <row r="25674" spans="13:13">
      <c r="M25674" s="202"/>
    </row>
    <row r="25675" spans="13:13">
      <c r="M25675" s="202"/>
    </row>
    <row r="25676" spans="13:13">
      <c r="M25676" s="202"/>
    </row>
    <row r="25677" spans="13:13">
      <c r="M25677" s="202"/>
    </row>
    <row r="25678" spans="13:13">
      <c r="M25678" s="202"/>
    </row>
    <row r="25679" spans="13:13">
      <c r="M25679" s="202"/>
    </row>
    <row r="25680" spans="13:13">
      <c r="M25680" s="202"/>
    </row>
    <row r="25681" spans="13:13">
      <c r="M25681" s="202"/>
    </row>
    <row r="25682" spans="13:13">
      <c r="M25682" s="202"/>
    </row>
    <row r="25683" spans="13:13">
      <c r="M25683" s="202"/>
    </row>
    <row r="25684" spans="13:13">
      <c r="M25684" s="202"/>
    </row>
    <row r="25685" spans="13:13">
      <c r="M25685" s="202"/>
    </row>
    <row r="25686" spans="13:13">
      <c r="M25686" s="202"/>
    </row>
    <row r="25687" spans="13:13">
      <c r="M25687" s="202"/>
    </row>
    <row r="25688" spans="13:13">
      <c r="M25688" s="202"/>
    </row>
    <row r="25689" spans="13:13">
      <c r="M25689" s="202"/>
    </row>
    <row r="25690" spans="13:13">
      <c r="M25690" s="202"/>
    </row>
    <row r="25691" spans="13:13">
      <c r="M25691" s="202"/>
    </row>
    <row r="25692" spans="13:13">
      <c r="M25692" s="202"/>
    </row>
    <row r="25693" spans="13:13">
      <c r="M25693" s="202"/>
    </row>
    <row r="25694" spans="13:13">
      <c r="M25694" s="202"/>
    </row>
    <row r="25695" spans="13:13">
      <c r="M25695" s="202"/>
    </row>
    <row r="25696" spans="13:13">
      <c r="M25696" s="202"/>
    </row>
    <row r="25697" spans="13:13">
      <c r="M25697" s="202"/>
    </row>
    <row r="25698" spans="13:13">
      <c r="M25698" s="202"/>
    </row>
    <row r="25699" spans="13:13">
      <c r="M25699" s="202"/>
    </row>
    <row r="25700" spans="13:13">
      <c r="M25700" s="202"/>
    </row>
    <row r="25701" spans="13:13">
      <c r="M25701" s="202"/>
    </row>
    <row r="25702" spans="13:13">
      <c r="M25702" s="202"/>
    </row>
    <row r="25703" spans="13:13">
      <c r="M25703" s="202"/>
    </row>
    <row r="25704" spans="13:13">
      <c r="M25704" s="202"/>
    </row>
    <row r="25705" spans="13:13">
      <c r="M25705" s="202"/>
    </row>
    <row r="25706" spans="13:13">
      <c r="M25706" s="202"/>
    </row>
    <row r="25707" spans="13:13">
      <c r="M25707" s="202"/>
    </row>
    <row r="25708" spans="13:13">
      <c r="M25708" s="202"/>
    </row>
    <row r="25709" spans="13:13">
      <c r="M25709" s="202"/>
    </row>
    <row r="25710" spans="13:13">
      <c r="M25710" s="202"/>
    </row>
    <row r="25711" spans="13:13">
      <c r="M25711" s="202"/>
    </row>
    <row r="25712" spans="13:13">
      <c r="M25712" s="202"/>
    </row>
    <row r="25713" spans="13:13">
      <c r="M25713" s="202"/>
    </row>
    <row r="25714" spans="13:13">
      <c r="M25714" s="202"/>
    </row>
    <row r="25715" spans="13:13">
      <c r="M25715" s="202"/>
    </row>
    <row r="25716" spans="13:13">
      <c r="M25716" s="202"/>
    </row>
    <row r="25717" spans="13:13">
      <c r="M25717" s="202"/>
    </row>
    <row r="25718" spans="13:13">
      <c r="M25718" s="202"/>
    </row>
    <row r="25719" spans="13:13">
      <c r="M25719" s="202"/>
    </row>
    <row r="25720" spans="13:13">
      <c r="M25720" s="202"/>
    </row>
    <row r="25721" spans="13:13">
      <c r="M25721" s="202"/>
    </row>
    <row r="25722" spans="13:13">
      <c r="M25722" s="202"/>
    </row>
    <row r="25723" spans="13:13">
      <c r="M25723" s="202"/>
    </row>
    <row r="25724" spans="13:13">
      <c r="M25724" s="202"/>
    </row>
    <row r="25725" spans="13:13">
      <c r="M25725" s="202"/>
    </row>
    <row r="25726" spans="13:13">
      <c r="M25726" s="202"/>
    </row>
    <row r="25727" spans="13:13">
      <c r="M25727" s="202"/>
    </row>
    <row r="25728" spans="13:13">
      <c r="M25728" s="202"/>
    </row>
    <row r="25729" spans="13:13">
      <c r="M25729" s="202"/>
    </row>
    <row r="25730" spans="13:13">
      <c r="M25730" s="202"/>
    </row>
    <row r="25731" spans="13:13">
      <c r="M25731" s="202"/>
    </row>
    <row r="25732" spans="13:13">
      <c r="M25732" s="202"/>
    </row>
    <row r="25733" spans="13:13">
      <c r="M25733" s="202"/>
    </row>
    <row r="25734" spans="13:13">
      <c r="M25734" s="202"/>
    </row>
    <row r="25735" spans="13:13">
      <c r="M25735" s="202"/>
    </row>
    <row r="25736" spans="13:13">
      <c r="M25736" s="202"/>
    </row>
    <row r="25737" spans="13:13">
      <c r="M25737" s="202"/>
    </row>
    <row r="25738" spans="13:13">
      <c r="M25738" s="202"/>
    </row>
    <row r="25739" spans="13:13">
      <c r="M25739" s="202"/>
    </row>
    <row r="25740" spans="13:13">
      <c r="M25740" s="202"/>
    </row>
    <row r="25741" spans="13:13">
      <c r="M25741" s="202"/>
    </row>
    <row r="25742" spans="13:13">
      <c r="M25742" s="202"/>
    </row>
    <row r="25743" spans="13:13">
      <c r="M25743" s="202"/>
    </row>
    <row r="25744" spans="13:13">
      <c r="M25744" s="202"/>
    </row>
    <row r="25745" spans="13:13">
      <c r="M25745" s="202"/>
    </row>
    <row r="25746" spans="13:13">
      <c r="M25746" s="202"/>
    </row>
    <row r="25747" spans="13:13">
      <c r="M25747" s="202"/>
    </row>
    <row r="25748" spans="13:13">
      <c r="M25748" s="202"/>
    </row>
    <row r="25749" spans="13:13">
      <c r="M25749" s="202"/>
    </row>
    <row r="25750" spans="13:13">
      <c r="M25750" s="202"/>
    </row>
    <row r="25751" spans="13:13">
      <c r="M25751" s="202"/>
    </row>
    <row r="25752" spans="13:13">
      <c r="M25752" s="202"/>
    </row>
    <row r="25753" spans="13:13">
      <c r="M25753" s="202"/>
    </row>
    <row r="25754" spans="13:13">
      <c r="M25754" s="202"/>
    </row>
    <row r="25755" spans="13:13">
      <c r="M25755" s="202"/>
    </row>
    <row r="25756" spans="13:13">
      <c r="M25756" s="202"/>
    </row>
    <row r="25757" spans="13:13">
      <c r="M25757" s="202"/>
    </row>
    <row r="25758" spans="13:13">
      <c r="M25758" s="202"/>
    </row>
    <row r="25759" spans="13:13">
      <c r="M25759" s="202"/>
    </row>
    <row r="25760" spans="13:13">
      <c r="M25760" s="202"/>
    </row>
    <row r="25761" spans="13:13">
      <c r="M25761" s="202"/>
    </row>
    <row r="25762" spans="13:13">
      <c r="M25762" s="202"/>
    </row>
    <row r="25763" spans="13:13">
      <c r="M25763" s="202"/>
    </row>
    <row r="25764" spans="13:13">
      <c r="M25764" s="202"/>
    </row>
    <row r="25765" spans="13:13">
      <c r="M25765" s="202"/>
    </row>
    <row r="25766" spans="13:13">
      <c r="M25766" s="202"/>
    </row>
    <row r="25767" spans="13:13">
      <c r="M25767" s="202"/>
    </row>
    <row r="25768" spans="13:13">
      <c r="M25768" s="202"/>
    </row>
    <row r="25769" spans="13:13">
      <c r="M25769" s="202"/>
    </row>
    <row r="25770" spans="13:13">
      <c r="M25770" s="202"/>
    </row>
    <row r="25771" spans="13:13">
      <c r="M25771" s="202"/>
    </row>
    <row r="25772" spans="13:13">
      <c r="M25772" s="202"/>
    </row>
    <row r="25773" spans="13:13">
      <c r="M25773" s="202"/>
    </row>
    <row r="25774" spans="13:13">
      <c r="M25774" s="202"/>
    </row>
    <row r="25775" spans="13:13">
      <c r="M25775" s="202"/>
    </row>
    <row r="25776" spans="13:13">
      <c r="M25776" s="202"/>
    </row>
    <row r="25777" spans="13:13">
      <c r="M25777" s="202"/>
    </row>
    <row r="25778" spans="13:13">
      <c r="M25778" s="202"/>
    </row>
    <row r="25779" spans="13:13">
      <c r="M25779" s="202"/>
    </row>
    <row r="25780" spans="13:13">
      <c r="M25780" s="202"/>
    </row>
    <row r="25781" spans="13:13">
      <c r="M25781" s="202"/>
    </row>
    <row r="25782" spans="13:13">
      <c r="M25782" s="202"/>
    </row>
    <row r="25783" spans="13:13">
      <c r="M25783" s="202"/>
    </row>
    <row r="25784" spans="13:13">
      <c r="M25784" s="202"/>
    </row>
    <row r="25785" spans="13:13">
      <c r="M25785" s="202"/>
    </row>
    <row r="25786" spans="13:13">
      <c r="M25786" s="202"/>
    </row>
    <row r="25787" spans="13:13">
      <c r="M25787" s="202"/>
    </row>
    <row r="25788" spans="13:13">
      <c r="M25788" s="202"/>
    </row>
    <row r="25789" spans="13:13">
      <c r="M25789" s="202"/>
    </row>
    <row r="25790" spans="13:13">
      <c r="M25790" s="202"/>
    </row>
    <row r="25791" spans="13:13">
      <c r="M25791" s="202"/>
    </row>
    <row r="25792" spans="13:13">
      <c r="M25792" s="202"/>
    </row>
    <row r="25793" spans="13:13">
      <c r="M25793" s="202"/>
    </row>
    <row r="25794" spans="13:13">
      <c r="M25794" s="202"/>
    </row>
    <row r="25795" spans="13:13">
      <c r="M25795" s="202"/>
    </row>
    <row r="25796" spans="13:13">
      <c r="M25796" s="202"/>
    </row>
    <row r="25797" spans="13:13">
      <c r="M25797" s="202"/>
    </row>
    <row r="25798" spans="13:13">
      <c r="M25798" s="202"/>
    </row>
    <row r="25799" spans="13:13">
      <c r="M25799" s="202"/>
    </row>
    <row r="25800" spans="13:13">
      <c r="M25800" s="202"/>
    </row>
    <row r="25801" spans="13:13">
      <c r="M25801" s="202"/>
    </row>
    <row r="25802" spans="13:13">
      <c r="M25802" s="202"/>
    </row>
    <row r="25803" spans="13:13">
      <c r="M25803" s="202"/>
    </row>
    <row r="25804" spans="13:13">
      <c r="M25804" s="202"/>
    </row>
    <row r="25805" spans="13:13">
      <c r="M25805" s="202"/>
    </row>
    <row r="25806" spans="13:13">
      <c r="M25806" s="202"/>
    </row>
    <row r="25807" spans="13:13">
      <c r="M25807" s="202"/>
    </row>
    <row r="25808" spans="13:13">
      <c r="M25808" s="202"/>
    </row>
    <row r="25809" spans="13:13">
      <c r="M25809" s="202"/>
    </row>
    <row r="25810" spans="13:13">
      <c r="M25810" s="202"/>
    </row>
    <row r="25811" spans="13:13">
      <c r="M25811" s="202"/>
    </row>
    <row r="25812" spans="13:13">
      <c r="M25812" s="202"/>
    </row>
    <row r="25813" spans="13:13">
      <c r="M25813" s="202"/>
    </row>
    <row r="25814" spans="13:13">
      <c r="M25814" s="202"/>
    </row>
    <row r="25815" spans="13:13">
      <c r="M25815" s="202"/>
    </row>
    <row r="25816" spans="13:13">
      <c r="M25816" s="202"/>
    </row>
    <row r="25817" spans="13:13">
      <c r="M25817" s="202"/>
    </row>
    <row r="25818" spans="13:13">
      <c r="M25818" s="202"/>
    </row>
    <row r="25819" spans="13:13">
      <c r="M25819" s="202"/>
    </row>
    <row r="25820" spans="13:13">
      <c r="M25820" s="202"/>
    </row>
    <row r="25821" spans="13:13">
      <c r="M25821" s="202"/>
    </row>
    <row r="25822" spans="13:13">
      <c r="M25822" s="202"/>
    </row>
    <row r="25823" spans="13:13">
      <c r="M25823" s="202"/>
    </row>
    <row r="25824" spans="13:13">
      <c r="M25824" s="202"/>
    </row>
    <row r="25825" spans="13:13">
      <c r="M25825" s="202"/>
    </row>
    <row r="25826" spans="13:13">
      <c r="M25826" s="202"/>
    </row>
    <row r="25827" spans="13:13">
      <c r="M25827" s="202"/>
    </row>
    <row r="25828" spans="13:13">
      <c r="M25828" s="202"/>
    </row>
    <row r="25829" spans="13:13">
      <c r="M25829" s="202"/>
    </row>
    <row r="25830" spans="13:13">
      <c r="M25830" s="202"/>
    </row>
    <row r="25831" spans="13:13">
      <c r="M25831" s="202"/>
    </row>
    <row r="25832" spans="13:13">
      <c r="M25832" s="202"/>
    </row>
    <row r="25833" spans="13:13">
      <c r="M25833" s="202"/>
    </row>
    <row r="25834" spans="13:13">
      <c r="M25834" s="202"/>
    </row>
    <row r="25835" spans="13:13">
      <c r="M25835" s="202"/>
    </row>
    <row r="25836" spans="13:13">
      <c r="M25836" s="202"/>
    </row>
    <row r="25837" spans="13:13">
      <c r="M25837" s="202"/>
    </row>
    <row r="25838" spans="13:13">
      <c r="M25838" s="202"/>
    </row>
    <row r="25839" spans="13:13">
      <c r="M25839" s="202"/>
    </row>
    <row r="25840" spans="13:13">
      <c r="M25840" s="202"/>
    </row>
    <row r="25841" spans="13:13">
      <c r="M25841" s="202"/>
    </row>
    <row r="25842" spans="13:13">
      <c r="M25842" s="202"/>
    </row>
    <row r="25843" spans="13:13">
      <c r="M25843" s="202"/>
    </row>
    <row r="25844" spans="13:13">
      <c r="M25844" s="202"/>
    </row>
    <row r="25845" spans="13:13">
      <c r="M25845" s="202"/>
    </row>
    <row r="25846" spans="13:13">
      <c r="M25846" s="202"/>
    </row>
    <row r="25847" spans="13:13">
      <c r="M25847" s="202"/>
    </row>
    <row r="25848" spans="13:13">
      <c r="M25848" s="202"/>
    </row>
    <row r="25849" spans="13:13">
      <c r="M25849" s="202"/>
    </row>
    <row r="25850" spans="13:13">
      <c r="M25850" s="202"/>
    </row>
    <row r="25851" spans="13:13">
      <c r="M25851" s="202"/>
    </row>
    <row r="25852" spans="13:13">
      <c r="M25852" s="202"/>
    </row>
    <row r="25853" spans="13:13">
      <c r="M25853" s="202"/>
    </row>
    <row r="25854" spans="13:13">
      <c r="M25854" s="202"/>
    </row>
    <row r="25855" spans="13:13">
      <c r="M25855" s="202"/>
    </row>
    <row r="25856" spans="13:13">
      <c r="M25856" s="202"/>
    </row>
    <row r="25857" spans="13:13">
      <c r="M25857" s="202"/>
    </row>
    <row r="25858" spans="13:13">
      <c r="M25858" s="202"/>
    </row>
    <row r="25859" spans="13:13">
      <c r="M25859" s="202"/>
    </row>
    <row r="25860" spans="13:13">
      <c r="M25860" s="202"/>
    </row>
    <row r="25861" spans="13:13">
      <c r="M25861" s="202"/>
    </row>
    <row r="25862" spans="13:13">
      <c r="M25862" s="202"/>
    </row>
    <row r="25863" spans="13:13">
      <c r="M25863" s="202"/>
    </row>
    <row r="25864" spans="13:13">
      <c r="M25864" s="202"/>
    </row>
    <row r="25865" spans="13:13">
      <c r="M25865" s="202"/>
    </row>
    <row r="25866" spans="13:13">
      <c r="M25866" s="202"/>
    </row>
    <row r="25867" spans="13:13">
      <c r="M25867" s="202"/>
    </row>
    <row r="25868" spans="13:13">
      <c r="M25868" s="202"/>
    </row>
    <row r="25869" spans="13:13">
      <c r="M25869" s="202"/>
    </row>
    <row r="25870" spans="13:13">
      <c r="M25870" s="202"/>
    </row>
    <row r="25871" spans="13:13">
      <c r="M25871" s="202"/>
    </row>
    <row r="25872" spans="13:13">
      <c r="M25872" s="202"/>
    </row>
    <row r="25873" spans="13:13">
      <c r="M25873" s="202"/>
    </row>
    <row r="25874" spans="13:13">
      <c r="M25874" s="202"/>
    </row>
    <row r="25875" spans="13:13">
      <c r="M25875" s="202"/>
    </row>
    <row r="25876" spans="13:13">
      <c r="M25876" s="202"/>
    </row>
    <row r="25877" spans="13:13">
      <c r="M25877" s="202"/>
    </row>
    <row r="25878" spans="13:13">
      <c r="M25878" s="202"/>
    </row>
    <row r="25879" spans="13:13">
      <c r="M25879" s="202"/>
    </row>
    <row r="25880" spans="13:13">
      <c r="M25880" s="202"/>
    </row>
    <row r="25881" spans="13:13">
      <c r="M25881" s="202"/>
    </row>
    <row r="25882" spans="13:13">
      <c r="M25882" s="202"/>
    </row>
    <row r="25883" spans="13:13">
      <c r="M25883" s="202"/>
    </row>
    <row r="25884" spans="13:13">
      <c r="M25884" s="202"/>
    </row>
    <row r="25885" spans="13:13">
      <c r="M25885" s="202"/>
    </row>
    <row r="25886" spans="13:13">
      <c r="M25886" s="202"/>
    </row>
    <row r="25887" spans="13:13">
      <c r="M25887" s="202"/>
    </row>
    <row r="25888" spans="13:13">
      <c r="M25888" s="202"/>
    </row>
    <row r="25889" spans="13:13">
      <c r="M25889" s="202"/>
    </row>
    <row r="25890" spans="13:13">
      <c r="M25890" s="202"/>
    </row>
    <row r="25891" spans="13:13">
      <c r="M25891" s="202"/>
    </row>
    <row r="25892" spans="13:13">
      <c r="M25892" s="202"/>
    </row>
    <row r="25893" spans="13:13">
      <c r="M25893" s="202"/>
    </row>
    <row r="25894" spans="13:13">
      <c r="M25894" s="202"/>
    </row>
    <row r="25895" spans="13:13">
      <c r="M25895" s="202"/>
    </row>
    <row r="25896" spans="13:13">
      <c r="M25896" s="202"/>
    </row>
    <row r="25897" spans="13:13">
      <c r="M25897" s="202"/>
    </row>
    <row r="25898" spans="13:13">
      <c r="M25898" s="202"/>
    </row>
    <row r="25899" spans="13:13">
      <c r="M25899" s="202"/>
    </row>
    <row r="25900" spans="13:13">
      <c r="M25900" s="202"/>
    </row>
    <row r="25901" spans="13:13">
      <c r="M25901" s="202"/>
    </row>
    <row r="25902" spans="13:13">
      <c r="M25902" s="202"/>
    </row>
    <row r="25903" spans="13:13">
      <c r="M25903" s="202"/>
    </row>
    <row r="25904" spans="13:13">
      <c r="M25904" s="202"/>
    </row>
    <row r="25905" spans="13:13">
      <c r="M25905" s="202"/>
    </row>
    <row r="25906" spans="13:13">
      <c r="M25906" s="202"/>
    </row>
    <row r="25907" spans="13:13">
      <c r="M25907" s="202"/>
    </row>
    <row r="25908" spans="13:13">
      <c r="M25908" s="202"/>
    </row>
    <row r="25909" spans="13:13">
      <c r="M25909" s="202"/>
    </row>
    <row r="25910" spans="13:13">
      <c r="M25910" s="202"/>
    </row>
    <row r="25911" spans="13:13">
      <c r="M25911" s="202"/>
    </row>
    <row r="25912" spans="13:13">
      <c r="M25912" s="202"/>
    </row>
    <row r="25913" spans="13:13">
      <c r="M25913" s="202"/>
    </row>
    <row r="25914" spans="13:13">
      <c r="M25914" s="202"/>
    </row>
    <row r="25915" spans="13:13">
      <c r="M25915" s="202"/>
    </row>
    <row r="25916" spans="13:13">
      <c r="M25916" s="202"/>
    </row>
    <row r="25917" spans="13:13">
      <c r="M25917" s="202"/>
    </row>
    <row r="25918" spans="13:13">
      <c r="M25918" s="202"/>
    </row>
    <row r="25919" spans="13:13">
      <c r="M25919" s="202"/>
    </row>
    <row r="25920" spans="13:13">
      <c r="M25920" s="202"/>
    </row>
    <row r="25921" spans="13:13">
      <c r="M25921" s="202"/>
    </row>
    <row r="25922" spans="13:13">
      <c r="M25922" s="202"/>
    </row>
    <row r="25923" spans="13:13">
      <c r="M25923" s="202"/>
    </row>
    <row r="25924" spans="13:13">
      <c r="M25924" s="202"/>
    </row>
    <row r="25925" spans="13:13">
      <c r="M25925" s="202"/>
    </row>
    <row r="25926" spans="13:13">
      <c r="M25926" s="202"/>
    </row>
    <row r="25927" spans="13:13">
      <c r="M25927" s="202"/>
    </row>
    <row r="25928" spans="13:13">
      <c r="M25928" s="202"/>
    </row>
    <row r="25929" spans="13:13">
      <c r="M25929" s="202"/>
    </row>
    <row r="25930" spans="13:13">
      <c r="M25930" s="202"/>
    </row>
    <row r="25931" spans="13:13">
      <c r="M25931" s="202"/>
    </row>
    <row r="25932" spans="13:13">
      <c r="M25932" s="202"/>
    </row>
    <row r="25933" spans="13:13">
      <c r="M25933" s="202"/>
    </row>
    <row r="25934" spans="13:13">
      <c r="M25934" s="202"/>
    </row>
    <row r="25935" spans="13:13">
      <c r="M25935" s="202"/>
    </row>
    <row r="25936" spans="13:13">
      <c r="M25936" s="202"/>
    </row>
    <row r="25937" spans="13:13">
      <c r="M25937" s="202"/>
    </row>
    <row r="25938" spans="13:13">
      <c r="M25938" s="202"/>
    </row>
    <row r="25939" spans="13:13">
      <c r="M25939" s="202"/>
    </row>
    <row r="25940" spans="13:13">
      <c r="M25940" s="202"/>
    </row>
    <row r="25941" spans="13:13">
      <c r="M25941" s="202"/>
    </row>
    <row r="25942" spans="13:13">
      <c r="M25942" s="202"/>
    </row>
    <row r="25943" spans="13:13">
      <c r="M25943" s="202"/>
    </row>
    <row r="25944" spans="13:13">
      <c r="M25944" s="202"/>
    </row>
    <row r="25945" spans="13:13">
      <c r="M25945" s="202"/>
    </row>
    <row r="25946" spans="13:13">
      <c r="M25946" s="202"/>
    </row>
    <row r="25947" spans="13:13">
      <c r="M25947" s="202"/>
    </row>
    <row r="25948" spans="13:13">
      <c r="M25948" s="202"/>
    </row>
    <row r="25949" spans="13:13">
      <c r="M25949" s="202"/>
    </row>
    <row r="25950" spans="13:13">
      <c r="M25950" s="202"/>
    </row>
    <row r="25951" spans="13:13">
      <c r="M25951" s="202"/>
    </row>
    <row r="25952" spans="13:13">
      <c r="M25952" s="202"/>
    </row>
    <row r="25953" spans="13:13">
      <c r="M25953" s="202"/>
    </row>
    <row r="25954" spans="13:13">
      <c r="M25954" s="202"/>
    </row>
    <row r="25955" spans="13:13">
      <c r="M25955" s="202"/>
    </row>
    <row r="25956" spans="13:13">
      <c r="M25956" s="202"/>
    </row>
    <row r="25957" spans="13:13">
      <c r="M25957" s="202"/>
    </row>
    <row r="25958" spans="13:13">
      <c r="M25958" s="202"/>
    </row>
    <row r="25959" spans="13:13">
      <c r="M25959" s="202"/>
    </row>
    <row r="25960" spans="13:13">
      <c r="M25960" s="202"/>
    </row>
    <row r="25961" spans="13:13">
      <c r="M25961" s="202"/>
    </row>
    <row r="25962" spans="13:13">
      <c r="M25962" s="202"/>
    </row>
    <row r="25963" spans="13:13">
      <c r="M25963" s="202"/>
    </row>
    <row r="25964" spans="13:13">
      <c r="M25964" s="202"/>
    </row>
    <row r="25965" spans="13:13">
      <c r="M25965" s="202"/>
    </row>
    <row r="25966" spans="13:13">
      <c r="M25966" s="202"/>
    </row>
    <row r="25967" spans="13:13">
      <c r="M25967" s="202"/>
    </row>
    <row r="25968" spans="13:13">
      <c r="M25968" s="202"/>
    </row>
    <row r="25969" spans="13:13">
      <c r="M25969" s="202"/>
    </row>
    <row r="25970" spans="13:13">
      <c r="M25970" s="202"/>
    </row>
    <row r="25971" spans="13:13">
      <c r="M25971" s="202"/>
    </row>
    <row r="25972" spans="13:13">
      <c r="M25972" s="202"/>
    </row>
    <row r="25973" spans="13:13">
      <c r="M25973" s="202"/>
    </row>
    <row r="25974" spans="13:13">
      <c r="M25974" s="202"/>
    </row>
    <row r="25975" spans="13:13">
      <c r="M25975" s="202"/>
    </row>
    <row r="25976" spans="13:13">
      <c r="M25976" s="202"/>
    </row>
    <row r="25977" spans="13:13">
      <c r="M25977" s="202"/>
    </row>
    <row r="25978" spans="13:13">
      <c r="M25978" s="202"/>
    </row>
    <row r="25979" spans="13:13">
      <c r="M25979" s="202"/>
    </row>
    <row r="25980" spans="13:13">
      <c r="M25980" s="202"/>
    </row>
    <row r="25981" spans="13:13">
      <c r="M25981" s="202"/>
    </row>
    <row r="25982" spans="13:13">
      <c r="M25982" s="202"/>
    </row>
    <row r="25983" spans="13:13">
      <c r="M25983" s="202"/>
    </row>
    <row r="25984" spans="13:13">
      <c r="M25984" s="202"/>
    </row>
    <row r="25985" spans="13:13">
      <c r="M25985" s="202"/>
    </row>
    <row r="25986" spans="13:13">
      <c r="M25986" s="202"/>
    </row>
    <row r="25987" spans="13:13">
      <c r="M25987" s="202"/>
    </row>
    <row r="25988" spans="13:13">
      <c r="M25988" s="202"/>
    </row>
    <row r="25989" spans="13:13">
      <c r="M25989" s="202"/>
    </row>
    <row r="25990" spans="13:13">
      <c r="M25990" s="202"/>
    </row>
    <row r="25991" spans="13:13">
      <c r="M25991" s="202"/>
    </row>
    <row r="25992" spans="13:13">
      <c r="M25992" s="202"/>
    </row>
    <row r="25993" spans="13:13">
      <c r="M25993" s="202"/>
    </row>
    <row r="25994" spans="13:13">
      <c r="M25994" s="202"/>
    </row>
    <row r="25995" spans="13:13">
      <c r="M25995" s="202"/>
    </row>
    <row r="25996" spans="13:13">
      <c r="M25996" s="202"/>
    </row>
    <row r="25997" spans="13:13">
      <c r="M25997" s="202"/>
    </row>
    <row r="25998" spans="13:13">
      <c r="M25998" s="202"/>
    </row>
    <row r="25999" spans="13:13">
      <c r="M25999" s="202"/>
    </row>
    <row r="26000" spans="13:13">
      <c r="M26000" s="202"/>
    </row>
    <row r="26001" spans="13:13">
      <c r="M26001" s="202"/>
    </row>
    <row r="26002" spans="13:13">
      <c r="M26002" s="202"/>
    </row>
    <row r="26003" spans="13:13">
      <c r="M26003" s="202"/>
    </row>
    <row r="26004" spans="13:13">
      <c r="M26004" s="202"/>
    </row>
    <row r="26005" spans="13:13">
      <c r="M26005" s="202"/>
    </row>
    <row r="26006" spans="13:13">
      <c r="M26006" s="202"/>
    </row>
    <row r="26007" spans="13:13">
      <c r="M26007" s="202"/>
    </row>
    <row r="26008" spans="13:13">
      <c r="M26008" s="202"/>
    </row>
    <row r="26009" spans="13:13">
      <c r="M26009" s="202"/>
    </row>
    <row r="26010" spans="13:13">
      <c r="M26010" s="202"/>
    </row>
    <row r="26011" spans="13:13">
      <c r="M26011" s="202"/>
    </row>
    <row r="26012" spans="13:13">
      <c r="M26012" s="202"/>
    </row>
    <row r="26013" spans="13:13">
      <c r="M26013" s="202"/>
    </row>
    <row r="26014" spans="13:13">
      <c r="M26014" s="202"/>
    </row>
    <row r="26015" spans="13:13">
      <c r="M26015" s="202"/>
    </row>
    <row r="26016" spans="13:13">
      <c r="M26016" s="202"/>
    </row>
    <row r="26017" spans="13:13">
      <c r="M26017" s="202"/>
    </row>
    <row r="26018" spans="13:13">
      <c r="M26018" s="202"/>
    </row>
    <row r="26019" spans="13:13">
      <c r="M26019" s="202"/>
    </row>
    <row r="26020" spans="13:13">
      <c r="M26020" s="202"/>
    </row>
    <row r="26021" spans="13:13">
      <c r="M26021" s="202"/>
    </row>
    <row r="26022" spans="13:13">
      <c r="M26022" s="202"/>
    </row>
    <row r="26023" spans="13:13">
      <c r="M26023" s="202"/>
    </row>
    <row r="26024" spans="13:13">
      <c r="M26024" s="202"/>
    </row>
    <row r="26025" spans="13:13">
      <c r="M26025" s="202"/>
    </row>
    <row r="26026" spans="13:13">
      <c r="M26026" s="202"/>
    </row>
    <row r="26027" spans="13:13">
      <c r="M26027" s="202"/>
    </row>
    <row r="26028" spans="13:13">
      <c r="M26028" s="202"/>
    </row>
    <row r="26029" spans="13:13">
      <c r="M26029" s="202"/>
    </row>
    <row r="26030" spans="13:13">
      <c r="M26030" s="202"/>
    </row>
    <row r="26031" spans="13:13">
      <c r="M26031" s="202"/>
    </row>
    <row r="26032" spans="13:13">
      <c r="M26032" s="202"/>
    </row>
    <row r="26033" spans="13:13">
      <c r="M26033" s="202"/>
    </row>
    <row r="26034" spans="13:13">
      <c r="M26034" s="202"/>
    </row>
    <row r="26035" spans="13:13">
      <c r="M26035" s="202"/>
    </row>
    <row r="26036" spans="13:13">
      <c r="M26036" s="202"/>
    </row>
    <row r="26037" spans="13:13">
      <c r="M26037" s="202"/>
    </row>
    <row r="26038" spans="13:13">
      <c r="M26038" s="202"/>
    </row>
    <row r="26039" spans="13:13">
      <c r="M26039" s="202"/>
    </row>
    <row r="26040" spans="13:13">
      <c r="M26040" s="202"/>
    </row>
    <row r="26041" spans="13:13">
      <c r="M26041" s="202"/>
    </row>
    <row r="26042" spans="13:13">
      <c r="M26042" s="202"/>
    </row>
    <row r="26043" spans="13:13">
      <c r="M26043" s="202"/>
    </row>
    <row r="26044" spans="13:13">
      <c r="M26044" s="202"/>
    </row>
    <row r="26045" spans="13:13">
      <c r="M26045" s="202"/>
    </row>
    <row r="26046" spans="13:13">
      <c r="M26046" s="202"/>
    </row>
    <row r="26047" spans="13:13">
      <c r="M26047" s="202"/>
    </row>
    <row r="26048" spans="13:13">
      <c r="M26048" s="202"/>
    </row>
    <row r="26049" spans="13:13">
      <c r="M26049" s="202"/>
    </row>
    <row r="26050" spans="13:13">
      <c r="M26050" s="202"/>
    </row>
    <row r="26051" spans="13:13">
      <c r="M26051" s="202"/>
    </row>
    <row r="26052" spans="13:13">
      <c r="M26052" s="202"/>
    </row>
    <row r="26053" spans="13:13">
      <c r="M26053" s="202"/>
    </row>
    <row r="26054" spans="13:13">
      <c r="M26054" s="202"/>
    </row>
    <row r="26055" spans="13:13">
      <c r="M26055" s="202"/>
    </row>
    <row r="26056" spans="13:13">
      <c r="M26056" s="202"/>
    </row>
    <row r="26057" spans="13:13">
      <c r="M26057" s="202"/>
    </row>
    <row r="26058" spans="13:13">
      <c r="M26058" s="202"/>
    </row>
    <row r="26059" spans="13:13">
      <c r="M26059" s="202"/>
    </row>
    <row r="26060" spans="13:13">
      <c r="M26060" s="202"/>
    </row>
    <row r="26061" spans="13:13">
      <c r="M26061" s="202"/>
    </row>
    <row r="26062" spans="13:13">
      <c r="M26062" s="202"/>
    </row>
    <row r="26063" spans="13:13">
      <c r="M26063" s="202"/>
    </row>
    <row r="26064" spans="13:13">
      <c r="M26064" s="202"/>
    </row>
    <row r="26065" spans="13:13">
      <c r="M26065" s="202"/>
    </row>
    <row r="26066" spans="13:13">
      <c r="M26066" s="202"/>
    </row>
    <row r="26067" spans="13:13">
      <c r="M26067" s="202"/>
    </row>
    <row r="26068" spans="13:13">
      <c r="M26068" s="202"/>
    </row>
    <row r="26069" spans="13:13">
      <c r="M26069" s="202"/>
    </row>
    <row r="26070" spans="13:13">
      <c r="M26070" s="202"/>
    </row>
    <row r="26071" spans="13:13">
      <c r="M26071" s="202"/>
    </row>
    <row r="26072" spans="13:13">
      <c r="M26072" s="202"/>
    </row>
    <row r="26073" spans="13:13">
      <c r="M26073" s="202"/>
    </row>
    <row r="26074" spans="13:13">
      <c r="M26074" s="202"/>
    </row>
    <row r="26075" spans="13:13">
      <c r="M26075" s="202"/>
    </row>
    <row r="26076" spans="13:13">
      <c r="M26076" s="202"/>
    </row>
    <row r="26077" spans="13:13">
      <c r="M26077" s="202"/>
    </row>
    <row r="26078" spans="13:13">
      <c r="M26078" s="202"/>
    </row>
    <row r="26079" spans="13:13">
      <c r="M26079" s="202"/>
    </row>
    <row r="26080" spans="13:13">
      <c r="M26080" s="202"/>
    </row>
    <row r="26081" spans="13:13">
      <c r="M26081" s="202"/>
    </row>
    <row r="26082" spans="13:13">
      <c r="M26082" s="202"/>
    </row>
    <row r="26083" spans="13:13">
      <c r="M26083" s="202"/>
    </row>
    <row r="26084" spans="13:13">
      <c r="M26084" s="202"/>
    </row>
    <row r="26085" spans="13:13">
      <c r="M26085" s="202"/>
    </row>
    <row r="26086" spans="13:13">
      <c r="M26086" s="202"/>
    </row>
    <row r="26087" spans="13:13">
      <c r="M26087" s="202"/>
    </row>
    <row r="26088" spans="13:13">
      <c r="M26088" s="202"/>
    </row>
    <row r="26089" spans="13:13">
      <c r="M26089" s="202"/>
    </row>
    <row r="26090" spans="13:13">
      <c r="M26090" s="202"/>
    </row>
    <row r="26091" spans="13:13">
      <c r="M26091" s="202"/>
    </row>
    <row r="26092" spans="13:13">
      <c r="M26092" s="202"/>
    </row>
    <row r="26093" spans="13:13">
      <c r="M26093" s="202"/>
    </row>
    <row r="26094" spans="13:13">
      <c r="M26094" s="202"/>
    </row>
    <row r="26095" spans="13:13">
      <c r="M26095" s="202"/>
    </row>
    <row r="26096" spans="13:13">
      <c r="M26096" s="202"/>
    </row>
    <row r="26097" spans="13:13">
      <c r="M26097" s="202"/>
    </row>
    <row r="26098" spans="13:13">
      <c r="M26098" s="202"/>
    </row>
    <row r="26099" spans="13:13">
      <c r="M26099" s="202"/>
    </row>
    <row r="26100" spans="13:13">
      <c r="M26100" s="202"/>
    </row>
    <row r="26101" spans="13:13">
      <c r="M26101" s="202"/>
    </row>
    <row r="26102" spans="13:13">
      <c r="M26102" s="202"/>
    </row>
    <row r="26103" spans="13:13">
      <c r="M26103" s="202"/>
    </row>
    <row r="26104" spans="13:13">
      <c r="M26104" s="202"/>
    </row>
    <row r="26105" spans="13:13">
      <c r="M26105" s="202"/>
    </row>
    <row r="26106" spans="13:13">
      <c r="M26106" s="202"/>
    </row>
    <row r="26107" spans="13:13">
      <c r="M26107" s="202"/>
    </row>
    <row r="26108" spans="13:13">
      <c r="M26108" s="202"/>
    </row>
    <row r="26109" spans="13:13">
      <c r="M26109" s="202"/>
    </row>
    <row r="26110" spans="13:13">
      <c r="M26110" s="202"/>
    </row>
    <row r="26111" spans="13:13">
      <c r="M26111" s="202"/>
    </row>
    <row r="26112" spans="13:13">
      <c r="M26112" s="202"/>
    </row>
    <row r="26113" spans="13:13">
      <c r="M26113" s="202"/>
    </row>
    <row r="26114" spans="13:13">
      <c r="M26114" s="202"/>
    </row>
    <row r="26115" spans="13:13">
      <c r="M26115" s="202"/>
    </row>
    <row r="26116" spans="13:13">
      <c r="M26116" s="202"/>
    </row>
    <row r="26117" spans="13:13">
      <c r="M26117" s="202"/>
    </row>
    <row r="26118" spans="13:13">
      <c r="M26118" s="202"/>
    </row>
    <row r="26119" spans="13:13">
      <c r="M26119" s="202"/>
    </row>
    <row r="26120" spans="13:13">
      <c r="M26120" s="202"/>
    </row>
    <row r="26121" spans="13:13">
      <c r="M26121" s="202"/>
    </row>
    <row r="26122" spans="13:13">
      <c r="M26122" s="202"/>
    </row>
    <row r="26123" spans="13:13">
      <c r="M26123" s="202"/>
    </row>
    <row r="26124" spans="13:13">
      <c r="M26124" s="202"/>
    </row>
    <row r="26125" spans="13:13">
      <c r="M26125" s="202"/>
    </row>
    <row r="26126" spans="13:13">
      <c r="M26126" s="202"/>
    </row>
    <row r="26127" spans="13:13">
      <c r="M26127" s="202"/>
    </row>
    <row r="26128" spans="13:13">
      <c r="M26128" s="202"/>
    </row>
    <row r="26129" spans="13:13">
      <c r="M26129" s="202"/>
    </row>
    <row r="26130" spans="13:13">
      <c r="M26130" s="202"/>
    </row>
    <row r="26131" spans="13:13">
      <c r="M26131" s="202"/>
    </row>
    <row r="26132" spans="13:13">
      <c r="M26132" s="202"/>
    </row>
    <row r="26133" spans="13:13">
      <c r="M26133" s="202"/>
    </row>
    <row r="26134" spans="13:13">
      <c r="M26134" s="202"/>
    </row>
    <row r="26135" spans="13:13">
      <c r="M26135" s="202"/>
    </row>
    <row r="26136" spans="13:13">
      <c r="M26136" s="202"/>
    </row>
    <row r="26137" spans="13:13">
      <c r="M26137" s="202"/>
    </row>
    <row r="26138" spans="13:13">
      <c r="M26138" s="202"/>
    </row>
    <row r="26139" spans="13:13">
      <c r="M26139" s="202"/>
    </row>
    <row r="26140" spans="13:13">
      <c r="M26140" s="202"/>
    </row>
    <row r="26141" spans="13:13">
      <c r="M26141" s="202"/>
    </row>
    <row r="26142" spans="13:13">
      <c r="M26142" s="202"/>
    </row>
    <row r="26143" spans="13:13">
      <c r="M26143" s="202"/>
    </row>
    <row r="26144" spans="13:13">
      <c r="M26144" s="202"/>
    </row>
    <row r="26145" spans="13:13">
      <c r="M26145" s="202"/>
    </row>
    <row r="26146" spans="13:13">
      <c r="M26146" s="202"/>
    </row>
    <row r="26147" spans="13:13">
      <c r="M26147" s="202"/>
    </row>
    <row r="26148" spans="13:13">
      <c r="M26148" s="202"/>
    </row>
    <row r="26149" spans="13:13">
      <c r="M26149" s="202"/>
    </row>
    <row r="26150" spans="13:13">
      <c r="M26150" s="202"/>
    </row>
    <row r="26151" spans="13:13">
      <c r="M26151" s="202"/>
    </row>
    <row r="26152" spans="13:13">
      <c r="M26152" s="202"/>
    </row>
    <row r="26153" spans="13:13">
      <c r="M26153" s="202"/>
    </row>
    <row r="26154" spans="13:13">
      <c r="M26154" s="202"/>
    </row>
    <row r="26155" spans="13:13">
      <c r="M26155" s="202"/>
    </row>
    <row r="26156" spans="13:13">
      <c r="M26156" s="202"/>
    </row>
    <row r="26157" spans="13:13">
      <c r="M26157" s="202"/>
    </row>
    <row r="26158" spans="13:13">
      <c r="M26158" s="202"/>
    </row>
    <row r="26159" spans="13:13">
      <c r="M26159" s="202"/>
    </row>
    <row r="26160" spans="13:13">
      <c r="M26160" s="202"/>
    </row>
    <row r="26161" spans="13:13">
      <c r="M26161" s="202"/>
    </row>
    <row r="26162" spans="13:13">
      <c r="M26162" s="202"/>
    </row>
    <row r="26163" spans="13:13">
      <c r="M26163" s="202"/>
    </row>
    <row r="26164" spans="13:13">
      <c r="M26164" s="202"/>
    </row>
    <row r="26165" spans="13:13">
      <c r="M26165" s="202"/>
    </row>
    <row r="26166" spans="13:13">
      <c r="M26166" s="202"/>
    </row>
    <row r="26167" spans="13:13">
      <c r="M26167" s="202"/>
    </row>
    <row r="26168" spans="13:13">
      <c r="M26168" s="202"/>
    </row>
    <row r="26169" spans="13:13">
      <c r="M26169" s="202"/>
    </row>
    <row r="26170" spans="13:13">
      <c r="M26170" s="202"/>
    </row>
    <row r="26171" spans="13:13">
      <c r="M26171" s="202"/>
    </row>
    <row r="26172" spans="13:13">
      <c r="M26172" s="202"/>
    </row>
    <row r="26173" spans="13:13">
      <c r="M26173" s="202"/>
    </row>
    <row r="26174" spans="13:13">
      <c r="M26174" s="202"/>
    </row>
    <row r="26175" spans="13:13">
      <c r="M26175" s="202"/>
    </row>
    <row r="26176" spans="13:13">
      <c r="M26176" s="202"/>
    </row>
    <row r="26177" spans="13:13">
      <c r="M26177" s="202"/>
    </row>
    <row r="26178" spans="13:13">
      <c r="M26178" s="202"/>
    </row>
    <row r="26179" spans="13:13">
      <c r="M26179" s="202"/>
    </row>
    <row r="26180" spans="13:13">
      <c r="M26180" s="202"/>
    </row>
    <row r="26181" spans="13:13">
      <c r="M26181" s="202"/>
    </row>
    <row r="26182" spans="13:13">
      <c r="M26182" s="202"/>
    </row>
    <row r="26183" spans="13:13">
      <c r="M26183" s="202"/>
    </row>
    <row r="26184" spans="13:13">
      <c r="M26184" s="202"/>
    </row>
    <row r="26185" spans="13:13">
      <c r="M26185" s="202"/>
    </row>
    <row r="26186" spans="13:13">
      <c r="M26186" s="202"/>
    </row>
    <row r="26187" spans="13:13">
      <c r="M26187" s="202"/>
    </row>
    <row r="26188" spans="13:13">
      <c r="M26188" s="202"/>
    </row>
    <row r="26189" spans="13:13">
      <c r="M26189" s="202"/>
    </row>
    <row r="26190" spans="13:13">
      <c r="M26190" s="202"/>
    </row>
    <row r="26191" spans="13:13">
      <c r="M26191" s="202"/>
    </row>
    <row r="26192" spans="13:13">
      <c r="M26192" s="202"/>
    </row>
    <row r="26193" spans="13:13">
      <c r="M26193" s="202"/>
    </row>
    <row r="26194" spans="13:13">
      <c r="M26194" s="202"/>
    </row>
    <row r="26195" spans="13:13">
      <c r="M26195" s="202"/>
    </row>
    <row r="26196" spans="13:13">
      <c r="M26196" s="202"/>
    </row>
    <row r="26197" spans="13:13">
      <c r="M26197" s="202"/>
    </row>
    <row r="26198" spans="13:13">
      <c r="M26198" s="202"/>
    </row>
    <row r="26199" spans="13:13">
      <c r="M26199" s="202"/>
    </row>
    <row r="26200" spans="13:13">
      <c r="M26200" s="202"/>
    </row>
    <row r="26201" spans="13:13">
      <c r="M26201" s="202"/>
    </row>
    <row r="26202" spans="13:13">
      <c r="M26202" s="202"/>
    </row>
    <row r="26203" spans="13:13">
      <c r="M26203" s="202"/>
    </row>
    <row r="26204" spans="13:13">
      <c r="M26204" s="202"/>
    </row>
    <row r="26205" spans="13:13">
      <c r="M26205" s="202"/>
    </row>
    <row r="26206" spans="13:13">
      <c r="M26206" s="202"/>
    </row>
    <row r="26207" spans="13:13">
      <c r="M26207" s="202"/>
    </row>
    <row r="26208" spans="13:13">
      <c r="M26208" s="202"/>
    </row>
    <row r="26209" spans="13:13">
      <c r="M26209" s="202"/>
    </row>
    <row r="26210" spans="13:13">
      <c r="M26210" s="202"/>
    </row>
    <row r="26211" spans="13:13">
      <c r="M26211" s="202"/>
    </row>
    <row r="26212" spans="13:13">
      <c r="M26212" s="202"/>
    </row>
    <row r="26213" spans="13:13">
      <c r="M26213" s="202"/>
    </row>
    <row r="26214" spans="13:13">
      <c r="M26214" s="202"/>
    </row>
    <row r="26215" spans="13:13">
      <c r="M26215" s="202"/>
    </row>
    <row r="26216" spans="13:13">
      <c r="M26216" s="202"/>
    </row>
    <row r="26217" spans="13:13">
      <c r="M26217" s="202"/>
    </row>
    <row r="26218" spans="13:13">
      <c r="M26218" s="202"/>
    </row>
    <row r="26219" spans="13:13">
      <c r="M26219" s="202"/>
    </row>
    <row r="26220" spans="13:13">
      <c r="M26220" s="202"/>
    </row>
    <row r="26221" spans="13:13">
      <c r="M26221" s="202"/>
    </row>
    <row r="26222" spans="13:13">
      <c r="M26222" s="202"/>
    </row>
    <row r="26223" spans="13:13">
      <c r="M26223" s="202"/>
    </row>
    <row r="26224" spans="13:13">
      <c r="M26224" s="202"/>
    </row>
    <row r="26225" spans="13:13">
      <c r="M26225" s="202"/>
    </row>
    <row r="26226" spans="13:13">
      <c r="M26226" s="202"/>
    </row>
    <row r="26227" spans="13:13">
      <c r="M26227" s="202"/>
    </row>
    <row r="26228" spans="13:13">
      <c r="M26228" s="202"/>
    </row>
    <row r="26229" spans="13:13">
      <c r="M26229" s="202"/>
    </row>
    <row r="26230" spans="13:13">
      <c r="M26230" s="202"/>
    </row>
    <row r="26231" spans="13:13">
      <c r="M26231" s="202"/>
    </row>
    <row r="26232" spans="13:13">
      <c r="M26232" s="202"/>
    </row>
    <row r="26233" spans="13:13">
      <c r="M26233" s="202"/>
    </row>
    <row r="26234" spans="13:13">
      <c r="M26234" s="202"/>
    </row>
    <row r="26235" spans="13:13">
      <c r="M26235" s="202"/>
    </row>
    <row r="26236" spans="13:13">
      <c r="M26236" s="202"/>
    </row>
    <row r="26237" spans="13:13">
      <c r="M26237" s="202"/>
    </row>
    <row r="26238" spans="13:13">
      <c r="M26238" s="202"/>
    </row>
    <row r="26239" spans="13:13">
      <c r="M26239" s="202"/>
    </row>
    <row r="26240" spans="13:13">
      <c r="M26240" s="202"/>
    </row>
    <row r="26241" spans="13:13">
      <c r="M26241" s="202"/>
    </row>
    <row r="26242" spans="13:13">
      <c r="M26242" s="202"/>
    </row>
    <row r="26243" spans="13:13">
      <c r="M26243" s="202"/>
    </row>
    <row r="26244" spans="13:13">
      <c r="M26244" s="202"/>
    </row>
    <row r="26245" spans="13:13">
      <c r="M26245" s="202"/>
    </row>
    <row r="26246" spans="13:13">
      <c r="M26246" s="202"/>
    </row>
    <row r="26247" spans="13:13">
      <c r="M26247" s="202"/>
    </row>
    <row r="26248" spans="13:13">
      <c r="M26248" s="202"/>
    </row>
    <row r="26249" spans="13:13">
      <c r="M26249" s="202"/>
    </row>
    <row r="26250" spans="13:13">
      <c r="M26250" s="202"/>
    </row>
    <row r="26251" spans="13:13">
      <c r="M26251" s="202"/>
    </row>
    <row r="26252" spans="13:13">
      <c r="M26252" s="202"/>
    </row>
    <row r="26253" spans="13:13">
      <c r="M26253" s="202"/>
    </row>
    <row r="26254" spans="13:13">
      <c r="M26254" s="202"/>
    </row>
    <row r="26255" spans="13:13">
      <c r="M26255" s="202"/>
    </row>
    <row r="26256" spans="13:13">
      <c r="M26256" s="202"/>
    </row>
    <row r="26257" spans="13:13">
      <c r="M26257" s="202"/>
    </row>
    <row r="26258" spans="13:13">
      <c r="M26258" s="202"/>
    </row>
    <row r="26259" spans="13:13">
      <c r="M26259" s="202"/>
    </row>
    <row r="26260" spans="13:13">
      <c r="M26260" s="202"/>
    </row>
    <row r="26261" spans="13:13">
      <c r="M26261" s="202"/>
    </row>
    <row r="26262" spans="13:13">
      <c r="M26262" s="202"/>
    </row>
    <row r="26263" spans="13:13">
      <c r="M26263" s="202"/>
    </row>
    <row r="26264" spans="13:13">
      <c r="M26264" s="202"/>
    </row>
    <row r="26265" spans="13:13">
      <c r="M26265" s="202"/>
    </row>
    <row r="26266" spans="13:13">
      <c r="M26266" s="202"/>
    </row>
    <row r="26267" spans="13:13">
      <c r="M26267" s="202"/>
    </row>
    <row r="26268" spans="13:13">
      <c r="M26268" s="202"/>
    </row>
    <row r="26269" spans="13:13">
      <c r="M26269" s="202"/>
    </row>
    <row r="26270" spans="13:13">
      <c r="M26270" s="202"/>
    </row>
    <row r="26271" spans="13:13">
      <c r="M26271" s="202"/>
    </row>
    <row r="26272" spans="13:13">
      <c r="M26272" s="202"/>
    </row>
    <row r="26273" spans="13:13">
      <c r="M26273" s="202"/>
    </row>
    <row r="26274" spans="13:13">
      <c r="M26274" s="202"/>
    </row>
    <row r="26275" spans="13:13">
      <c r="M26275" s="202"/>
    </row>
    <row r="26276" spans="13:13">
      <c r="M26276" s="202"/>
    </row>
    <row r="26277" spans="13:13">
      <c r="M26277" s="202"/>
    </row>
    <row r="26278" spans="13:13">
      <c r="M26278" s="202"/>
    </row>
    <row r="26279" spans="13:13">
      <c r="M26279" s="202"/>
    </row>
    <row r="26280" spans="13:13">
      <c r="M26280" s="202"/>
    </row>
    <row r="26281" spans="13:13">
      <c r="M26281" s="202"/>
    </row>
    <row r="26282" spans="13:13">
      <c r="M26282" s="202"/>
    </row>
    <row r="26283" spans="13:13">
      <c r="M26283" s="202"/>
    </row>
    <row r="26284" spans="13:13">
      <c r="M26284" s="202"/>
    </row>
    <row r="26285" spans="13:13">
      <c r="M26285" s="202"/>
    </row>
    <row r="26286" spans="13:13">
      <c r="M26286" s="202"/>
    </row>
    <row r="26287" spans="13:13">
      <c r="M26287" s="202"/>
    </row>
    <row r="26288" spans="13:13">
      <c r="M26288" s="202"/>
    </row>
    <row r="26289" spans="13:13">
      <c r="M26289" s="202"/>
    </row>
    <row r="26290" spans="13:13">
      <c r="M26290" s="202"/>
    </row>
    <row r="26291" spans="13:13">
      <c r="M26291" s="202"/>
    </row>
    <row r="26292" spans="13:13">
      <c r="M26292" s="202"/>
    </row>
    <row r="26293" spans="13:13">
      <c r="M26293" s="202"/>
    </row>
    <row r="26294" spans="13:13">
      <c r="M26294" s="202"/>
    </row>
    <row r="26295" spans="13:13">
      <c r="M26295" s="202"/>
    </row>
    <row r="26296" spans="13:13">
      <c r="M26296" s="202"/>
    </row>
    <row r="26297" spans="13:13">
      <c r="M26297" s="202"/>
    </row>
    <row r="26298" spans="13:13">
      <c r="M26298" s="202"/>
    </row>
    <row r="26299" spans="13:13">
      <c r="M26299" s="202"/>
    </row>
    <row r="26300" spans="13:13">
      <c r="M26300" s="202"/>
    </row>
    <row r="26301" spans="13:13">
      <c r="M26301" s="202"/>
    </row>
    <row r="26302" spans="13:13">
      <c r="M26302" s="202"/>
    </row>
    <row r="26303" spans="13:13">
      <c r="M26303" s="202"/>
    </row>
    <row r="26304" spans="13:13">
      <c r="M26304" s="202"/>
    </row>
    <row r="26305" spans="13:13">
      <c r="M26305" s="202"/>
    </row>
    <row r="26306" spans="13:13">
      <c r="M26306" s="202"/>
    </row>
    <row r="26307" spans="13:13">
      <c r="M26307" s="202"/>
    </row>
    <row r="26308" spans="13:13">
      <c r="M26308" s="202"/>
    </row>
    <row r="26309" spans="13:13">
      <c r="M26309" s="202"/>
    </row>
    <row r="26310" spans="13:13">
      <c r="M26310" s="202"/>
    </row>
    <row r="26311" spans="13:13">
      <c r="M26311" s="202"/>
    </row>
    <row r="26312" spans="13:13">
      <c r="M26312" s="202"/>
    </row>
    <row r="26313" spans="13:13">
      <c r="M26313" s="202"/>
    </row>
    <row r="26314" spans="13:13">
      <c r="M26314" s="202"/>
    </row>
    <row r="26315" spans="13:13">
      <c r="M26315" s="202"/>
    </row>
    <row r="26316" spans="13:13">
      <c r="M26316" s="202"/>
    </row>
    <row r="26317" spans="13:13">
      <c r="M26317" s="202"/>
    </row>
    <row r="26318" spans="13:13">
      <c r="M26318" s="202"/>
    </row>
    <row r="26319" spans="13:13">
      <c r="M26319" s="202"/>
    </row>
    <row r="26320" spans="13:13">
      <c r="M26320" s="202"/>
    </row>
    <row r="26321" spans="13:13">
      <c r="M26321" s="202"/>
    </row>
    <row r="26322" spans="13:13">
      <c r="M26322" s="202"/>
    </row>
    <row r="26323" spans="13:13">
      <c r="M26323" s="202"/>
    </row>
    <row r="26324" spans="13:13">
      <c r="M26324" s="202"/>
    </row>
    <row r="26325" spans="13:13">
      <c r="M26325" s="202"/>
    </row>
    <row r="26326" spans="13:13">
      <c r="M26326" s="202"/>
    </row>
    <row r="26327" spans="13:13">
      <c r="M26327" s="202"/>
    </row>
    <row r="26328" spans="13:13">
      <c r="M26328" s="202"/>
    </row>
    <row r="26329" spans="13:13">
      <c r="M26329" s="202"/>
    </row>
    <row r="26330" spans="13:13">
      <c r="M26330" s="202"/>
    </row>
    <row r="26331" spans="13:13">
      <c r="M26331" s="202"/>
    </row>
    <row r="26332" spans="13:13">
      <c r="M26332" s="202"/>
    </row>
    <row r="26333" spans="13:13">
      <c r="M26333" s="202"/>
    </row>
    <row r="26334" spans="13:13">
      <c r="M26334" s="202"/>
    </row>
    <row r="26335" spans="13:13">
      <c r="M26335" s="202"/>
    </row>
    <row r="26336" spans="13:13">
      <c r="M26336" s="202"/>
    </row>
    <row r="26337" spans="13:13">
      <c r="M26337" s="202"/>
    </row>
    <row r="26338" spans="13:13">
      <c r="M26338" s="202"/>
    </row>
    <row r="26339" spans="13:13">
      <c r="M26339" s="202"/>
    </row>
    <row r="26340" spans="13:13">
      <c r="M26340" s="202"/>
    </row>
    <row r="26341" spans="13:13">
      <c r="M26341" s="202"/>
    </row>
    <row r="26342" spans="13:13">
      <c r="M26342" s="202"/>
    </row>
    <row r="26343" spans="13:13">
      <c r="M26343" s="202"/>
    </row>
    <row r="26344" spans="13:13">
      <c r="M26344" s="202"/>
    </row>
    <row r="26345" spans="13:13">
      <c r="M26345" s="202"/>
    </row>
    <row r="26346" spans="13:13">
      <c r="M26346" s="202"/>
    </row>
    <row r="26347" spans="13:13">
      <c r="M26347" s="202"/>
    </row>
    <row r="26348" spans="13:13">
      <c r="M26348" s="202"/>
    </row>
    <row r="26349" spans="13:13">
      <c r="M26349" s="202"/>
    </row>
    <row r="26350" spans="13:13">
      <c r="M26350" s="202"/>
    </row>
    <row r="26351" spans="13:13">
      <c r="M26351" s="202"/>
    </row>
    <row r="26352" spans="13:13">
      <c r="M26352" s="202"/>
    </row>
    <row r="26353" spans="13:13">
      <c r="M26353" s="202"/>
    </row>
    <row r="26354" spans="13:13">
      <c r="M26354" s="202"/>
    </row>
    <row r="26355" spans="13:13">
      <c r="M26355" s="202"/>
    </row>
    <row r="26356" spans="13:13">
      <c r="M26356" s="202"/>
    </row>
    <row r="26357" spans="13:13">
      <c r="M26357" s="202"/>
    </row>
    <row r="26358" spans="13:13">
      <c r="M26358" s="202"/>
    </row>
    <row r="26359" spans="13:13">
      <c r="M26359" s="202"/>
    </row>
    <row r="26360" spans="13:13">
      <c r="M26360" s="202"/>
    </row>
    <row r="26361" spans="13:13">
      <c r="M26361" s="202"/>
    </row>
    <row r="26362" spans="13:13">
      <c r="M26362" s="202"/>
    </row>
    <row r="26363" spans="13:13">
      <c r="M26363" s="202"/>
    </row>
    <row r="26364" spans="13:13">
      <c r="M26364" s="202"/>
    </row>
    <row r="26365" spans="13:13">
      <c r="M26365" s="202"/>
    </row>
    <row r="26366" spans="13:13">
      <c r="M26366" s="202"/>
    </row>
    <row r="26367" spans="13:13">
      <c r="M26367" s="202"/>
    </row>
    <row r="26368" spans="13:13">
      <c r="M26368" s="202"/>
    </row>
    <row r="26369" spans="13:13">
      <c r="M26369" s="202"/>
    </row>
    <row r="26370" spans="13:13">
      <c r="M26370" s="202"/>
    </row>
    <row r="26371" spans="13:13">
      <c r="M26371" s="202"/>
    </row>
    <row r="26372" spans="13:13">
      <c r="M26372" s="202"/>
    </row>
    <row r="26373" spans="13:13">
      <c r="M26373" s="202"/>
    </row>
    <row r="26374" spans="13:13">
      <c r="M26374" s="202"/>
    </row>
    <row r="26375" spans="13:13">
      <c r="M26375" s="202"/>
    </row>
    <row r="26376" spans="13:13">
      <c r="M26376" s="202"/>
    </row>
    <row r="26377" spans="13:13">
      <c r="M26377" s="202"/>
    </row>
    <row r="26378" spans="13:13">
      <c r="M26378" s="202"/>
    </row>
    <row r="26379" spans="13:13">
      <c r="M26379" s="202"/>
    </row>
    <row r="26380" spans="13:13">
      <c r="M26380" s="202"/>
    </row>
    <row r="26381" spans="13:13">
      <c r="M26381" s="202"/>
    </row>
    <row r="26382" spans="13:13">
      <c r="M26382" s="202"/>
    </row>
    <row r="26383" spans="13:13">
      <c r="M26383" s="202"/>
    </row>
    <row r="26384" spans="13:13">
      <c r="M26384" s="202"/>
    </row>
    <row r="26385" spans="13:13">
      <c r="M26385" s="202"/>
    </row>
    <row r="26386" spans="13:13">
      <c r="M26386" s="202"/>
    </row>
    <row r="26387" spans="13:13">
      <c r="M26387" s="202"/>
    </row>
    <row r="26388" spans="13:13">
      <c r="M26388" s="202"/>
    </row>
    <row r="26389" spans="13:13">
      <c r="M26389" s="202"/>
    </row>
    <row r="26390" spans="13:13">
      <c r="M26390" s="202"/>
    </row>
    <row r="26391" spans="13:13">
      <c r="M26391" s="202"/>
    </row>
    <row r="26392" spans="13:13">
      <c r="M26392" s="202"/>
    </row>
    <row r="26393" spans="13:13">
      <c r="M26393" s="202"/>
    </row>
    <row r="26394" spans="13:13">
      <c r="M26394" s="202"/>
    </row>
    <row r="26395" spans="13:13">
      <c r="M26395" s="202"/>
    </row>
    <row r="26396" spans="13:13">
      <c r="M26396" s="202"/>
    </row>
    <row r="26397" spans="13:13">
      <c r="M26397" s="202"/>
    </row>
    <row r="26398" spans="13:13">
      <c r="M26398" s="202"/>
    </row>
    <row r="26399" spans="13:13">
      <c r="M26399" s="202"/>
    </row>
    <row r="26400" spans="13:13">
      <c r="M26400" s="202"/>
    </row>
    <row r="26401" spans="13:13">
      <c r="M26401" s="202"/>
    </row>
    <row r="26402" spans="13:13">
      <c r="M26402" s="202"/>
    </row>
    <row r="26403" spans="13:13">
      <c r="M26403" s="202"/>
    </row>
    <row r="26404" spans="13:13">
      <c r="M26404" s="202"/>
    </row>
    <row r="26405" spans="13:13">
      <c r="M26405" s="202"/>
    </row>
    <row r="26406" spans="13:13">
      <c r="M26406" s="202"/>
    </row>
    <row r="26407" spans="13:13">
      <c r="M26407" s="202"/>
    </row>
    <row r="26408" spans="13:13">
      <c r="M26408" s="202"/>
    </row>
    <row r="26409" spans="13:13">
      <c r="M26409" s="202"/>
    </row>
    <row r="26410" spans="13:13">
      <c r="M26410" s="202"/>
    </row>
    <row r="26411" spans="13:13">
      <c r="M26411" s="202"/>
    </row>
    <row r="26412" spans="13:13">
      <c r="M26412" s="202"/>
    </row>
    <row r="26413" spans="13:13">
      <c r="M26413" s="202"/>
    </row>
    <row r="26414" spans="13:13">
      <c r="M26414" s="202"/>
    </row>
    <row r="26415" spans="13:13">
      <c r="M26415" s="202"/>
    </row>
    <row r="26416" spans="13:13">
      <c r="M26416" s="202"/>
    </row>
    <row r="26417" spans="13:13">
      <c r="M26417" s="202"/>
    </row>
    <row r="26418" spans="13:13">
      <c r="M26418" s="202"/>
    </row>
    <row r="26419" spans="13:13">
      <c r="M26419" s="202"/>
    </row>
    <row r="26420" spans="13:13">
      <c r="M26420" s="202"/>
    </row>
    <row r="26421" spans="13:13">
      <c r="M26421" s="202"/>
    </row>
    <row r="26422" spans="13:13">
      <c r="M26422" s="202"/>
    </row>
    <row r="26423" spans="13:13">
      <c r="M26423" s="202"/>
    </row>
    <row r="26424" spans="13:13">
      <c r="M26424" s="202"/>
    </row>
    <row r="26425" spans="13:13">
      <c r="M26425" s="202"/>
    </row>
    <row r="26426" spans="13:13">
      <c r="M26426" s="202"/>
    </row>
    <row r="26427" spans="13:13">
      <c r="M26427" s="202"/>
    </row>
    <row r="26428" spans="13:13">
      <c r="M26428" s="202"/>
    </row>
    <row r="26429" spans="13:13">
      <c r="M26429" s="202"/>
    </row>
    <row r="26430" spans="13:13">
      <c r="M26430" s="202"/>
    </row>
    <row r="26431" spans="13:13">
      <c r="M26431" s="202"/>
    </row>
    <row r="26432" spans="13:13">
      <c r="M26432" s="202"/>
    </row>
    <row r="26433" spans="13:13">
      <c r="M26433" s="202"/>
    </row>
    <row r="26434" spans="13:13">
      <c r="M26434" s="202"/>
    </row>
    <row r="26435" spans="13:13">
      <c r="M26435" s="202"/>
    </row>
    <row r="26436" spans="13:13">
      <c r="M26436" s="202"/>
    </row>
    <row r="26437" spans="13:13">
      <c r="M26437" s="202"/>
    </row>
    <row r="26438" spans="13:13">
      <c r="M26438" s="202"/>
    </row>
    <row r="26439" spans="13:13">
      <c r="M26439" s="202"/>
    </row>
    <row r="26440" spans="13:13">
      <c r="M26440" s="202"/>
    </row>
    <row r="26441" spans="13:13">
      <c r="M26441" s="202"/>
    </row>
    <row r="26442" spans="13:13">
      <c r="M26442" s="202"/>
    </row>
    <row r="26443" spans="13:13">
      <c r="M26443" s="202"/>
    </row>
    <row r="26444" spans="13:13">
      <c r="M26444" s="202"/>
    </row>
    <row r="26445" spans="13:13">
      <c r="M26445" s="202"/>
    </row>
    <row r="26446" spans="13:13">
      <c r="M26446" s="202"/>
    </row>
    <row r="26447" spans="13:13">
      <c r="M26447" s="202"/>
    </row>
    <row r="26448" spans="13:13">
      <c r="M26448" s="202"/>
    </row>
    <row r="26449" spans="13:13">
      <c r="M26449" s="202"/>
    </row>
    <row r="26450" spans="13:13">
      <c r="M26450" s="202"/>
    </row>
    <row r="26451" spans="13:13">
      <c r="M26451" s="202"/>
    </row>
    <row r="26452" spans="13:13">
      <c r="M26452" s="202"/>
    </row>
    <row r="26453" spans="13:13">
      <c r="M26453" s="202"/>
    </row>
    <row r="26454" spans="13:13">
      <c r="M26454" s="202"/>
    </row>
    <row r="26455" spans="13:13">
      <c r="M26455" s="202"/>
    </row>
    <row r="26456" spans="13:13">
      <c r="M26456" s="202"/>
    </row>
    <row r="26457" spans="13:13">
      <c r="M26457" s="202"/>
    </row>
    <row r="26458" spans="13:13">
      <c r="M26458" s="202"/>
    </row>
    <row r="26459" spans="13:13">
      <c r="M26459" s="202"/>
    </row>
    <row r="26460" spans="13:13">
      <c r="M26460" s="202"/>
    </row>
    <row r="26461" spans="13:13">
      <c r="M26461" s="202"/>
    </row>
    <row r="26462" spans="13:13">
      <c r="M26462" s="202"/>
    </row>
    <row r="26463" spans="13:13">
      <c r="M26463" s="202"/>
    </row>
    <row r="26464" spans="13:13">
      <c r="M26464" s="202"/>
    </row>
    <row r="26465" spans="13:13">
      <c r="M26465" s="202"/>
    </row>
    <row r="26466" spans="13:13">
      <c r="M26466" s="202"/>
    </row>
    <row r="26467" spans="13:13">
      <c r="M26467" s="202"/>
    </row>
    <row r="26468" spans="13:13">
      <c r="M26468" s="202"/>
    </row>
    <row r="26469" spans="13:13">
      <c r="M26469" s="202"/>
    </row>
    <row r="26470" spans="13:13">
      <c r="M26470" s="202"/>
    </row>
    <row r="26471" spans="13:13">
      <c r="M26471" s="202"/>
    </row>
    <row r="26472" spans="13:13">
      <c r="M26472" s="202"/>
    </row>
    <row r="26473" spans="13:13">
      <c r="M26473" s="202"/>
    </row>
    <row r="26474" spans="13:13">
      <c r="M26474" s="202"/>
    </row>
    <row r="26475" spans="13:13">
      <c r="M26475" s="202"/>
    </row>
    <row r="26476" spans="13:13">
      <c r="M26476" s="202"/>
    </row>
    <row r="26477" spans="13:13">
      <c r="M26477" s="202"/>
    </row>
    <row r="26478" spans="13:13">
      <c r="M26478" s="202"/>
    </row>
    <row r="26479" spans="13:13">
      <c r="M26479" s="202"/>
    </row>
    <row r="26480" spans="13:13">
      <c r="M26480" s="202"/>
    </row>
    <row r="26481" spans="13:13">
      <c r="M26481" s="202"/>
    </row>
    <row r="26482" spans="13:13">
      <c r="M26482" s="202"/>
    </row>
    <row r="26483" spans="13:13">
      <c r="M26483" s="202"/>
    </row>
    <row r="26484" spans="13:13">
      <c r="M26484" s="202"/>
    </row>
    <row r="26485" spans="13:13">
      <c r="M26485" s="202"/>
    </row>
    <row r="26486" spans="13:13">
      <c r="M26486" s="202"/>
    </row>
    <row r="26487" spans="13:13">
      <c r="M26487" s="202"/>
    </row>
    <row r="26488" spans="13:13">
      <c r="M26488" s="202"/>
    </row>
    <row r="26489" spans="13:13">
      <c r="M26489" s="202"/>
    </row>
    <row r="26490" spans="13:13">
      <c r="M26490" s="202"/>
    </row>
    <row r="26491" spans="13:13">
      <c r="M26491" s="202"/>
    </row>
    <row r="26492" spans="13:13">
      <c r="M26492" s="202"/>
    </row>
    <row r="26493" spans="13:13">
      <c r="M26493" s="202"/>
    </row>
    <row r="26494" spans="13:13">
      <c r="M26494" s="202"/>
    </row>
    <row r="26495" spans="13:13">
      <c r="M26495" s="202"/>
    </row>
    <row r="26496" spans="13:13">
      <c r="M26496" s="202"/>
    </row>
    <row r="26497" spans="13:13">
      <c r="M26497" s="202"/>
    </row>
    <row r="26498" spans="13:13">
      <c r="M26498" s="202"/>
    </row>
    <row r="26499" spans="13:13">
      <c r="M26499" s="202"/>
    </row>
    <row r="26500" spans="13:13">
      <c r="M26500" s="202"/>
    </row>
    <row r="26501" spans="13:13">
      <c r="M26501" s="202"/>
    </row>
    <row r="26502" spans="13:13">
      <c r="M26502" s="202"/>
    </row>
    <row r="26503" spans="13:13">
      <c r="M26503" s="202"/>
    </row>
    <row r="26504" spans="13:13">
      <c r="M26504" s="202"/>
    </row>
    <row r="26505" spans="13:13">
      <c r="M26505" s="202"/>
    </row>
    <row r="26506" spans="13:13">
      <c r="M26506" s="202"/>
    </row>
    <row r="26507" spans="13:13">
      <c r="M26507" s="202"/>
    </row>
    <row r="26508" spans="13:13">
      <c r="M26508" s="202"/>
    </row>
    <row r="26509" spans="13:13">
      <c r="M26509" s="202"/>
    </row>
    <row r="26510" spans="13:13">
      <c r="M26510" s="202"/>
    </row>
    <row r="26511" spans="13:13">
      <c r="M26511" s="202"/>
    </row>
    <row r="26512" spans="13:13">
      <c r="M26512" s="202"/>
    </row>
    <row r="26513" spans="13:13">
      <c r="M26513" s="202"/>
    </row>
    <row r="26514" spans="13:13">
      <c r="M26514" s="202"/>
    </row>
    <row r="26515" spans="13:13">
      <c r="M26515" s="202"/>
    </row>
    <row r="26516" spans="13:13">
      <c r="M26516" s="202"/>
    </row>
    <row r="26517" spans="13:13">
      <c r="M26517" s="202"/>
    </row>
    <row r="26518" spans="13:13">
      <c r="M26518" s="202"/>
    </row>
    <row r="26519" spans="13:13">
      <c r="M26519" s="202"/>
    </row>
    <row r="26520" spans="13:13">
      <c r="M26520" s="202"/>
    </row>
    <row r="26521" spans="13:13">
      <c r="M26521" s="202"/>
    </row>
    <row r="26522" spans="13:13">
      <c r="M26522" s="202"/>
    </row>
    <row r="26523" spans="13:13">
      <c r="M26523" s="202"/>
    </row>
    <row r="26524" spans="13:13">
      <c r="M26524" s="202"/>
    </row>
    <row r="26525" spans="13:13">
      <c r="M26525" s="202"/>
    </row>
    <row r="26526" spans="13:13">
      <c r="M26526" s="202"/>
    </row>
    <row r="26527" spans="13:13">
      <c r="M26527" s="202"/>
    </row>
    <row r="26528" spans="13:13">
      <c r="M26528" s="202"/>
    </row>
    <row r="26529" spans="13:13">
      <c r="M26529" s="202"/>
    </row>
    <row r="26530" spans="13:13">
      <c r="M26530" s="202"/>
    </row>
    <row r="26531" spans="13:13">
      <c r="M26531" s="202"/>
    </row>
    <row r="26532" spans="13:13">
      <c r="M26532" s="202"/>
    </row>
    <row r="26533" spans="13:13">
      <c r="M26533" s="202"/>
    </row>
    <row r="26534" spans="13:13">
      <c r="M26534" s="202"/>
    </row>
    <row r="26535" spans="13:13">
      <c r="M26535" s="202"/>
    </row>
    <row r="26536" spans="13:13">
      <c r="M26536" s="202"/>
    </row>
    <row r="26537" spans="13:13">
      <c r="M26537" s="202"/>
    </row>
    <row r="26538" spans="13:13">
      <c r="M26538" s="202"/>
    </row>
    <row r="26539" spans="13:13">
      <c r="M26539" s="202"/>
    </row>
    <row r="26540" spans="13:13">
      <c r="M26540" s="202"/>
    </row>
    <row r="26541" spans="13:13">
      <c r="M26541" s="202"/>
    </row>
    <row r="26542" spans="13:13">
      <c r="M26542" s="202"/>
    </row>
    <row r="26543" spans="13:13">
      <c r="M26543" s="202"/>
    </row>
    <row r="26544" spans="13:13">
      <c r="M26544" s="202"/>
    </row>
    <row r="26545" spans="13:13">
      <c r="M26545" s="202"/>
    </row>
    <row r="26546" spans="13:13">
      <c r="M26546" s="202"/>
    </row>
    <row r="26547" spans="13:13">
      <c r="M26547" s="202"/>
    </row>
    <row r="26548" spans="13:13">
      <c r="M26548" s="202"/>
    </row>
    <row r="26549" spans="13:13">
      <c r="M26549" s="202"/>
    </row>
    <row r="26550" spans="13:13">
      <c r="M26550" s="202"/>
    </row>
    <row r="26551" spans="13:13">
      <c r="M26551" s="202"/>
    </row>
    <row r="26552" spans="13:13">
      <c r="M26552" s="202"/>
    </row>
    <row r="26553" spans="13:13">
      <c r="M26553" s="202"/>
    </row>
    <row r="26554" spans="13:13">
      <c r="M26554" s="202"/>
    </row>
    <row r="26555" spans="13:13">
      <c r="M26555" s="202"/>
    </row>
    <row r="26556" spans="13:13">
      <c r="M26556" s="202"/>
    </row>
    <row r="26557" spans="13:13">
      <c r="M26557" s="202"/>
    </row>
    <row r="26558" spans="13:13">
      <c r="M26558" s="202"/>
    </row>
    <row r="26559" spans="13:13">
      <c r="M26559" s="202"/>
    </row>
    <row r="26560" spans="13:13">
      <c r="M26560" s="202"/>
    </row>
    <row r="26561" spans="13:13">
      <c r="M26561" s="202"/>
    </row>
    <row r="26562" spans="13:13">
      <c r="M26562" s="202"/>
    </row>
    <row r="26563" spans="13:13">
      <c r="M26563" s="202"/>
    </row>
    <row r="26564" spans="13:13">
      <c r="M26564" s="202"/>
    </row>
    <row r="26565" spans="13:13">
      <c r="M26565" s="202"/>
    </row>
    <row r="26566" spans="13:13">
      <c r="M26566" s="202"/>
    </row>
    <row r="26567" spans="13:13">
      <c r="M26567" s="202"/>
    </row>
    <row r="26568" spans="13:13">
      <c r="M26568" s="202"/>
    </row>
    <row r="26569" spans="13:13">
      <c r="M26569" s="202"/>
    </row>
    <row r="26570" spans="13:13">
      <c r="M26570" s="202"/>
    </row>
    <row r="26571" spans="13:13">
      <c r="M26571" s="202"/>
    </row>
    <row r="26572" spans="13:13">
      <c r="M26572" s="202"/>
    </row>
    <row r="26573" spans="13:13">
      <c r="M26573" s="202"/>
    </row>
    <row r="26574" spans="13:13">
      <c r="M26574" s="202"/>
    </row>
    <row r="26575" spans="13:13">
      <c r="M26575" s="202"/>
    </row>
    <row r="26576" spans="13:13">
      <c r="M26576" s="202"/>
    </row>
    <row r="26577" spans="13:13">
      <c r="M26577" s="202"/>
    </row>
    <row r="26578" spans="13:13">
      <c r="M26578" s="202"/>
    </row>
    <row r="26579" spans="13:13">
      <c r="M26579" s="202"/>
    </row>
    <row r="26580" spans="13:13">
      <c r="M26580" s="202"/>
    </row>
    <row r="26581" spans="13:13">
      <c r="M26581" s="202"/>
    </row>
    <row r="26582" spans="13:13">
      <c r="M26582" s="202"/>
    </row>
    <row r="26583" spans="13:13">
      <c r="M26583" s="202"/>
    </row>
    <row r="26584" spans="13:13">
      <c r="M26584" s="202"/>
    </row>
    <row r="26585" spans="13:13">
      <c r="M26585" s="202"/>
    </row>
    <row r="26586" spans="13:13">
      <c r="M26586" s="202"/>
    </row>
    <row r="26587" spans="13:13">
      <c r="M26587" s="202"/>
    </row>
    <row r="26588" spans="13:13">
      <c r="M26588" s="202"/>
    </row>
    <row r="26589" spans="13:13">
      <c r="M26589" s="202"/>
    </row>
    <row r="26590" spans="13:13">
      <c r="M26590" s="202"/>
    </row>
    <row r="26591" spans="13:13">
      <c r="M26591" s="202"/>
    </row>
    <row r="26592" spans="13:13">
      <c r="M26592" s="202"/>
    </row>
    <row r="26593" spans="13:13">
      <c r="M26593" s="202"/>
    </row>
    <row r="26594" spans="13:13">
      <c r="M26594" s="202"/>
    </row>
    <row r="26595" spans="13:13">
      <c r="M26595" s="202"/>
    </row>
    <row r="26596" spans="13:13">
      <c r="M26596" s="202"/>
    </row>
    <row r="26597" spans="13:13">
      <c r="M26597" s="202"/>
    </row>
    <row r="26598" spans="13:13">
      <c r="M26598" s="202"/>
    </row>
    <row r="26599" spans="13:13">
      <c r="M26599" s="202"/>
    </row>
    <row r="26600" spans="13:13">
      <c r="M26600" s="202"/>
    </row>
    <row r="26601" spans="13:13">
      <c r="M26601" s="202"/>
    </row>
    <row r="26602" spans="13:13">
      <c r="M26602" s="202"/>
    </row>
    <row r="26603" spans="13:13">
      <c r="M26603" s="202"/>
    </row>
    <row r="26604" spans="13:13">
      <c r="M26604" s="202"/>
    </row>
    <row r="26605" spans="13:13">
      <c r="M26605" s="202"/>
    </row>
    <row r="26606" spans="13:13">
      <c r="M26606" s="202"/>
    </row>
    <row r="26607" spans="13:13">
      <c r="M26607" s="202"/>
    </row>
    <row r="26608" spans="13:13">
      <c r="M26608" s="202"/>
    </row>
    <row r="26609" spans="13:13">
      <c r="M26609" s="202"/>
    </row>
    <row r="26610" spans="13:13">
      <c r="M26610" s="202"/>
    </row>
    <row r="26611" spans="13:13">
      <c r="M26611" s="202"/>
    </row>
    <row r="26612" spans="13:13">
      <c r="M26612" s="202"/>
    </row>
    <row r="26613" spans="13:13">
      <c r="M26613" s="202"/>
    </row>
    <row r="26614" spans="13:13">
      <c r="M26614" s="202"/>
    </row>
    <row r="26615" spans="13:13">
      <c r="M26615" s="202"/>
    </row>
    <row r="26616" spans="13:13">
      <c r="M26616" s="202"/>
    </row>
    <row r="26617" spans="13:13">
      <c r="M26617" s="202"/>
    </row>
    <row r="26618" spans="13:13">
      <c r="M26618" s="202"/>
    </row>
    <row r="26619" spans="13:13">
      <c r="M26619" s="202"/>
    </row>
    <row r="26620" spans="13:13">
      <c r="M26620" s="202"/>
    </row>
    <row r="26621" spans="13:13">
      <c r="M26621" s="202"/>
    </row>
    <row r="26622" spans="13:13">
      <c r="M26622" s="202"/>
    </row>
    <row r="26623" spans="13:13">
      <c r="M26623" s="202"/>
    </row>
    <row r="26624" spans="13:13">
      <c r="M26624" s="202"/>
    </row>
    <row r="26625" spans="13:13">
      <c r="M26625" s="202"/>
    </row>
    <row r="26626" spans="13:13">
      <c r="M26626" s="202"/>
    </row>
    <row r="26627" spans="13:13">
      <c r="M26627" s="202"/>
    </row>
    <row r="26628" spans="13:13">
      <c r="M26628" s="202"/>
    </row>
    <row r="26629" spans="13:13">
      <c r="M26629" s="202"/>
    </row>
    <row r="26630" spans="13:13">
      <c r="M26630" s="202"/>
    </row>
    <row r="26631" spans="13:13">
      <c r="M26631" s="202"/>
    </row>
    <row r="26632" spans="13:13">
      <c r="M26632" s="202"/>
    </row>
    <row r="26633" spans="13:13">
      <c r="M26633" s="202"/>
    </row>
    <row r="26634" spans="13:13">
      <c r="M26634" s="202"/>
    </row>
    <row r="26635" spans="13:13">
      <c r="M26635" s="202"/>
    </row>
    <row r="26636" spans="13:13">
      <c r="M26636" s="202"/>
    </row>
    <row r="26637" spans="13:13">
      <c r="M26637" s="202"/>
    </row>
    <row r="26638" spans="13:13">
      <c r="M26638" s="202"/>
    </row>
    <row r="26639" spans="13:13">
      <c r="M26639" s="202"/>
    </row>
    <row r="26640" spans="13:13">
      <c r="M26640" s="202"/>
    </row>
    <row r="26641" spans="13:13">
      <c r="M26641" s="202"/>
    </row>
    <row r="26642" spans="13:13">
      <c r="M26642" s="202"/>
    </row>
    <row r="26643" spans="13:13">
      <c r="M26643" s="202"/>
    </row>
    <row r="26644" spans="13:13">
      <c r="M26644" s="202"/>
    </row>
    <row r="26645" spans="13:13">
      <c r="M26645" s="202"/>
    </row>
    <row r="26646" spans="13:13">
      <c r="M26646" s="202"/>
    </row>
    <row r="26647" spans="13:13">
      <c r="M26647" s="202"/>
    </row>
    <row r="26648" spans="13:13">
      <c r="M26648" s="202"/>
    </row>
    <row r="26649" spans="13:13">
      <c r="M26649" s="202"/>
    </row>
    <row r="26650" spans="13:13">
      <c r="M26650" s="202"/>
    </row>
    <row r="26651" spans="13:13">
      <c r="M26651" s="202"/>
    </row>
    <row r="26652" spans="13:13">
      <c r="M26652" s="202"/>
    </row>
    <row r="26653" spans="13:13">
      <c r="M26653" s="202"/>
    </row>
    <row r="26654" spans="13:13">
      <c r="M26654" s="202"/>
    </row>
    <row r="26655" spans="13:13">
      <c r="M26655" s="202"/>
    </row>
    <row r="26656" spans="13:13">
      <c r="M26656" s="202"/>
    </row>
    <row r="26657" spans="13:13">
      <c r="M26657" s="202"/>
    </row>
    <row r="26658" spans="13:13">
      <c r="M26658" s="202"/>
    </row>
    <row r="26659" spans="13:13">
      <c r="M26659" s="202"/>
    </row>
    <row r="26660" spans="13:13">
      <c r="M26660" s="202"/>
    </row>
    <row r="26661" spans="13:13">
      <c r="M26661" s="202"/>
    </row>
    <row r="26662" spans="13:13">
      <c r="M26662" s="202"/>
    </row>
    <row r="26663" spans="13:13">
      <c r="M26663" s="202"/>
    </row>
    <row r="26664" spans="13:13">
      <c r="M26664" s="202"/>
    </row>
    <row r="26665" spans="13:13">
      <c r="M26665" s="202"/>
    </row>
    <row r="26666" spans="13:13">
      <c r="M26666" s="202"/>
    </row>
    <row r="26667" spans="13:13">
      <c r="M26667" s="202"/>
    </row>
    <row r="26668" spans="13:13">
      <c r="M26668" s="202"/>
    </row>
    <row r="26669" spans="13:13">
      <c r="M26669" s="202"/>
    </row>
    <row r="26670" spans="13:13">
      <c r="M26670" s="202"/>
    </row>
    <row r="26671" spans="13:13">
      <c r="M26671" s="202"/>
    </row>
    <row r="26672" spans="13:13">
      <c r="M26672" s="202"/>
    </row>
    <row r="26673" spans="13:13">
      <c r="M26673" s="202"/>
    </row>
    <row r="26674" spans="13:13">
      <c r="M26674" s="202"/>
    </row>
    <row r="26675" spans="13:13">
      <c r="M26675" s="202"/>
    </row>
    <row r="26676" spans="13:13">
      <c r="M26676" s="202"/>
    </row>
    <row r="26677" spans="13:13">
      <c r="M26677" s="202"/>
    </row>
    <row r="26678" spans="13:13">
      <c r="M26678" s="202"/>
    </row>
    <row r="26679" spans="13:13">
      <c r="M26679" s="202"/>
    </row>
    <row r="26680" spans="13:13">
      <c r="M26680" s="202"/>
    </row>
    <row r="26681" spans="13:13">
      <c r="M26681" s="202"/>
    </row>
    <row r="26682" spans="13:13">
      <c r="M26682" s="202"/>
    </row>
    <row r="26683" spans="13:13">
      <c r="M26683" s="202"/>
    </row>
    <row r="26684" spans="13:13">
      <c r="M26684" s="202"/>
    </row>
    <row r="26685" spans="13:13">
      <c r="M26685" s="202"/>
    </row>
    <row r="26686" spans="13:13">
      <c r="M26686" s="202"/>
    </row>
    <row r="26687" spans="13:13">
      <c r="M26687" s="202"/>
    </row>
    <row r="26688" spans="13:13">
      <c r="M26688" s="202"/>
    </row>
    <row r="26689" spans="13:13">
      <c r="M26689" s="202"/>
    </row>
    <row r="26690" spans="13:13">
      <c r="M26690" s="202"/>
    </row>
    <row r="26691" spans="13:13">
      <c r="M26691" s="202"/>
    </row>
    <row r="26692" spans="13:13">
      <c r="M26692" s="202"/>
    </row>
    <row r="26693" spans="13:13">
      <c r="M26693" s="202"/>
    </row>
    <row r="26694" spans="13:13">
      <c r="M26694" s="202"/>
    </row>
    <row r="26695" spans="13:13">
      <c r="M26695" s="202"/>
    </row>
    <row r="26696" spans="13:13">
      <c r="M26696" s="202"/>
    </row>
    <row r="26697" spans="13:13">
      <c r="M26697" s="202"/>
    </row>
    <row r="26698" spans="13:13">
      <c r="M26698" s="202"/>
    </row>
    <row r="26699" spans="13:13">
      <c r="M26699" s="202"/>
    </row>
    <row r="26700" spans="13:13">
      <c r="M26700" s="202"/>
    </row>
    <row r="26701" spans="13:13">
      <c r="M26701" s="202"/>
    </row>
    <row r="26702" spans="13:13">
      <c r="M26702" s="202"/>
    </row>
    <row r="26703" spans="13:13">
      <c r="M26703" s="202"/>
    </row>
    <row r="26704" spans="13:13">
      <c r="M26704" s="202"/>
    </row>
    <row r="26705" spans="13:13">
      <c r="M26705" s="202"/>
    </row>
    <row r="26706" spans="13:13">
      <c r="M26706" s="202"/>
    </row>
    <row r="26707" spans="13:13">
      <c r="M26707" s="202"/>
    </row>
    <row r="26708" spans="13:13">
      <c r="M26708" s="202"/>
    </row>
    <row r="26709" spans="13:13">
      <c r="M26709" s="202"/>
    </row>
    <row r="26710" spans="13:13">
      <c r="M26710" s="202"/>
    </row>
    <row r="26711" spans="13:13">
      <c r="M26711" s="202"/>
    </row>
    <row r="26712" spans="13:13">
      <c r="M26712" s="202"/>
    </row>
    <row r="26713" spans="13:13">
      <c r="M26713" s="202"/>
    </row>
    <row r="26714" spans="13:13">
      <c r="M26714" s="202"/>
    </row>
    <row r="26715" spans="13:13">
      <c r="M26715" s="202"/>
    </row>
    <row r="26716" spans="13:13">
      <c r="M26716" s="202"/>
    </row>
    <row r="26717" spans="13:13">
      <c r="M26717" s="202"/>
    </row>
    <row r="26718" spans="13:13">
      <c r="M26718" s="202"/>
    </row>
    <row r="26719" spans="13:13">
      <c r="M26719" s="202"/>
    </row>
    <row r="26720" spans="13:13">
      <c r="M26720" s="202"/>
    </row>
    <row r="26721" spans="13:13">
      <c r="M26721" s="202"/>
    </row>
    <row r="26722" spans="13:13">
      <c r="M26722" s="202"/>
    </row>
    <row r="26723" spans="13:13">
      <c r="M26723" s="202"/>
    </row>
    <row r="26724" spans="13:13">
      <c r="M26724" s="202"/>
    </row>
    <row r="26725" spans="13:13">
      <c r="M26725" s="202"/>
    </row>
    <row r="26726" spans="13:13">
      <c r="M26726" s="202"/>
    </row>
    <row r="26727" spans="13:13">
      <c r="M26727" s="202"/>
    </row>
    <row r="26728" spans="13:13">
      <c r="M26728" s="202"/>
    </row>
    <row r="26729" spans="13:13">
      <c r="M26729" s="202"/>
    </row>
    <row r="26730" spans="13:13">
      <c r="M26730" s="202"/>
    </row>
    <row r="26731" spans="13:13">
      <c r="M26731" s="202"/>
    </row>
    <row r="26732" spans="13:13">
      <c r="M26732" s="202"/>
    </row>
    <row r="26733" spans="13:13">
      <c r="M26733" s="202"/>
    </row>
    <row r="26734" spans="13:13">
      <c r="M26734" s="202"/>
    </row>
    <row r="26735" spans="13:13">
      <c r="M26735" s="202"/>
    </row>
    <row r="26736" spans="13:13">
      <c r="M26736" s="202"/>
    </row>
    <row r="26737" spans="13:13">
      <c r="M26737" s="202"/>
    </row>
    <row r="26738" spans="13:13">
      <c r="M26738" s="202"/>
    </row>
    <row r="26739" spans="13:13">
      <c r="M26739" s="202"/>
    </row>
    <row r="26740" spans="13:13">
      <c r="M26740" s="202"/>
    </row>
    <row r="26741" spans="13:13">
      <c r="M26741" s="202"/>
    </row>
    <row r="26742" spans="13:13">
      <c r="M26742" s="202"/>
    </row>
    <row r="26743" spans="13:13">
      <c r="M26743" s="202"/>
    </row>
    <row r="26744" spans="13:13">
      <c r="M26744" s="202"/>
    </row>
    <row r="26745" spans="13:13">
      <c r="M26745" s="202"/>
    </row>
    <row r="26746" spans="13:13">
      <c r="M26746" s="202"/>
    </row>
    <row r="26747" spans="13:13">
      <c r="M26747" s="202"/>
    </row>
    <row r="26748" spans="13:13">
      <c r="M26748" s="202"/>
    </row>
    <row r="26749" spans="13:13">
      <c r="M26749" s="202"/>
    </row>
    <row r="26750" spans="13:13">
      <c r="M26750" s="202"/>
    </row>
    <row r="26751" spans="13:13">
      <c r="M26751" s="202"/>
    </row>
    <row r="26752" spans="13:13">
      <c r="M26752" s="202"/>
    </row>
    <row r="26753" spans="13:13">
      <c r="M26753" s="202"/>
    </row>
    <row r="26754" spans="13:13">
      <c r="M26754" s="202"/>
    </row>
    <row r="26755" spans="13:13">
      <c r="M26755" s="202"/>
    </row>
    <row r="26756" spans="13:13">
      <c r="M26756" s="202"/>
    </row>
    <row r="26757" spans="13:13">
      <c r="M26757" s="202"/>
    </row>
    <row r="26758" spans="13:13">
      <c r="M26758" s="202"/>
    </row>
    <row r="26759" spans="13:13">
      <c r="M26759" s="202"/>
    </row>
    <row r="26760" spans="13:13">
      <c r="M26760" s="202"/>
    </row>
    <row r="26761" spans="13:13">
      <c r="M26761" s="202"/>
    </row>
    <row r="26762" spans="13:13">
      <c r="M26762" s="202"/>
    </row>
    <row r="26763" spans="13:13">
      <c r="M26763" s="202"/>
    </row>
    <row r="26764" spans="13:13">
      <c r="M26764" s="202"/>
    </row>
    <row r="26765" spans="13:13">
      <c r="M26765" s="202"/>
    </row>
    <row r="26766" spans="13:13">
      <c r="M26766" s="202"/>
    </row>
    <row r="26767" spans="13:13">
      <c r="M26767" s="202"/>
    </row>
    <row r="26768" spans="13:13">
      <c r="M26768" s="202"/>
    </row>
    <row r="26769" spans="13:13">
      <c r="M26769" s="202"/>
    </row>
    <row r="26770" spans="13:13">
      <c r="M26770" s="202"/>
    </row>
    <row r="26771" spans="13:13">
      <c r="M26771" s="202"/>
    </row>
    <row r="26772" spans="13:13">
      <c r="M26772" s="202"/>
    </row>
    <row r="26773" spans="13:13">
      <c r="M26773" s="202"/>
    </row>
    <row r="26774" spans="13:13">
      <c r="M26774" s="202"/>
    </row>
    <row r="26775" spans="13:13">
      <c r="M26775" s="202"/>
    </row>
    <row r="26776" spans="13:13">
      <c r="M26776" s="202"/>
    </row>
    <row r="26777" spans="13:13">
      <c r="M26777" s="202"/>
    </row>
    <row r="26778" spans="13:13">
      <c r="M26778" s="202"/>
    </row>
    <row r="26779" spans="13:13">
      <c r="M26779" s="202"/>
    </row>
    <row r="26780" spans="13:13">
      <c r="M26780" s="202"/>
    </row>
    <row r="26781" spans="13:13">
      <c r="M26781" s="202"/>
    </row>
    <row r="26782" spans="13:13">
      <c r="M26782" s="202"/>
    </row>
    <row r="26783" spans="13:13">
      <c r="M26783" s="202"/>
    </row>
    <row r="26784" spans="13:13">
      <c r="M26784" s="202"/>
    </row>
    <row r="26785" spans="13:13">
      <c r="M26785" s="202"/>
    </row>
    <row r="26786" spans="13:13">
      <c r="M26786" s="202"/>
    </row>
    <row r="26787" spans="13:13">
      <c r="M26787" s="202"/>
    </row>
    <row r="26788" spans="13:13">
      <c r="M26788" s="202"/>
    </row>
    <row r="26789" spans="13:13">
      <c r="M26789" s="202"/>
    </row>
    <row r="26790" spans="13:13">
      <c r="M26790" s="202"/>
    </row>
    <row r="26791" spans="13:13">
      <c r="M26791" s="202"/>
    </row>
    <row r="26792" spans="13:13">
      <c r="M26792" s="202"/>
    </row>
    <row r="26793" spans="13:13">
      <c r="M26793" s="202"/>
    </row>
    <row r="26794" spans="13:13">
      <c r="M26794" s="202"/>
    </row>
    <row r="26795" spans="13:13">
      <c r="M26795" s="202"/>
    </row>
    <row r="26796" spans="13:13">
      <c r="M26796" s="202"/>
    </row>
    <row r="26797" spans="13:13">
      <c r="M26797" s="202"/>
    </row>
    <row r="26798" spans="13:13">
      <c r="M26798" s="202"/>
    </row>
    <row r="26799" spans="13:13">
      <c r="M26799" s="202"/>
    </row>
    <row r="26800" spans="13:13">
      <c r="M26800" s="202"/>
    </row>
    <row r="26801" spans="13:13">
      <c r="M26801" s="202"/>
    </row>
    <row r="26802" spans="13:13">
      <c r="M26802" s="202"/>
    </row>
    <row r="26803" spans="13:13">
      <c r="M26803" s="202"/>
    </row>
    <row r="26804" spans="13:13">
      <c r="M26804" s="202"/>
    </row>
    <row r="26805" spans="13:13">
      <c r="M26805" s="202"/>
    </row>
    <row r="26806" spans="13:13">
      <c r="M26806" s="202"/>
    </row>
    <row r="26807" spans="13:13">
      <c r="M26807" s="202"/>
    </row>
    <row r="26808" spans="13:13">
      <c r="M26808" s="202"/>
    </row>
    <row r="26809" spans="13:13">
      <c r="M26809" s="202"/>
    </row>
    <row r="26810" spans="13:13">
      <c r="M26810" s="202"/>
    </row>
    <row r="26811" spans="13:13">
      <c r="M26811" s="202"/>
    </row>
    <row r="26812" spans="13:13">
      <c r="M26812" s="202"/>
    </row>
    <row r="26813" spans="13:13">
      <c r="M26813" s="202"/>
    </row>
    <row r="26814" spans="13:13">
      <c r="M26814" s="202"/>
    </row>
    <row r="26815" spans="13:13">
      <c r="M26815" s="202"/>
    </row>
    <row r="26816" spans="13:13">
      <c r="M26816" s="202"/>
    </row>
    <row r="26817" spans="13:13">
      <c r="M26817" s="202"/>
    </row>
    <row r="26818" spans="13:13">
      <c r="M26818" s="202"/>
    </row>
    <row r="26819" spans="13:13">
      <c r="M26819" s="202"/>
    </row>
    <row r="26820" spans="13:13">
      <c r="M26820" s="202"/>
    </row>
    <row r="26821" spans="13:13">
      <c r="M26821" s="202"/>
    </row>
    <row r="26822" spans="13:13">
      <c r="M26822" s="202"/>
    </row>
    <row r="26823" spans="13:13">
      <c r="M26823" s="202"/>
    </row>
    <row r="26824" spans="13:13">
      <c r="M26824" s="202"/>
    </row>
    <row r="26825" spans="13:13">
      <c r="M26825" s="202"/>
    </row>
    <row r="26826" spans="13:13">
      <c r="M26826" s="202"/>
    </row>
    <row r="26827" spans="13:13">
      <c r="M26827" s="202"/>
    </row>
    <row r="26828" spans="13:13">
      <c r="M26828" s="202"/>
    </row>
    <row r="26829" spans="13:13">
      <c r="M26829" s="202"/>
    </row>
    <row r="26830" spans="13:13">
      <c r="M26830" s="202"/>
    </row>
    <row r="26831" spans="13:13">
      <c r="M26831" s="202"/>
    </row>
    <row r="26832" spans="13:13">
      <c r="M26832" s="202"/>
    </row>
    <row r="26833" spans="13:13">
      <c r="M26833" s="202"/>
    </row>
    <row r="26834" spans="13:13">
      <c r="M26834" s="202"/>
    </row>
    <row r="26835" spans="13:13">
      <c r="M26835" s="202"/>
    </row>
    <row r="26836" spans="13:13">
      <c r="M26836" s="202"/>
    </row>
    <row r="26837" spans="13:13">
      <c r="M26837" s="202"/>
    </row>
    <row r="26838" spans="13:13">
      <c r="M26838" s="202"/>
    </row>
    <row r="26839" spans="13:13">
      <c r="M26839" s="202"/>
    </row>
    <row r="26840" spans="13:13">
      <c r="M26840" s="202"/>
    </row>
    <row r="26841" spans="13:13">
      <c r="M26841" s="202"/>
    </row>
    <row r="26842" spans="13:13">
      <c r="M26842" s="202"/>
    </row>
    <row r="26843" spans="13:13">
      <c r="M26843" s="202"/>
    </row>
    <row r="26844" spans="13:13">
      <c r="M26844" s="202"/>
    </row>
    <row r="26845" spans="13:13">
      <c r="M26845" s="202"/>
    </row>
    <row r="26846" spans="13:13">
      <c r="M26846" s="202"/>
    </row>
    <row r="26847" spans="13:13">
      <c r="M26847" s="202"/>
    </row>
    <row r="26848" spans="13:13">
      <c r="M26848" s="202"/>
    </row>
    <row r="26849" spans="13:13">
      <c r="M26849" s="202"/>
    </row>
    <row r="26850" spans="13:13">
      <c r="M26850" s="202"/>
    </row>
    <row r="26851" spans="13:13">
      <c r="M26851" s="202"/>
    </row>
    <row r="26852" spans="13:13">
      <c r="M26852" s="202"/>
    </row>
    <row r="26853" spans="13:13">
      <c r="M26853" s="202"/>
    </row>
    <row r="26854" spans="13:13">
      <c r="M26854" s="202"/>
    </row>
    <row r="26855" spans="13:13">
      <c r="M26855" s="202"/>
    </row>
    <row r="26856" spans="13:13">
      <c r="M26856" s="202"/>
    </row>
    <row r="26857" spans="13:13">
      <c r="M26857" s="202"/>
    </row>
    <row r="26858" spans="13:13">
      <c r="M26858" s="202"/>
    </row>
    <row r="26859" spans="13:13">
      <c r="M26859" s="202"/>
    </row>
    <row r="26860" spans="13:13">
      <c r="M26860" s="202"/>
    </row>
    <row r="26861" spans="13:13">
      <c r="M26861" s="202"/>
    </row>
    <row r="26862" spans="13:13">
      <c r="M26862" s="202"/>
    </row>
    <row r="26863" spans="13:13">
      <c r="M26863" s="202"/>
    </row>
    <row r="26864" spans="13:13">
      <c r="M26864" s="202"/>
    </row>
    <row r="26865" spans="13:13">
      <c r="M26865" s="202"/>
    </row>
    <row r="26866" spans="13:13">
      <c r="M26866" s="202"/>
    </row>
    <row r="26867" spans="13:13">
      <c r="M26867" s="202"/>
    </row>
    <row r="26868" spans="13:13">
      <c r="M26868" s="202"/>
    </row>
    <row r="26869" spans="13:13">
      <c r="M26869" s="202"/>
    </row>
    <row r="26870" spans="13:13">
      <c r="M26870" s="202"/>
    </row>
    <row r="26871" spans="13:13">
      <c r="M26871" s="202"/>
    </row>
    <row r="26872" spans="13:13">
      <c r="M26872" s="202"/>
    </row>
    <row r="26873" spans="13:13">
      <c r="M26873" s="202"/>
    </row>
    <row r="26874" spans="13:13">
      <c r="M26874" s="202"/>
    </row>
    <row r="26875" spans="13:13">
      <c r="M26875" s="202"/>
    </row>
    <row r="26876" spans="13:13">
      <c r="M26876" s="202"/>
    </row>
    <row r="26877" spans="13:13">
      <c r="M26877" s="202"/>
    </row>
    <row r="26878" spans="13:13">
      <c r="M26878" s="202"/>
    </row>
    <row r="26879" spans="13:13">
      <c r="M26879" s="202"/>
    </row>
    <row r="26880" spans="13:13">
      <c r="M26880" s="202"/>
    </row>
    <row r="26881" spans="13:13">
      <c r="M26881" s="202"/>
    </row>
    <row r="26882" spans="13:13">
      <c r="M26882" s="202"/>
    </row>
    <row r="26883" spans="13:13">
      <c r="M26883" s="202"/>
    </row>
    <row r="26884" spans="13:13">
      <c r="M26884" s="202"/>
    </row>
    <row r="26885" spans="13:13">
      <c r="M26885" s="202"/>
    </row>
    <row r="26886" spans="13:13">
      <c r="M26886" s="202"/>
    </row>
    <row r="26887" spans="13:13">
      <c r="M26887" s="202"/>
    </row>
    <row r="26888" spans="13:13">
      <c r="M26888" s="202"/>
    </row>
    <row r="26889" spans="13:13">
      <c r="M26889" s="202"/>
    </row>
    <row r="26890" spans="13:13">
      <c r="M26890" s="202"/>
    </row>
    <row r="26891" spans="13:13">
      <c r="M26891" s="202"/>
    </row>
    <row r="26892" spans="13:13">
      <c r="M26892" s="202"/>
    </row>
    <row r="26893" spans="13:13">
      <c r="M26893" s="202"/>
    </row>
    <row r="26894" spans="13:13">
      <c r="M26894" s="202"/>
    </row>
    <row r="26895" spans="13:13">
      <c r="M26895" s="202"/>
    </row>
    <row r="26896" spans="13:13">
      <c r="M26896" s="202"/>
    </row>
    <row r="26897" spans="13:13">
      <c r="M26897" s="202"/>
    </row>
    <row r="26898" spans="13:13">
      <c r="M26898" s="202"/>
    </row>
    <row r="26899" spans="13:13">
      <c r="M26899" s="202"/>
    </row>
    <row r="26900" spans="13:13">
      <c r="M26900" s="202"/>
    </row>
    <row r="26901" spans="13:13">
      <c r="M26901" s="202"/>
    </row>
    <row r="26902" spans="13:13">
      <c r="M26902" s="202"/>
    </row>
    <row r="26903" spans="13:13">
      <c r="M26903" s="202"/>
    </row>
    <row r="26904" spans="13:13">
      <c r="M26904" s="202"/>
    </row>
    <row r="26905" spans="13:13">
      <c r="M26905" s="202"/>
    </row>
    <row r="26906" spans="13:13">
      <c r="M26906" s="202"/>
    </row>
    <row r="26907" spans="13:13">
      <c r="M26907" s="202"/>
    </row>
    <row r="26908" spans="13:13">
      <c r="M26908" s="202"/>
    </row>
    <row r="26909" spans="13:13">
      <c r="M26909" s="202"/>
    </row>
    <row r="26910" spans="13:13">
      <c r="M26910" s="202"/>
    </row>
    <row r="26911" spans="13:13">
      <c r="M26911" s="202"/>
    </row>
    <row r="26912" spans="13:13">
      <c r="M26912" s="202"/>
    </row>
    <row r="26913" spans="13:13">
      <c r="M26913" s="202"/>
    </row>
    <row r="26914" spans="13:13">
      <c r="M26914" s="202"/>
    </row>
    <row r="26915" spans="13:13">
      <c r="M26915" s="202"/>
    </row>
    <row r="26916" spans="13:13">
      <c r="M26916" s="202"/>
    </row>
    <row r="26917" spans="13:13">
      <c r="M26917" s="202"/>
    </row>
    <row r="26918" spans="13:13">
      <c r="M26918" s="202"/>
    </row>
    <row r="26919" spans="13:13">
      <c r="M26919" s="202"/>
    </row>
    <row r="26920" spans="13:13">
      <c r="M26920" s="202"/>
    </row>
    <row r="26921" spans="13:13">
      <c r="M26921" s="202"/>
    </row>
    <row r="26922" spans="13:13">
      <c r="M26922" s="202"/>
    </row>
    <row r="26923" spans="13:13">
      <c r="M26923" s="202"/>
    </row>
    <row r="26924" spans="13:13">
      <c r="M26924" s="202"/>
    </row>
    <row r="26925" spans="13:13">
      <c r="M26925" s="202"/>
    </row>
    <row r="26926" spans="13:13">
      <c r="M26926" s="202"/>
    </row>
    <row r="26927" spans="13:13">
      <c r="M26927" s="202"/>
    </row>
    <row r="26928" spans="13:13">
      <c r="M26928" s="202"/>
    </row>
    <row r="26929" spans="13:13">
      <c r="M26929" s="202"/>
    </row>
    <row r="26930" spans="13:13">
      <c r="M26930" s="202"/>
    </row>
    <row r="26931" spans="13:13">
      <c r="M26931" s="202"/>
    </row>
    <row r="26932" spans="13:13">
      <c r="M26932" s="202"/>
    </row>
    <row r="26933" spans="13:13">
      <c r="M26933" s="202"/>
    </row>
    <row r="26934" spans="13:13">
      <c r="M26934" s="202"/>
    </row>
    <row r="26935" spans="13:13">
      <c r="M26935" s="202"/>
    </row>
    <row r="26936" spans="13:13">
      <c r="M26936" s="202"/>
    </row>
    <row r="26937" spans="13:13">
      <c r="M26937" s="202"/>
    </row>
    <row r="26938" spans="13:13">
      <c r="M26938" s="202"/>
    </row>
    <row r="26939" spans="13:13">
      <c r="M26939" s="202"/>
    </row>
    <row r="26940" spans="13:13">
      <c r="M26940" s="202"/>
    </row>
    <row r="26941" spans="13:13">
      <c r="M26941" s="202"/>
    </row>
    <row r="26942" spans="13:13">
      <c r="M26942" s="202"/>
    </row>
    <row r="26943" spans="13:13">
      <c r="M26943" s="202"/>
    </row>
    <row r="26944" spans="13:13">
      <c r="M26944" s="202"/>
    </row>
    <row r="26945" spans="13:13">
      <c r="M26945" s="202"/>
    </row>
    <row r="26946" spans="13:13">
      <c r="M26946" s="202"/>
    </row>
    <row r="26947" spans="13:13">
      <c r="M26947" s="202"/>
    </row>
    <row r="26948" spans="13:13">
      <c r="M26948" s="202"/>
    </row>
    <row r="26949" spans="13:13">
      <c r="M26949" s="202"/>
    </row>
    <row r="26950" spans="13:13">
      <c r="M26950" s="202"/>
    </row>
    <row r="26951" spans="13:13">
      <c r="M26951" s="202"/>
    </row>
    <row r="26952" spans="13:13">
      <c r="M26952" s="202"/>
    </row>
    <row r="26953" spans="13:13">
      <c r="M26953" s="202"/>
    </row>
    <row r="26954" spans="13:13">
      <c r="M26954" s="202"/>
    </row>
    <row r="26955" spans="13:13">
      <c r="M26955" s="202"/>
    </row>
    <row r="26956" spans="13:13">
      <c r="M26956" s="202"/>
    </row>
    <row r="26957" spans="13:13">
      <c r="M26957" s="202"/>
    </row>
    <row r="26958" spans="13:13">
      <c r="M26958" s="202"/>
    </row>
    <row r="26959" spans="13:13">
      <c r="M26959" s="202"/>
    </row>
    <row r="26960" spans="13:13">
      <c r="M26960" s="202"/>
    </row>
    <row r="26961" spans="13:13">
      <c r="M26961" s="202"/>
    </row>
    <row r="26962" spans="13:13">
      <c r="M26962" s="202"/>
    </row>
    <row r="26963" spans="13:13">
      <c r="M26963" s="202"/>
    </row>
    <row r="26964" spans="13:13">
      <c r="M26964" s="202"/>
    </row>
    <row r="26965" spans="13:13">
      <c r="M26965" s="202"/>
    </row>
    <row r="26966" spans="13:13">
      <c r="M26966" s="202"/>
    </row>
    <row r="26967" spans="13:13">
      <c r="M26967" s="202"/>
    </row>
    <row r="26968" spans="13:13">
      <c r="M26968" s="202"/>
    </row>
    <row r="26969" spans="13:13">
      <c r="M26969" s="202"/>
    </row>
    <row r="26970" spans="13:13">
      <c r="M26970" s="202"/>
    </row>
    <row r="26971" spans="13:13">
      <c r="M26971" s="202"/>
    </row>
    <row r="26972" spans="13:13">
      <c r="M26972" s="202"/>
    </row>
    <row r="26973" spans="13:13">
      <c r="M26973" s="202"/>
    </row>
    <row r="26974" spans="13:13">
      <c r="M26974" s="202"/>
    </row>
    <row r="26975" spans="13:13">
      <c r="M26975" s="202"/>
    </row>
    <row r="26976" spans="13:13">
      <c r="M26976" s="202"/>
    </row>
    <row r="26977" spans="13:13">
      <c r="M26977" s="202"/>
    </row>
    <row r="26978" spans="13:13">
      <c r="M26978" s="202"/>
    </row>
    <row r="26979" spans="13:13">
      <c r="M26979" s="202"/>
    </row>
    <row r="26980" spans="13:13">
      <c r="M26980" s="202"/>
    </row>
    <row r="26981" spans="13:13">
      <c r="M26981" s="202"/>
    </row>
    <row r="26982" spans="13:13">
      <c r="M26982" s="202"/>
    </row>
    <row r="26983" spans="13:13">
      <c r="M26983" s="202"/>
    </row>
    <row r="26984" spans="13:13">
      <c r="M26984" s="202"/>
    </row>
    <row r="26985" spans="13:13">
      <c r="M26985" s="202"/>
    </row>
    <row r="26986" spans="13:13">
      <c r="M26986" s="202"/>
    </row>
    <row r="26987" spans="13:13">
      <c r="M26987" s="202"/>
    </row>
    <row r="26988" spans="13:13">
      <c r="M26988" s="202"/>
    </row>
    <row r="26989" spans="13:13">
      <c r="M26989" s="202"/>
    </row>
    <row r="26990" spans="13:13">
      <c r="M26990" s="202"/>
    </row>
    <row r="26991" spans="13:13">
      <c r="M26991" s="202"/>
    </row>
    <row r="26992" spans="13:13">
      <c r="M26992" s="202"/>
    </row>
    <row r="26993" spans="13:13">
      <c r="M26993" s="202"/>
    </row>
    <row r="26994" spans="13:13">
      <c r="M26994" s="202"/>
    </row>
    <row r="26995" spans="13:13">
      <c r="M26995" s="202"/>
    </row>
    <row r="26996" spans="13:13">
      <c r="M26996" s="202"/>
    </row>
    <row r="26997" spans="13:13">
      <c r="M26997" s="202"/>
    </row>
    <row r="26998" spans="13:13">
      <c r="M26998" s="202"/>
    </row>
    <row r="26999" spans="13:13">
      <c r="M26999" s="202"/>
    </row>
    <row r="27000" spans="13:13">
      <c r="M27000" s="202"/>
    </row>
    <row r="27001" spans="13:13">
      <c r="M27001" s="202"/>
    </row>
    <row r="27002" spans="13:13">
      <c r="M27002" s="202"/>
    </row>
    <row r="27003" spans="13:13">
      <c r="M27003" s="202"/>
    </row>
    <row r="27004" spans="13:13">
      <c r="M27004" s="202"/>
    </row>
    <row r="27005" spans="13:13">
      <c r="M27005" s="202"/>
    </row>
    <row r="27006" spans="13:13">
      <c r="M27006" s="202"/>
    </row>
    <row r="27007" spans="13:13">
      <c r="M27007" s="202"/>
    </row>
    <row r="27008" spans="13:13">
      <c r="M27008" s="202"/>
    </row>
    <row r="27009" spans="13:13">
      <c r="M27009" s="202"/>
    </row>
    <row r="27010" spans="13:13">
      <c r="M27010" s="202"/>
    </row>
    <row r="27011" spans="13:13">
      <c r="M27011" s="202"/>
    </row>
    <row r="27012" spans="13:13">
      <c r="M27012" s="202"/>
    </row>
    <row r="27013" spans="13:13">
      <c r="M27013" s="202"/>
    </row>
    <row r="27014" spans="13:13">
      <c r="M27014" s="202"/>
    </row>
    <row r="27015" spans="13:13">
      <c r="M27015" s="202"/>
    </row>
    <row r="27016" spans="13:13">
      <c r="M27016" s="202"/>
    </row>
    <row r="27017" spans="13:13">
      <c r="M27017" s="202"/>
    </row>
    <row r="27018" spans="13:13">
      <c r="M27018" s="202"/>
    </row>
    <row r="27019" spans="13:13">
      <c r="M27019" s="202"/>
    </row>
    <row r="27020" spans="13:13">
      <c r="M27020" s="202"/>
    </row>
    <row r="27021" spans="13:13">
      <c r="M27021" s="202"/>
    </row>
    <row r="27022" spans="13:13">
      <c r="M27022" s="202"/>
    </row>
    <row r="27023" spans="13:13">
      <c r="M27023" s="202"/>
    </row>
    <row r="27024" spans="13:13">
      <c r="M27024" s="202"/>
    </row>
    <row r="27025" spans="13:13">
      <c r="M27025" s="202"/>
    </row>
    <row r="27026" spans="13:13">
      <c r="M27026" s="202"/>
    </row>
    <row r="27027" spans="13:13">
      <c r="M27027" s="202"/>
    </row>
    <row r="27028" spans="13:13">
      <c r="M27028" s="202"/>
    </row>
    <row r="27029" spans="13:13">
      <c r="M27029" s="202"/>
    </row>
    <row r="27030" spans="13:13">
      <c r="M27030" s="202"/>
    </row>
    <row r="27031" spans="13:13">
      <c r="M27031" s="202"/>
    </row>
    <row r="27032" spans="13:13">
      <c r="M27032" s="202"/>
    </row>
    <row r="27033" spans="13:13">
      <c r="M27033" s="202"/>
    </row>
    <row r="27034" spans="13:13">
      <c r="M27034" s="202"/>
    </row>
    <row r="27035" spans="13:13">
      <c r="M27035" s="202"/>
    </row>
    <row r="27036" spans="13:13">
      <c r="M27036" s="202"/>
    </row>
    <row r="27037" spans="13:13">
      <c r="M27037" s="202"/>
    </row>
    <row r="27038" spans="13:13">
      <c r="M27038" s="202"/>
    </row>
    <row r="27039" spans="13:13">
      <c r="M27039" s="202"/>
    </row>
    <row r="27040" spans="13:13">
      <c r="M27040" s="202"/>
    </row>
    <row r="27041" spans="13:13">
      <c r="M27041" s="202"/>
    </row>
    <row r="27042" spans="13:13">
      <c r="M27042" s="202"/>
    </row>
    <row r="27043" spans="13:13">
      <c r="M27043" s="202"/>
    </row>
    <row r="27044" spans="13:13">
      <c r="M27044" s="202"/>
    </row>
    <row r="27045" spans="13:13">
      <c r="M27045" s="202"/>
    </row>
    <row r="27046" spans="13:13">
      <c r="M27046" s="202"/>
    </row>
    <row r="27047" spans="13:13">
      <c r="M27047" s="202"/>
    </row>
    <row r="27048" spans="13:13">
      <c r="M27048" s="202"/>
    </row>
    <row r="27049" spans="13:13">
      <c r="M27049" s="202"/>
    </row>
    <row r="27050" spans="13:13">
      <c r="M27050" s="202"/>
    </row>
    <row r="27051" spans="13:13">
      <c r="M27051" s="202"/>
    </row>
    <row r="27052" spans="13:13">
      <c r="M27052" s="202"/>
    </row>
    <row r="27053" spans="13:13">
      <c r="M27053" s="202"/>
    </row>
    <row r="27054" spans="13:13">
      <c r="M27054" s="202"/>
    </row>
    <row r="27055" spans="13:13">
      <c r="M27055" s="202"/>
    </row>
    <row r="27056" spans="13:13">
      <c r="M27056" s="202"/>
    </row>
    <row r="27057" spans="13:13">
      <c r="M27057" s="202"/>
    </row>
    <row r="27058" spans="13:13">
      <c r="M27058" s="202"/>
    </row>
    <row r="27059" spans="13:13">
      <c r="M27059" s="202"/>
    </row>
    <row r="27060" spans="13:13">
      <c r="M27060" s="202"/>
    </row>
    <row r="27061" spans="13:13">
      <c r="M27061" s="202"/>
    </row>
    <row r="27062" spans="13:13">
      <c r="M27062" s="202"/>
    </row>
    <row r="27063" spans="13:13">
      <c r="M27063" s="202"/>
    </row>
    <row r="27064" spans="13:13">
      <c r="M27064" s="202"/>
    </row>
    <row r="27065" spans="13:13">
      <c r="M27065" s="202"/>
    </row>
    <row r="27066" spans="13:13">
      <c r="M27066" s="202"/>
    </row>
    <row r="27067" spans="13:13">
      <c r="M27067" s="202"/>
    </row>
    <row r="27068" spans="13:13">
      <c r="M27068" s="202"/>
    </row>
    <row r="27069" spans="13:13">
      <c r="M27069" s="202"/>
    </row>
    <row r="27070" spans="13:13">
      <c r="M27070" s="202"/>
    </row>
    <row r="27071" spans="13:13">
      <c r="M27071" s="202"/>
    </row>
    <row r="27072" spans="13:13">
      <c r="M27072" s="202"/>
    </row>
    <row r="27073" spans="13:13">
      <c r="M27073" s="202"/>
    </row>
    <row r="27074" spans="13:13">
      <c r="M27074" s="202"/>
    </row>
    <row r="27075" spans="13:13">
      <c r="M27075" s="202"/>
    </row>
    <row r="27076" spans="13:13">
      <c r="M27076" s="202"/>
    </row>
    <row r="27077" spans="13:13">
      <c r="M27077" s="202"/>
    </row>
    <row r="27078" spans="13:13">
      <c r="M27078" s="202"/>
    </row>
    <row r="27079" spans="13:13">
      <c r="M27079" s="202"/>
    </row>
    <row r="27080" spans="13:13">
      <c r="M27080" s="202"/>
    </row>
    <row r="27081" spans="13:13">
      <c r="M27081" s="202"/>
    </row>
    <row r="27082" spans="13:13">
      <c r="M27082" s="202"/>
    </row>
    <row r="27083" spans="13:13">
      <c r="M27083" s="202"/>
    </row>
    <row r="27084" spans="13:13">
      <c r="M27084" s="202"/>
    </row>
    <row r="27085" spans="13:13">
      <c r="M27085" s="202"/>
    </row>
    <row r="27086" spans="13:13">
      <c r="M27086" s="202"/>
    </row>
    <row r="27087" spans="13:13">
      <c r="M27087" s="202"/>
    </row>
    <row r="27088" spans="13:13">
      <c r="M27088" s="202"/>
    </row>
    <row r="27089" spans="13:13">
      <c r="M27089" s="202"/>
    </row>
    <row r="27090" spans="13:13">
      <c r="M27090" s="202"/>
    </row>
    <row r="27091" spans="13:13">
      <c r="M27091" s="202"/>
    </row>
    <row r="27092" spans="13:13">
      <c r="M27092" s="202"/>
    </row>
    <row r="27093" spans="13:13">
      <c r="M27093" s="202"/>
    </row>
    <row r="27094" spans="13:13">
      <c r="M27094" s="202"/>
    </row>
    <row r="27095" spans="13:13">
      <c r="M27095" s="202"/>
    </row>
    <row r="27096" spans="13:13">
      <c r="M27096" s="202"/>
    </row>
    <row r="27097" spans="13:13">
      <c r="M27097" s="202"/>
    </row>
    <row r="27098" spans="13:13">
      <c r="M27098" s="202"/>
    </row>
    <row r="27099" spans="13:13">
      <c r="M27099" s="202"/>
    </row>
    <row r="27100" spans="13:13">
      <c r="M27100" s="202"/>
    </row>
    <row r="27101" spans="13:13">
      <c r="M27101" s="202"/>
    </row>
    <row r="27102" spans="13:13">
      <c r="M27102" s="202"/>
    </row>
    <row r="27103" spans="13:13">
      <c r="M27103" s="202"/>
    </row>
    <row r="27104" spans="13:13">
      <c r="M27104" s="202"/>
    </row>
    <row r="27105" spans="13:13">
      <c r="M27105" s="202"/>
    </row>
    <row r="27106" spans="13:13">
      <c r="M27106" s="202"/>
    </row>
    <row r="27107" spans="13:13">
      <c r="M27107" s="202"/>
    </row>
    <row r="27108" spans="13:13">
      <c r="M27108" s="202"/>
    </row>
    <row r="27109" spans="13:13">
      <c r="M27109" s="202"/>
    </row>
    <row r="27110" spans="13:13">
      <c r="M27110" s="202"/>
    </row>
    <row r="27111" spans="13:13">
      <c r="M27111" s="202"/>
    </row>
    <row r="27112" spans="13:13">
      <c r="M27112" s="202"/>
    </row>
    <row r="27113" spans="13:13">
      <c r="M27113" s="202"/>
    </row>
    <row r="27114" spans="13:13">
      <c r="M27114" s="202"/>
    </row>
    <row r="27115" spans="13:13">
      <c r="M27115" s="202"/>
    </row>
    <row r="27116" spans="13:13">
      <c r="M27116" s="202"/>
    </row>
    <row r="27117" spans="13:13">
      <c r="M27117" s="202"/>
    </row>
    <row r="27118" spans="13:13">
      <c r="M27118" s="202"/>
    </row>
    <row r="27119" spans="13:13">
      <c r="M27119" s="202"/>
    </row>
    <row r="27120" spans="13:13">
      <c r="M27120" s="202"/>
    </row>
    <row r="27121" spans="13:13">
      <c r="M27121" s="202"/>
    </row>
    <row r="27122" spans="13:13">
      <c r="M27122" s="202"/>
    </row>
    <row r="27123" spans="13:13">
      <c r="M27123" s="202"/>
    </row>
    <row r="27124" spans="13:13">
      <c r="M27124" s="202"/>
    </row>
    <row r="27125" spans="13:13">
      <c r="M27125" s="202"/>
    </row>
    <row r="27126" spans="13:13">
      <c r="M27126" s="202"/>
    </row>
    <row r="27127" spans="13:13">
      <c r="M27127" s="202"/>
    </row>
    <row r="27128" spans="13:13">
      <c r="M27128" s="202"/>
    </row>
    <row r="27129" spans="13:13">
      <c r="M27129" s="202"/>
    </row>
    <row r="27130" spans="13:13">
      <c r="M27130" s="202"/>
    </row>
    <row r="27131" spans="13:13">
      <c r="M27131" s="202"/>
    </row>
    <row r="27132" spans="13:13">
      <c r="M27132" s="202"/>
    </row>
    <row r="27133" spans="13:13">
      <c r="M27133" s="202"/>
    </row>
    <row r="27134" spans="13:13">
      <c r="M27134" s="202"/>
    </row>
    <row r="27135" spans="13:13">
      <c r="M27135" s="202"/>
    </row>
    <row r="27136" spans="13:13">
      <c r="M27136" s="202"/>
    </row>
    <row r="27137" spans="13:13">
      <c r="M27137" s="202"/>
    </row>
    <row r="27138" spans="13:13">
      <c r="M27138" s="202"/>
    </row>
    <row r="27139" spans="13:13">
      <c r="M27139" s="202"/>
    </row>
    <row r="27140" spans="13:13">
      <c r="M27140" s="202"/>
    </row>
    <row r="27141" spans="13:13">
      <c r="M27141" s="202"/>
    </row>
    <row r="27142" spans="13:13">
      <c r="M27142" s="202"/>
    </row>
    <row r="27143" spans="13:13">
      <c r="M27143" s="202"/>
    </row>
    <row r="27144" spans="13:13">
      <c r="M27144" s="202"/>
    </row>
    <row r="27145" spans="13:13">
      <c r="M27145" s="202"/>
    </row>
    <row r="27146" spans="13:13">
      <c r="M27146" s="202"/>
    </row>
    <row r="27147" spans="13:13">
      <c r="M27147" s="202"/>
    </row>
    <row r="27148" spans="13:13">
      <c r="M27148" s="202"/>
    </row>
    <row r="27149" spans="13:13">
      <c r="M27149" s="202"/>
    </row>
    <row r="27150" spans="13:13">
      <c r="M27150" s="202"/>
    </row>
    <row r="27151" spans="13:13">
      <c r="M27151" s="202"/>
    </row>
    <row r="27152" spans="13:13">
      <c r="M27152" s="202"/>
    </row>
    <row r="27153" spans="13:13">
      <c r="M27153" s="202"/>
    </row>
    <row r="27154" spans="13:13">
      <c r="M27154" s="202"/>
    </row>
    <row r="27155" spans="13:13">
      <c r="M27155" s="202"/>
    </row>
    <row r="27156" spans="13:13">
      <c r="M27156" s="202"/>
    </row>
    <row r="27157" spans="13:13">
      <c r="M27157" s="202"/>
    </row>
    <row r="27158" spans="13:13">
      <c r="M27158" s="202"/>
    </row>
    <row r="27159" spans="13:13">
      <c r="M27159" s="202"/>
    </row>
    <row r="27160" spans="13:13">
      <c r="M27160" s="202"/>
    </row>
    <row r="27161" spans="13:13">
      <c r="M27161" s="202"/>
    </row>
    <row r="27162" spans="13:13">
      <c r="M27162" s="202"/>
    </row>
    <row r="27163" spans="13:13">
      <c r="M27163" s="202"/>
    </row>
    <row r="27164" spans="13:13">
      <c r="M27164" s="202"/>
    </row>
    <row r="27165" spans="13:13">
      <c r="M27165" s="202"/>
    </row>
    <row r="27166" spans="13:13">
      <c r="M27166" s="202"/>
    </row>
    <row r="27167" spans="13:13">
      <c r="M27167" s="202"/>
    </row>
    <row r="27168" spans="13:13">
      <c r="M27168" s="202"/>
    </row>
    <row r="27169" spans="13:13">
      <c r="M27169" s="202"/>
    </row>
    <row r="27170" spans="13:13">
      <c r="M27170" s="202"/>
    </row>
    <row r="27171" spans="13:13">
      <c r="M27171" s="202"/>
    </row>
    <row r="27172" spans="13:13">
      <c r="M27172" s="202"/>
    </row>
    <row r="27173" spans="13:13">
      <c r="M27173" s="202"/>
    </row>
    <row r="27174" spans="13:13">
      <c r="M27174" s="202"/>
    </row>
    <row r="27175" spans="13:13">
      <c r="M27175" s="202"/>
    </row>
    <row r="27176" spans="13:13">
      <c r="M27176" s="202"/>
    </row>
    <row r="27177" spans="13:13">
      <c r="M27177" s="202"/>
    </row>
    <row r="27178" spans="13:13">
      <c r="M27178" s="202"/>
    </row>
    <row r="27179" spans="13:13">
      <c r="M27179" s="202"/>
    </row>
    <row r="27180" spans="13:13">
      <c r="M27180" s="202"/>
    </row>
    <row r="27181" spans="13:13">
      <c r="M27181" s="202"/>
    </row>
    <row r="27182" spans="13:13">
      <c r="M27182" s="202"/>
    </row>
    <row r="27183" spans="13:13">
      <c r="M27183" s="202"/>
    </row>
    <row r="27184" spans="13:13">
      <c r="M27184" s="202"/>
    </row>
    <row r="27185" spans="13:13">
      <c r="M27185" s="202"/>
    </row>
    <row r="27186" spans="13:13">
      <c r="M27186" s="202"/>
    </row>
    <row r="27187" spans="13:13">
      <c r="M27187" s="202"/>
    </row>
    <row r="27188" spans="13:13">
      <c r="M27188" s="202"/>
    </row>
    <row r="27189" spans="13:13">
      <c r="M27189" s="202"/>
    </row>
    <row r="27190" spans="13:13">
      <c r="M27190" s="202"/>
    </row>
    <row r="27191" spans="13:13">
      <c r="M27191" s="202"/>
    </row>
    <row r="27192" spans="13:13">
      <c r="M27192" s="202"/>
    </row>
    <row r="27193" spans="13:13">
      <c r="M27193" s="202"/>
    </row>
    <row r="27194" spans="13:13">
      <c r="M27194" s="202"/>
    </row>
    <row r="27195" spans="13:13">
      <c r="M27195" s="202"/>
    </row>
    <row r="27196" spans="13:13">
      <c r="M27196" s="202"/>
    </row>
    <row r="27197" spans="13:13">
      <c r="M27197" s="202"/>
    </row>
    <row r="27198" spans="13:13">
      <c r="M27198" s="202"/>
    </row>
    <row r="27199" spans="13:13">
      <c r="M27199" s="202"/>
    </row>
    <row r="27200" spans="13:13">
      <c r="M27200" s="202"/>
    </row>
    <row r="27201" spans="13:13">
      <c r="M27201" s="202"/>
    </row>
    <row r="27202" spans="13:13">
      <c r="M27202" s="202"/>
    </row>
    <row r="27203" spans="13:13">
      <c r="M27203" s="202"/>
    </row>
    <row r="27204" spans="13:13">
      <c r="M27204" s="202"/>
    </row>
    <row r="27205" spans="13:13">
      <c r="M27205" s="202"/>
    </row>
    <row r="27206" spans="13:13">
      <c r="M27206" s="202"/>
    </row>
    <row r="27207" spans="13:13">
      <c r="M27207" s="202"/>
    </row>
    <row r="27208" spans="13:13">
      <c r="M27208" s="202"/>
    </row>
    <row r="27209" spans="13:13">
      <c r="M27209" s="202"/>
    </row>
    <row r="27210" spans="13:13">
      <c r="M27210" s="202"/>
    </row>
    <row r="27211" spans="13:13">
      <c r="M27211" s="202"/>
    </row>
    <row r="27212" spans="13:13">
      <c r="M27212" s="202"/>
    </row>
    <row r="27213" spans="13:13">
      <c r="M27213" s="202"/>
    </row>
    <row r="27214" spans="13:13">
      <c r="M27214" s="202"/>
    </row>
    <row r="27215" spans="13:13">
      <c r="M27215" s="202"/>
    </row>
    <row r="27216" spans="13:13">
      <c r="M27216" s="202"/>
    </row>
    <row r="27217" spans="13:13">
      <c r="M27217" s="202"/>
    </row>
    <row r="27218" spans="13:13">
      <c r="M27218" s="202"/>
    </row>
    <row r="27219" spans="13:13">
      <c r="M27219" s="202"/>
    </row>
    <row r="27220" spans="13:13">
      <c r="M27220" s="202"/>
    </row>
    <row r="27221" spans="13:13">
      <c r="M27221" s="202"/>
    </row>
    <row r="27222" spans="13:13">
      <c r="M27222" s="202"/>
    </row>
    <row r="27223" spans="13:13">
      <c r="M27223" s="202"/>
    </row>
    <row r="27224" spans="13:13">
      <c r="M27224" s="202"/>
    </row>
    <row r="27225" spans="13:13">
      <c r="M27225" s="202"/>
    </row>
    <row r="27226" spans="13:13">
      <c r="M27226" s="202"/>
    </row>
    <row r="27227" spans="13:13">
      <c r="M27227" s="202"/>
    </row>
    <row r="27228" spans="13:13">
      <c r="M27228" s="202"/>
    </row>
    <row r="27229" spans="13:13">
      <c r="M27229" s="202"/>
    </row>
    <row r="27230" spans="13:13">
      <c r="M27230" s="202"/>
    </row>
    <row r="27231" spans="13:13">
      <c r="M27231" s="202"/>
    </row>
    <row r="27232" spans="13:13">
      <c r="M27232" s="202"/>
    </row>
    <row r="27233" spans="13:13">
      <c r="M27233" s="202"/>
    </row>
    <row r="27234" spans="13:13">
      <c r="M27234" s="202"/>
    </row>
    <row r="27235" spans="13:13">
      <c r="M27235" s="202"/>
    </row>
    <row r="27236" spans="13:13">
      <c r="M27236" s="202"/>
    </row>
    <row r="27237" spans="13:13">
      <c r="M27237" s="202"/>
    </row>
    <row r="27238" spans="13:13">
      <c r="M27238" s="202"/>
    </row>
    <row r="27239" spans="13:13">
      <c r="M27239" s="202"/>
    </row>
    <row r="27240" spans="13:13">
      <c r="M27240" s="202"/>
    </row>
    <row r="27241" spans="13:13">
      <c r="M27241" s="202"/>
    </row>
    <row r="27242" spans="13:13">
      <c r="M27242" s="202"/>
    </row>
    <row r="27243" spans="13:13">
      <c r="M27243" s="202"/>
    </row>
    <row r="27244" spans="13:13">
      <c r="M27244" s="202"/>
    </row>
    <row r="27245" spans="13:13">
      <c r="M27245" s="202"/>
    </row>
    <row r="27246" spans="13:13">
      <c r="M27246" s="202"/>
    </row>
    <row r="27247" spans="13:13">
      <c r="M27247" s="202"/>
    </row>
    <row r="27248" spans="13:13">
      <c r="M27248" s="202"/>
    </row>
    <row r="27249" spans="13:13">
      <c r="M27249" s="202"/>
    </row>
    <row r="27250" spans="13:13">
      <c r="M27250" s="202"/>
    </row>
    <row r="27251" spans="13:13">
      <c r="M27251" s="202"/>
    </row>
    <row r="27252" spans="13:13">
      <c r="M27252" s="202"/>
    </row>
    <row r="27253" spans="13:13">
      <c r="M27253" s="202"/>
    </row>
    <row r="27254" spans="13:13">
      <c r="M27254" s="202"/>
    </row>
    <row r="27255" spans="13:13">
      <c r="M27255" s="202"/>
    </row>
    <row r="27256" spans="13:13">
      <c r="M27256" s="202"/>
    </row>
    <row r="27257" spans="13:13">
      <c r="M27257" s="202"/>
    </row>
    <row r="27258" spans="13:13">
      <c r="M27258" s="202"/>
    </row>
    <row r="27259" spans="13:13">
      <c r="M27259" s="202"/>
    </row>
    <row r="27260" spans="13:13">
      <c r="M27260" s="202"/>
    </row>
    <row r="27261" spans="13:13">
      <c r="M27261" s="202"/>
    </row>
    <row r="27262" spans="13:13">
      <c r="M27262" s="202"/>
    </row>
    <row r="27263" spans="13:13">
      <c r="M27263" s="202"/>
    </row>
    <row r="27264" spans="13:13">
      <c r="M27264" s="202"/>
    </row>
    <row r="27265" spans="13:13">
      <c r="M27265" s="202"/>
    </row>
    <row r="27266" spans="13:13">
      <c r="M27266" s="202"/>
    </row>
    <row r="27267" spans="13:13">
      <c r="M27267" s="202"/>
    </row>
    <row r="27268" spans="13:13">
      <c r="M27268" s="202"/>
    </row>
    <row r="27269" spans="13:13">
      <c r="M27269" s="202"/>
    </row>
    <row r="27270" spans="13:13">
      <c r="M27270" s="202"/>
    </row>
    <row r="27271" spans="13:13">
      <c r="M27271" s="202"/>
    </row>
    <row r="27272" spans="13:13">
      <c r="M27272" s="202"/>
    </row>
    <row r="27273" spans="13:13">
      <c r="M27273" s="202"/>
    </row>
    <row r="27274" spans="13:13">
      <c r="M27274" s="202"/>
    </row>
    <row r="27275" spans="13:13">
      <c r="M27275" s="202"/>
    </row>
    <row r="27276" spans="13:13">
      <c r="M27276" s="202"/>
    </row>
    <row r="27277" spans="13:13">
      <c r="M27277" s="202"/>
    </row>
    <row r="27278" spans="13:13">
      <c r="M27278" s="202"/>
    </row>
    <row r="27279" spans="13:13">
      <c r="M27279" s="202"/>
    </row>
    <row r="27280" spans="13:13">
      <c r="M27280" s="202"/>
    </row>
    <row r="27281" spans="13:13">
      <c r="M27281" s="202"/>
    </row>
    <row r="27282" spans="13:13">
      <c r="M27282" s="202"/>
    </row>
    <row r="27283" spans="13:13">
      <c r="M27283" s="202"/>
    </row>
    <row r="27284" spans="13:13">
      <c r="M27284" s="202"/>
    </row>
    <row r="27285" spans="13:13">
      <c r="M27285" s="202"/>
    </row>
    <row r="27286" spans="13:13">
      <c r="M27286" s="202"/>
    </row>
    <row r="27287" spans="13:13">
      <c r="M27287" s="202"/>
    </row>
    <row r="27288" spans="13:13">
      <c r="M27288" s="202"/>
    </row>
    <row r="27289" spans="13:13">
      <c r="M27289" s="202"/>
    </row>
    <row r="27290" spans="13:13">
      <c r="M27290" s="202"/>
    </row>
    <row r="27291" spans="13:13">
      <c r="M27291" s="202"/>
    </row>
    <row r="27292" spans="13:13">
      <c r="M27292" s="202"/>
    </row>
    <row r="27293" spans="13:13">
      <c r="M27293" s="202"/>
    </row>
    <row r="27294" spans="13:13">
      <c r="M27294" s="202"/>
    </row>
    <row r="27295" spans="13:13">
      <c r="M27295" s="202"/>
    </row>
    <row r="27296" spans="13:13">
      <c r="M27296" s="202"/>
    </row>
    <row r="27297" spans="13:13">
      <c r="M27297" s="202"/>
    </row>
    <row r="27298" spans="13:13">
      <c r="M27298" s="202"/>
    </row>
    <row r="27299" spans="13:13">
      <c r="M27299" s="202"/>
    </row>
    <row r="27300" spans="13:13">
      <c r="M27300" s="202"/>
    </row>
    <row r="27301" spans="13:13">
      <c r="M27301" s="202"/>
    </row>
    <row r="27302" spans="13:13">
      <c r="M27302" s="202"/>
    </row>
    <row r="27303" spans="13:13">
      <c r="M27303" s="202"/>
    </row>
    <row r="27304" spans="13:13">
      <c r="M27304" s="202"/>
    </row>
    <row r="27305" spans="13:13">
      <c r="M27305" s="202"/>
    </row>
    <row r="27306" spans="13:13">
      <c r="M27306" s="202"/>
    </row>
    <row r="27307" spans="13:13">
      <c r="M27307" s="202"/>
    </row>
    <row r="27308" spans="13:13">
      <c r="M27308" s="202"/>
    </row>
    <row r="27309" spans="13:13">
      <c r="M27309" s="202"/>
    </row>
    <row r="27310" spans="13:13">
      <c r="M27310" s="202"/>
    </row>
    <row r="27311" spans="13:13">
      <c r="M27311" s="202"/>
    </row>
    <row r="27312" spans="13:13">
      <c r="M27312" s="202"/>
    </row>
    <row r="27313" spans="13:13">
      <c r="M27313" s="202"/>
    </row>
    <row r="27314" spans="13:13">
      <c r="M27314" s="202"/>
    </row>
    <row r="27315" spans="13:13">
      <c r="M27315" s="202"/>
    </row>
    <row r="27316" spans="13:13">
      <c r="M27316" s="202"/>
    </row>
    <row r="27317" spans="13:13">
      <c r="M27317" s="202"/>
    </row>
    <row r="27318" spans="13:13">
      <c r="M27318" s="202"/>
    </row>
    <row r="27319" spans="13:13">
      <c r="M27319" s="202"/>
    </row>
    <row r="27320" spans="13:13">
      <c r="M27320" s="202"/>
    </row>
    <row r="27321" spans="13:13">
      <c r="M27321" s="202"/>
    </row>
    <row r="27322" spans="13:13">
      <c r="M27322" s="202"/>
    </row>
    <row r="27323" spans="13:13">
      <c r="M27323" s="202"/>
    </row>
    <row r="27324" spans="13:13">
      <c r="M27324" s="202"/>
    </row>
    <row r="27325" spans="13:13">
      <c r="M27325" s="202"/>
    </row>
    <row r="27326" spans="13:13">
      <c r="M27326" s="202"/>
    </row>
    <row r="27327" spans="13:13">
      <c r="M27327" s="202"/>
    </row>
    <row r="27328" spans="13:13">
      <c r="M27328" s="202"/>
    </row>
    <row r="27329" spans="13:13">
      <c r="M27329" s="202"/>
    </row>
    <row r="27330" spans="13:13">
      <c r="M27330" s="202"/>
    </row>
    <row r="27331" spans="13:13">
      <c r="M27331" s="202"/>
    </row>
    <row r="27332" spans="13:13">
      <c r="M27332" s="202"/>
    </row>
    <row r="27333" spans="13:13">
      <c r="M27333" s="202"/>
    </row>
    <row r="27334" spans="13:13">
      <c r="M27334" s="202"/>
    </row>
    <row r="27335" spans="13:13">
      <c r="M27335" s="202"/>
    </row>
    <row r="27336" spans="13:13">
      <c r="M27336" s="202"/>
    </row>
    <row r="27337" spans="13:13">
      <c r="M27337" s="202"/>
    </row>
    <row r="27338" spans="13:13">
      <c r="M27338" s="202"/>
    </row>
    <row r="27339" spans="13:13">
      <c r="M27339" s="202"/>
    </row>
    <row r="27340" spans="13:13">
      <c r="M27340" s="202"/>
    </row>
    <row r="27341" spans="13:13">
      <c r="M27341" s="202"/>
    </row>
    <row r="27342" spans="13:13">
      <c r="M27342" s="202"/>
    </row>
    <row r="27343" spans="13:13">
      <c r="M27343" s="202"/>
    </row>
    <row r="27344" spans="13:13">
      <c r="M27344" s="202"/>
    </row>
    <row r="27345" spans="13:13">
      <c r="M27345" s="202"/>
    </row>
    <row r="27346" spans="13:13">
      <c r="M27346" s="202"/>
    </row>
    <row r="27347" spans="13:13">
      <c r="M27347" s="202"/>
    </row>
    <row r="27348" spans="13:13">
      <c r="M27348" s="202"/>
    </row>
    <row r="27349" spans="13:13">
      <c r="M27349" s="202"/>
    </row>
    <row r="27350" spans="13:13">
      <c r="M27350" s="202"/>
    </row>
    <row r="27351" spans="13:13">
      <c r="M27351" s="202"/>
    </row>
    <row r="27352" spans="13:13">
      <c r="M27352" s="202"/>
    </row>
    <row r="27353" spans="13:13">
      <c r="M27353" s="202"/>
    </row>
    <row r="27354" spans="13:13">
      <c r="M27354" s="202"/>
    </row>
    <row r="27355" spans="13:13">
      <c r="M27355" s="202"/>
    </row>
    <row r="27356" spans="13:13">
      <c r="M27356" s="202"/>
    </row>
    <row r="27357" spans="13:13">
      <c r="M27357" s="202"/>
    </row>
    <row r="27358" spans="13:13">
      <c r="M27358" s="202"/>
    </row>
    <row r="27359" spans="13:13">
      <c r="M27359" s="202"/>
    </row>
    <row r="27360" spans="13:13">
      <c r="M27360" s="202"/>
    </row>
    <row r="27361" spans="13:13">
      <c r="M27361" s="202"/>
    </row>
    <row r="27362" spans="13:13">
      <c r="M27362" s="202"/>
    </row>
    <row r="27363" spans="13:13">
      <c r="M27363" s="202"/>
    </row>
    <row r="27364" spans="13:13">
      <c r="M27364" s="202"/>
    </row>
    <row r="27365" spans="13:13">
      <c r="M27365" s="202"/>
    </row>
    <row r="27366" spans="13:13">
      <c r="M27366" s="202"/>
    </row>
    <row r="27367" spans="13:13">
      <c r="M27367" s="202"/>
    </row>
    <row r="27368" spans="13:13">
      <c r="M27368" s="202"/>
    </row>
    <row r="27369" spans="13:13">
      <c r="M27369" s="202"/>
    </row>
    <row r="27370" spans="13:13">
      <c r="M27370" s="202"/>
    </row>
    <row r="27371" spans="13:13">
      <c r="M27371" s="202"/>
    </row>
    <row r="27372" spans="13:13">
      <c r="M27372" s="202"/>
    </row>
    <row r="27373" spans="13:13">
      <c r="M27373" s="202"/>
    </row>
    <row r="27374" spans="13:13">
      <c r="M27374" s="202"/>
    </row>
    <row r="27375" spans="13:13">
      <c r="M27375" s="202"/>
    </row>
    <row r="27376" spans="13:13">
      <c r="M27376" s="202"/>
    </row>
    <row r="27377" spans="13:13">
      <c r="M27377" s="202"/>
    </row>
    <row r="27378" spans="13:13">
      <c r="M27378" s="202"/>
    </row>
    <row r="27379" spans="13:13">
      <c r="M27379" s="202"/>
    </row>
    <row r="27380" spans="13:13">
      <c r="M27380" s="202"/>
    </row>
    <row r="27381" spans="13:13">
      <c r="M27381" s="202"/>
    </row>
    <row r="27382" spans="13:13">
      <c r="M27382" s="202"/>
    </row>
    <row r="27383" spans="13:13">
      <c r="M27383" s="202"/>
    </row>
    <row r="27384" spans="13:13">
      <c r="M27384" s="202"/>
    </row>
    <row r="27385" spans="13:13">
      <c r="M27385" s="202"/>
    </row>
    <row r="27386" spans="13:13">
      <c r="M27386" s="202"/>
    </row>
    <row r="27387" spans="13:13">
      <c r="M27387" s="202"/>
    </row>
    <row r="27388" spans="13:13">
      <c r="M27388" s="202"/>
    </row>
    <row r="27389" spans="13:13">
      <c r="M27389" s="202"/>
    </row>
    <row r="27390" spans="13:13">
      <c r="M27390" s="202"/>
    </row>
    <row r="27391" spans="13:13">
      <c r="M27391" s="202"/>
    </row>
    <row r="27392" spans="13:13">
      <c r="M27392" s="202"/>
    </row>
    <row r="27393" spans="13:13">
      <c r="M27393" s="202"/>
    </row>
    <row r="27394" spans="13:13">
      <c r="M27394" s="202"/>
    </row>
    <row r="27395" spans="13:13">
      <c r="M27395" s="202"/>
    </row>
    <row r="27396" spans="13:13">
      <c r="M27396" s="202"/>
    </row>
    <row r="27397" spans="13:13">
      <c r="M27397" s="202"/>
    </row>
    <row r="27398" spans="13:13">
      <c r="M27398" s="202"/>
    </row>
    <row r="27399" spans="13:13">
      <c r="M27399" s="202"/>
    </row>
    <row r="27400" spans="13:13">
      <c r="M27400" s="202"/>
    </row>
    <row r="27401" spans="13:13">
      <c r="M27401" s="202"/>
    </row>
    <row r="27402" spans="13:13">
      <c r="M27402" s="202"/>
    </row>
    <row r="27403" spans="13:13">
      <c r="M27403" s="202"/>
    </row>
    <row r="27404" spans="13:13">
      <c r="M27404" s="202"/>
    </row>
    <row r="27405" spans="13:13">
      <c r="M27405" s="202"/>
    </row>
    <row r="27406" spans="13:13">
      <c r="M27406" s="202"/>
    </row>
    <row r="27407" spans="13:13">
      <c r="M27407" s="202"/>
    </row>
    <row r="27408" spans="13:13">
      <c r="M27408" s="202"/>
    </row>
    <row r="27409" spans="13:13">
      <c r="M27409" s="202"/>
    </row>
    <row r="27410" spans="13:13">
      <c r="M27410" s="202"/>
    </row>
    <row r="27411" spans="13:13">
      <c r="M27411" s="202"/>
    </row>
    <row r="27412" spans="13:13">
      <c r="M27412" s="202"/>
    </row>
    <row r="27413" spans="13:13">
      <c r="M27413" s="202"/>
    </row>
    <row r="27414" spans="13:13">
      <c r="M27414" s="202"/>
    </row>
    <row r="27415" spans="13:13">
      <c r="M27415" s="202"/>
    </row>
    <row r="27416" spans="13:13">
      <c r="M27416" s="202"/>
    </row>
    <row r="27417" spans="13:13">
      <c r="M27417" s="202"/>
    </row>
    <row r="27418" spans="13:13">
      <c r="M27418" s="202"/>
    </row>
    <row r="27419" spans="13:13">
      <c r="M27419" s="202"/>
    </row>
    <row r="27420" spans="13:13">
      <c r="M27420" s="202"/>
    </row>
    <row r="27421" spans="13:13">
      <c r="M27421" s="202"/>
    </row>
    <row r="27422" spans="13:13">
      <c r="M27422" s="202"/>
    </row>
    <row r="27423" spans="13:13">
      <c r="M27423" s="202"/>
    </row>
    <row r="27424" spans="13:13">
      <c r="M27424" s="202"/>
    </row>
    <row r="27425" spans="13:13">
      <c r="M27425" s="202"/>
    </row>
    <row r="27426" spans="13:13">
      <c r="M27426" s="202"/>
    </row>
    <row r="27427" spans="13:13">
      <c r="M27427" s="202"/>
    </row>
    <row r="27428" spans="13:13">
      <c r="M27428" s="202"/>
    </row>
    <row r="27429" spans="13:13">
      <c r="M27429" s="202"/>
    </row>
    <row r="27430" spans="13:13">
      <c r="M27430" s="202"/>
    </row>
    <row r="27431" spans="13:13">
      <c r="M27431" s="202"/>
    </row>
    <row r="27432" spans="13:13">
      <c r="M27432" s="202"/>
    </row>
    <row r="27433" spans="13:13">
      <c r="M27433" s="202"/>
    </row>
    <row r="27434" spans="13:13">
      <c r="M27434" s="202"/>
    </row>
    <row r="27435" spans="13:13">
      <c r="M27435" s="202"/>
    </row>
    <row r="27436" spans="13:13">
      <c r="M27436" s="202"/>
    </row>
    <row r="27437" spans="13:13">
      <c r="M27437" s="202"/>
    </row>
    <row r="27438" spans="13:13">
      <c r="M27438" s="202"/>
    </row>
    <row r="27439" spans="13:13">
      <c r="M27439" s="202"/>
    </row>
    <row r="27440" spans="13:13">
      <c r="M27440" s="202"/>
    </row>
    <row r="27441" spans="13:13">
      <c r="M27441" s="202"/>
    </row>
    <row r="27442" spans="13:13">
      <c r="M27442" s="202"/>
    </row>
    <row r="27443" spans="13:13">
      <c r="M27443" s="202"/>
    </row>
    <row r="27444" spans="13:13">
      <c r="M27444" s="202"/>
    </row>
    <row r="27445" spans="13:13">
      <c r="M27445" s="202"/>
    </row>
    <row r="27446" spans="13:13">
      <c r="M27446" s="202"/>
    </row>
    <row r="27447" spans="13:13">
      <c r="M27447" s="202"/>
    </row>
    <row r="27448" spans="13:13">
      <c r="M27448" s="202"/>
    </row>
    <row r="27449" spans="13:13">
      <c r="M27449" s="202"/>
    </row>
    <row r="27450" spans="13:13">
      <c r="M27450" s="202"/>
    </row>
    <row r="27451" spans="13:13">
      <c r="M27451" s="202"/>
    </row>
    <row r="27452" spans="13:13">
      <c r="M27452" s="202"/>
    </row>
    <row r="27453" spans="13:13">
      <c r="M27453" s="202"/>
    </row>
    <row r="27454" spans="13:13">
      <c r="M27454" s="202"/>
    </row>
    <row r="27455" spans="13:13">
      <c r="M27455" s="202"/>
    </row>
    <row r="27456" spans="13:13">
      <c r="M27456" s="202"/>
    </row>
    <row r="27457" spans="13:13">
      <c r="M27457" s="202"/>
    </row>
    <row r="27458" spans="13:13">
      <c r="M27458" s="202"/>
    </row>
    <row r="27459" spans="13:13">
      <c r="M27459" s="202"/>
    </row>
    <row r="27460" spans="13:13">
      <c r="M27460" s="202"/>
    </row>
    <row r="27461" spans="13:13">
      <c r="M27461" s="202"/>
    </row>
    <row r="27462" spans="13:13">
      <c r="M27462" s="202"/>
    </row>
    <row r="27463" spans="13:13">
      <c r="M27463" s="202"/>
    </row>
    <row r="27464" spans="13:13">
      <c r="M27464" s="202"/>
    </row>
    <row r="27465" spans="13:13">
      <c r="M27465" s="202"/>
    </row>
    <row r="27466" spans="13:13">
      <c r="M27466" s="202"/>
    </row>
    <row r="27467" spans="13:13">
      <c r="M27467" s="202"/>
    </row>
    <row r="27468" spans="13:13">
      <c r="M27468" s="202"/>
    </row>
    <row r="27469" spans="13:13">
      <c r="M27469" s="202"/>
    </row>
    <row r="27470" spans="13:13">
      <c r="M27470" s="202"/>
    </row>
    <row r="27471" spans="13:13">
      <c r="M27471" s="202"/>
    </row>
    <row r="27472" spans="13:13">
      <c r="M27472" s="202"/>
    </row>
    <row r="27473" spans="13:13">
      <c r="M27473" s="202"/>
    </row>
    <row r="27474" spans="13:13">
      <c r="M27474" s="202"/>
    </row>
    <row r="27475" spans="13:13">
      <c r="M27475" s="202"/>
    </row>
    <row r="27476" spans="13:13">
      <c r="M27476" s="202"/>
    </row>
    <row r="27477" spans="13:13">
      <c r="M27477" s="202"/>
    </row>
    <row r="27478" spans="13:13">
      <c r="M27478" s="202"/>
    </row>
    <row r="27479" spans="13:13">
      <c r="M27479" s="202"/>
    </row>
    <row r="27480" spans="13:13">
      <c r="M27480" s="202"/>
    </row>
    <row r="27481" spans="13:13">
      <c r="M27481" s="202"/>
    </row>
    <row r="27482" spans="13:13">
      <c r="M27482" s="202"/>
    </row>
    <row r="27483" spans="13:13">
      <c r="M27483" s="202"/>
    </row>
    <row r="27484" spans="13:13">
      <c r="M27484" s="202"/>
    </row>
    <row r="27485" spans="13:13">
      <c r="M27485" s="202"/>
    </row>
    <row r="27486" spans="13:13">
      <c r="M27486" s="202"/>
    </row>
    <row r="27487" spans="13:13">
      <c r="M27487" s="202"/>
    </row>
    <row r="27488" spans="13:13">
      <c r="M27488" s="202"/>
    </row>
    <row r="27489" spans="13:13">
      <c r="M27489" s="202"/>
    </row>
    <row r="27490" spans="13:13">
      <c r="M27490" s="202"/>
    </row>
    <row r="27491" spans="13:13">
      <c r="M27491" s="202"/>
    </row>
    <row r="27492" spans="13:13">
      <c r="M27492" s="202"/>
    </row>
    <row r="27493" spans="13:13">
      <c r="M27493" s="202"/>
    </row>
    <row r="27494" spans="13:13">
      <c r="M27494" s="202"/>
    </row>
    <row r="27495" spans="13:13">
      <c r="M27495" s="202"/>
    </row>
    <row r="27496" spans="13:13">
      <c r="M27496" s="202"/>
    </row>
    <row r="27497" spans="13:13">
      <c r="M27497" s="202"/>
    </row>
    <row r="27498" spans="13:13">
      <c r="M27498" s="202"/>
    </row>
    <row r="27499" spans="13:13">
      <c r="M27499" s="202"/>
    </row>
    <row r="27500" spans="13:13">
      <c r="M27500" s="202"/>
    </row>
    <row r="27501" spans="13:13">
      <c r="M27501" s="202"/>
    </row>
    <row r="27502" spans="13:13">
      <c r="M27502" s="202"/>
    </row>
    <row r="27503" spans="13:13">
      <c r="M27503" s="202"/>
    </row>
    <row r="27504" spans="13:13">
      <c r="M27504" s="202"/>
    </row>
    <row r="27505" spans="13:13">
      <c r="M27505" s="202"/>
    </row>
    <row r="27506" spans="13:13">
      <c r="M27506" s="202"/>
    </row>
    <row r="27507" spans="13:13">
      <c r="M27507" s="202"/>
    </row>
    <row r="27508" spans="13:13">
      <c r="M27508" s="202"/>
    </row>
    <row r="27509" spans="13:13">
      <c r="M27509" s="202"/>
    </row>
    <row r="27510" spans="13:13">
      <c r="M27510" s="202"/>
    </row>
    <row r="27511" spans="13:13">
      <c r="M27511" s="202"/>
    </row>
    <row r="27512" spans="13:13">
      <c r="M27512" s="202"/>
    </row>
    <row r="27513" spans="13:13">
      <c r="M27513" s="202"/>
    </row>
    <row r="27514" spans="13:13">
      <c r="M27514" s="202"/>
    </row>
    <row r="27515" spans="13:13">
      <c r="M27515" s="202"/>
    </row>
    <row r="27516" spans="13:13">
      <c r="M27516" s="202"/>
    </row>
    <row r="27517" spans="13:13">
      <c r="M27517" s="202"/>
    </row>
    <row r="27518" spans="13:13">
      <c r="M27518" s="202"/>
    </row>
    <row r="27519" spans="13:13">
      <c r="M27519" s="202"/>
    </row>
    <row r="27520" spans="13:13">
      <c r="M27520" s="202"/>
    </row>
    <row r="27521" spans="13:13">
      <c r="M27521" s="202"/>
    </row>
    <row r="27522" spans="13:13">
      <c r="M27522" s="202"/>
    </row>
    <row r="27523" spans="13:13">
      <c r="M27523" s="202"/>
    </row>
    <row r="27524" spans="13:13">
      <c r="M27524" s="202"/>
    </row>
    <row r="27525" spans="13:13">
      <c r="M27525" s="202"/>
    </row>
    <row r="27526" spans="13:13">
      <c r="M27526" s="202"/>
    </row>
    <row r="27527" spans="13:13">
      <c r="M27527" s="202"/>
    </row>
    <row r="27528" spans="13:13">
      <c r="M27528" s="202"/>
    </row>
    <row r="27529" spans="13:13">
      <c r="M27529" s="202"/>
    </row>
    <row r="27530" spans="13:13">
      <c r="M27530" s="202"/>
    </row>
    <row r="27531" spans="13:13">
      <c r="M27531" s="202"/>
    </row>
    <row r="27532" spans="13:13">
      <c r="M27532" s="202"/>
    </row>
    <row r="27533" spans="13:13">
      <c r="M27533" s="202"/>
    </row>
    <row r="27534" spans="13:13">
      <c r="M27534" s="202"/>
    </row>
    <row r="27535" spans="13:13">
      <c r="M27535" s="202"/>
    </row>
    <row r="27536" spans="13:13">
      <c r="M27536" s="202"/>
    </row>
    <row r="27537" spans="13:13">
      <c r="M27537" s="202"/>
    </row>
    <row r="27538" spans="13:13">
      <c r="M27538" s="202"/>
    </row>
    <row r="27539" spans="13:13">
      <c r="M27539" s="202"/>
    </row>
    <row r="27540" spans="13:13">
      <c r="M27540" s="202"/>
    </row>
    <row r="27541" spans="13:13">
      <c r="M27541" s="202"/>
    </row>
    <row r="27542" spans="13:13">
      <c r="M27542" s="202"/>
    </row>
    <row r="27543" spans="13:13">
      <c r="M27543" s="202"/>
    </row>
    <row r="27544" spans="13:13">
      <c r="M27544" s="202"/>
    </row>
    <row r="27545" spans="13:13">
      <c r="M27545" s="202"/>
    </row>
    <row r="27546" spans="13:13">
      <c r="M27546" s="202"/>
    </row>
    <row r="27547" spans="13:13">
      <c r="M27547" s="202"/>
    </row>
    <row r="27548" spans="13:13">
      <c r="M27548" s="202"/>
    </row>
    <row r="27549" spans="13:13">
      <c r="M27549" s="202"/>
    </row>
    <row r="27550" spans="13:13">
      <c r="M27550" s="202"/>
    </row>
    <row r="27551" spans="13:13">
      <c r="M27551" s="202"/>
    </row>
    <row r="27552" spans="13:13">
      <c r="M27552" s="202"/>
    </row>
    <row r="27553" spans="13:13">
      <c r="M27553" s="202"/>
    </row>
    <row r="27554" spans="13:13">
      <c r="M27554" s="202"/>
    </row>
    <row r="27555" spans="13:13">
      <c r="M27555" s="202"/>
    </row>
    <row r="27556" spans="13:13">
      <c r="M27556" s="202"/>
    </row>
    <row r="27557" spans="13:13">
      <c r="M27557" s="202"/>
    </row>
    <row r="27558" spans="13:13">
      <c r="M27558" s="202"/>
    </row>
    <row r="27559" spans="13:13">
      <c r="M27559" s="202"/>
    </row>
    <row r="27560" spans="13:13">
      <c r="M27560" s="202"/>
    </row>
    <row r="27561" spans="13:13">
      <c r="M27561" s="202"/>
    </row>
    <row r="27562" spans="13:13">
      <c r="M27562" s="202"/>
    </row>
    <row r="27563" spans="13:13">
      <c r="M27563" s="202"/>
    </row>
    <row r="27564" spans="13:13">
      <c r="M27564" s="202"/>
    </row>
    <row r="27565" spans="13:13">
      <c r="M27565" s="202"/>
    </row>
    <row r="27566" spans="13:13">
      <c r="M27566" s="202"/>
    </row>
    <row r="27567" spans="13:13">
      <c r="M27567" s="202"/>
    </row>
    <row r="27568" spans="13:13">
      <c r="M27568" s="202"/>
    </row>
    <row r="27569" spans="13:13">
      <c r="M27569" s="202"/>
    </row>
    <row r="27570" spans="13:13">
      <c r="M27570" s="202"/>
    </row>
    <row r="27571" spans="13:13">
      <c r="M27571" s="202"/>
    </row>
    <row r="27572" spans="13:13">
      <c r="M27572" s="202"/>
    </row>
    <row r="27573" spans="13:13">
      <c r="M27573" s="202"/>
    </row>
    <row r="27574" spans="13:13">
      <c r="M27574" s="202"/>
    </row>
    <row r="27575" spans="13:13">
      <c r="M27575" s="202"/>
    </row>
    <row r="27576" spans="13:13">
      <c r="M27576" s="202"/>
    </row>
    <row r="27577" spans="13:13">
      <c r="M27577" s="202"/>
    </row>
    <row r="27578" spans="13:13">
      <c r="M27578" s="202"/>
    </row>
    <row r="27579" spans="13:13">
      <c r="M27579" s="202"/>
    </row>
    <row r="27580" spans="13:13">
      <c r="M27580" s="202"/>
    </row>
    <row r="27581" spans="13:13">
      <c r="M27581" s="202"/>
    </row>
    <row r="27582" spans="13:13">
      <c r="M27582" s="202"/>
    </row>
    <row r="27583" spans="13:13">
      <c r="M27583" s="202"/>
    </row>
    <row r="27584" spans="13:13">
      <c r="M27584" s="202"/>
    </row>
    <row r="27585" spans="13:13">
      <c r="M27585" s="202"/>
    </row>
    <row r="27586" spans="13:13">
      <c r="M27586" s="202"/>
    </row>
    <row r="27587" spans="13:13">
      <c r="M27587" s="202"/>
    </row>
    <row r="27588" spans="13:13">
      <c r="M27588" s="202"/>
    </row>
    <row r="27589" spans="13:13">
      <c r="M27589" s="202"/>
    </row>
    <row r="27590" spans="13:13">
      <c r="M27590" s="202"/>
    </row>
    <row r="27591" spans="13:13">
      <c r="M27591" s="202"/>
    </row>
    <row r="27592" spans="13:13">
      <c r="M27592" s="202"/>
    </row>
    <row r="27593" spans="13:13">
      <c r="M27593" s="202"/>
    </row>
    <row r="27594" spans="13:13">
      <c r="M27594" s="202"/>
    </row>
    <row r="27595" spans="13:13">
      <c r="M27595" s="202"/>
    </row>
    <row r="27596" spans="13:13">
      <c r="M27596" s="202"/>
    </row>
    <row r="27597" spans="13:13">
      <c r="M27597" s="202"/>
    </row>
    <row r="27598" spans="13:13">
      <c r="M27598" s="202"/>
    </row>
    <row r="27599" spans="13:13">
      <c r="M27599" s="202"/>
    </row>
    <row r="27600" spans="13:13">
      <c r="M27600" s="202"/>
    </row>
    <row r="27601" spans="13:13">
      <c r="M27601" s="202"/>
    </row>
    <row r="27602" spans="13:13">
      <c r="M27602" s="202"/>
    </row>
    <row r="27603" spans="13:13">
      <c r="M27603" s="202"/>
    </row>
    <row r="27604" spans="13:13">
      <c r="M27604" s="202"/>
    </row>
    <row r="27605" spans="13:13">
      <c r="M27605" s="202"/>
    </row>
    <row r="27606" spans="13:13">
      <c r="M27606" s="202"/>
    </row>
    <row r="27607" spans="13:13">
      <c r="M27607" s="202"/>
    </row>
    <row r="27608" spans="13:13">
      <c r="M27608" s="202"/>
    </row>
    <row r="27609" spans="13:13">
      <c r="M27609" s="202"/>
    </row>
    <row r="27610" spans="13:13">
      <c r="M27610" s="202"/>
    </row>
    <row r="27611" spans="13:13">
      <c r="M27611" s="202"/>
    </row>
    <row r="27612" spans="13:13">
      <c r="M27612" s="202"/>
    </row>
    <row r="27613" spans="13:13">
      <c r="M27613" s="202"/>
    </row>
    <row r="27614" spans="13:13">
      <c r="M27614" s="202"/>
    </row>
    <row r="27615" spans="13:13">
      <c r="M27615" s="202"/>
    </row>
    <row r="27616" spans="13:13">
      <c r="M27616" s="202"/>
    </row>
    <row r="27617" spans="13:13">
      <c r="M27617" s="202"/>
    </row>
    <row r="27618" spans="13:13">
      <c r="M27618" s="202"/>
    </row>
    <row r="27619" spans="13:13">
      <c r="M27619" s="202"/>
    </row>
    <row r="27620" spans="13:13">
      <c r="M27620" s="202"/>
    </row>
    <row r="27621" spans="13:13">
      <c r="M27621" s="202"/>
    </row>
    <row r="27622" spans="13:13">
      <c r="M27622" s="202"/>
    </row>
    <row r="27623" spans="13:13">
      <c r="M27623" s="202"/>
    </row>
    <row r="27624" spans="13:13">
      <c r="M27624" s="202"/>
    </row>
    <row r="27625" spans="13:13">
      <c r="M27625" s="202"/>
    </row>
    <row r="27626" spans="13:13">
      <c r="M27626" s="202"/>
    </row>
    <row r="27627" spans="13:13">
      <c r="M27627" s="202"/>
    </row>
    <row r="27628" spans="13:13">
      <c r="M27628" s="202"/>
    </row>
    <row r="27629" spans="13:13">
      <c r="M27629" s="202"/>
    </row>
    <row r="27630" spans="13:13">
      <c r="M27630" s="202"/>
    </row>
    <row r="27631" spans="13:13">
      <c r="M27631" s="202"/>
    </row>
    <row r="27632" spans="13:13">
      <c r="M27632" s="202"/>
    </row>
    <row r="27633" spans="13:13">
      <c r="M27633" s="202"/>
    </row>
    <row r="27634" spans="13:13">
      <c r="M27634" s="202"/>
    </row>
    <row r="27635" spans="13:13">
      <c r="M27635" s="202"/>
    </row>
    <row r="27636" spans="13:13">
      <c r="M27636" s="202"/>
    </row>
    <row r="27637" spans="13:13">
      <c r="M27637" s="202"/>
    </row>
    <row r="27638" spans="13:13">
      <c r="M27638" s="202"/>
    </row>
    <row r="27639" spans="13:13">
      <c r="M27639" s="202"/>
    </row>
    <row r="27640" spans="13:13">
      <c r="M27640" s="202"/>
    </row>
    <row r="27641" spans="13:13">
      <c r="M27641" s="202"/>
    </row>
    <row r="27642" spans="13:13">
      <c r="M27642" s="202"/>
    </row>
    <row r="27643" spans="13:13">
      <c r="M27643" s="202"/>
    </row>
    <row r="27644" spans="13:13">
      <c r="M27644" s="202"/>
    </row>
    <row r="27645" spans="13:13">
      <c r="M27645" s="202"/>
    </row>
    <row r="27646" spans="13:13">
      <c r="M27646" s="202"/>
    </row>
    <row r="27647" spans="13:13">
      <c r="M27647" s="202"/>
    </row>
    <row r="27648" spans="13:13">
      <c r="M27648" s="202"/>
    </row>
    <row r="27649" spans="13:13">
      <c r="M27649" s="202"/>
    </row>
    <row r="27650" spans="13:13">
      <c r="M27650" s="202"/>
    </row>
    <row r="27651" spans="13:13">
      <c r="M27651" s="202"/>
    </row>
    <row r="27652" spans="13:13">
      <c r="M27652" s="202"/>
    </row>
    <row r="27653" spans="13:13">
      <c r="M27653" s="202"/>
    </row>
    <row r="27654" spans="13:13">
      <c r="M27654" s="202"/>
    </row>
    <row r="27655" spans="13:13">
      <c r="M27655" s="202"/>
    </row>
    <row r="27656" spans="13:13">
      <c r="M27656" s="202"/>
    </row>
    <row r="27657" spans="13:13">
      <c r="M27657" s="202"/>
    </row>
    <row r="27658" spans="13:13">
      <c r="M27658" s="202"/>
    </row>
    <row r="27659" spans="13:13">
      <c r="M27659" s="202"/>
    </row>
    <row r="27660" spans="13:13">
      <c r="M27660" s="202"/>
    </row>
    <row r="27661" spans="13:13">
      <c r="M27661" s="202"/>
    </row>
    <row r="27662" spans="13:13">
      <c r="M27662" s="202"/>
    </row>
    <row r="27663" spans="13:13">
      <c r="M27663" s="202"/>
    </row>
    <row r="27664" spans="13:13">
      <c r="M27664" s="202"/>
    </row>
    <row r="27665" spans="13:13">
      <c r="M27665" s="202"/>
    </row>
    <row r="27666" spans="13:13">
      <c r="M27666" s="202"/>
    </row>
    <row r="27667" spans="13:13">
      <c r="M27667" s="202"/>
    </row>
    <row r="27668" spans="13:13">
      <c r="M27668" s="202"/>
    </row>
    <row r="27669" spans="13:13">
      <c r="M27669" s="202"/>
    </row>
    <row r="27670" spans="13:13">
      <c r="M27670" s="202"/>
    </row>
    <row r="27671" spans="13:13">
      <c r="M27671" s="202"/>
    </row>
    <row r="27672" spans="13:13">
      <c r="M27672" s="202"/>
    </row>
    <row r="27673" spans="13:13">
      <c r="M27673" s="202"/>
    </row>
    <row r="27674" spans="13:13">
      <c r="M27674" s="202"/>
    </row>
    <row r="27675" spans="13:13">
      <c r="M27675" s="202"/>
    </row>
    <row r="27676" spans="13:13">
      <c r="M27676" s="202"/>
    </row>
    <row r="27677" spans="13:13">
      <c r="M27677" s="202"/>
    </row>
    <row r="27678" spans="13:13">
      <c r="M27678" s="202"/>
    </row>
    <row r="27679" spans="13:13">
      <c r="M27679" s="202"/>
    </row>
    <row r="27680" spans="13:13">
      <c r="M27680" s="202"/>
    </row>
    <row r="27681" spans="13:13">
      <c r="M27681" s="202"/>
    </row>
    <row r="27682" spans="13:13">
      <c r="M27682" s="202"/>
    </row>
    <row r="27683" spans="13:13">
      <c r="M27683" s="202"/>
    </row>
    <row r="27684" spans="13:13">
      <c r="M27684" s="202"/>
    </row>
    <row r="27685" spans="13:13">
      <c r="M27685" s="202"/>
    </row>
    <row r="27686" spans="13:13">
      <c r="M27686" s="202"/>
    </row>
    <row r="27687" spans="13:13">
      <c r="M27687" s="202"/>
    </row>
    <row r="27688" spans="13:13">
      <c r="M27688" s="202"/>
    </row>
    <row r="27689" spans="13:13">
      <c r="M27689" s="202"/>
    </row>
    <row r="27690" spans="13:13">
      <c r="M27690" s="202"/>
    </row>
    <row r="27691" spans="13:13">
      <c r="M27691" s="202"/>
    </row>
    <row r="27692" spans="13:13">
      <c r="M27692" s="202"/>
    </row>
    <row r="27693" spans="13:13">
      <c r="M27693" s="202"/>
    </row>
    <row r="27694" spans="13:13">
      <c r="M27694" s="202"/>
    </row>
    <row r="27695" spans="13:13">
      <c r="M27695" s="202"/>
    </row>
    <row r="27696" spans="13:13">
      <c r="M27696" s="202"/>
    </row>
    <row r="27697" spans="13:13">
      <c r="M27697" s="202"/>
    </row>
    <row r="27698" spans="13:13">
      <c r="M27698" s="202"/>
    </row>
    <row r="27699" spans="13:13">
      <c r="M27699" s="202"/>
    </row>
    <row r="27700" spans="13:13">
      <c r="M27700" s="202"/>
    </row>
    <row r="27701" spans="13:13">
      <c r="M27701" s="202"/>
    </row>
    <row r="27702" spans="13:13">
      <c r="M27702" s="202"/>
    </row>
    <row r="27703" spans="13:13">
      <c r="M27703" s="202"/>
    </row>
    <row r="27704" spans="13:13">
      <c r="M27704" s="202"/>
    </row>
    <row r="27705" spans="13:13">
      <c r="M27705" s="202"/>
    </row>
    <row r="27706" spans="13:13">
      <c r="M27706" s="202"/>
    </row>
    <row r="27707" spans="13:13">
      <c r="M27707" s="202"/>
    </row>
    <row r="27708" spans="13:13">
      <c r="M27708" s="202"/>
    </row>
    <row r="27709" spans="13:13">
      <c r="M27709" s="202"/>
    </row>
    <row r="27710" spans="13:13">
      <c r="M27710" s="202"/>
    </row>
    <row r="27711" spans="13:13">
      <c r="M27711" s="202"/>
    </row>
    <row r="27712" spans="13:13">
      <c r="M27712" s="202"/>
    </row>
    <row r="27713" spans="13:13">
      <c r="M27713" s="202"/>
    </row>
    <row r="27714" spans="13:13">
      <c r="M27714" s="202"/>
    </row>
    <row r="27715" spans="13:13">
      <c r="M27715" s="202"/>
    </row>
    <row r="27716" spans="13:13">
      <c r="M27716" s="202"/>
    </row>
    <row r="27717" spans="13:13">
      <c r="M27717" s="202"/>
    </row>
    <row r="27718" spans="13:13">
      <c r="M27718" s="202"/>
    </row>
    <row r="27719" spans="13:13">
      <c r="M27719" s="202"/>
    </row>
    <row r="27720" spans="13:13">
      <c r="M27720" s="202"/>
    </row>
    <row r="27721" spans="13:13">
      <c r="M27721" s="202"/>
    </row>
    <row r="27722" spans="13:13">
      <c r="M27722" s="202"/>
    </row>
    <row r="27723" spans="13:13">
      <c r="M27723" s="202"/>
    </row>
    <row r="27724" spans="13:13">
      <c r="M27724" s="202"/>
    </row>
    <row r="27725" spans="13:13">
      <c r="M27725" s="202"/>
    </row>
    <row r="27726" spans="13:13">
      <c r="M27726" s="202"/>
    </row>
    <row r="27727" spans="13:13">
      <c r="M27727" s="202"/>
    </row>
    <row r="27728" spans="13:13">
      <c r="M27728" s="202"/>
    </row>
    <row r="27729" spans="13:13">
      <c r="M27729" s="202"/>
    </row>
    <row r="27730" spans="13:13">
      <c r="M27730" s="202"/>
    </row>
    <row r="27731" spans="13:13">
      <c r="M27731" s="202"/>
    </row>
    <row r="27732" spans="13:13">
      <c r="M27732" s="202"/>
    </row>
    <row r="27733" spans="13:13">
      <c r="M27733" s="202"/>
    </row>
    <row r="27734" spans="13:13">
      <c r="M27734" s="202"/>
    </row>
    <row r="27735" spans="13:13">
      <c r="M27735" s="202"/>
    </row>
    <row r="27736" spans="13:13">
      <c r="M27736" s="202"/>
    </row>
    <row r="27737" spans="13:13">
      <c r="M27737" s="202"/>
    </row>
    <row r="27738" spans="13:13">
      <c r="M27738" s="202"/>
    </row>
    <row r="27739" spans="13:13">
      <c r="M27739" s="202"/>
    </row>
    <row r="27740" spans="13:13">
      <c r="M27740" s="202"/>
    </row>
    <row r="27741" spans="13:13">
      <c r="M27741" s="202"/>
    </row>
    <row r="27742" spans="13:13">
      <c r="M27742" s="202"/>
    </row>
    <row r="27743" spans="13:13">
      <c r="M27743" s="202"/>
    </row>
    <row r="27744" spans="13:13">
      <c r="M27744" s="202"/>
    </row>
    <row r="27745" spans="13:13">
      <c r="M27745" s="202"/>
    </row>
    <row r="27746" spans="13:13">
      <c r="M27746" s="202"/>
    </row>
    <row r="27747" spans="13:13">
      <c r="M27747" s="202"/>
    </row>
    <row r="27748" spans="13:13">
      <c r="M27748" s="202"/>
    </row>
    <row r="27749" spans="13:13">
      <c r="M27749" s="202"/>
    </row>
    <row r="27750" spans="13:13">
      <c r="M27750" s="202"/>
    </row>
    <row r="27751" spans="13:13">
      <c r="M27751" s="202"/>
    </row>
    <row r="27752" spans="13:13">
      <c r="M27752" s="202"/>
    </row>
    <row r="27753" spans="13:13">
      <c r="M27753" s="202"/>
    </row>
    <row r="27754" spans="13:13">
      <c r="M27754" s="202"/>
    </row>
    <row r="27755" spans="13:13">
      <c r="M27755" s="202"/>
    </row>
    <row r="27756" spans="13:13">
      <c r="M27756" s="202"/>
    </row>
    <row r="27757" spans="13:13">
      <c r="M27757" s="202"/>
    </row>
    <row r="27758" spans="13:13">
      <c r="M27758" s="202"/>
    </row>
    <row r="27759" spans="13:13">
      <c r="M27759" s="202"/>
    </row>
    <row r="27760" spans="13:13">
      <c r="M27760" s="202"/>
    </row>
    <row r="27761" spans="13:13">
      <c r="M27761" s="202"/>
    </row>
    <row r="27762" spans="13:13">
      <c r="M27762" s="202"/>
    </row>
    <row r="27763" spans="13:13">
      <c r="M27763" s="202"/>
    </row>
    <row r="27764" spans="13:13">
      <c r="M27764" s="202"/>
    </row>
    <row r="27765" spans="13:13">
      <c r="M27765" s="202"/>
    </row>
    <row r="27766" spans="13:13">
      <c r="M27766" s="202"/>
    </row>
    <row r="27767" spans="13:13">
      <c r="M27767" s="202"/>
    </row>
    <row r="27768" spans="13:13">
      <c r="M27768" s="202"/>
    </row>
    <row r="27769" spans="13:13">
      <c r="M27769" s="202"/>
    </row>
    <row r="27770" spans="13:13">
      <c r="M27770" s="202"/>
    </row>
    <row r="27771" spans="13:13">
      <c r="M27771" s="202"/>
    </row>
    <row r="27772" spans="13:13">
      <c r="M27772" s="202"/>
    </row>
    <row r="27773" spans="13:13">
      <c r="M27773" s="202"/>
    </row>
    <row r="27774" spans="13:13">
      <c r="M27774" s="202"/>
    </row>
    <row r="27775" spans="13:13">
      <c r="M27775" s="202"/>
    </row>
    <row r="27776" spans="13:13">
      <c r="M27776" s="202"/>
    </row>
    <row r="27777" spans="13:13">
      <c r="M27777" s="202"/>
    </row>
    <row r="27778" spans="13:13">
      <c r="M27778" s="202"/>
    </row>
    <row r="27779" spans="13:13">
      <c r="M27779" s="202"/>
    </row>
    <row r="27780" spans="13:13">
      <c r="M27780" s="202"/>
    </row>
    <row r="27781" spans="13:13">
      <c r="M27781" s="202"/>
    </row>
    <row r="27782" spans="13:13">
      <c r="M27782" s="202"/>
    </row>
    <row r="27783" spans="13:13">
      <c r="M27783" s="202"/>
    </row>
    <row r="27784" spans="13:13">
      <c r="M27784" s="202"/>
    </row>
    <row r="27785" spans="13:13">
      <c r="M27785" s="202"/>
    </row>
    <row r="27786" spans="13:13">
      <c r="M27786" s="202"/>
    </row>
    <row r="27787" spans="13:13">
      <c r="M27787" s="202"/>
    </row>
    <row r="27788" spans="13:13">
      <c r="M27788" s="202"/>
    </row>
    <row r="27789" spans="13:13">
      <c r="M27789" s="202"/>
    </row>
    <row r="27790" spans="13:13">
      <c r="M27790" s="202"/>
    </row>
    <row r="27791" spans="13:13">
      <c r="M27791" s="202"/>
    </row>
    <row r="27792" spans="13:13">
      <c r="M27792" s="202"/>
    </row>
    <row r="27793" spans="13:13">
      <c r="M27793" s="202"/>
    </row>
    <row r="27794" spans="13:13">
      <c r="M27794" s="202"/>
    </row>
    <row r="27795" spans="13:13">
      <c r="M27795" s="202"/>
    </row>
    <row r="27796" spans="13:13">
      <c r="M27796" s="202"/>
    </row>
    <row r="27797" spans="13:13">
      <c r="M27797" s="202"/>
    </row>
    <row r="27798" spans="13:13">
      <c r="M27798" s="202"/>
    </row>
    <row r="27799" spans="13:13">
      <c r="M27799" s="202"/>
    </row>
    <row r="27800" spans="13:13">
      <c r="M27800" s="202"/>
    </row>
    <row r="27801" spans="13:13">
      <c r="M27801" s="202"/>
    </row>
    <row r="27802" spans="13:13">
      <c r="M27802" s="202"/>
    </row>
    <row r="27803" spans="13:13">
      <c r="M27803" s="202"/>
    </row>
    <row r="27804" spans="13:13">
      <c r="M27804" s="202"/>
    </row>
    <row r="27805" spans="13:13">
      <c r="M27805" s="202"/>
    </row>
    <row r="27806" spans="13:13">
      <c r="M27806" s="202"/>
    </row>
    <row r="27807" spans="13:13">
      <c r="M27807" s="202"/>
    </row>
    <row r="27808" spans="13:13">
      <c r="M27808" s="202"/>
    </row>
    <row r="27809" spans="13:13">
      <c r="M27809" s="202"/>
    </row>
    <row r="27810" spans="13:13">
      <c r="M27810" s="202"/>
    </row>
    <row r="27811" spans="13:13">
      <c r="M27811" s="202"/>
    </row>
    <row r="27812" spans="13:13">
      <c r="M27812" s="202"/>
    </row>
    <row r="27813" spans="13:13">
      <c r="M27813" s="202"/>
    </row>
    <row r="27814" spans="13:13">
      <c r="M27814" s="202"/>
    </row>
    <row r="27815" spans="13:13">
      <c r="M27815" s="202"/>
    </row>
    <row r="27816" spans="13:13">
      <c r="M27816" s="202"/>
    </row>
    <row r="27817" spans="13:13">
      <c r="M27817" s="202"/>
    </row>
    <row r="27818" spans="13:13">
      <c r="M27818" s="202"/>
    </row>
    <row r="27819" spans="13:13">
      <c r="M27819" s="202"/>
    </row>
    <row r="27820" spans="13:13">
      <c r="M27820" s="202"/>
    </row>
    <row r="27821" spans="13:13">
      <c r="M27821" s="202"/>
    </row>
    <row r="27822" spans="13:13">
      <c r="M27822" s="202"/>
    </row>
    <row r="27823" spans="13:13">
      <c r="M27823" s="202"/>
    </row>
    <row r="27824" spans="13:13">
      <c r="M27824" s="202"/>
    </row>
    <row r="27825" spans="13:13">
      <c r="M27825" s="202"/>
    </row>
    <row r="27826" spans="13:13">
      <c r="M27826" s="202"/>
    </row>
    <row r="27827" spans="13:13">
      <c r="M27827" s="202"/>
    </row>
    <row r="27828" spans="13:13">
      <c r="M27828" s="202"/>
    </row>
    <row r="27829" spans="13:13">
      <c r="M27829" s="202"/>
    </row>
    <row r="27830" spans="13:13">
      <c r="M27830" s="202"/>
    </row>
    <row r="27831" spans="13:13">
      <c r="M27831" s="202"/>
    </row>
    <row r="27832" spans="13:13">
      <c r="M27832" s="202"/>
    </row>
    <row r="27833" spans="13:13">
      <c r="M27833" s="202"/>
    </row>
    <row r="27834" spans="13:13">
      <c r="M27834" s="202"/>
    </row>
    <row r="27835" spans="13:13">
      <c r="M27835" s="202"/>
    </row>
    <row r="27836" spans="13:13">
      <c r="M27836" s="202"/>
    </row>
    <row r="27837" spans="13:13">
      <c r="M27837" s="202"/>
    </row>
    <row r="27838" spans="13:13">
      <c r="M27838" s="202"/>
    </row>
    <row r="27839" spans="13:13">
      <c r="M27839" s="202"/>
    </row>
    <row r="27840" spans="13:13">
      <c r="M27840" s="202"/>
    </row>
    <row r="27841" spans="13:13">
      <c r="M27841" s="202"/>
    </row>
    <row r="27842" spans="13:13">
      <c r="M27842" s="202"/>
    </row>
    <row r="27843" spans="13:13">
      <c r="M27843" s="202"/>
    </row>
    <row r="27844" spans="13:13">
      <c r="M27844" s="202"/>
    </row>
    <row r="27845" spans="13:13">
      <c r="M27845" s="202"/>
    </row>
    <row r="27846" spans="13:13">
      <c r="M27846" s="202"/>
    </row>
    <row r="27847" spans="13:13">
      <c r="M27847" s="202"/>
    </row>
    <row r="27848" spans="13:13">
      <c r="M27848" s="202"/>
    </row>
    <row r="27849" spans="13:13">
      <c r="M27849" s="202"/>
    </row>
    <row r="27850" spans="13:13">
      <c r="M27850" s="202"/>
    </row>
    <row r="27851" spans="13:13">
      <c r="M27851" s="202"/>
    </row>
    <row r="27852" spans="13:13">
      <c r="M27852" s="202"/>
    </row>
    <row r="27853" spans="13:13">
      <c r="M27853" s="202"/>
    </row>
    <row r="27854" spans="13:13">
      <c r="M27854" s="202"/>
    </row>
    <row r="27855" spans="13:13">
      <c r="M27855" s="202"/>
    </row>
    <row r="27856" spans="13:13">
      <c r="M27856" s="202"/>
    </row>
    <row r="27857" spans="13:13">
      <c r="M27857" s="202"/>
    </row>
    <row r="27858" spans="13:13">
      <c r="M27858" s="202"/>
    </row>
    <row r="27859" spans="13:13">
      <c r="M27859" s="202"/>
    </row>
    <row r="27860" spans="13:13">
      <c r="M27860" s="202"/>
    </row>
    <row r="27861" spans="13:13">
      <c r="M27861" s="202"/>
    </row>
    <row r="27862" spans="13:13">
      <c r="M27862" s="202"/>
    </row>
    <row r="27863" spans="13:13">
      <c r="M27863" s="202"/>
    </row>
    <row r="27864" spans="13:13">
      <c r="M27864" s="202"/>
    </row>
    <row r="27865" spans="13:13">
      <c r="M27865" s="202"/>
    </row>
    <row r="27866" spans="13:13">
      <c r="M27866" s="202"/>
    </row>
    <row r="27867" spans="13:13">
      <c r="M27867" s="202"/>
    </row>
    <row r="27868" spans="13:13">
      <c r="M27868" s="202"/>
    </row>
    <row r="27869" spans="13:13">
      <c r="M27869" s="202"/>
    </row>
    <row r="27870" spans="13:13">
      <c r="M27870" s="202"/>
    </row>
    <row r="27871" spans="13:13">
      <c r="M27871" s="202"/>
    </row>
    <row r="27872" spans="13:13">
      <c r="M27872" s="202"/>
    </row>
    <row r="27873" spans="13:13">
      <c r="M27873" s="202"/>
    </row>
    <row r="27874" spans="13:13">
      <c r="M27874" s="202"/>
    </row>
    <row r="27875" spans="13:13">
      <c r="M27875" s="202"/>
    </row>
    <row r="27876" spans="13:13">
      <c r="M27876" s="202"/>
    </row>
    <row r="27877" spans="13:13">
      <c r="M27877" s="202"/>
    </row>
    <row r="27878" spans="13:13">
      <c r="M27878" s="202"/>
    </row>
    <row r="27879" spans="13:13">
      <c r="M27879" s="202"/>
    </row>
    <row r="27880" spans="13:13">
      <c r="M27880" s="202"/>
    </row>
    <row r="27881" spans="13:13">
      <c r="M27881" s="202"/>
    </row>
    <row r="27882" spans="13:13">
      <c r="M27882" s="202"/>
    </row>
    <row r="27883" spans="13:13">
      <c r="M27883" s="202"/>
    </row>
    <row r="27884" spans="13:13">
      <c r="M27884" s="202"/>
    </row>
    <row r="27885" spans="13:13">
      <c r="M27885" s="202"/>
    </row>
    <row r="27886" spans="13:13">
      <c r="M27886" s="202"/>
    </row>
    <row r="27887" spans="13:13">
      <c r="M27887" s="202"/>
    </row>
    <row r="27888" spans="13:13">
      <c r="M27888" s="202"/>
    </row>
    <row r="27889" spans="13:13">
      <c r="M27889" s="202"/>
    </row>
    <row r="27890" spans="13:13">
      <c r="M27890" s="202"/>
    </row>
    <row r="27891" spans="13:13">
      <c r="M27891" s="202"/>
    </row>
    <row r="27892" spans="13:13">
      <c r="M27892" s="202"/>
    </row>
    <row r="27893" spans="13:13">
      <c r="M27893" s="202"/>
    </row>
    <row r="27894" spans="13:13">
      <c r="M27894" s="202"/>
    </row>
    <row r="27895" spans="13:13">
      <c r="M27895" s="202"/>
    </row>
    <row r="27896" spans="13:13">
      <c r="M27896" s="202"/>
    </row>
    <row r="27897" spans="13:13">
      <c r="M27897" s="202"/>
    </row>
    <row r="27898" spans="13:13">
      <c r="M27898" s="202"/>
    </row>
    <row r="27899" spans="13:13">
      <c r="M27899" s="202"/>
    </row>
    <row r="27900" spans="13:13">
      <c r="M27900" s="202"/>
    </row>
    <row r="27901" spans="13:13">
      <c r="M27901" s="202"/>
    </row>
    <row r="27902" spans="13:13">
      <c r="M27902" s="202"/>
    </row>
    <row r="27903" spans="13:13">
      <c r="M27903" s="202"/>
    </row>
    <row r="27904" spans="13:13">
      <c r="M27904" s="202"/>
    </row>
    <row r="27905" spans="13:13">
      <c r="M27905" s="202"/>
    </row>
    <row r="27906" spans="13:13">
      <c r="M27906" s="202"/>
    </row>
    <row r="27907" spans="13:13">
      <c r="M27907" s="202"/>
    </row>
    <row r="27908" spans="13:13">
      <c r="M27908" s="202"/>
    </row>
    <row r="27909" spans="13:13">
      <c r="M27909" s="202"/>
    </row>
    <row r="27910" spans="13:13">
      <c r="M27910" s="202"/>
    </row>
    <row r="27911" spans="13:13">
      <c r="M27911" s="202"/>
    </row>
    <row r="27912" spans="13:13">
      <c r="M27912" s="202"/>
    </row>
    <row r="27913" spans="13:13">
      <c r="M27913" s="202"/>
    </row>
    <row r="27914" spans="13:13">
      <c r="M27914" s="202"/>
    </row>
    <row r="27915" spans="13:13">
      <c r="M27915" s="202"/>
    </row>
    <row r="27916" spans="13:13">
      <c r="M27916" s="202"/>
    </row>
    <row r="27917" spans="13:13">
      <c r="M27917" s="202"/>
    </row>
    <row r="27918" spans="13:13">
      <c r="M27918" s="202"/>
    </row>
    <row r="27919" spans="13:13">
      <c r="M27919" s="202"/>
    </row>
    <row r="27920" spans="13:13">
      <c r="M27920" s="202"/>
    </row>
    <row r="27921" spans="13:13">
      <c r="M27921" s="202"/>
    </row>
    <row r="27922" spans="13:13">
      <c r="M27922" s="202"/>
    </row>
    <row r="27923" spans="13:13">
      <c r="M27923" s="202"/>
    </row>
    <row r="27924" spans="13:13">
      <c r="M27924" s="202"/>
    </row>
    <row r="27925" spans="13:13">
      <c r="M27925" s="202"/>
    </row>
    <row r="27926" spans="13:13">
      <c r="M27926" s="202"/>
    </row>
    <row r="27927" spans="13:13">
      <c r="M27927" s="202"/>
    </row>
    <row r="27928" spans="13:13">
      <c r="M27928" s="202"/>
    </row>
    <row r="27929" spans="13:13">
      <c r="M27929" s="202"/>
    </row>
    <row r="27930" spans="13:13">
      <c r="M27930" s="202"/>
    </row>
    <row r="27931" spans="13:13">
      <c r="M27931" s="202"/>
    </row>
    <row r="27932" spans="13:13">
      <c r="M27932" s="202"/>
    </row>
    <row r="27933" spans="13:13">
      <c r="M27933" s="202"/>
    </row>
    <row r="27934" spans="13:13">
      <c r="M27934" s="202"/>
    </row>
    <row r="27935" spans="13:13">
      <c r="M27935" s="202"/>
    </row>
    <row r="27936" spans="13:13">
      <c r="M27936" s="202"/>
    </row>
    <row r="27937" spans="13:13">
      <c r="M27937" s="202"/>
    </row>
    <row r="27938" spans="13:13">
      <c r="M27938" s="202"/>
    </row>
    <row r="27939" spans="13:13">
      <c r="M27939" s="202"/>
    </row>
    <row r="27940" spans="13:13">
      <c r="M27940" s="202"/>
    </row>
    <row r="27941" spans="13:13">
      <c r="M27941" s="202"/>
    </row>
    <row r="27942" spans="13:13">
      <c r="M27942" s="202"/>
    </row>
    <row r="27943" spans="13:13">
      <c r="M27943" s="202"/>
    </row>
    <row r="27944" spans="13:13">
      <c r="M27944" s="202"/>
    </row>
    <row r="27945" spans="13:13">
      <c r="M27945" s="202"/>
    </row>
    <row r="27946" spans="13:13">
      <c r="M27946" s="202"/>
    </row>
    <row r="27947" spans="13:13">
      <c r="M27947" s="202"/>
    </row>
    <row r="27948" spans="13:13">
      <c r="M27948" s="202"/>
    </row>
    <row r="27949" spans="13:13">
      <c r="M27949" s="202"/>
    </row>
    <row r="27950" spans="13:13">
      <c r="M27950" s="202"/>
    </row>
    <row r="27951" spans="13:13">
      <c r="M27951" s="202"/>
    </row>
    <row r="27952" spans="13:13">
      <c r="M27952" s="202"/>
    </row>
    <row r="27953" spans="13:13">
      <c r="M27953" s="202"/>
    </row>
    <row r="27954" spans="13:13">
      <c r="M27954" s="202"/>
    </row>
    <row r="27955" spans="13:13">
      <c r="M27955" s="202"/>
    </row>
    <row r="27956" spans="13:13">
      <c r="M27956" s="202"/>
    </row>
    <row r="27957" spans="13:13">
      <c r="M27957" s="202"/>
    </row>
    <row r="27958" spans="13:13">
      <c r="M27958" s="202"/>
    </row>
    <row r="27959" spans="13:13">
      <c r="M27959" s="202"/>
    </row>
    <row r="27960" spans="13:13">
      <c r="M27960" s="202"/>
    </row>
    <row r="27961" spans="13:13">
      <c r="M27961" s="202"/>
    </row>
    <row r="27962" spans="13:13">
      <c r="M27962" s="202"/>
    </row>
    <row r="27963" spans="13:13">
      <c r="M27963" s="202"/>
    </row>
    <row r="27964" spans="13:13">
      <c r="M27964" s="202"/>
    </row>
    <row r="27965" spans="13:13">
      <c r="M27965" s="202"/>
    </row>
    <row r="27966" spans="13:13">
      <c r="M27966" s="202"/>
    </row>
    <row r="27967" spans="13:13">
      <c r="M27967" s="202"/>
    </row>
    <row r="27968" spans="13:13">
      <c r="M27968" s="202"/>
    </row>
    <row r="27969" spans="13:13">
      <c r="M27969" s="202"/>
    </row>
    <row r="27970" spans="13:13">
      <c r="M27970" s="202"/>
    </row>
    <row r="27971" spans="13:13">
      <c r="M27971" s="202"/>
    </row>
    <row r="27972" spans="13:13">
      <c r="M27972" s="202"/>
    </row>
    <row r="27973" spans="13:13">
      <c r="M27973" s="202"/>
    </row>
    <row r="27974" spans="13:13">
      <c r="M27974" s="202"/>
    </row>
    <row r="27975" spans="13:13">
      <c r="M27975" s="202"/>
    </row>
    <row r="27976" spans="13:13">
      <c r="M27976" s="202"/>
    </row>
    <row r="27977" spans="13:13">
      <c r="M27977" s="202"/>
    </row>
    <row r="27978" spans="13:13">
      <c r="M27978" s="202"/>
    </row>
    <row r="27979" spans="13:13">
      <c r="M27979" s="202"/>
    </row>
    <row r="27980" spans="13:13">
      <c r="M27980" s="202"/>
    </row>
    <row r="27981" spans="13:13">
      <c r="M27981" s="202"/>
    </row>
    <row r="27982" spans="13:13">
      <c r="M27982" s="202"/>
    </row>
    <row r="27983" spans="13:13">
      <c r="M27983" s="202"/>
    </row>
    <row r="27984" spans="13:13">
      <c r="M27984" s="202"/>
    </row>
    <row r="27985" spans="13:13">
      <c r="M27985" s="202"/>
    </row>
    <row r="27986" spans="13:13">
      <c r="M27986" s="202"/>
    </row>
    <row r="27987" spans="13:13">
      <c r="M27987" s="202"/>
    </row>
    <row r="27988" spans="13:13">
      <c r="M27988" s="202"/>
    </row>
    <row r="27989" spans="13:13">
      <c r="M27989" s="202"/>
    </row>
    <row r="27990" spans="13:13">
      <c r="M27990" s="202"/>
    </row>
    <row r="27991" spans="13:13">
      <c r="M27991" s="202"/>
    </row>
    <row r="27992" spans="13:13">
      <c r="M27992" s="202"/>
    </row>
    <row r="27993" spans="13:13">
      <c r="M27993" s="202"/>
    </row>
    <row r="27994" spans="13:13">
      <c r="M27994" s="202"/>
    </row>
    <row r="27995" spans="13:13">
      <c r="M27995" s="202"/>
    </row>
    <row r="27996" spans="13:13">
      <c r="M27996" s="202"/>
    </row>
    <row r="27997" spans="13:13">
      <c r="M27997" s="202"/>
    </row>
    <row r="27998" spans="13:13">
      <c r="M27998" s="202"/>
    </row>
    <row r="27999" spans="13:13">
      <c r="M27999" s="202"/>
    </row>
    <row r="28000" spans="13:13">
      <c r="M28000" s="202"/>
    </row>
    <row r="28001" spans="13:13">
      <c r="M28001" s="202"/>
    </row>
    <row r="28002" spans="13:13">
      <c r="M28002" s="202"/>
    </row>
    <row r="28003" spans="13:13">
      <c r="M28003" s="202"/>
    </row>
    <row r="28004" spans="13:13">
      <c r="M28004" s="202"/>
    </row>
    <row r="28005" spans="13:13">
      <c r="M28005" s="202"/>
    </row>
    <row r="28006" spans="13:13">
      <c r="M28006" s="202"/>
    </row>
    <row r="28007" spans="13:13">
      <c r="M28007" s="202"/>
    </row>
    <row r="28008" spans="13:13">
      <c r="M28008" s="202"/>
    </row>
    <row r="28009" spans="13:13">
      <c r="M28009" s="202"/>
    </row>
    <row r="28010" spans="13:13">
      <c r="M28010" s="202"/>
    </row>
    <row r="28011" spans="13:13">
      <c r="M28011" s="202"/>
    </row>
    <row r="28012" spans="13:13">
      <c r="M28012" s="202"/>
    </row>
    <row r="28013" spans="13:13">
      <c r="M28013" s="202"/>
    </row>
    <row r="28014" spans="13:13">
      <c r="M28014" s="202"/>
    </row>
    <row r="28015" spans="13:13">
      <c r="M28015" s="202"/>
    </row>
    <row r="28016" spans="13:13">
      <c r="M28016" s="202"/>
    </row>
    <row r="28017" spans="13:13">
      <c r="M28017" s="202"/>
    </row>
    <row r="28018" spans="13:13">
      <c r="M28018" s="202"/>
    </row>
    <row r="28019" spans="13:13">
      <c r="M28019" s="202"/>
    </row>
    <row r="28020" spans="13:13">
      <c r="M28020" s="202"/>
    </row>
    <row r="28021" spans="13:13">
      <c r="M28021" s="202"/>
    </row>
    <row r="28022" spans="13:13">
      <c r="M28022" s="202"/>
    </row>
    <row r="28023" spans="13:13">
      <c r="M28023" s="202"/>
    </row>
    <row r="28024" spans="13:13">
      <c r="M28024" s="202"/>
    </row>
    <row r="28025" spans="13:13">
      <c r="M28025" s="202"/>
    </row>
    <row r="28026" spans="13:13">
      <c r="M28026" s="202"/>
    </row>
    <row r="28027" spans="13:13">
      <c r="M28027" s="202"/>
    </row>
    <row r="28028" spans="13:13">
      <c r="M28028" s="202"/>
    </row>
    <row r="28029" spans="13:13">
      <c r="M28029" s="202"/>
    </row>
    <row r="28030" spans="13:13">
      <c r="M28030" s="202"/>
    </row>
    <row r="28031" spans="13:13">
      <c r="M28031" s="202"/>
    </row>
    <row r="28032" spans="13:13">
      <c r="M28032" s="202"/>
    </row>
    <row r="28033" spans="13:13">
      <c r="M28033" s="202"/>
    </row>
    <row r="28034" spans="13:13">
      <c r="M28034" s="202"/>
    </row>
    <row r="28035" spans="13:13">
      <c r="M28035" s="202"/>
    </row>
    <row r="28036" spans="13:13">
      <c r="M28036" s="202"/>
    </row>
    <row r="28037" spans="13:13">
      <c r="M28037" s="202"/>
    </row>
    <row r="28038" spans="13:13">
      <c r="M28038" s="202"/>
    </row>
    <row r="28039" spans="13:13">
      <c r="M28039" s="202"/>
    </row>
    <row r="28040" spans="13:13">
      <c r="M28040" s="202"/>
    </row>
    <row r="28041" spans="13:13">
      <c r="M28041" s="202"/>
    </row>
    <row r="28042" spans="13:13">
      <c r="M28042" s="202"/>
    </row>
    <row r="28043" spans="13:13">
      <c r="M28043" s="202"/>
    </row>
    <row r="28044" spans="13:13">
      <c r="M28044" s="202"/>
    </row>
    <row r="28045" spans="13:13">
      <c r="M28045" s="202"/>
    </row>
    <row r="28046" spans="13:13">
      <c r="M28046" s="202"/>
    </row>
    <row r="28047" spans="13:13">
      <c r="M28047" s="202"/>
    </row>
    <row r="28048" spans="13:13">
      <c r="M28048" s="202"/>
    </row>
    <row r="28049" spans="13:13">
      <c r="M28049" s="202"/>
    </row>
    <row r="28050" spans="13:13">
      <c r="M28050" s="202"/>
    </row>
    <row r="28051" spans="13:13">
      <c r="M28051" s="202"/>
    </row>
    <row r="28052" spans="13:13">
      <c r="M28052" s="202"/>
    </row>
    <row r="28053" spans="13:13">
      <c r="M28053" s="202"/>
    </row>
    <row r="28054" spans="13:13">
      <c r="M28054" s="202"/>
    </row>
    <row r="28055" spans="13:13">
      <c r="M28055" s="202"/>
    </row>
    <row r="28056" spans="13:13">
      <c r="M28056" s="202"/>
    </row>
    <row r="28057" spans="13:13">
      <c r="M28057" s="202"/>
    </row>
    <row r="28058" spans="13:13">
      <c r="M28058" s="202"/>
    </row>
    <row r="28059" spans="13:13">
      <c r="M28059" s="202"/>
    </row>
    <row r="28060" spans="13:13">
      <c r="M28060" s="202"/>
    </row>
    <row r="28061" spans="13:13">
      <c r="M28061" s="202"/>
    </row>
    <row r="28062" spans="13:13">
      <c r="M28062" s="202"/>
    </row>
    <row r="28063" spans="13:13">
      <c r="M28063" s="202"/>
    </row>
    <row r="28064" spans="13:13">
      <c r="M28064" s="202"/>
    </row>
    <row r="28065" spans="13:13">
      <c r="M28065" s="202"/>
    </row>
    <row r="28066" spans="13:13">
      <c r="M28066" s="202"/>
    </row>
    <row r="28067" spans="13:13">
      <c r="M28067" s="202"/>
    </row>
    <row r="28068" spans="13:13">
      <c r="M28068" s="202"/>
    </row>
    <row r="28069" spans="13:13">
      <c r="M28069" s="202"/>
    </row>
    <row r="28070" spans="13:13">
      <c r="M28070" s="202"/>
    </row>
    <row r="28071" spans="13:13">
      <c r="M28071" s="202"/>
    </row>
    <row r="28072" spans="13:13">
      <c r="M28072" s="202"/>
    </row>
    <row r="28073" spans="13:13">
      <c r="M28073" s="202"/>
    </row>
    <row r="28074" spans="13:13">
      <c r="M28074" s="202"/>
    </row>
    <row r="28075" spans="13:13">
      <c r="M28075" s="202"/>
    </row>
    <row r="28076" spans="13:13">
      <c r="M28076" s="202"/>
    </row>
    <row r="28077" spans="13:13">
      <c r="M28077" s="202"/>
    </row>
    <row r="28078" spans="13:13">
      <c r="M28078" s="202"/>
    </row>
    <row r="28079" spans="13:13">
      <c r="M28079" s="202"/>
    </row>
    <row r="28080" spans="13:13">
      <c r="M28080" s="202"/>
    </row>
    <row r="28081" spans="13:13">
      <c r="M28081" s="202"/>
    </row>
    <row r="28082" spans="13:13">
      <c r="M28082" s="202"/>
    </row>
    <row r="28083" spans="13:13">
      <c r="M28083" s="202"/>
    </row>
    <row r="28084" spans="13:13">
      <c r="M28084" s="202"/>
    </row>
    <row r="28085" spans="13:13">
      <c r="M28085" s="202"/>
    </row>
    <row r="28086" spans="13:13">
      <c r="M28086" s="202"/>
    </row>
    <row r="28087" spans="13:13">
      <c r="M28087" s="202"/>
    </row>
    <row r="28088" spans="13:13">
      <c r="M28088" s="202"/>
    </row>
    <row r="28089" spans="13:13">
      <c r="M28089" s="202"/>
    </row>
    <row r="28090" spans="13:13">
      <c r="M28090" s="202"/>
    </row>
    <row r="28091" spans="13:13">
      <c r="M28091" s="202"/>
    </row>
    <row r="28092" spans="13:13">
      <c r="M28092" s="202"/>
    </row>
    <row r="28093" spans="13:13">
      <c r="M28093" s="202"/>
    </row>
    <row r="28094" spans="13:13">
      <c r="M28094" s="202"/>
    </row>
    <row r="28095" spans="13:13">
      <c r="M28095" s="202"/>
    </row>
    <row r="28096" spans="13:13">
      <c r="M28096" s="202"/>
    </row>
    <row r="28097" spans="13:13">
      <c r="M28097" s="202"/>
    </row>
    <row r="28098" spans="13:13">
      <c r="M28098" s="202"/>
    </row>
    <row r="28099" spans="13:13">
      <c r="M28099" s="202"/>
    </row>
    <row r="28100" spans="13:13">
      <c r="M28100" s="202"/>
    </row>
    <row r="28101" spans="13:13">
      <c r="M28101" s="202"/>
    </row>
    <row r="28102" spans="13:13">
      <c r="M28102" s="202"/>
    </row>
    <row r="28103" spans="13:13">
      <c r="M28103" s="202"/>
    </row>
    <row r="28104" spans="13:13">
      <c r="M28104" s="202"/>
    </row>
    <row r="28105" spans="13:13">
      <c r="M28105" s="202"/>
    </row>
    <row r="28106" spans="13:13">
      <c r="M28106" s="202"/>
    </row>
    <row r="28107" spans="13:13">
      <c r="M28107" s="202"/>
    </row>
    <row r="28108" spans="13:13">
      <c r="M28108" s="202"/>
    </row>
    <row r="28109" spans="13:13">
      <c r="M28109" s="202"/>
    </row>
    <row r="28110" spans="13:13">
      <c r="M28110" s="202"/>
    </row>
    <row r="28111" spans="13:13">
      <c r="M28111" s="202"/>
    </row>
    <row r="28112" spans="13:13">
      <c r="M28112" s="202"/>
    </row>
    <row r="28113" spans="13:13">
      <c r="M28113" s="202"/>
    </row>
    <row r="28114" spans="13:13">
      <c r="M28114" s="202"/>
    </row>
    <row r="28115" spans="13:13">
      <c r="M28115" s="202"/>
    </row>
    <row r="28116" spans="13:13">
      <c r="M28116" s="202"/>
    </row>
    <row r="28117" spans="13:13">
      <c r="M28117" s="202"/>
    </row>
    <row r="28118" spans="13:13">
      <c r="M28118" s="202"/>
    </row>
    <row r="28119" spans="13:13">
      <c r="M28119" s="202"/>
    </row>
    <row r="28120" spans="13:13">
      <c r="M28120" s="202"/>
    </row>
    <row r="28121" spans="13:13">
      <c r="M28121" s="202"/>
    </row>
    <row r="28122" spans="13:13">
      <c r="M28122" s="202"/>
    </row>
    <row r="28123" spans="13:13">
      <c r="M28123" s="202"/>
    </row>
    <row r="28124" spans="13:13">
      <c r="M28124" s="202"/>
    </row>
    <row r="28125" spans="13:13">
      <c r="M28125" s="202"/>
    </row>
    <row r="28126" spans="13:13">
      <c r="M28126" s="202"/>
    </row>
    <row r="28127" spans="13:13">
      <c r="M28127" s="202"/>
    </row>
    <row r="28128" spans="13:13">
      <c r="M28128" s="202"/>
    </row>
    <row r="28129" spans="13:13">
      <c r="M28129" s="202"/>
    </row>
    <row r="28130" spans="13:13">
      <c r="M28130" s="202"/>
    </row>
    <row r="28131" spans="13:13">
      <c r="M28131" s="202"/>
    </row>
    <row r="28132" spans="13:13">
      <c r="M28132" s="202"/>
    </row>
    <row r="28133" spans="13:13">
      <c r="M28133" s="202"/>
    </row>
    <row r="28134" spans="13:13">
      <c r="M28134" s="202"/>
    </row>
    <row r="28135" spans="13:13">
      <c r="M28135" s="202"/>
    </row>
    <row r="28136" spans="13:13">
      <c r="M28136" s="202"/>
    </row>
    <row r="28137" spans="13:13">
      <c r="M28137" s="202"/>
    </row>
    <row r="28138" spans="13:13">
      <c r="M28138" s="202"/>
    </row>
    <row r="28139" spans="13:13">
      <c r="M28139" s="202"/>
    </row>
    <row r="28140" spans="13:13">
      <c r="M28140" s="202"/>
    </row>
    <row r="28141" spans="13:13">
      <c r="M28141" s="202"/>
    </row>
    <row r="28142" spans="13:13">
      <c r="M28142" s="202"/>
    </row>
    <row r="28143" spans="13:13">
      <c r="M28143" s="202"/>
    </row>
    <row r="28144" spans="13:13">
      <c r="M28144" s="202"/>
    </row>
    <row r="28145" spans="13:13">
      <c r="M28145" s="202"/>
    </row>
    <row r="28146" spans="13:13">
      <c r="M28146" s="202"/>
    </row>
    <row r="28147" spans="13:13">
      <c r="M28147" s="202"/>
    </row>
    <row r="28148" spans="13:13">
      <c r="M28148" s="202"/>
    </row>
    <row r="28149" spans="13:13">
      <c r="M28149" s="202"/>
    </row>
    <row r="28150" spans="13:13">
      <c r="M28150" s="202"/>
    </row>
    <row r="28151" spans="13:13">
      <c r="M28151" s="202"/>
    </row>
    <row r="28152" spans="13:13">
      <c r="M28152" s="202"/>
    </row>
    <row r="28153" spans="13:13">
      <c r="M28153" s="202"/>
    </row>
    <row r="28154" spans="13:13">
      <c r="M28154" s="202"/>
    </row>
    <row r="28155" spans="13:13">
      <c r="M28155" s="202"/>
    </row>
    <row r="28156" spans="13:13">
      <c r="M28156" s="202"/>
    </row>
    <row r="28157" spans="13:13">
      <c r="M28157" s="202"/>
    </row>
    <row r="28158" spans="13:13">
      <c r="M28158" s="202"/>
    </row>
    <row r="28159" spans="13:13">
      <c r="M28159" s="202"/>
    </row>
    <row r="28160" spans="13:13">
      <c r="M28160" s="202"/>
    </row>
    <row r="28161" spans="13:13">
      <c r="M28161" s="202"/>
    </row>
    <row r="28162" spans="13:13">
      <c r="M28162" s="202"/>
    </row>
    <row r="28163" spans="13:13">
      <c r="M28163" s="202"/>
    </row>
    <row r="28164" spans="13:13">
      <c r="M28164" s="202"/>
    </row>
    <row r="28165" spans="13:13">
      <c r="M28165" s="202"/>
    </row>
    <row r="28166" spans="13:13">
      <c r="M28166" s="202"/>
    </row>
    <row r="28167" spans="13:13">
      <c r="M28167" s="202"/>
    </row>
    <row r="28168" spans="13:13">
      <c r="M28168" s="202"/>
    </row>
    <row r="28169" spans="13:13">
      <c r="M28169" s="202"/>
    </row>
    <row r="28170" spans="13:13">
      <c r="M28170" s="202"/>
    </row>
    <row r="28171" spans="13:13">
      <c r="M28171" s="202"/>
    </row>
    <row r="28172" spans="13:13">
      <c r="M28172" s="202"/>
    </row>
    <row r="28173" spans="13:13">
      <c r="M28173" s="202"/>
    </row>
    <row r="28174" spans="13:13">
      <c r="M28174" s="202"/>
    </row>
    <row r="28175" spans="13:13">
      <c r="M28175" s="202"/>
    </row>
    <row r="28176" spans="13:13">
      <c r="M28176" s="202"/>
    </row>
    <row r="28177" spans="13:13">
      <c r="M28177" s="202"/>
    </row>
    <row r="28178" spans="13:13">
      <c r="M28178" s="202"/>
    </row>
    <row r="28179" spans="13:13">
      <c r="M28179" s="202"/>
    </row>
    <row r="28180" spans="13:13">
      <c r="M28180" s="202"/>
    </row>
    <row r="28181" spans="13:13">
      <c r="M28181" s="202"/>
    </row>
    <row r="28182" spans="13:13">
      <c r="M28182" s="202"/>
    </row>
    <row r="28183" spans="13:13">
      <c r="M28183" s="202"/>
    </row>
    <row r="28184" spans="13:13">
      <c r="M28184" s="202"/>
    </row>
    <row r="28185" spans="13:13">
      <c r="M28185" s="202"/>
    </row>
    <row r="28186" spans="13:13">
      <c r="M28186" s="202"/>
    </row>
    <row r="28187" spans="13:13">
      <c r="M28187" s="202"/>
    </row>
    <row r="28188" spans="13:13">
      <c r="M28188" s="202"/>
    </row>
    <row r="28189" spans="13:13">
      <c r="M28189" s="202"/>
    </row>
    <row r="28190" spans="13:13">
      <c r="M28190" s="202"/>
    </row>
    <row r="28191" spans="13:13">
      <c r="M28191" s="202"/>
    </row>
    <row r="28192" spans="13:13">
      <c r="M28192" s="202"/>
    </row>
    <row r="28193" spans="13:13">
      <c r="M28193" s="202"/>
    </row>
    <row r="28194" spans="13:13">
      <c r="M28194" s="202"/>
    </row>
    <row r="28195" spans="13:13">
      <c r="M28195" s="202"/>
    </row>
    <row r="28196" spans="13:13">
      <c r="M28196" s="202"/>
    </row>
    <row r="28197" spans="13:13">
      <c r="M28197" s="202"/>
    </row>
    <row r="28198" spans="13:13">
      <c r="M28198" s="202"/>
    </row>
    <row r="28199" spans="13:13">
      <c r="M28199" s="202"/>
    </row>
    <row r="28200" spans="13:13">
      <c r="M28200" s="202"/>
    </row>
    <row r="28201" spans="13:13">
      <c r="M28201" s="202"/>
    </row>
    <row r="28202" spans="13:13">
      <c r="M28202" s="202"/>
    </row>
    <row r="28203" spans="13:13">
      <c r="M28203" s="202"/>
    </row>
    <row r="28204" spans="13:13">
      <c r="M28204" s="202"/>
    </row>
    <row r="28205" spans="13:13">
      <c r="M28205" s="202"/>
    </row>
    <row r="28206" spans="13:13">
      <c r="M28206" s="202"/>
    </row>
    <row r="28207" spans="13:13">
      <c r="M28207" s="202"/>
    </row>
    <row r="28208" spans="13:13">
      <c r="M28208" s="202"/>
    </row>
    <row r="28209" spans="13:13">
      <c r="M28209" s="202"/>
    </row>
    <row r="28210" spans="13:13">
      <c r="M28210" s="202"/>
    </row>
    <row r="28211" spans="13:13">
      <c r="M28211" s="202"/>
    </row>
    <row r="28212" spans="13:13">
      <c r="M28212" s="202"/>
    </row>
    <row r="28213" spans="13:13">
      <c r="M28213" s="202"/>
    </row>
    <row r="28214" spans="13:13">
      <c r="M28214" s="202"/>
    </row>
    <row r="28215" spans="13:13">
      <c r="M28215" s="202"/>
    </row>
    <row r="28216" spans="13:13">
      <c r="M28216" s="202"/>
    </row>
    <row r="28217" spans="13:13">
      <c r="M28217" s="202"/>
    </row>
    <row r="28218" spans="13:13">
      <c r="M28218" s="202"/>
    </row>
    <row r="28219" spans="13:13">
      <c r="M28219" s="202"/>
    </row>
    <row r="28220" spans="13:13">
      <c r="M28220" s="202"/>
    </row>
    <row r="28221" spans="13:13">
      <c r="M28221" s="202"/>
    </row>
    <row r="28222" spans="13:13">
      <c r="M28222" s="202"/>
    </row>
    <row r="28223" spans="13:13">
      <c r="M28223" s="202"/>
    </row>
    <row r="28224" spans="13:13">
      <c r="M28224" s="202"/>
    </row>
    <row r="28225" spans="13:13">
      <c r="M28225" s="202"/>
    </row>
    <row r="28226" spans="13:13">
      <c r="M28226" s="202"/>
    </row>
    <row r="28227" spans="13:13">
      <c r="M28227" s="202"/>
    </row>
    <row r="28228" spans="13:13">
      <c r="M28228" s="202"/>
    </row>
    <row r="28229" spans="13:13">
      <c r="M28229" s="202"/>
    </row>
    <row r="28230" spans="13:13">
      <c r="M28230" s="202"/>
    </row>
    <row r="28231" spans="13:13">
      <c r="M28231" s="202"/>
    </row>
    <row r="28232" spans="13:13">
      <c r="M28232" s="202"/>
    </row>
    <row r="28233" spans="13:13">
      <c r="M28233" s="202"/>
    </row>
    <row r="28234" spans="13:13">
      <c r="M28234" s="202"/>
    </row>
    <row r="28235" spans="13:13">
      <c r="M28235" s="202"/>
    </row>
    <row r="28236" spans="13:13">
      <c r="M28236" s="202"/>
    </row>
    <row r="28237" spans="13:13">
      <c r="M28237" s="202"/>
    </row>
    <row r="28238" spans="13:13">
      <c r="M28238" s="202"/>
    </row>
    <row r="28239" spans="13:13">
      <c r="M28239" s="202"/>
    </row>
    <row r="28240" spans="13:13">
      <c r="M28240" s="202"/>
    </row>
    <row r="28241" spans="13:13">
      <c r="M28241" s="202"/>
    </row>
    <row r="28242" spans="13:13">
      <c r="M28242" s="202"/>
    </row>
    <row r="28243" spans="13:13">
      <c r="M28243" s="202"/>
    </row>
    <row r="28244" spans="13:13">
      <c r="M28244" s="202"/>
    </row>
    <row r="28245" spans="13:13">
      <c r="M28245" s="202"/>
    </row>
    <row r="28246" spans="13:13">
      <c r="M28246" s="202"/>
    </row>
    <row r="28247" spans="13:13">
      <c r="M28247" s="202"/>
    </row>
    <row r="28248" spans="13:13">
      <c r="M28248" s="202"/>
    </row>
    <row r="28249" spans="13:13">
      <c r="M28249" s="202"/>
    </row>
    <row r="28250" spans="13:13">
      <c r="M28250" s="202"/>
    </row>
    <row r="28251" spans="13:13">
      <c r="M28251" s="202"/>
    </row>
    <row r="28252" spans="13:13">
      <c r="M28252" s="202"/>
    </row>
    <row r="28253" spans="13:13">
      <c r="M28253" s="202"/>
    </row>
    <row r="28254" spans="13:13">
      <c r="M28254" s="202"/>
    </row>
    <row r="28255" spans="13:13">
      <c r="M28255" s="202"/>
    </row>
    <row r="28256" spans="13:13">
      <c r="M28256" s="202"/>
    </row>
    <row r="28257" spans="13:13">
      <c r="M28257" s="202"/>
    </row>
    <row r="28258" spans="13:13">
      <c r="M28258" s="202"/>
    </row>
    <row r="28259" spans="13:13">
      <c r="M28259" s="202"/>
    </row>
    <row r="28260" spans="13:13">
      <c r="M28260" s="202"/>
    </row>
    <row r="28261" spans="13:13">
      <c r="M28261" s="202"/>
    </row>
    <row r="28262" spans="13:13">
      <c r="M28262" s="202"/>
    </row>
    <row r="28263" spans="13:13">
      <c r="M28263" s="202"/>
    </row>
    <row r="28264" spans="13:13">
      <c r="M28264" s="202"/>
    </row>
    <row r="28265" spans="13:13">
      <c r="M28265" s="202"/>
    </row>
    <row r="28266" spans="13:13">
      <c r="M28266" s="202"/>
    </row>
    <row r="28267" spans="13:13">
      <c r="M28267" s="202"/>
    </row>
    <row r="28268" spans="13:13">
      <c r="M28268" s="202"/>
    </row>
    <row r="28269" spans="13:13">
      <c r="M28269" s="202"/>
    </row>
    <row r="28270" spans="13:13">
      <c r="M28270" s="202"/>
    </row>
    <row r="28271" spans="13:13">
      <c r="M28271" s="202"/>
    </row>
    <row r="28272" spans="13:13">
      <c r="M28272" s="202"/>
    </row>
    <row r="28273" spans="13:13">
      <c r="M28273" s="202"/>
    </row>
    <row r="28274" spans="13:13">
      <c r="M28274" s="202"/>
    </row>
    <row r="28275" spans="13:13">
      <c r="M28275" s="202"/>
    </row>
    <row r="28276" spans="13:13">
      <c r="M28276" s="202"/>
    </row>
    <row r="28277" spans="13:13">
      <c r="M28277" s="202"/>
    </row>
    <row r="28278" spans="13:13">
      <c r="M28278" s="202"/>
    </row>
    <row r="28279" spans="13:13">
      <c r="M28279" s="202"/>
    </row>
    <row r="28280" spans="13:13">
      <c r="M28280" s="202"/>
    </row>
    <row r="28281" spans="13:13">
      <c r="M28281" s="202"/>
    </row>
    <row r="28282" spans="13:13">
      <c r="M28282" s="202"/>
    </row>
    <row r="28283" spans="13:13">
      <c r="M28283" s="202"/>
    </row>
    <row r="28284" spans="13:13">
      <c r="M28284" s="202"/>
    </row>
    <row r="28285" spans="13:13">
      <c r="M28285" s="202"/>
    </row>
    <row r="28286" spans="13:13">
      <c r="M28286" s="202"/>
    </row>
    <row r="28287" spans="13:13">
      <c r="M28287" s="202"/>
    </row>
    <row r="28288" spans="13:13">
      <c r="M28288" s="202"/>
    </row>
    <row r="28289" spans="13:13">
      <c r="M28289" s="202"/>
    </row>
    <row r="28290" spans="13:13">
      <c r="M28290" s="202"/>
    </row>
    <row r="28291" spans="13:13">
      <c r="M28291" s="202"/>
    </row>
    <row r="28292" spans="13:13">
      <c r="M28292" s="202"/>
    </row>
    <row r="28293" spans="13:13">
      <c r="M28293" s="202"/>
    </row>
    <row r="28294" spans="13:13">
      <c r="M28294" s="202"/>
    </row>
    <row r="28295" spans="13:13">
      <c r="M28295" s="202"/>
    </row>
    <row r="28296" spans="13:13">
      <c r="M28296" s="202"/>
    </row>
    <row r="28297" spans="13:13">
      <c r="M28297" s="202"/>
    </row>
    <row r="28298" spans="13:13">
      <c r="M28298" s="202"/>
    </row>
    <row r="28299" spans="13:13">
      <c r="M28299" s="202"/>
    </row>
    <row r="28300" spans="13:13">
      <c r="M28300" s="202"/>
    </row>
    <row r="28301" spans="13:13">
      <c r="M28301" s="202"/>
    </row>
    <row r="28302" spans="13:13">
      <c r="M28302" s="202"/>
    </row>
    <row r="28303" spans="13:13">
      <c r="M28303" s="202"/>
    </row>
    <row r="28304" spans="13:13">
      <c r="M28304" s="202"/>
    </row>
    <row r="28305" spans="13:13">
      <c r="M28305" s="202"/>
    </row>
    <row r="28306" spans="13:13">
      <c r="M28306" s="202"/>
    </row>
    <row r="28307" spans="13:13">
      <c r="M28307" s="202"/>
    </row>
    <row r="28308" spans="13:13">
      <c r="M28308" s="202"/>
    </row>
    <row r="28309" spans="13:13">
      <c r="M28309" s="202"/>
    </row>
    <row r="28310" spans="13:13">
      <c r="M28310" s="202"/>
    </row>
    <row r="28311" spans="13:13">
      <c r="M28311" s="202"/>
    </row>
    <row r="28312" spans="13:13">
      <c r="M28312" s="202"/>
    </row>
    <row r="28313" spans="13:13">
      <c r="M28313" s="202"/>
    </row>
    <row r="28314" spans="13:13">
      <c r="M28314" s="202"/>
    </row>
    <row r="28315" spans="13:13">
      <c r="M28315" s="202"/>
    </row>
    <row r="28316" spans="13:13">
      <c r="M28316" s="202"/>
    </row>
    <row r="28317" spans="13:13">
      <c r="M28317" s="202"/>
    </row>
    <row r="28318" spans="13:13">
      <c r="M28318" s="202"/>
    </row>
    <row r="28319" spans="13:13">
      <c r="M28319" s="202"/>
    </row>
    <row r="28320" spans="13:13">
      <c r="M28320" s="202"/>
    </row>
    <row r="28321" spans="13:13">
      <c r="M28321" s="202"/>
    </row>
    <row r="28322" spans="13:13">
      <c r="M28322" s="202"/>
    </row>
    <row r="28323" spans="13:13">
      <c r="M28323" s="202"/>
    </row>
    <row r="28324" spans="13:13">
      <c r="M28324" s="202"/>
    </row>
    <row r="28325" spans="13:13">
      <c r="M28325" s="202"/>
    </row>
    <row r="28326" spans="13:13">
      <c r="M28326" s="202"/>
    </row>
    <row r="28327" spans="13:13">
      <c r="M28327" s="202"/>
    </row>
    <row r="28328" spans="13:13">
      <c r="M28328" s="202"/>
    </row>
    <row r="28329" spans="13:13">
      <c r="M28329" s="202"/>
    </row>
    <row r="28330" spans="13:13">
      <c r="M28330" s="202"/>
    </row>
    <row r="28331" spans="13:13">
      <c r="M28331" s="202"/>
    </row>
    <row r="28332" spans="13:13">
      <c r="M28332" s="202"/>
    </row>
    <row r="28333" spans="13:13">
      <c r="M28333" s="202"/>
    </row>
    <row r="28334" spans="13:13">
      <c r="M28334" s="202"/>
    </row>
    <row r="28335" spans="13:13">
      <c r="M28335" s="202"/>
    </row>
    <row r="28336" spans="13:13">
      <c r="M28336" s="202"/>
    </row>
    <row r="28337" spans="13:13">
      <c r="M28337" s="202"/>
    </row>
    <row r="28338" spans="13:13">
      <c r="M28338" s="202"/>
    </row>
    <row r="28339" spans="13:13">
      <c r="M28339" s="202"/>
    </row>
    <row r="28340" spans="13:13">
      <c r="M28340" s="202"/>
    </row>
    <row r="28341" spans="13:13">
      <c r="M28341" s="202"/>
    </row>
    <row r="28342" spans="13:13">
      <c r="M28342" s="202"/>
    </row>
    <row r="28343" spans="13:13">
      <c r="M28343" s="202"/>
    </row>
    <row r="28344" spans="13:13">
      <c r="M28344" s="202"/>
    </row>
    <row r="28345" spans="13:13">
      <c r="M28345" s="202"/>
    </row>
    <row r="28346" spans="13:13">
      <c r="M28346" s="202"/>
    </row>
    <row r="28347" spans="13:13">
      <c r="M28347" s="202"/>
    </row>
    <row r="28348" spans="13:13">
      <c r="M28348" s="202"/>
    </row>
    <row r="28349" spans="13:13">
      <c r="M28349" s="202"/>
    </row>
    <row r="28350" spans="13:13">
      <c r="M28350" s="202"/>
    </row>
    <row r="28351" spans="13:13">
      <c r="M28351" s="202"/>
    </row>
    <row r="28352" spans="13:13">
      <c r="M28352" s="202"/>
    </row>
    <row r="28353" spans="13:13">
      <c r="M28353" s="202"/>
    </row>
    <row r="28354" spans="13:13">
      <c r="M28354" s="202"/>
    </row>
    <row r="28355" spans="13:13">
      <c r="M28355" s="202"/>
    </row>
    <row r="28356" spans="13:13">
      <c r="M28356" s="202"/>
    </row>
    <row r="28357" spans="13:13">
      <c r="M28357" s="202"/>
    </row>
    <row r="28358" spans="13:13">
      <c r="M28358" s="202"/>
    </row>
    <row r="28359" spans="13:13">
      <c r="M28359" s="202"/>
    </row>
    <row r="28360" spans="13:13">
      <c r="M28360" s="202"/>
    </row>
    <row r="28361" spans="13:13">
      <c r="M28361" s="202"/>
    </row>
    <row r="28362" spans="13:13">
      <c r="M28362" s="202"/>
    </row>
    <row r="28363" spans="13:13">
      <c r="M28363" s="202"/>
    </row>
    <row r="28364" spans="13:13">
      <c r="M28364" s="202"/>
    </row>
    <row r="28365" spans="13:13">
      <c r="M28365" s="202"/>
    </row>
    <row r="28366" spans="13:13">
      <c r="M28366" s="202"/>
    </row>
    <row r="28367" spans="13:13">
      <c r="M28367" s="202"/>
    </row>
    <row r="28368" spans="13:13">
      <c r="M28368" s="202"/>
    </row>
    <row r="28369" spans="13:13">
      <c r="M28369" s="202"/>
    </row>
    <row r="28370" spans="13:13">
      <c r="M28370" s="202"/>
    </row>
    <row r="28371" spans="13:13">
      <c r="M28371" s="202"/>
    </row>
    <row r="28372" spans="13:13">
      <c r="M28372" s="202"/>
    </row>
    <row r="28373" spans="13:13">
      <c r="M28373" s="202"/>
    </row>
    <row r="28374" spans="13:13">
      <c r="M28374" s="202"/>
    </row>
    <row r="28375" spans="13:13">
      <c r="M28375" s="202"/>
    </row>
    <row r="28376" spans="13:13">
      <c r="M28376" s="202"/>
    </row>
    <row r="28377" spans="13:13">
      <c r="M28377" s="202"/>
    </row>
    <row r="28378" spans="13:13">
      <c r="M28378" s="202"/>
    </row>
    <row r="28379" spans="13:13">
      <c r="M28379" s="202"/>
    </row>
    <row r="28380" spans="13:13">
      <c r="M28380" s="202"/>
    </row>
    <row r="28381" spans="13:13">
      <c r="M28381" s="202"/>
    </row>
    <row r="28382" spans="13:13">
      <c r="M28382" s="202"/>
    </row>
    <row r="28383" spans="13:13">
      <c r="M28383" s="202"/>
    </row>
    <row r="28384" spans="13:13">
      <c r="M28384" s="202"/>
    </row>
    <row r="28385" spans="13:13">
      <c r="M28385" s="202"/>
    </row>
    <row r="28386" spans="13:13">
      <c r="M28386" s="202"/>
    </row>
    <row r="28387" spans="13:13">
      <c r="M28387" s="202"/>
    </row>
    <row r="28388" spans="13:13">
      <c r="M28388" s="202"/>
    </row>
    <row r="28389" spans="13:13">
      <c r="M28389" s="202"/>
    </row>
    <row r="28390" spans="13:13">
      <c r="M28390" s="202"/>
    </row>
    <row r="28391" spans="13:13">
      <c r="M28391" s="202"/>
    </row>
    <row r="28392" spans="13:13">
      <c r="M28392" s="202"/>
    </row>
    <row r="28393" spans="13:13">
      <c r="M28393" s="202"/>
    </row>
    <row r="28394" spans="13:13">
      <c r="M28394" s="202"/>
    </row>
    <row r="28395" spans="13:13">
      <c r="M28395" s="202"/>
    </row>
    <row r="28396" spans="13:13">
      <c r="M28396" s="202"/>
    </row>
    <row r="28397" spans="13:13">
      <c r="M28397" s="202"/>
    </row>
    <row r="28398" spans="13:13">
      <c r="M28398" s="202"/>
    </row>
    <row r="28399" spans="13:13">
      <c r="M28399" s="202"/>
    </row>
    <row r="28400" spans="13:13">
      <c r="M28400" s="202"/>
    </row>
    <row r="28401" spans="13:13">
      <c r="M28401" s="202"/>
    </row>
    <row r="28402" spans="13:13">
      <c r="M28402" s="202"/>
    </row>
    <row r="28403" spans="13:13">
      <c r="M28403" s="202"/>
    </row>
    <row r="28404" spans="13:13">
      <c r="M28404" s="202"/>
    </row>
    <row r="28405" spans="13:13">
      <c r="M28405" s="202"/>
    </row>
    <row r="28406" spans="13:13">
      <c r="M28406" s="202"/>
    </row>
    <row r="28407" spans="13:13">
      <c r="M28407" s="202"/>
    </row>
    <row r="28408" spans="13:13">
      <c r="M28408" s="202"/>
    </row>
    <row r="28409" spans="13:13">
      <c r="M28409" s="202"/>
    </row>
    <row r="28410" spans="13:13">
      <c r="M28410" s="202"/>
    </row>
    <row r="28411" spans="13:13">
      <c r="M28411" s="202"/>
    </row>
    <row r="28412" spans="13:13">
      <c r="M28412" s="202"/>
    </row>
    <row r="28413" spans="13:13">
      <c r="M28413" s="202"/>
    </row>
    <row r="28414" spans="13:13">
      <c r="M28414" s="202"/>
    </row>
    <row r="28415" spans="13:13">
      <c r="M28415" s="202"/>
    </row>
    <row r="28416" spans="13:13">
      <c r="M28416" s="202"/>
    </row>
    <row r="28417" spans="13:13">
      <c r="M28417" s="202"/>
    </row>
    <row r="28418" spans="13:13">
      <c r="M28418" s="202"/>
    </row>
    <row r="28419" spans="13:13">
      <c r="M28419" s="202"/>
    </row>
    <row r="28420" spans="13:13">
      <c r="M28420" s="202"/>
    </row>
    <row r="28421" spans="13:13">
      <c r="M28421" s="202"/>
    </row>
    <row r="28422" spans="13:13">
      <c r="M28422" s="202"/>
    </row>
    <row r="28423" spans="13:13">
      <c r="M28423" s="202"/>
    </row>
    <row r="28424" spans="13:13">
      <c r="M28424" s="202"/>
    </row>
    <row r="28425" spans="13:13">
      <c r="M28425" s="202"/>
    </row>
    <row r="28426" spans="13:13">
      <c r="M28426" s="202"/>
    </row>
    <row r="28427" spans="13:13">
      <c r="M28427" s="202"/>
    </row>
    <row r="28428" spans="13:13">
      <c r="M28428" s="202"/>
    </row>
    <row r="28429" spans="13:13">
      <c r="M28429" s="202"/>
    </row>
    <row r="28430" spans="13:13">
      <c r="M28430" s="202"/>
    </row>
    <row r="28431" spans="13:13">
      <c r="M28431" s="202"/>
    </row>
    <row r="28432" spans="13:13">
      <c r="M28432" s="202"/>
    </row>
    <row r="28433" spans="13:13">
      <c r="M28433" s="202"/>
    </row>
    <row r="28434" spans="13:13">
      <c r="M28434" s="202"/>
    </row>
    <row r="28435" spans="13:13">
      <c r="M28435" s="202"/>
    </row>
    <row r="28436" spans="13:13">
      <c r="M28436" s="202"/>
    </row>
    <row r="28437" spans="13:13">
      <c r="M28437" s="202"/>
    </row>
    <row r="28438" spans="13:13">
      <c r="M28438" s="202"/>
    </row>
    <row r="28439" spans="13:13">
      <c r="M28439" s="202"/>
    </row>
    <row r="28440" spans="13:13">
      <c r="M28440" s="202"/>
    </row>
    <row r="28441" spans="13:13">
      <c r="M28441" s="202"/>
    </row>
    <row r="28442" spans="13:13">
      <c r="M28442" s="202"/>
    </row>
    <row r="28443" spans="13:13">
      <c r="M28443" s="202"/>
    </row>
    <row r="28444" spans="13:13">
      <c r="M28444" s="202"/>
    </row>
    <row r="28445" spans="13:13">
      <c r="M28445" s="202"/>
    </row>
    <row r="28446" spans="13:13">
      <c r="M28446" s="202"/>
    </row>
    <row r="28447" spans="13:13">
      <c r="M28447" s="202"/>
    </row>
    <row r="28448" spans="13:13">
      <c r="M28448" s="202"/>
    </row>
    <row r="28449" spans="13:13">
      <c r="M28449" s="202"/>
    </row>
    <row r="28450" spans="13:13">
      <c r="M28450" s="202"/>
    </row>
    <row r="28451" spans="13:13">
      <c r="M28451" s="202"/>
    </row>
    <row r="28452" spans="13:13">
      <c r="M28452" s="202"/>
    </row>
    <row r="28453" spans="13:13">
      <c r="M28453" s="202"/>
    </row>
    <row r="28454" spans="13:13">
      <c r="M28454" s="202"/>
    </row>
    <row r="28455" spans="13:13">
      <c r="M28455" s="202"/>
    </row>
    <row r="28456" spans="13:13">
      <c r="M28456" s="202"/>
    </row>
    <row r="28457" spans="13:13">
      <c r="M28457" s="202"/>
    </row>
    <row r="28458" spans="13:13">
      <c r="M28458" s="202"/>
    </row>
    <row r="28459" spans="13:13">
      <c r="M28459" s="202"/>
    </row>
    <row r="28460" spans="13:13">
      <c r="M28460" s="202"/>
    </row>
    <row r="28461" spans="13:13">
      <c r="M28461" s="202"/>
    </row>
    <row r="28462" spans="13:13">
      <c r="M28462" s="202"/>
    </row>
    <row r="28463" spans="13:13">
      <c r="M28463" s="202"/>
    </row>
    <row r="28464" spans="13:13">
      <c r="M28464" s="202"/>
    </row>
    <row r="28465" spans="13:13">
      <c r="M28465" s="202"/>
    </row>
    <row r="28466" spans="13:13">
      <c r="M28466" s="202"/>
    </row>
    <row r="28467" spans="13:13">
      <c r="M28467" s="202"/>
    </row>
    <row r="28468" spans="13:13">
      <c r="M28468" s="202"/>
    </row>
    <row r="28469" spans="13:13">
      <c r="M28469" s="202"/>
    </row>
    <row r="28470" spans="13:13">
      <c r="M28470" s="202"/>
    </row>
    <row r="28471" spans="13:13">
      <c r="M28471" s="202"/>
    </row>
    <row r="28472" spans="13:13">
      <c r="M28472" s="202"/>
    </row>
    <row r="28473" spans="13:13">
      <c r="M28473" s="202"/>
    </row>
    <row r="28474" spans="13:13">
      <c r="M28474" s="202"/>
    </row>
    <row r="28475" spans="13:13">
      <c r="M28475" s="202"/>
    </row>
    <row r="28476" spans="13:13">
      <c r="M28476" s="202"/>
    </row>
    <row r="28477" spans="13:13">
      <c r="M28477" s="202"/>
    </row>
    <row r="28478" spans="13:13">
      <c r="M28478" s="202"/>
    </row>
    <row r="28479" spans="13:13">
      <c r="M28479" s="202"/>
    </row>
    <row r="28480" spans="13:13">
      <c r="M28480" s="202"/>
    </row>
    <row r="28481" spans="13:13">
      <c r="M28481" s="202"/>
    </row>
    <row r="28482" spans="13:13">
      <c r="M28482" s="202"/>
    </row>
    <row r="28483" spans="13:13">
      <c r="M28483" s="202"/>
    </row>
    <row r="28484" spans="13:13">
      <c r="M28484" s="202"/>
    </row>
    <row r="28485" spans="13:13">
      <c r="M28485" s="202"/>
    </row>
    <row r="28486" spans="13:13">
      <c r="M28486" s="202"/>
    </row>
    <row r="28487" spans="13:13">
      <c r="M28487" s="202"/>
    </row>
    <row r="28488" spans="13:13">
      <c r="M28488" s="202"/>
    </row>
    <row r="28489" spans="13:13">
      <c r="M28489" s="202"/>
    </row>
    <row r="28490" spans="13:13">
      <c r="M28490" s="202"/>
    </row>
    <row r="28491" spans="13:13">
      <c r="M28491" s="202"/>
    </row>
    <row r="28492" spans="13:13">
      <c r="M28492" s="202"/>
    </row>
    <row r="28493" spans="13:13">
      <c r="M28493" s="202"/>
    </row>
    <row r="28494" spans="13:13">
      <c r="M28494" s="202"/>
    </row>
    <row r="28495" spans="13:13">
      <c r="M28495" s="202"/>
    </row>
    <row r="28496" spans="13:13">
      <c r="M28496" s="202"/>
    </row>
    <row r="28497" spans="13:13">
      <c r="M28497" s="202"/>
    </row>
    <row r="28498" spans="13:13">
      <c r="M28498" s="202"/>
    </row>
    <row r="28499" spans="13:13">
      <c r="M28499" s="202"/>
    </row>
    <row r="28500" spans="13:13">
      <c r="M28500" s="202"/>
    </row>
    <row r="28501" spans="13:13">
      <c r="M28501" s="202"/>
    </row>
    <row r="28502" spans="13:13">
      <c r="M28502" s="202"/>
    </row>
    <row r="28503" spans="13:13">
      <c r="M28503" s="202"/>
    </row>
    <row r="28504" spans="13:13">
      <c r="M28504" s="202"/>
    </row>
    <row r="28505" spans="13:13">
      <c r="M28505" s="202"/>
    </row>
    <row r="28506" spans="13:13">
      <c r="M28506" s="202"/>
    </row>
    <row r="28507" spans="13:13">
      <c r="M28507" s="202"/>
    </row>
    <row r="28508" spans="13:13">
      <c r="M28508" s="202"/>
    </row>
    <row r="28509" spans="13:13">
      <c r="M28509" s="202"/>
    </row>
    <row r="28510" spans="13:13">
      <c r="M28510" s="202"/>
    </row>
    <row r="28511" spans="13:13">
      <c r="M28511" s="202"/>
    </row>
    <row r="28512" spans="13:13">
      <c r="M28512" s="202"/>
    </row>
    <row r="28513" spans="13:13">
      <c r="M28513" s="202"/>
    </row>
    <row r="28514" spans="13:13">
      <c r="M28514" s="202"/>
    </row>
    <row r="28515" spans="13:13">
      <c r="M28515" s="202"/>
    </row>
    <row r="28516" spans="13:13">
      <c r="M28516" s="202"/>
    </row>
    <row r="28517" spans="13:13">
      <c r="M28517" s="202"/>
    </row>
    <row r="28518" spans="13:13">
      <c r="M28518" s="202"/>
    </row>
    <row r="28519" spans="13:13">
      <c r="M28519" s="202"/>
    </row>
    <row r="28520" spans="13:13">
      <c r="M28520" s="202"/>
    </row>
    <row r="28521" spans="13:13">
      <c r="M28521" s="202"/>
    </row>
    <row r="28522" spans="13:13">
      <c r="M28522" s="202"/>
    </row>
    <row r="28523" spans="13:13">
      <c r="M28523" s="202"/>
    </row>
    <row r="28524" spans="13:13">
      <c r="M28524" s="202"/>
    </row>
    <row r="28525" spans="13:13">
      <c r="M28525" s="202"/>
    </row>
    <row r="28526" spans="13:13">
      <c r="M28526" s="202"/>
    </row>
    <row r="28527" spans="13:13">
      <c r="M28527" s="202"/>
    </row>
    <row r="28528" spans="13:13">
      <c r="M28528" s="202"/>
    </row>
    <row r="28529" spans="13:13">
      <c r="M28529" s="202"/>
    </row>
    <row r="28530" spans="13:13">
      <c r="M28530" s="202"/>
    </row>
    <row r="28531" spans="13:13">
      <c r="M28531" s="202"/>
    </row>
    <row r="28532" spans="13:13">
      <c r="M28532" s="202"/>
    </row>
    <row r="28533" spans="13:13">
      <c r="M28533" s="202"/>
    </row>
    <row r="28534" spans="13:13">
      <c r="M28534" s="202"/>
    </row>
    <row r="28535" spans="13:13">
      <c r="M28535" s="202"/>
    </row>
    <row r="28536" spans="13:13">
      <c r="M28536" s="202"/>
    </row>
    <row r="28537" spans="13:13">
      <c r="M28537" s="202"/>
    </row>
    <row r="28538" spans="13:13">
      <c r="M28538" s="202"/>
    </row>
    <row r="28539" spans="13:13">
      <c r="M28539" s="202"/>
    </row>
    <row r="28540" spans="13:13">
      <c r="M28540" s="202"/>
    </row>
    <row r="28541" spans="13:13">
      <c r="M28541" s="202"/>
    </row>
    <row r="28542" spans="13:13">
      <c r="M28542" s="202"/>
    </row>
    <row r="28543" spans="13:13">
      <c r="M28543" s="202"/>
    </row>
    <row r="28544" spans="13:13">
      <c r="M28544" s="202"/>
    </row>
    <row r="28545" spans="13:13">
      <c r="M28545" s="202"/>
    </row>
    <row r="28546" spans="13:13">
      <c r="M28546" s="202"/>
    </row>
    <row r="28547" spans="13:13">
      <c r="M28547" s="202"/>
    </row>
    <row r="28548" spans="13:13">
      <c r="M28548" s="202"/>
    </row>
    <row r="28549" spans="13:13">
      <c r="M28549" s="202"/>
    </row>
    <row r="28550" spans="13:13">
      <c r="M28550" s="202"/>
    </row>
    <row r="28551" spans="13:13">
      <c r="M28551" s="202"/>
    </row>
    <row r="28552" spans="13:13">
      <c r="M28552" s="202"/>
    </row>
    <row r="28553" spans="13:13">
      <c r="M28553" s="202"/>
    </row>
    <row r="28554" spans="13:13">
      <c r="M28554" s="202"/>
    </row>
    <row r="28555" spans="13:13">
      <c r="M28555" s="202"/>
    </row>
    <row r="28556" spans="13:13">
      <c r="M28556" s="202"/>
    </row>
    <row r="28557" spans="13:13">
      <c r="M28557" s="202"/>
    </row>
    <row r="28558" spans="13:13">
      <c r="M28558" s="202"/>
    </row>
    <row r="28559" spans="13:13">
      <c r="M28559" s="202"/>
    </row>
    <row r="28560" spans="13:13">
      <c r="M28560" s="202"/>
    </row>
    <row r="28561" spans="13:13">
      <c r="M28561" s="202"/>
    </row>
    <row r="28562" spans="13:13">
      <c r="M28562" s="202"/>
    </row>
    <row r="28563" spans="13:13">
      <c r="M28563" s="202"/>
    </row>
    <row r="28564" spans="13:13">
      <c r="M28564" s="202"/>
    </row>
    <row r="28565" spans="13:13">
      <c r="M28565" s="202"/>
    </row>
    <row r="28566" spans="13:13">
      <c r="M28566" s="202"/>
    </row>
    <row r="28567" spans="13:13">
      <c r="M28567" s="202"/>
    </row>
    <row r="28568" spans="13:13">
      <c r="M28568" s="202"/>
    </row>
    <row r="28569" spans="13:13">
      <c r="M28569" s="202"/>
    </row>
    <row r="28570" spans="13:13">
      <c r="M28570" s="202"/>
    </row>
    <row r="28571" spans="13:13">
      <c r="M28571" s="202"/>
    </row>
    <row r="28572" spans="13:13">
      <c r="M28572" s="202"/>
    </row>
    <row r="28573" spans="13:13">
      <c r="M28573" s="202"/>
    </row>
    <row r="28574" spans="13:13">
      <c r="M28574" s="202"/>
    </row>
    <row r="28575" spans="13:13">
      <c r="M28575" s="202"/>
    </row>
    <row r="28576" spans="13:13">
      <c r="M28576" s="202"/>
    </row>
    <row r="28577" spans="13:13">
      <c r="M28577" s="202"/>
    </row>
    <row r="28578" spans="13:13">
      <c r="M28578" s="202"/>
    </row>
    <row r="28579" spans="13:13">
      <c r="M28579" s="202"/>
    </row>
    <row r="28580" spans="13:13">
      <c r="M28580" s="202"/>
    </row>
    <row r="28581" spans="13:13">
      <c r="M28581" s="202"/>
    </row>
    <row r="28582" spans="13:13">
      <c r="M28582" s="202"/>
    </row>
    <row r="28583" spans="13:13">
      <c r="M28583" s="202"/>
    </row>
    <row r="28584" spans="13:13">
      <c r="M28584" s="202"/>
    </row>
    <row r="28585" spans="13:13">
      <c r="M28585" s="202"/>
    </row>
    <row r="28586" spans="13:13">
      <c r="M28586" s="202"/>
    </row>
    <row r="28587" spans="13:13">
      <c r="M28587" s="202"/>
    </row>
    <row r="28588" spans="13:13">
      <c r="M28588" s="202"/>
    </row>
    <row r="28589" spans="13:13">
      <c r="M28589" s="202"/>
    </row>
    <row r="28590" spans="13:13">
      <c r="M28590" s="202"/>
    </row>
    <row r="28591" spans="13:13">
      <c r="M28591" s="202"/>
    </row>
    <row r="28592" spans="13:13">
      <c r="M28592" s="202"/>
    </row>
    <row r="28593" spans="13:13">
      <c r="M28593" s="202"/>
    </row>
    <row r="28594" spans="13:13">
      <c r="M28594" s="202"/>
    </row>
    <row r="28595" spans="13:13">
      <c r="M28595" s="202"/>
    </row>
    <row r="28596" spans="13:13">
      <c r="M28596" s="202"/>
    </row>
    <row r="28597" spans="13:13">
      <c r="M28597" s="202"/>
    </row>
    <row r="28598" spans="13:13">
      <c r="M28598" s="202"/>
    </row>
    <row r="28599" spans="13:13">
      <c r="M28599" s="202"/>
    </row>
    <row r="28600" spans="13:13">
      <c r="M28600" s="202"/>
    </row>
    <row r="28601" spans="13:13">
      <c r="M28601" s="202"/>
    </row>
    <row r="28602" spans="13:13">
      <c r="M28602" s="202"/>
    </row>
    <row r="28603" spans="13:13">
      <c r="M28603" s="202"/>
    </row>
    <row r="28604" spans="13:13">
      <c r="M28604" s="202"/>
    </row>
    <row r="28605" spans="13:13">
      <c r="M28605" s="202"/>
    </row>
    <row r="28606" spans="13:13">
      <c r="M28606" s="202"/>
    </row>
    <row r="28607" spans="13:13">
      <c r="M28607" s="202"/>
    </row>
    <row r="28608" spans="13:13">
      <c r="M28608" s="202"/>
    </row>
    <row r="28609" spans="13:13">
      <c r="M28609" s="202"/>
    </row>
    <row r="28610" spans="13:13">
      <c r="M28610" s="202"/>
    </row>
    <row r="28611" spans="13:13">
      <c r="M28611" s="202"/>
    </row>
    <row r="28612" spans="13:13">
      <c r="M28612" s="202"/>
    </row>
    <row r="28613" spans="13:13">
      <c r="M28613" s="202"/>
    </row>
    <row r="28614" spans="13:13">
      <c r="M28614" s="202"/>
    </row>
    <row r="28615" spans="13:13">
      <c r="M28615" s="202"/>
    </row>
    <row r="28616" spans="13:13">
      <c r="M28616" s="202"/>
    </row>
    <row r="28617" spans="13:13">
      <c r="M28617" s="202"/>
    </row>
    <row r="28618" spans="13:13">
      <c r="M28618" s="202"/>
    </row>
    <row r="28619" spans="13:13">
      <c r="M28619" s="202"/>
    </row>
    <row r="28620" spans="13:13">
      <c r="M28620" s="202"/>
    </row>
    <row r="28621" spans="13:13">
      <c r="M28621" s="202"/>
    </row>
    <row r="28622" spans="13:13">
      <c r="M28622" s="202"/>
    </row>
    <row r="28623" spans="13:13">
      <c r="M28623" s="202"/>
    </row>
    <row r="28624" spans="13:13">
      <c r="M28624" s="202"/>
    </row>
    <row r="28625" spans="13:13">
      <c r="M28625" s="202"/>
    </row>
    <row r="28626" spans="13:13">
      <c r="M28626" s="202"/>
    </row>
    <row r="28627" spans="13:13">
      <c r="M28627" s="202"/>
    </row>
    <row r="28628" spans="13:13">
      <c r="M28628" s="202"/>
    </row>
    <row r="28629" spans="13:13">
      <c r="M28629" s="202"/>
    </row>
    <row r="28630" spans="13:13">
      <c r="M28630" s="202"/>
    </row>
    <row r="28631" spans="13:13">
      <c r="M28631" s="202"/>
    </row>
    <row r="28632" spans="13:13">
      <c r="M28632" s="202"/>
    </row>
    <row r="28633" spans="13:13">
      <c r="M28633" s="202"/>
    </row>
    <row r="28634" spans="13:13">
      <c r="M28634" s="202"/>
    </row>
    <row r="28635" spans="13:13">
      <c r="M28635" s="202"/>
    </row>
    <row r="28636" spans="13:13">
      <c r="M28636" s="202"/>
    </row>
    <row r="28637" spans="13:13">
      <c r="M28637" s="202"/>
    </row>
    <row r="28638" spans="13:13">
      <c r="M28638" s="202"/>
    </row>
    <row r="28639" spans="13:13">
      <c r="M28639" s="202"/>
    </row>
    <row r="28640" spans="13:13">
      <c r="M28640" s="202"/>
    </row>
    <row r="28641" spans="13:13">
      <c r="M28641" s="202"/>
    </row>
    <row r="28642" spans="13:13">
      <c r="M28642" s="202"/>
    </row>
    <row r="28643" spans="13:13">
      <c r="M28643" s="202"/>
    </row>
    <row r="28644" spans="13:13">
      <c r="M28644" s="202"/>
    </row>
    <row r="28645" spans="13:13">
      <c r="M28645" s="202"/>
    </row>
    <row r="28646" spans="13:13">
      <c r="M28646" s="202"/>
    </row>
    <row r="28647" spans="13:13">
      <c r="M28647" s="202"/>
    </row>
    <row r="28648" spans="13:13">
      <c r="M28648" s="202"/>
    </row>
    <row r="28649" spans="13:13">
      <c r="M28649" s="202"/>
    </row>
    <row r="28650" spans="13:13">
      <c r="M28650" s="202"/>
    </row>
    <row r="28651" spans="13:13">
      <c r="M28651" s="202"/>
    </row>
    <row r="28652" spans="13:13">
      <c r="M28652" s="202"/>
    </row>
    <row r="28653" spans="13:13">
      <c r="M28653" s="202"/>
    </row>
    <row r="28654" spans="13:13">
      <c r="M28654" s="202"/>
    </row>
    <row r="28655" spans="13:13">
      <c r="M28655" s="202"/>
    </row>
    <row r="28656" spans="13:13">
      <c r="M28656" s="202"/>
    </row>
    <row r="28657" spans="13:13">
      <c r="M28657" s="202"/>
    </row>
    <row r="28658" spans="13:13">
      <c r="M28658" s="202"/>
    </row>
    <row r="28659" spans="13:13">
      <c r="M28659" s="202"/>
    </row>
    <row r="28660" spans="13:13">
      <c r="M28660" s="202"/>
    </row>
    <row r="28661" spans="13:13">
      <c r="M28661" s="202"/>
    </row>
    <row r="28662" spans="13:13">
      <c r="M28662" s="202"/>
    </row>
    <row r="28663" spans="13:13">
      <c r="M28663" s="202"/>
    </row>
    <row r="28664" spans="13:13">
      <c r="M28664" s="202"/>
    </row>
    <row r="28665" spans="13:13">
      <c r="M28665" s="202"/>
    </row>
    <row r="28666" spans="13:13">
      <c r="M28666" s="202"/>
    </row>
    <row r="28667" spans="13:13">
      <c r="M28667" s="202"/>
    </row>
    <row r="28668" spans="13:13">
      <c r="M28668" s="202"/>
    </row>
    <row r="28669" spans="13:13">
      <c r="M28669" s="202"/>
    </row>
    <row r="28670" spans="13:13">
      <c r="M28670" s="202"/>
    </row>
    <row r="28671" spans="13:13">
      <c r="M28671" s="202"/>
    </row>
    <row r="28672" spans="13:13">
      <c r="M28672" s="202"/>
    </row>
    <row r="28673" spans="13:13">
      <c r="M28673" s="202"/>
    </row>
    <row r="28674" spans="13:13">
      <c r="M28674" s="202"/>
    </row>
    <row r="28675" spans="13:13">
      <c r="M28675" s="202"/>
    </row>
    <row r="28676" spans="13:13">
      <c r="M28676" s="202"/>
    </row>
    <row r="28677" spans="13:13">
      <c r="M28677" s="202"/>
    </row>
    <row r="28678" spans="13:13">
      <c r="M28678" s="202"/>
    </row>
    <row r="28679" spans="13:13">
      <c r="M28679" s="202"/>
    </row>
    <row r="28680" spans="13:13">
      <c r="M28680" s="202"/>
    </row>
    <row r="28681" spans="13:13">
      <c r="M28681" s="202"/>
    </row>
    <row r="28682" spans="13:13">
      <c r="M28682" s="202"/>
    </row>
    <row r="28683" spans="13:13">
      <c r="M28683" s="202"/>
    </row>
    <row r="28684" spans="13:13">
      <c r="M28684" s="202"/>
    </row>
    <row r="28685" spans="13:13">
      <c r="M28685" s="202"/>
    </row>
    <row r="28686" spans="13:13">
      <c r="M28686" s="202"/>
    </row>
    <row r="28687" spans="13:13">
      <c r="M28687" s="202"/>
    </row>
    <row r="28688" spans="13:13">
      <c r="M28688" s="202"/>
    </row>
    <row r="28689" spans="13:13">
      <c r="M28689" s="202"/>
    </row>
    <row r="28690" spans="13:13">
      <c r="M28690" s="202"/>
    </row>
    <row r="28691" spans="13:13">
      <c r="M28691" s="202"/>
    </row>
    <row r="28692" spans="13:13">
      <c r="M28692" s="202"/>
    </row>
    <row r="28693" spans="13:13">
      <c r="M28693" s="202"/>
    </row>
    <row r="28694" spans="13:13">
      <c r="M28694" s="202"/>
    </row>
    <row r="28695" spans="13:13">
      <c r="M28695" s="202"/>
    </row>
    <row r="28696" spans="13:13">
      <c r="M28696" s="202"/>
    </row>
    <row r="28697" spans="13:13">
      <c r="M28697" s="202"/>
    </row>
    <row r="28698" spans="13:13">
      <c r="M28698" s="202"/>
    </row>
    <row r="28699" spans="13:13">
      <c r="M28699" s="202"/>
    </row>
    <row r="28700" spans="13:13">
      <c r="M28700" s="202"/>
    </row>
    <row r="28701" spans="13:13">
      <c r="M28701" s="202"/>
    </row>
    <row r="28702" spans="13:13">
      <c r="M28702" s="202"/>
    </row>
    <row r="28703" spans="13:13">
      <c r="M28703" s="202"/>
    </row>
    <row r="28704" spans="13:13">
      <c r="M28704" s="202"/>
    </row>
    <row r="28705" spans="13:13">
      <c r="M28705" s="202"/>
    </row>
    <row r="28706" spans="13:13">
      <c r="M28706" s="202"/>
    </row>
    <row r="28707" spans="13:13">
      <c r="M28707" s="202"/>
    </row>
    <row r="28708" spans="13:13">
      <c r="M28708" s="202"/>
    </row>
    <row r="28709" spans="13:13">
      <c r="M28709" s="202"/>
    </row>
    <row r="28710" spans="13:13">
      <c r="M28710" s="202"/>
    </row>
    <row r="28711" spans="13:13">
      <c r="M28711" s="202"/>
    </row>
    <row r="28712" spans="13:13">
      <c r="M28712" s="202"/>
    </row>
    <row r="28713" spans="13:13">
      <c r="M28713" s="202"/>
    </row>
    <row r="28714" spans="13:13">
      <c r="M28714" s="202"/>
    </row>
    <row r="28715" spans="13:13">
      <c r="M28715" s="202"/>
    </row>
    <row r="28716" spans="13:13">
      <c r="M28716" s="202"/>
    </row>
    <row r="28717" spans="13:13">
      <c r="M28717" s="202"/>
    </row>
    <row r="28718" spans="13:13">
      <c r="M28718" s="202"/>
    </row>
    <row r="28719" spans="13:13">
      <c r="M28719" s="202"/>
    </row>
    <row r="28720" spans="13:13">
      <c r="M28720" s="202"/>
    </row>
    <row r="28721" spans="13:13">
      <c r="M28721" s="202"/>
    </row>
    <row r="28722" spans="13:13">
      <c r="M28722" s="202"/>
    </row>
    <row r="28723" spans="13:13">
      <c r="M28723" s="202"/>
    </row>
    <row r="28724" spans="13:13">
      <c r="M28724" s="202"/>
    </row>
    <row r="28725" spans="13:13">
      <c r="M28725" s="202"/>
    </row>
    <row r="28726" spans="13:13">
      <c r="M28726" s="202"/>
    </row>
    <row r="28727" spans="13:13">
      <c r="M28727" s="202"/>
    </row>
    <row r="28728" spans="13:13">
      <c r="M28728" s="202"/>
    </row>
    <row r="28729" spans="13:13">
      <c r="M28729" s="202"/>
    </row>
    <row r="28730" spans="13:13">
      <c r="M28730" s="202"/>
    </row>
    <row r="28731" spans="13:13">
      <c r="M28731" s="202"/>
    </row>
    <row r="28732" spans="13:13">
      <c r="M28732" s="202"/>
    </row>
    <row r="28733" spans="13:13">
      <c r="M28733" s="202"/>
    </row>
    <row r="28734" spans="13:13">
      <c r="M28734" s="202"/>
    </row>
    <row r="28735" spans="13:13">
      <c r="M28735" s="202"/>
    </row>
    <row r="28736" spans="13:13">
      <c r="M28736" s="202"/>
    </row>
    <row r="28737" spans="13:13">
      <c r="M28737" s="202"/>
    </row>
    <row r="28738" spans="13:13">
      <c r="M28738" s="202"/>
    </row>
    <row r="28739" spans="13:13">
      <c r="M28739" s="202"/>
    </row>
    <row r="28740" spans="13:13">
      <c r="M28740" s="202"/>
    </row>
    <row r="28741" spans="13:13">
      <c r="M28741" s="202"/>
    </row>
    <row r="28742" spans="13:13">
      <c r="M28742" s="202"/>
    </row>
    <row r="28743" spans="13:13">
      <c r="M28743" s="202"/>
    </row>
    <row r="28744" spans="13:13">
      <c r="M28744" s="202"/>
    </row>
    <row r="28745" spans="13:13">
      <c r="M28745" s="202"/>
    </row>
    <row r="28746" spans="13:13">
      <c r="M28746" s="202"/>
    </row>
    <row r="28747" spans="13:13">
      <c r="M28747" s="202"/>
    </row>
    <row r="28748" spans="13:13">
      <c r="M28748" s="202"/>
    </row>
    <row r="28749" spans="13:13">
      <c r="M28749" s="202"/>
    </row>
    <row r="28750" spans="13:13">
      <c r="M28750" s="202"/>
    </row>
    <row r="28751" spans="13:13">
      <c r="M28751" s="202"/>
    </row>
    <row r="28752" spans="13:13">
      <c r="M28752" s="202"/>
    </row>
    <row r="28753" spans="13:13">
      <c r="M28753" s="202"/>
    </row>
    <row r="28754" spans="13:13">
      <c r="M28754" s="202"/>
    </row>
    <row r="28755" spans="13:13">
      <c r="M28755" s="202"/>
    </row>
    <row r="28756" spans="13:13">
      <c r="M28756" s="202"/>
    </row>
    <row r="28757" spans="13:13">
      <c r="M28757" s="202"/>
    </row>
    <row r="28758" spans="13:13">
      <c r="M28758" s="202"/>
    </row>
    <row r="28759" spans="13:13">
      <c r="M28759" s="202"/>
    </row>
    <row r="28760" spans="13:13">
      <c r="M28760" s="202"/>
    </row>
    <row r="28761" spans="13:13">
      <c r="M28761" s="202"/>
    </row>
    <row r="28762" spans="13:13">
      <c r="M28762" s="202"/>
    </row>
    <row r="28763" spans="13:13">
      <c r="M28763" s="202"/>
    </row>
    <row r="28764" spans="13:13">
      <c r="M28764" s="202"/>
    </row>
    <row r="28765" spans="13:13">
      <c r="M28765" s="202"/>
    </row>
    <row r="28766" spans="13:13">
      <c r="M28766" s="202"/>
    </row>
    <row r="28767" spans="13:13">
      <c r="M28767" s="202"/>
    </row>
    <row r="28768" spans="13:13">
      <c r="M28768" s="202"/>
    </row>
    <row r="28769" spans="13:13">
      <c r="M28769" s="202"/>
    </row>
    <row r="28770" spans="13:13">
      <c r="M28770" s="202"/>
    </row>
    <row r="28771" spans="13:13">
      <c r="M28771" s="202"/>
    </row>
    <row r="28772" spans="13:13">
      <c r="M28772" s="202"/>
    </row>
    <row r="28773" spans="13:13">
      <c r="M28773" s="202"/>
    </row>
    <row r="28774" spans="13:13">
      <c r="M28774" s="202"/>
    </row>
    <row r="28775" spans="13:13">
      <c r="M28775" s="202"/>
    </row>
    <row r="28776" spans="13:13">
      <c r="M28776" s="202"/>
    </row>
    <row r="28777" spans="13:13">
      <c r="M28777" s="202"/>
    </row>
    <row r="28778" spans="13:13">
      <c r="M28778" s="202"/>
    </row>
    <row r="28779" spans="13:13">
      <c r="M28779" s="202"/>
    </row>
    <row r="28780" spans="13:13">
      <c r="M28780" s="202"/>
    </row>
    <row r="28781" spans="13:13">
      <c r="M28781" s="202"/>
    </row>
    <row r="28782" spans="13:13">
      <c r="M28782" s="202"/>
    </row>
    <row r="28783" spans="13:13">
      <c r="M28783" s="202"/>
    </row>
    <row r="28784" spans="13:13">
      <c r="M28784" s="202"/>
    </row>
    <row r="28785" spans="13:13">
      <c r="M28785" s="202"/>
    </row>
    <row r="28786" spans="13:13">
      <c r="M28786" s="202"/>
    </row>
    <row r="28787" spans="13:13">
      <c r="M28787" s="202"/>
    </row>
    <row r="28788" spans="13:13">
      <c r="M28788" s="202"/>
    </row>
    <row r="28789" spans="13:13">
      <c r="M28789" s="202"/>
    </row>
    <row r="28790" spans="13:13">
      <c r="M28790" s="202"/>
    </row>
    <row r="28791" spans="13:13">
      <c r="M28791" s="202"/>
    </row>
    <row r="28792" spans="13:13">
      <c r="M28792" s="202"/>
    </row>
    <row r="28793" spans="13:13">
      <c r="M28793" s="202"/>
    </row>
    <row r="28794" spans="13:13">
      <c r="M28794" s="202"/>
    </row>
    <row r="28795" spans="13:13">
      <c r="M28795" s="202"/>
    </row>
    <row r="28796" spans="13:13">
      <c r="M28796" s="202"/>
    </row>
    <row r="28797" spans="13:13">
      <c r="M28797" s="202"/>
    </row>
    <row r="28798" spans="13:13">
      <c r="M28798" s="202"/>
    </row>
    <row r="28799" spans="13:13">
      <c r="M28799" s="202"/>
    </row>
    <row r="28800" spans="13:13">
      <c r="M28800" s="202"/>
    </row>
    <row r="28801" spans="13:13">
      <c r="M28801" s="202"/>
    </row>
    <row r="28802" spans="13:13">
      <c r="M28802" s="202"/>
    </row>
    <row r="28803" spans="13:13">
      <c r="M28803" s="202"/>
    </row>
    <row r="28804" spans="13:13">
      <c r="M28804" s="202"/>
    </row>
    <row r="28805" spans="13:13">
      <c r="M28805" s="202"/>
    </row>
    <row r="28806" spans="13:13">
      <c r="M28806" s="202"/>
    </row>
    <row r="28807" spans="13:13">
      <c r="M28807" s="202"/>
    </row>
    <row r="28808" spans="13:13">
      <c r="M28808" s="202"/>
    </row>
    <row r="28809" spans="13:13">
      <c r="M28809" s="202"/>
    </row>
    <row r="28810" spans="13:13">
      <c r="M28810" s="202"/>
    </row>
    <row r="28811" spans="13:13">
      <c r="M28811" s="202"/>
    </row>
    <row r="28812" spans="13:13">
      <c r="M28812" s="202"/>
    </row>
    <row r="28813" spans="13:13">
      <c r="M28813" s="202"/>
    </row>
    <row r="28814" spans="13:13">
      <c r="M28814" s="202"/>
    </row>
    <row r="28815" spans="13:13">
      <c r="M28815" s="202"/>
    </row>
    <row r="28816" spans="13:13">
      <c r="M28816" s="202"/>
    </row>
    <row r="28817" spans="13:13">
      <c r="M28817" s="202"/>
    </row>
    <row r="28818" spans="13:13">
      <c r="M28818" s="202"/>
    </row>
    <row r="28819" spans="13:13">
      <c r="M28819" s="202"/>
    </row>
    <row r="28820" spans="13:13">
      <c r="M28820" s="202"/>
    </row>
    <row r="28821" spans="13:13">
      <c r="M28821" s="202"/>
    </row>
    <row r="28822" spans="13:13">
      <c r="M28822" s="202"/>
    </row>
    <row r="28823" spans="13:13">
      <c r="M28823" s="202"/>
    </row>
    <row r="28824" spans="13:13">
      <c r="M28824" s="202"/>
    </row>
    <row r="28825" spans="13:13">
      <c r="M28825" s="202"/>
    </row>
    <row r="28826" spans="13:13">
      <c r="M28826" s="202"/>
    </row>
    <row r="28827" spans="13:13">
      <c r="M28827" s="202"/>
    </row>
    <row r="28828" spans="13:13">
      <c r="M28828" s="202"/>
    </row>
    <row r="28829" spans="13:13">
      <c r="M28829" s="202"/>
    </row>
    <row r="28830" spans="13:13">
      <c r="M28830" s="202"/>
    </row>
    <row r="28831" spans="13:13">
      <c r="M28831" s="202"/>
    </row>
    <row r="28832" spans="13:13">
      <c r="M28832" s="202"/>
    </row>
    <row r="28833" spans="13:13">
      <c r="M28833" s="202"/>
    </row>
    <row r="28834" spans="13:13">
      <c r="M28834" s="202"/>
    </row>
    <row r="28835" spans="13:13">
      <c r="M28835" s="202"/>
    </row>
    <row r="28836" spans="13:13">
      <c r="M28836" s="202"/>
    </row>
    <row r="28837" spans="13:13">
      <c r="M28837" s="202"/>
    </row>
    <row r="28838" spans="13:13">
      <c r="M28838" s="202"/>
    </row>
    <row r="28839" spans="13:13">
      <c r="M28839" s="202"/>
    </row>
    <row r="28840" spans="13:13">
      <c r="M28840" s="202"/>
    </row>
    <row r="28841" spans="13:13">
      <c r="M28841" s="202"/>
    </row>
    <row r="28842" spans="13:13">
      <c r="M28842" s="202"/>
    </row>
    <row r="28843" spans="13:13">
      <c r="M28843" s="202"/>
    </row>
    <row r="28844" spans="13:13">
      <c r="M28844" s="202"/>
    </row>
    <row r="28845" spans="13:13">
      <c r="M28845" s="202"/>
    </row>
    <row r="28846" spans="13:13">
      <c r="M28846" s="202"/>
    </row>
    <row r="28847" spans="13:13">
      <c r="M28847" s="202"/>
    </row>
    <row r="28848" spans="13:13">
      <c r="M28848" s="202"/>
    </row>
    <row r="28849" spans="13:13">
      <c r="M28849" s="202"/>
    </row>
    <row r="28850" spans="13:13">
      <c r="M28850" s="202"/>
    </row>
    <row r="28851" spans="13:13">
      <c r="M28851" s="202"/>
    </row>
    <row r="28852" spans="13:13">
      <c r="M28852" s="202"/>
    </row>
    <row r="28853" spans="13:13">
      <c r="M28853" s="202"/>
    </row>
    <row r="28854" spans="13:13">
      <c r="M28854" s="202"/>
    </row>
    <row r="28855" spans="13:13">
      <c r="M28855" s="202"/>
    </row>
    <row r="28856" spans="13:13">
      <c r="M28856" s="202"/>
    </row>
    <row r="28857" spans="13:13">
      <c r="M28857" s="202"/>
    </row>
    <row r="28858" spans="13:13">
      <c r="M28858" s="202"/>
    </row>
    <row r="28859" spans="13:13">
      <c r="M28859" s="202"/>
    </row>
    <row r="28860" spans="13:13">
      <c r="M28860" s="202"/>
    </row>
    <row r="28861" spans="13:13">
      <c r="M28861" s="202"/>
    </row>
    <row r="28862" spans="13:13">
      <c r="M28862" s="202"/>
    </row>
    <row r="28863" spans="13:13">
      <c r="M28863" s="202"/>
    </row>
    <row r="28864" spans="13:13">
      <c r="M28864" s="202"/>
    </row>
    <row r="28865" spans="13:13">
      <c r="M28865" s="202"/>
    </row>
    <row r="28866" spans="13:13">
      <c r="M28866" s="202"/>
    </row>
    <row r="28867" spans="13:13">
      <c r="M28867" s="202"/>
    </row>
    <row r="28868" spans="13:13">
      <c r="M28868" s="202"/>
    </row>
    <row r="28869" spans="13:13">
      <c r="M28869" s="202"/>
    </row>
    <row r="28870" spans="13:13">
      <c r="M28870" s="202"/>
    </row>
    <row r="28871" spans="13:13">
      <c r="M28871" s="202"/>
    </row>
    <row r="28872" spans="13:13">
      <c r="M28872" s="202"/>
    </row>
    <row r="28873" spans="13:13">
      <c r="M28873" s="202"/>
    </row>
    <row r="28874" spans="13:13">
      <c r="M28874" s="202"/>
    </row>
    <row r="28875" spans="13:13">
      <c r="M28875" s="202"/>
    </row>
    <row r="28876" spans="13:13">
      <c r="M28876" s="202"/>
    </row>
    <row r="28877" spans="13:13">
      <c r="M28877" s="202"/>
    </row>
    <row r="28878" spans="13:13">
      <c r="M28878" s="202"/>
    </row>
    <row r="28879" spans="13:13">
      <c r="M28879" s="202"/>
    </row>
    <row r="28880" spans="13:13">
      <c r="M28880" s="202"/>
    </row>
    <row r="28881" spans="13:13">
      <c r="M28881" s="202"/>
    </row>
    <row r="28882" spans="13:13">
      <c r="M28882" s="202"/>
    </row>
    <row r="28883" spans="13:13">
      <c r="M28883" s="202"/>
    </row>
    <row r="28884" spans="13:13">
      <c r="M28884" s="202"/>
    </row>
    <row r="28885" spans="13:13">
      <c r="M28885" s="202"/>
    </row>
    <row r="28886" spans="13:13">
      <c r="M28886" s="202"/>
    </row>
    <row r="28887" spans="13:13">
      <c r="M28887" s="202"/>
    </row>
    <row r="28888" spans="13:13">
      <c r="M28888" s="202"/>
    </row>
    <row r="28889" spans="13:13">
      <c r="M28889" s="202"/>
    </row>
    <row r="28890" spans="13:13">
      <c r="M28890" s="202"/>
    </row>
    <row r="28891" spans="13:13">
      <c r="M28891" s="202"/>
    </row>
    <row r="28892" spans="13:13">
      <c r="M28892" s="202"/>
    </row>
    <row r="28893" spans="13:13">
      <c r="M28893" s="202"/>
    </row>
    <row r="28894" spans="13:13">
      <c r="M28894" s="202"/>
    </row>
    <row r="28895" spans="13:13">
      <c r="M28895" s="202"/>
    </row>
    <row r="28896" spans="13:13">
      <c r="M28896" s="202"/>
    </row>
    <row r="28897" spans="13:13">
      <c r="M28897" s="202"/>
    </row>
    <row r="28898" spans="13:13">
      <c r="M28898" s="202"/>
    </row>
    <row r="28899" spans="13:13">
      <c r="M28899" s="202"/>
    </row>
    <row r="28900" spans="13:13">
      <c r="M28900" s="202"/>
    </row>
    <row r="28901" spans="13:13">
      <c r="M28901" s="202"/>
    </row>
    <row r="28902" spans="13:13">
      <c r="M28902" s="202"/>
    </row>
    <row r="28903" spans="13:13">
      <c r="M28903" s="202"/>
    </row>
    <row r="28904" spans="13:13">
      <c r="M28904" s="202"/>
    </row>
    <row r="28905" spans="13:13">
      <c r="M28905" s="202"/>
    </row>
    <row r="28906" spans="13:13">
      <c r="M28906" s="202"/>
    </row>
    <row r="28907" spans="13:13">
      <c r="M28907" s="202"/>
    </row>
    <row r="28908" spans="13:13">
      <c r="M28908" s="202"/>
    </row>
    <row r="28909" spans="13:13">
      <c r="M28909" s="202"/>
    </row>
    <row r="28910" spans="13:13">
      <c r="M28910" s="202"/>
    </row>
    <row r="28911" spans="13:13">
      <c r="M28911" s="202"/>
    </row>
    <row r="28912" spans="13:13">
      <c r="M28912" s="202"/>
    </row>
    <row r="28913" spans="13:13">
      <c r="M28913" s="202"/>
    </row>
    <row r="28914" spans="13:13">
      <c r="M28914" s="202"/>
    </row>
    <row r="28915" spans="13:13">
      <c r="M28915" s="202"/>
    </row>
    <row r="28916" spans="13:13">
      <c r="M28916" s="202"/>
    </row>
    <row r="28917" spans="13:13">
      <c r="M28917" s="202"/>
    </row>
    <row r="28918" spans="13:13">
      <c r="M28918" s="202"/>
    </row>
    <row r="28919" spans="13:13">
      <c r="M28919" s="202"/>
    </row>
    <row r="28920" spans="13:13">
      <c r="M28920" s="202"/>
    </row>
    <row r="28921" spans="13:13">
      <c r="M28921" s="202"/>
    </row>
    <row r="28922" spans="13:13">
      <c r="M28922" s="202"/>
    </row>
    <row r="28923" spans="13:13">
      <c r="M28923" s="202"/>
    </row>
    <row r="28924" spans="13:13">
      <c r="M28924" s="202"/>
    </row>
    <row r="28925" spans="13:13">
      <c r="M28925" s="202"/>
    </row>
    <row r="28926" spans="13:13">
      <c r="M28926" s="202"/>
    </row>
    <row r="28927" spans="13:13">
      <c r="M28927" s="202"/>
    </row>
    <row r="28928" spans="13:13">
      <c r="M28928" s="202"/>
    </row>
    <row r="28929" spans="13:13">
      <c r="M28929" s="202"/>
    </row>
    <row r="28930" spans="13:13">
      <c r="M28930" s="202"/>
    </row>
    <row r="28931" spans="13:13">
      <c r="M28931" s="202"/>
    </row>
    <row r="28932" spans="13:13">
      <c r="M28932" s="202"/>
    </row>
    <row r="28933" spans="13:13">
      <c r="M28933" s="202"/>
    </row>
    <row r="28934" spans="13:13">
      <c r="M28934" s="202"/>
    </row>
    <row r="28935" spans="13:13">
      <c r="M28935" s="202"/>
    </row>
    <row r="28936" spans="13:13">
      <c r="M28936" s="202"/>
    </row>
    <row r="28937" spans="13:13">
      <c r="M28937" s="202"/>
    </row>
    <row r="28938" spans="13:13">
      <c r="M28938" s="202"/>
    </row>
    <row r="28939" spans="13:13">
      <c r="M28939" s="202"/>
    </row>
    <row r="28940" spans="13:13">
      <c r="M28940" s="202"/>
    </row>
    <row r="28941" spans="13:13">
      <c r="M28941" s="202"/>
    </row>
    <row r="28942" spans="13:13">
      <c r="M28942" s="202"/>
    </row>
    <row r="28943" spans="13:13">
      <c r="M28943" s="202"/>
    </row>
    <row r="28944" spans="13:13">
      <c r="M28944" s="202"/>
    </row>
    <row r="28945" spans="13:13">
      <c r="M28945" s="202"/>
    </row>
    <row r="28946" spans="13:13">
      <c r="M28946" s="202"/>
    </row>
    <row r="28947" spans="13:13">
      <c r="M28947" s="202"/>
    </row>
    <row r="28948" spans="13:13">
      <c r="M28948" s="202"/>
    </row>
    <row r="28949" spans="13:13">
      <c r="M28949" s="202"/>
    </row>
    <row r="28950" spans="13:13">
      <c r="M28950" s="202"/>
    </row>
    <row r="28951" spans="13:13">
      <c r="M28951" s="202"/>
    </row>
    <row r="28952" spans="13:13">
      <c r="M28952" s="202"/>
    </row>
    <row r="28953" spans="13:13">
      <c r="M28953" s="202"/>
    </row>
    <row r="28954" spans="13:13">
      <c r="M28954" s="202"/>
    </row>
    <row r="28955" spans="13:13">
      <c r="M28955" s="202"/>
    </row>
    <row r="28956" spans="13:13">
      <c r="M28956" s="202"/>
    </row>
    <row r="28957" spans="13:13">
      <c r="M28957" s="202"/>
    </row>
    <row r="28958" spans="13:13">
      <c r="M28958" s="202"/>
    </row>
    <row r="28959" spans="13:13">
      <c r="M28959" s="202"/>
    </row>
    <row r="28960" spans="13:13">
      <c r="M28960" s="202"/>
    </row>
    <row r="28961" spans="13:13">
      <c r="M28961" s="202"/>
    </row>
    <row r="28962" spans="13:13">
      <c r="M28962" s="202"/>
    </row>
    <row r="28963" spans="13:13">
      <c r="M28963" s="202"/>
    </row>
    <row r="28964" spans="13:13">
      <c r="M28964" s="202"/>
    </row>
    <row r="28965" spans="13:13">
      <c r="M28965" s="202"/>
    </row>
    <row r="28966" spans="13:13">
      <c r="M28966" s="202"/>
    </row>
    <row r="28967" spans="13:13">
      <c r="M28967" s="202"/>
    </row>
    <row r="28968" spans="13:13">
      <c r="M28968" s="202"/>
    </row>
    <row r="28969" spans="13:13">
      <c r="M28969" s="202"/>
    </row>
    <row r="28970" spans="13:13">
      <c r="M28970" s="202"/>
    </row>
    <row r="28971" spans="13:13">
      <c r="M28971" s="202"/>
    </row>
    <row r="28972" spans="13:13">
      <c r="M28972" s="202"/>
    </row>
    <row r="28973" spans="13:13">
      <c r="M28973" s="202"/>
    </row>
    <row r="28974" spans="13:13">
      <c r="M28974" s="202"/>
    </row>
    <row r="28975" spans="13:13">
      <c r="M28975" s="202"/>
    </row>
    <row r="28976" spans="13:13">
      <c r="M28976" s="202"/>
    </row>
    <row r="28977" spans="13:13">
      <c r="M28977" s="202"/>
    </row>
    <row r="28978" spans="13:13">
      <c r="M28978" s="202"/>
    </row>
    <row r="28979" spans="13:13">
      <c r="M28979" s="202"/>
    </row>
    <row r="28980" spans="13:13">
      <c r="M28980" s="202"/>
    </row>
    <row r="28981" spans="13:13">
      <c r="M28981" s="202"/>
    </row>
    <row r="28982" spans="13:13">
      <c r="M28982" s="202"/>
    </row>
    <row r="28983" spans="13:13">
      <c r="M28983" s="202"/>
    </row>
    <row r="28984" spans="13:13">
      <c r="M28984" s="202"/>
    </row>
    <row r="28985" spans="13:13">
      <c r="M28985" s="202"/>
    </row>
    <row r="28986" spans="13:13">
      <c r="M28986" s="202"/>
    </row>
    <row r="28987" spans="13:13">
      <c r="M28987" s="202"/>
    </row>
    <row r="28988" spans="13:13">
      <c r="M28988" s="202"/>
    </row>
    <row r="28989" spans="13:13">
      <c r="M28989" s="202"/>
    </row>
    <row r="28990" spans="13:13">
      <c r="M28990" s="202"/>
    </row>
    <row r="28991" spans="13:13">
      <c r="M28991" s="202"/>
    </row>
    <row r="28992" spans="13:13">
      <c r="M28992" s="202"/>
    </row>
    <row r="28993" spans="13:13">
      <c r="M28993" s="202"/>
    </row>
    <row r="28994" spans="13:13">
      <c r="M28994" s="202"/>
    </row>
    <row r="28995" spans="13:13">
      <c r="M28995" s="202"/>
    </row>
    <row r="28996" spans="13:13">
      <c r="M28996" s="202"/>
    </row>
    <row r="28997" spans="13:13">
      <c r="M28997" s="202"/>
    </row>
    <row r="28998" spans="13:13">
      <c r="M28998" s="202"/>
    </row>
    <row r="28999" spans="13:13">
      <c r="M28999" s="202"/>
    </row>
    <row r="29000" spans="13:13">
      <c r="M29000" s="202"/>
    </row>
    <row r="29001" spans="13:13">
      <c r="M29001" s="202"/>
    </row>
    <row r="29002" spans="13:13">
      <c r="M29002" s="202"/>
    </row>
    <row r="29003" spans="13:13">
      <c r="M29003" s="202"/>
    </row>
    <row r="29004" spans="13:13">
      <c r="M29004" s="202"/>
    </row>
    <row r="29005" spans="13:13">
      <c r="M29005" s="202"/>
    </row>
    <row r="29006" spans="13:13">
      <c r="M29006" s="202"/>
    </row>
    <row r="29007" spans="13:13">
      <c r="M29007" s="202"/>
    </row>
    <row r="29008" spans="13:13">
      <c r="M29008" s="202"/>
    </row>
    <row r="29009" spans="13:13">
      <c r="M29009" s="202"/>
    </row>
    <row r="29010" spans="13:13">
      <c r="M29010" s="202"/>
    </row>
    <row r="29011" spans="13:13">
      <c r="M29011" s="202"/>
    </row>
    <row r="29012" spans="13:13">
      <c r="M29012" s="202"/>
    </row>
    <row r="29013" spans="13:13">
      <c r="M29013" s="202"/>
    </row>
    <row r="29014" spans="13:13">
      <c r="M29014" s="202"/>
    </row>
    <row r="29015" spans="13:13">
      <c r="M29015" s="202"/>
    </row>
    <row r="29016" spans="13:13">
      <c r="M29016" s="202"/>
    </row>
    <row r="29017" spans="13:13">
      <c r="M29017" s="202"/>
    </row>
    <row r="29018" spans="13:13">
      <c r="M29018" s="202"/>
    </row>
    <row r="29019" spans="13:13">
      <c r="M29019" s="202"/>
    </row>
    <row r="29020" spans="13:13">
      <c r="M29020" s="202"/>
    </row>
    <row r="29021" spans="13:13">
      <c r="M29021" s="202"/>
    </row>
    <row r="29022" spans="13:13">
      <c r="M29022" s="202"/>
    </row>
    <row r="29023" spans="13:13">
      <c r="M29023" s="202"/>
    </row>
    <row r="29024" spans="13:13">
      <c r="M29024" s="202"/>
    </row>
    <row r="29025" spans="13:13">
      <c r="M29025" s="202"/>
    </row>
    <row r="29026" spans="13:13">
      <c r="M29026" s="202"/>
    </row>
    <row r="29027" spans="13:13">
      <c r="M29027" s="202"/>
    </row>
    <row r="29028" spans="13:13">
      <c r="M29028" s="202"/>
    </row>
    <row r="29029" spans="13:13">
      <c r="M29029" s="202"/>
    </row>
    <row r="29030" spans="13:13">
      <c r="M29030" s="202"/>
    </row>
    <row r="29031" spans="13:13">
      <c r="M29031" s="202"/>
    </row>
    <row r="29032" spans="13:13">
      <c r="M29032" s="202"/>
    </row>
    <row r="29033" spans="13:13">
      <c r="M29033" s="202"/>
    </row>
    <row r="29034" spans="13:13">
      <c r="M29034" s="202"/>
    </row>
    <row r="29035" spans="13:13">
      <c r="M29035" s="202"/>
    </row>
    <row r="29036" spans="13:13">
      <c r="M29036" s="202"/>
    </row>
    <row r="29037" spans="13:13">
      <c r="M29037" s="202"/>
    </row>
    <row r="29038" spans="13:13">
      <c r="M29038" s="202"/>
    </row>
    <row r="29039" spans="13:13">
      <c r="M29039" s="202"/>
    </row>
    <row r="29040" spans="13:13">
      <c r="M29040" s="202"/>
    </row>
    <row r="29041" spans="13:13">
      <c r="M29041" s="202"/>
    </row>
    <row r="29042" spans="13:13">
      <c r="M29042" s="202"/>
    </row>
    <row r="29043" spans="13:13">
      <c r="M29043" s="202"/>
    </row>
    <row r="29044" spans="13:13">
      <c r="M29044" s="202"/>
    </row>
    <row r="29045" spans="13:13">
      <c r="M29045" s="202"/>
    </row>
    <row r="29046" spans="13:13">
      <c r="M29046" s="202"/>
    </row>
    <row r="29047" spans="13:13">
      <c r="M29047" s="202"/>
    </row>
    <row r="29048" spans="13:13">
      <c r="M29048" s="202"/>
    </row>
    <row r="29049" spans="13:13">
      <c r="M29049" s="202"/>
    </row>
    <row r="29050" spans="13:13">
      <c r="M29050" s="202"/>
    </row>
    <row r="29051" spans="13:13">
      <c r="M29051" s="202"/>
    </row>
    <row r="29052" spans="13:13">
      <c r="M29052" s="202"/>
    </row>
    <row r="29053" spans="13:13">
      <c r="M29053" s="202"/>
    </row>
    <row r="29054" spans="13:13">
      <c r="M29054" s="202"/>
    </row>
    <row r="29055" spans="13:13">
      <c r="M29055" s="202"/>
    </row>
    <row r="29056" spans="13:13">
      <c r="M29056" s="202"/>
    </row>
    <row r="29057" spans="13:13">
      <c r="M29057" s="202"/>
    </row>
    <row r="29058" spans="13:13">
      <c r="M29058" s="202"/>
    </row>
    <row r="29059" spans="13:13">
      <c r="M29059" s="202"/>
    </row>
    <row r="29060" spans="13:13">
      <c r="M29060" s="202"/>
    </row>
    <row r="29061" spans="13:13">
      <c r="M29061" s="202"/>
    </row>
    <row r="29062" spans="13:13">
      <c r="M29062" s="202"/>
    </row>
    <row r="29063" spans="13:13">
      <c r="M29063" s="202"/>
    </row>
    <row r="29064" spans="13:13">
      <c r="M29064" s="202"/>
    </row>
    <row r="29065" spans="13:13">
      <c r="M29065" s="202"/>
    </row>
    <row r="29066" spans="13:13">
      <c r="M29066" s="202"/>
    </row>
    <row r="29067" spans="13:13">
      <c r="M29067" s="202"/>
    </row>
    <row r="29068" spans="13:13">
      <c r="M29068" s="202"/>
    </row>
    <row r="29069" spans="13:13">
      <c r="M29069" s="202"/>
    </row>
    <row r="29070" spans="13:13">
      <c r="M29070" s="202"/>
    </row>
    <row r="29071" spans="13:13">
      <c r="M29071" s="202"/>
    </row>
    <row r="29072" spans="13:13">
      <c r="M29072" s="202"/>
    </row>
    <row r="29073" spans="13:13">
      <c r="M29073" s="202"/>
    </row>
    <row r="29074" spans="13:13">
      <c r="M29074" s="202"/>
    </row>
    <row r="29075" spans="13:13">
      <c r="M29075" s="202"/>
    </row>
    <row r="29076" spans="13:13">
      <c r="M29076" s="202"/>
    </row>
    <row r="29077" spans="13:13">
      <c r="M29077" s="202"/>
    </row>
    <row r="29078" spans="13:13">
      <c r="M29078" s="202"/>
    </row>
    <row r="29079" spans="13:13">
      <c r="M29079" s="202"/>
    </row>
    <row r="29080" spans="13:13">
      <c r="M29080" s="202"/>
    </row>
    <row r="29081" spans="13:13">
      <c r="M29081" s="202"/>
    </row>
    <row r="29082" spans="13:13">
      <c r="M29082" s="202"/>
    </row>
    <row r="29083" spans="13:13">
      <c r="M29083" s="202"/>
    </row>
    <row r="29084" spans="13:13">
      <c r="M29084" s="202"/>
    </row>
    <row r="29085" spans="13:13">
      <c r="M29085" s="202"/>
    </row>
    <row r="29086" spans="13:13">
      <c r="M29086" s="202"/>
    </row>
    <row r="29087" spans="13:13">
      <c r="M29087" s="202"/>
    </row>
    <row r="29088" spans="13:13">
      <c r="M29088" s="202"/>
    </row>
    <row r="29089" spans="13:13">
      <c r="M29089" s="202"/>
    </row>
    <row r="29090" spans="13:13">
      <c r="M29090" s="202"/>
    </row>
    <row r="29091" spans="13:13">
      <c r="M29091" s="202"/>
    </row>
    <row r="29092" spans="13:13">
      <c r="M29092" s="202"/>
    </row>
    <row r="29093" spans="13:13">
      <c r="M29093" s="202"/>
    </row>
    <row r="29094" spans="13:13">
      <c r="M29094" s="202"/>
    </row>
    <row r="29095" spans="13:13">
      <c r="M29095" s="202"/>
    </row>
    <row r="29096" spans="13:13">
      <c r="M29096" s="202"/>
    </row>
    <row r="29097" spans="13:13">
      <c r="M29097" s="202"/>
    </row>
    <row r="29098" spans="13:13">
      <c r="M29098" s="202"/>
    </row>
    <row r="29099" spans="13:13">
      <c r="M29099" s="202"/>
    </row>
    <row r="29100" spans="13:13">
      <c r="M29100" s="202"/>
    </row>
    <row r="29101" spans="13:13">
      <c r="M29101" s="202"/>
    </row>
    <row r="29102" spans="13:13">
      <c r="M29102" s="202"/>
    </row>
    <row r="29103" spans="13:13">
      <c r="M29103" s="202"/>
    </row>
    <row r="29104" spans="13:13">
      <c r="M29104" s="202"/>
    </row>
    <row r="29105" spans="13:13">
      <c r="M29105" s="202"/>
    </row>
    <row r="29106" spans="13:13">
      <c r="M29106" s="202"/>
    </row>
    <row r="29107" spans="13:13">
      <c r="M29107" s="202"/>
    </row>
    <row r="29108" spans="13:13">
      <c r="M29108" s="202"/>
    </row>
    <row r="29109" spans="13:13">
      <c r="M29109" s="202"/>
    </row>
    <row r="29110" spans="13:13">
      <c r="M29110" s="202"/>
    </row>
    <row r="29111" spans="13:13">
      <c r="M29111" s="202"/>
    </row>
    <row r="29112" spans="13:13">
      <c r="M29112" s="202"/>
    </row>
    <row r="29113" spans="13:13">
      <c r="M29113" s="202"/>
    </row>
    <row r="29114" spans="13:13">
      <c r="M29114" s="202"/>
    </row>
    <row r="29115" spans="13:13">
      <c r="M29115" s="202"/>
    </row>
    <row r="29116" spans="13:13">
      <c r="M29116" s="202"/>
    </row>
    <row r="29117" spans="13:13">
      <c r="M29117" s="202"/>
    </row>
    <row r="29118" spans="13:13">
      <c r="M29118" s="202"/>
    </row>
    <row r="29119" spans="13:13">
      <c r="M29119" s="202"/>
    </row>
    <row r="29120" spans="13:13">
      <c r="M29120" s="202"/>
    </row>
    <row r="29121" spans="13:13">
      <c r="M29121" s="202"/>
    </row>
    <row r="29122" spans="13:13">
      <c r="M29122" s="202"/>
    </row>
    <row r="29123" spans="13:13">
      <c r="M29123" s="202"/>
    </row>
    <row r="29124" spans="13:13">
      <c r="M29124" s="202"/>
    </row>
    <row r="29125" spans="13:13">
      <c r="M29125" s="202"/>
    </row>
    <row r="29126" spans="13:13">
      <c r="M29126" s="202"/>
    </row>
    <row r="29127" spans="13:13">
      <c r="M29127" s="202"/>
    </row>
    <row r="29128" spans="13:13">
      <c r="M29128" s="202"/>
    </row>
    <row r="29129" spans="13:13">
      <c r="M29129" s="202"/>
    </row>
    <row r="29130" spans="13:13">
      <c r="M29130" s="202"/>
    </row>
    <row r="29131" spans="13:13">
      <c r="M29131" s="202"/>
    </row>
    <row r="29132" spans="13:13">
      <c r="M29132" s="202"/>
    </row>
    <row r="29133" spans="13:13">
      <c r="M29133" s="202"/>
    </row>
    <row r="29134" spans="13:13">
      <c r="M29134" s="202"/>
    </row>
    <row r="29135" spans="13:13">
      <c r="M29135" s="202"/>
    </row>
    <row r="29136" spans="13:13">
      <c r="M29136" s="202"/>
    </row>
    <row r="29137" spans="13:13">
      <c r="M29137" s="202"/>
    </row>
    <row r="29138" spans="13:13">
      <c r="M29138" s="202"/>
    </row>
    <row r="29139" spans="13:13">
      <c r="M29139" s="202"/>
    </row>
    <row r="29140" spans="13:13">
      <c r="M29140" s="202"/>
    </row>
    <row r="29141" spans="13:13">
      <c r="M29141" s="202"/>
    </row>
    <row r="29142" spans="13:13">
      <c r="M29142" s="202"/>
    </row>
    <row r="29143" spans="13:13">
      <c r="M29143" s="202"/>
    </row>
    <row r="29144" spans="13:13">
      <c r="M29144" s="202"/>
    </row>
    <row r="29145" spans="13:13">
      <c r="M29145" s="202"/>
    </row>
    <row r="29146" spans="13:13">
      <c r="M29146" s="202"/>
    </row>
    <row r="29147" spans="13:13">
      <c r="M29147" s="202"/>
    </row>
    <row r="29148" spans="13:13">
      <c r="M29148" s="202"/>
    </row>
    <row r="29149" spans="13:13">
      <c r="M29149" s="202"/>
    </row>
    <row r="29150" spans="13:13">
      <c r="M29150" s="202"/>
    </row>
    <row r="29151" spans="13:13">
      <c r="M29151" s="202"/>
    </row>
    <row r="29152" spans="13:13">
      <c r="M29152" s="202"/>
    </row>
    <row r="29153" spans="13:13">
      <c r="M29153" s="202"/>
    </row>
    <row r="29154" spans="13:13">
      <c r="M29154" s="202"/>
    </row>
    <row r="29155" spans="13:13">
      <c r="M29155" s="202"/>
    </row>
    <row r="29156" spans="13:13">
      <c r="M29156" s="202"/>
    </row>
    <row r="29157" spans="13:13">
      <c r="M29157" s="202"/>
    </row>
    <row r="29158" spans="13:13">
      <c r="M29158" s="202"/>
    </row>
    <row r="29159" spans="13:13">
      <c r="M29159" s="202"/>
    </row>
    <row r="29160" spans="13:13">
      <c r="M29160" s="202"/>
    </row>
    <row r="29161" spans="13:13">
      <c r="M29161" s="202"/>
    </row>
    <row r="29162" spans="13:13">
      <c r="M29162" s="202"/>
    </row>
    <row r="29163" spans="13:13">
      <c r="M29163" s="202"/>
    </row>
    <row r="29164" spans="13:13">
      <c r="M29164" s="202"/>
    </row>
    <row r="29165" spans="13:13">
      <c r="M29165" s="202"/>
    </row>
    <row r="29166" spans="13:13">
      <c r="M29166" s="202"/>
    </row>
    <row r="29167" spans="13:13">
      <c r="M29167" s="202"/>
    </row>
    <row r="29168" spans="13:13">
      <c r="M29168" s="202"/>
    </row>
    <row r="29169" spans="13:13">
      <c r="M29169" s="202"/>
    </row>
    <row r="29170" spans="13:13">
      <c r="M29170" s="202"/>
    </row>
    <row r="29171" spans="13:13">
      <c r="M29171" s="202"/>
    </row>
    <row r="29172" spans="13:13">
      <c r="M29172" s="202"/>
    </row>
    <row r="29173" spans="13:13">
      <c r="M29173" s="202"/>
    </row>
    <row r="29174" spans="13:13">
      <c r="M29174" s="202"/>
    </row>
    <row r="29175" spans="13:13">
      <c r="M29175" s="202"/>
    </row>
    <row r="29176" spans="13:13">
      <c r="M29176" s="202"/>
    </row>
    <row r="29177" spans="13:13">
      <c r="M29177" s="202"/>
    </row>
    <row r="29178" spans="13:13">
      <c r="M29178" s="202"/>
    </row>
    <row r="29179" spans="13:13">
      <c r="M29179" s="202"/>
    </row>
    <row r="29180" spans="13:13">
      <c r="M29180" s="202"/>
    </row>
    <row r="29181" spans="13:13">
      <c r="M29181" s="202"/>
    </row>
    <row r="29182" spans="13:13">
      <c r="M29182" s="202"/>
    </row>
    <row r="29183" spans="13:13">
      <c r="M29183" s="202"/>
    </row>
    <row r="29184" spans="13:13">
      <c r="M29184" s="202"/>
    </row>
    <row r="29185" spans="13:13">
      <c r="M29185" s="202"/>
    </row>
    <row r="29186" spans="13:13">
      <c r="M29186" s="202"/>
    </row>
    <row r="29187" spans="13:13">
      <c r="M29187" s="202"/>
    </row>
    <row r="29188" spans="13:13">
      <c r="M29188" s="202"/>
    </row>
    <row r="29189" spans="13:13">
      <c r="M29189" s="202"/>
    </row>
    <row r="29190" spans="13:13">
      <c r="M29190" s="202"/>
    </row>
    <row r="29191" spans="13:13">
      <c r="M29191" s="202"/>
    </row>
    <row r="29192" spans="13:13">
      <c r="M29192" s="202"/>
    </row>
    <row r="29193" spans="13:13">
      <c r="M29193" s="202"/>
    </row>
    <row r="29194" spans="13:13">
      <c r="M29194" s="202"/>
    </row>
    <row r="29195" spans="13:13">
      <c r="M29195" s="202"/>
    </row>
    <row r="29196" spans="13:13">
      <c r="M29196" s="202"/>
    </row>
    <row r="29197" spans="13:13">
      <c r="M29197" s="202"/>
    </row>
    <row r="29198" spans="13:13">
      <c r="M29198" s="202"/>
    </row>
    <row r="29199" spans="13:13">
      <c r="M29199" s="202"/>
    </row>
    <row r="29200" spans="13:13">
      <c r="M29200" s="202"/>
    </row>
    <row r="29201" spans="13:13">
      <c r="M29201" s="202"/>
    </row>
    <row r="29202" spans="13:13">
      <c r="M29202" s="202"/>
    </row>
    <row r="29203" spans="13:13">
      <c r="M29203" s="202"/>
    </row>
    <row r="29204" spans="13:13">
      <c r="M29204" s="202"/>
    </row>
    <row r="29205" spans="13:13">
      <c r="M29205" s="202"/>
    </row>
    <row r="29206" spans="13:13">
      <c r="M29206" s="202"/>
    </row>
    <row r="29207" spans="13:13">
      <c r="M29207" s="202"/>
    </row>
    <row r="29208" spans="13:13">
      <c r="M29208" s="202"/>
    </row>
    <row r="29209" spans="13:13">
      <c r="M29209" s="202"/>
    </row>
    <row r="29210" spans="13:13">
      <c r="M29210" s="202"/>
    </row>
    <row r="29211" spans="13:13">
      <c r="M29211" s="202"/>
    </row>
    <row r="29212" spans="13:13">
      <c r="M29212" s="202"/>
    </row>
    <row r="29213" spans="13:13">
      <c r="M29213" s="202"/>
    </row>
    <row r="29214" spans="13:13">
      <c r="M29214" s="202"/>
    </row>
    <row r="29215" spans="13:13">
      <c r="M29215" s="202"/>
    </row>
    <row r="29216" spans="13:13">
      <c r="M29216" s="202"/>
    </row>
    <row r="29217" spans="13:13">
      <c r="M29217" s="202"/>
    </row>
    <row r="29218" spans="13:13">
      <c r="M29218" s="202"/>
    </row>
    <row r="29219" spans="13:13">
      <c r="M29219" s="202"/>
    </row>
    <row r="29220" spans="13:13">
      <c r="M29220" s="202"/>
    </row>
    <row r="29221" spans="13:13">
      <c r="M29221" s="202"/>
    </row>
    <row r="29222" spans="13:13">
      <c r="M29222" s="202"/>
    </row>
    <row r="29223" spans="13:13">
      <c r="M29223" s="202"/>
    </row>
    <row r="29224" spans="13:13">
      <c r="M29224" s="202"/>
    </row>
    <row r="29225" spans="13:13">
      <c r="M29225" s="202"/>
    </row>
    <row r="29226" spans="13:13">
      <c r="M29226" s="202"/>
    </row>
    <row r="29227" spans="13:13">
      <c r="M29227" s="202"/>
    </row>
    <row r="29228" spans="13:13">
      <c r="M29228" s="202"/>
    </row>
    <row r="29229" spans="13:13">
      <c r="M29229" s="202"/>
    </row>
    <row r="29230" spans="13:13">
      <c r="M29230" s="202"/>
    </row>
    <row r="29231" spans="13:13">
      <c r="M29231" s="202"/>
    </row>
    <row r="29232" spans="13:13">
      <c r="M29232" s="202"/>
    </row>
    <row r="29233" spans="13:13">
      <c r="M29233" s="202"/>
    </row>
    <row r="29234" spans="13:13">
      <c r="M29234" s="202"/>
    </row>
    <row r="29235" spans="13:13">
      <c r="M29235" s="202"/>
    </row>
    <row r="29236" spans="13:13">
      <c r="M29236" s="202"/>
    </row>
    <row r="29237" spans="13:13">
      <c r="M29237" s="202"/>
    </row>
    <row r="29238" spans="13:13">
      <c r="M29238" s="202"/>
    </row>
    <row r="29239" spans="13:13">
      <c r="M29239" s="202"/>
    </row>
    <row r="29240" spans="13:13">
      <c r="M29240" s="202"/>
    </row>
    <row r="29241" spans="13:13">
      <c r="M29241" s="202"/>
    </row>
    <row r="29242" spans="13:13">
      <c r="M29242" s="202"/>
    </row>
    <row r="29243" spans="13:13">
      <c r="M29243" s="202"/>
    </row>
    <row r="29244" spans="13:13">
      <c r="M29244" s="202"/>
    </row>
    <row r="29245" spans="13:13">
      <c r="M29245" s="202"/>
    </row>
    <row r="29246" spans="13:13">
      <c r="M29246" s="202"/>
    </row>
    <row r="29247" spans="13:13">
      <c r="M29247" s="202"/>
    </row>
    <row r="29248" spans="13:13">
      <c r="M29248" s="202"/>
    </row>
    <row r="29249" spans="13:13">
      <c r="M29249" s="202"/>
    </row>
    <row r="29250" spans="13:13">
      <c r="M29250" s="202"/>
    </row>
    <row r="29251" spans="13:13">
      <c r="M29251" s="202"/>
    </row>
    <row r="29252" spans="13:13">
      <c r="M29252" s="202"/>
    </row>
    <row r="29253" spans="13:13">
      <c r="M29253" s="202"/>
    </row>
    <row r="29254" spans="13:13">
      <c r="M29254" s="202"/>
    </row>
    <row r="29255" spans="13:13">
      <c r="M29255" s="202"/>
    </row>
    <row r="29256" spans="13:13">
      <c r="M29256" s="202"/>
    </row>
    <row r="29257" spans="13:13">
      <c r="M29257" s="202"/>
    </row>
    <row r="29258" spans="13:13">
      <c r="M29258" s="202"/>
    </row>
    <row r="29259" spans="13:13">
      <c r="M29259" s="202"/>
    </row>
    <row r="29260" spans="13:13">
      <c r="M29260" s="202"/>
    </row>
    <row r="29261" spans="13:13">
      <c r="M29261" s="202"/>
    </row>
    <row r="29262" spans="13:13">
      <c r="M29262" s="202"/>
    </row>
    <row r="29263" spans="13:13">
      <c r="M29263" s="202"/>
    </row>
    <row r="29264" spans="13:13">
      <c r="M29264" s="202"/>
    </row>
    <row r="29265" spans="13:13">
      <c r="M29265" s="202"/>
    </row>
    <row r="29266" spans="13:13">
      <c r="M29266" s="202"/>
    </row>
    <row r="29267" spans="13:13">
      <c r="M29267" s="202"/>
    </row>
    <row r="29268" spans="13:13">
      <c r="M29268" s="202"/>
    </row>
    <row r="29269" spans="13:13">
      <c r="M29269" s="202"/>
    </row>
    <row r="29270" spans="13:13">
      <c r="M29270" s="202"/>
    </row>
    <row r="29271" spans="13:13">
      <c r="M29271" s="202"/>
    </row>
    <row r="29272" spans="13:13">
      <c r="M29272" s="202"/>
    </row>
    <row r="29273" spans="13:13">
      <c r="M29273" s="202"/>
    </row>
    <row r="29274" spans="13:13">
      <c r="M29274" s="202"/>
    </row>
    <row r="29275" spans="13:13">
      <c r="M29275" s="202"/>
    </row>
    <row r="29276" spans="13:13">
      <c r="M29276" s="202"/>
    </row>
    <row r="29277" spans="13:13">
      <c r="M29277" s="202"/>
    </row>
    <row r="29278" spans="13:13">
      <c r="M29278" s="202"/>
    </row>
    <row r="29279" spans="13:13">
      <c r="M29279" s="202"/>
    </row>
    <row r="29280" spans="13:13">
      <c r="M29280" s="202"/>
    </row>
    <row r="29281" spans="13:13">
      <c r="M29281" s="202"/>
    </row>
    <row r="29282" spans="13:13">
      <c r="M29282" s="202"/>
    </row>
    <row r="29283" spans="13:13">
      <c r="M29283" s="202"/>
    </row>
    <row r="29284" spans="13:13">
      <c r="M29284" s="202"/>
    </row>
    <row r="29285" spans="13:13">
      <c r="M29285" s="202"/>
    </row>
    <row r="29286" spans="13:13">
      <c r="M29286" s="202"/>
    </row>
    <row r="29287" spans="13:13">
      <c r="M29287" s="202"/>
    </row>
    <row r="29288" spans="13:13">
      <c r="M29288" s="202"/>
    </row>
    <row r="29289" spans="13:13">
      <c r="M29289" s="202"/>
    </row>
    <row r="29290" spans="13:13">
      <c r="M29290" s="202"/>
    </row>
    <row r="29291" spans="13:13">
      <c r="M29291" s="202"/>
    </row>
    <row r="29292" spans="13:13">
      <c r="M29292" s="202"/>
    </row>
    <row r="29293" spans="13:13">
      <c r="M29293" s="202"/>
    </row>
    <row r="29294" spans="13:13">
      <c r="M29294" s="202"/>
    </row>
    <row r="29295" spans="13:13">
      <c r="M29295" s="202"/>
    </row>
    <row r="29296" spans="13:13">
      <c r="M29296" s="202"/>
    </row>
    <row r="29297" spans="13:13">
      <c r="M29297" s="202"/>
    </row>
    <row r="29298" spans="13:13">
      <c r="M29298" s="202"/>
    </row>
    <row r="29299" spans="13:13">
      <c r="M29299" s="202"/>
    </row>
    <row r="29300" spans="13:13">
      <c r="M29300" s="202"/>
    </row>
    <row r="29301" spans="13:13">
      <c r="M29301" s="202"/>
    </row>
    <row r="29302" spans="13:13">
      <c r="M29302" s="202"/>
    </row>
    <row r="29303" spans="13:13">
      <c r="M29303" s="202"/>
    </row>
    <row r="29304" spans="13:13">
      <c r="M29304" s="202"/>
    </row>
    <row r="29305" spans="13:13">
      <c r="M29305" s="202"/>
    </row>
    <row r="29306" spans="13:13">
      <c r="M29306" s="202"/>
    </row>
    <row r="29307" spans="13:13">
      <c r="M29307" s="202"/>
    </row>
    <row r="29308" spans="13:13">
      <c r="M29308" s="202"/>
    </row>
    <row r="29309" spans="13:13">
      <c r="M29309" s="202"/>
    </row>
    <row r="29310" spans="13:13">
      <c r="M29310" s="202"/>
    </row>
    <row r="29311" spans="13:13">
      <c r="M29311" s="202"/>
    </row>
    <row r="29312" spans="13:13">
      <c r="M29312" s="202"/>
    </row>
    <row r="29313" spans="13:13">
      <c r="M29313" s="202"/>
    </row>
    <row r="29314" spans="13:13">
      <c r="M29314" s="202"/>
    </row>
    <row r="29315" spans="13:13">
      <c r="M29315" s="202"/>
    </row>
    <row r="29316" spans="13:13">
      <c r="M29316" s="202"/>
    </row>
    <row r="29317" spans="13:13">
      <c r="M29317" s="202"/>
    </row>
    <row r="29318" spans="13:13">
      <c r="M29318" s="202"/>
    </row>
    <row r="29319" spans="13:13">
      <c r="M29319" s="202"/>
    </row>
    <row r="29320" spans="13:13">
      <c r="M29320" s="202"/>
    </row>
    <row r="29321" spans="13:13">
      <c r="M29321" s="202"/>
    </row>
    <row r="29322" spans="13:13">
      <c r="M29322" s="202"/>
    </row>
    <row r="29323" spans="13:13">
      <c r="M29323" s="202"/>
    </row>
    <row r="29324" spans="13:13">
      <c r="M29324" s="202"/>
    </row>
    <row r="29325" spans="13:13">
      <c r="M29325" s="202"/>
    </row>
    <row r="29326" spans="13:13">
      <c r="M29326" s="202"/>
    </row>
    <row r="29327" spans="13:13">
      <c r="M29327" s="202"/>
    </row>
    <row r="29328" spans="13:13">
      <c r="M29328" s="202"/>
    </row>
    <row r="29329" spans="13:13">
      <c r="M29329" s="202"/>
    </row>
    <row r="29330" spans="13:13">
      <c r="M29330" s="202"/>
    </row>
    <row r="29331" spans="13:13">
      <c r="M29331" s="202"/>
    </row>
    <row r="29332" spans="13:13">
      <c r="M29332" s="202"/>
    </row>
    <row r="29333" spans="13:13">
      <c r="M29333" s="202"/>
    </row>
    <row r="29334" spans="13:13">
      <c r="M29334" s="202"/>
    </row>
    <row r="29335" spans="13:13">
      <c r="M29335" s="202"/>
    </row>
    <row r="29336" spans="13:13">
      <c r="M29336" s="202"/>
    </row>
    <row r="29337" spans="13:13">
      <c r="M29337" s="202"/>
    </row>
    <row r="29338" spans="13:13">
      <c r="M29338" s="202"/>
    </row>
    <row r="29339" spans="13:13">
      <c r="M29339" s="202"/>
    </row>
    <row r="29340" spans="13:13">
      <c r="M29340" s="202"/>
    </row>
    <row r="29341" spans="13:13">
      <c r="M29341" s="202"/>
    </row>
    <row r="29342" spans="13:13">
      <c r="M29342" s="202"/>
    </row>
    <row r="29343" spans="13:13">
      <c r="M29343" s="202"/>
    </row>
    <row r="29344" spans="13:13">
      <c r="M29344" s="202"/>
    </row>
    <row r="29345" spans="13:13">
      <c r="M29345" s="202"/>
    </row>
    <row r="29346" spans="13:13">
      <c r="M29346" s="202"/>
    </row>
    <row r="29347" spans="13:13">
      <c r="M29347" s="202"/>
    </row>
    <row r="29348" spans="13:13">
      <c r="M29348" s="202"/>
    </row>
    <row r="29349" spans="13:13">
      <c r="M29349" s="202"/>
    </row>
    <row r="29350" spans="13:13">
      <c r="M29350" s="202"/>
    </row>
    <row r="29351" spans="13:13">
      <c r="M29351" s="202"/>
    </row>
    <row r="29352" spans="13:13">
      <c r="M29352" s="202"/>
    </row>
    <row r="29353" spans="13:13">
      <c r="M29353" s="202"/>
    </row>
    <row r="29354" spans="13:13">
      <c r="M29354" s="202"/>
    </row>
    <row r="29355" spans="13:13">
      <c r="M29355" s="202"/>
    </row>
    <row r="29356" spans="13:13">
      <c r="M29356" s="202"/>
    </row>
    <row r="29357" spans="13:13">
      <c r="M29357" s="202"/>
    </row>
    <row r="29358" spans="13:13">
      <c r="M29358" s="202"/>
    </row>
    <row r="29359" spans="13:13">
      <c r="M29359" s="202"/>
    </row>
    <row r="29360" spans="13:13">
      <c r="M29360" s="202"/>
    </row>
    <row r="29361" spans="13:13">
      <c r="M29361" s="202"/>
    </row>
    <row r="29362" spans="13:13">
      <c r="M29362" s="202"/>
    </row>
    <row r="29363" spans="13:13">
      <c r="M29363" s="202"/>
    </row>
    <row r="29364" spans="13:13">
      <c r="M29364" s="202"/>
    </row>
    <row r="29365" spans="13:13">
      <c r="M29365" s="202"/>
    </row>
    <row r="29366" spans="13:13">
      <c r="M29366" s="202"/>
    </row>
    <row r="29367" spans="13:13">
      <c r="M29367" s="202"/>
    </row>
    <row r="29368" spans="13:13">
      <c r="M29368" s="202"/>
    </row>
    <row r="29369" spans="13:13">
      <c r="M29369" s="202"/>
    </row>
    <row r="29370" spans="13:13">
      <c r="M29370" s="202"/>
    </row>
    <row r="29371" spans="13:13">
      <c r="M29371" s="202"/>
    </row>
    <row r="29372" spans="13:13">
      <c r="M29372" s="202"/>
    </row>
    <row r="29373" spans="13:13">
      <c r="M29373" s="202"/>
    </row>
    <row r="29374" spans="13:13">
      <c r="M29374" s="202"/>
    </row>
    <row r="29375" spans="13:13">
      <c r="M29375" s="202"/>
    </row>
    <row r="29376" spans="13:13">
      <c r="M29376" s="202"/>
    </row>
    <row r="29377" spans="13:13">
      <c r="M29377" s="202"/>
    </row>
    <row r="29378" spans="13:13">
      <c r="M29378" s="202"/>
    </row>
    <row r="29379" spans="13:13">
      <c r="M29379" s="202"/>
    </row>
    <row r="29380" spans="13:13">
      <c r="M29380" s="202"/>
    </row>
    <row r="29381" spans="13:13">
      <c r="M29381" s="202"/>
    </row>
    <row r="29382" spans="13:13">
      <c r="M29382" s="202"/>
    </row>
    <row r="29383" spans="13:13">
      <c r="M29383" s="202"/>
    </row>
    <row r="29384" spans="13:13">
      <c r="M29384" s="202"/>
    </row>
    <row r="29385" spans="13:13">
      <c r="M29385" s="202"/>
    </row>
    <row r="29386" spans="13:13">
      <c r="M29386" s="202"/>
    </row>
    <row r="29387" spans="13:13">
      <c r="M29387" s="202"/>
    </row>
    <row r="29388" spans="13:13">
      <c r="M29388" s="202"/>
    </row>
    <row r="29389" spans="13:13">
      <c r="M29389" s="202"/>
    </row>
    <row r="29390" spans="13:13">
      <c r="M29390" s="202"/>
    </row>
    <row r="29391" spans="13:13">
      <c r="M29391" s="202"/>
    </row>
    <row r="29392" spans="13:13">
      <c r="M29392" s="202"/>
    </row>
    <row r="29393" spans="13:13">
      <c r="M29393" s="202"/>
    </row>
    <row r="29394" spans="13:13">
      <c r="M29394" s="202"/>
    </row>
    <row r="29395" spans="13:13">
      <c r="M29395" s="202"/>
    </row>
    <row r="29396" spans="13:13">
      <c r="M29396" s="202"/>
    </row>
    <row r="29397" spans="13:13">
      <c r="M29397" s="202"/>
    </row>
    <row r="29398" spans="13:13">
      <c r="M29398" s="202"/>
    </row>
    <row r="29399" spans="13:13">
      <c r="M29399" s="202"/>
    </row>
    <row r="29400" spans="13:13">
      <c r="M29400" s="202"/>
    </row>
    <row r="29401" spans="13:13">
      <c r="M29401" s="202"/>
    </row>
    <row r="29402" spans="13:13">
      <c r="M29402" s="202"/>
    </row>
    <row r="29403" spans="13:13">
      <c r="M29403" s="202"/>
    </row>
    <row r="29404" spans="13:13">
      <c r="M29404" s="202"/>
    </row>
    <row r="29405" spans="13:13">
      <c r="M29405" s="202"/>
    </row>
    <row r="29406" spans="13:13">
      <c r="M29406" s="202"/>
    </row>
    <row r="29407" spans="13:13">
      <c r="M29407" s="202"/>
    </row>
    <row r="29408" spans="13:13">
      <c r="M29408" s="202"/>
    </row>
    <row r="29409" spans="13:13">
      <c r="M29409" s="202"/>
    </row>
    <row r="29410" spans="13:13">
      <c r="M29410" s="202"/>
    </row>
    <row r="29411" spans="13:13">
      <c r="M29411" s="202"/>
    </row>
    <row r="29412" spans="13:13">
      <c r="M29412" s="202"/>
    </row>
    <row r="29413" spans="13:13">
      <c r="M29413" s="202"/>
    </row>
    <row r="29414" spans="13:13">
      <c r="M29414" s="202"/>
    </row>
    <row r="29415" spans="13:13">
      <c r="M29415" s="202"/>
    </row>
    <row r="29416" spans="13:13">
      <c r="M29416" s="202"/>
    </row>
    <row r="29417" spans="13:13">
      <c r="M29417" s="202"/>
    </row>
    <row r="29418" spans="13:13">
      <c r="M29418" s="202"/>
    </row>
    <row r="29419" spans="13:13">
      <c r="M29419" s="202"/>
    </row>
    <row r="29420" spans="13:13">
      <c r="M29420" s="202"/>
    </row>
    <row r="29421" spans="13:13">
      <c r="M29421" s="202"/>
    </row>
    <row r="29422" spans="13:13">
      <c r="M29422" s="202"/>
    </row>
    <row r="29423" spans="13:13">
      <c r="M29423" s="202"/>
    </row>
    <row r="29424" spans="13:13">
      <c r="M29424" s="202"/>
    </row>
    <row r="29425" spans="13:13">
      <c r="M29425" s="202"/>
    </row>
    <row r="29426" spans="13:13">
      <c r="M29426" s="202"/>
    </row>
    <row r="29427" spans="13:13">
      <c r="M29427" s="202"/>
    </row>
    <row r="29428" spans="13:13">
      <c r="M29428" s="202"/>
    </row>
    <row r="29429" spans="13:13">
      <c r="M29429" s="202"/>
    </row>
    <row r="29430" spans="13:13">
      <c r="M29430" s="202"/>
    </row>
    <row r="29431" spans="13:13">
      <c r="M29431" s="202"/>
    </row>
    <row r="29432" spans="13:13">
      <c r="M29432" s="202"/>
    </row>
    <row r="29433" spans="13:13">
      <c r="M29433" s="202"/>
    </row>
    <row r="29434" spans="13:13">
      <c r="M29434" s="202"/>
    </row>
    <row r="29435" spans="13:13">
      <c r="M29435" s="202"/>
    </row>
    <row r="29436" spans="13:13">
      <c r="M29436" s="202"/>
    </row>
    <row r="29437" spans="13:13">
      <c r="M29437" s="202"/>
    </row>
    <row r="29438" spans="13:13">
      <c r="M29438" s="202"/>
    </row>
    <row r="29439" spans="13:13">
      <c r="M29439" s="202"/>
    </row>
    <row r="29440" spans="13:13">
      <c r="M29440" s="202"/>
    </row>
    <row r="29441" spans="13:13">
      <c r="M29441" s="202"/>
    </row>
    <row r="29442" spans="13:13">
      <c r="M29442" s="202"/>
    </row>
    <row r="29443" spans="13:13">
      <c r="M29443" s="202"/>
    </row>
    <row r="29444" spans="13:13">
      <c r="M29444" s="202"/>
    </row>
    <row r="29445" spans="13:13">
      <c r="M29445" s="202"/>
    </row>
    <row r="29446" spans="13:13">
      <c r="M29446" s="202"/>
    </row>
    <row r="29447" spans="13:13">
      <c r="M29447" s="202"/>
    </row>
    <row r="29448" spans="13:13">
      <c r="M29448" s="202"/>
    </row>
    <row r="29449" spans="13:13">
      <c r="M29449" s="202"/>
    </row>
    <row r="29450" spans="13:13">
      <c r="M29450" s="202"/>
    </row>
    <row r="29451" spans="13:13">
      <c r="M29451" s="202"/>
    </row>
    <row r="29452" spans="13:13">
      <c r="M29452" s="202"/>
    </row>
    <row r="29453" spans="13:13">
      <c r="M29453" s="202"/>
    </row>
    <row r="29454" spans="13:13">
      <c r="M29454" s="202"/>
    </row>
    <row r="29455" spans="13:13">
      <c r="M29455" s="202"/>
    </row>
    <row r="29456" spans="13:13">
      <c r="M29456" s="202"/>
    </row>
    <row r="29457" spans="13:13">
      <c r="M29457" s="202"/>
    </row>
    <row r="29458" spans="13:13">
      <c r="M29458" s="202"/>
    </row>
    <row r="29459" spans="13:13">
      <c r="M29459" s="202"/>
    </row>
    <row r="29460" spans="13:13">
      <c r="M29460" s="202"/>
    </row>
    <row r="29461" spans="13:13">
      <c r="M29461" s="202"/>
    </row>
    <row r="29462" spans="13:13">
      <c r="M29462" s="202"/>
    </row>
    <row r="29463" spans="13:13">
      <c r="M29463" s="202"/>
    </row>
    <row r="29464" spans="13:13">
      <c r="M29464" s="202"/>
    </row>
    <row r="29465" spans="13:13">
      <c r="M29465" s="202"/>
    </row>
    <row r="29466" spans="13:13">
      <c r="M29466" s="202"/>
    </row>
    <row r="29467" spans="13:13">
      <c r="M29467" s="202"/>
    </row>
    <row r="29468" spans="13:13">
      <c r="M29468" s="202"/>
    </row>
    <row r="29469" spans="13:13">
      <c r="M29469" s="202"/>
    </row>
    <row r="29470" spans="13:13">
      <c r="M29470" s="202"/>
    </row>
    <row r="29471" spans="13:13">
      <c r="M29471" s="202"/>
    </row>
    <row r="29472" spans="13:13">
      <c r="M29472" s="202"/>
    </row>
    <row r="29473" spans="13:13">
      <c r="M29473" s="202"/>
    </row>
    <row r="29474" spans="13:13">
      <c r="M29474" s="202"/>
    </row>
    <row r="29475" spans="13:13">
      <c r="M29475" s="202"/>
    </row>
    <row r="29476" spans="13:13">
      <c r="M29476" s="202"/>
    </row>
    <row r="29477" spans="13:13">
      <c r="M29477" s="202"/>
    </row>
    <row r="29478" spans="13:13">
      <c r="M29478" s="202"/>
    </row>
    <row r="29479" spans="13:13">
      <c r="M29479" s="202"/>
    </row>
    <row r="29480" spans="13:13">
      <c r="M29480" s="202"/>
    </row>
    <row r="29481" spans="13:13">
      <c r="M29481" s="202"/>
    </row>
    <row r="29482" spans="13:13">
      <c r="M29482" s="202"/>
    </row>
    <row r="29483" spans="13:13">
      <c r="M29483" s="202"/>
    </row>
    <row r="29484" spans="13:13">
      <c r="M29484" s="202"/>
    </row>
    <row r="29485" spans="13:13">
      <c r="M29485" s="202"/>
    </row>
    <row r="29486" spans="13:13">
      <c r="M29486" s="202"/>
    </row>
    <row r="29487" spans="13:13">
      <c r="M29487" s="202"/>
    </row>
    <row r="29488" spans="13:13">
      <c r="M29488" s="202"/>
    </row>
    <row r="29489" spans="13:13">
      <c r="M29489" s="202"/>
    </row>
    <row r="29490" spans="13:13">
      <c r="M29490" s="202"/>
    </row>
    <row r="29491" spans="13:13">
      <c r="M29491" s="202"/>
    </row>
    <row r="29492" spans="13:13">
      <c r="M29492" s="202"/>
    </row>
    <row r="29493" spans="13:13">
      <c r="M29493" s="202"/>
    </row>
    <row r="29494" spans="13:13">
      <c r="M29494" s="202"/>
    </row>
    <row r="29495" spans="13:13">
      <c r="M29495" s="202"/>
    </row>
    <row r="29496" spans="13:13">
      <c r="M29496" s="202"/>
    </row>
    <row r="29497" spans="13:13">
      <c r="M29497" s="202"/>
    </row>
    <row r="29498" spans="13:13">
      <c r="M29498" s="202"/>
    </row>
    <row r="29499" spans="13:13">
      <c r="M29499" s="202"/>
    </row>
    <row r="29500" spans="13:13">
      <c r="M29500" s="202"/>
    </row>
    <row r="29501" spans="13:13">
      <c r="M29501" s="202"/>
    </row>
    <row r="29502" spans="13:13">
      <c r="M29502" s="202"/>
    </row>
    <row r="29503" spans="13:13">
      <c r="M29503" s="202"/>
    </row>
    <row r="29504" spans="13:13">
      <c r="M29504" s="202"/>
    </row>
    <row r="29505" spans="13:13">
      <c r="M29505" s="202"/>
    </row>
    <row r="29506" spans="13:13">
      <c r="M29506" s="202"/>
    </row>
    <row r="29507" spans="13:13">
      <c r="M29507" s="202"/>
    </row>
    <row r="29508" spans="13:13">
      <c r="M29508" s="202"/>
    </row>
    <row r="29509" spans="13:13">
      <c r="M29509" s="202"/>
    </row>
    <row r="29510" spans="13:13">
      <c r="M29510" s="202"/>
    </row>
    <row r="29511" spans="13:13">
      <c r="M29511" s="202"/>
    </row>
    <row r="29512" spans="13:13">
      <c r="M29512" s="202"/>
    </row>
    <row r="29513" spans="13:13">
      <c r="M29513" s="202"/>
    </row>
    <row r="29514" spans="13:13">
      <c r="M29514" s="202"/>
    </row>
    <row r="29515" spans="13:13">
      <c r="M29515" s="202"/>
    </row>
    <row r="29516" spans="13:13">
      <c r="M29516" s="202"/>
    </row>
    <row r="29517" spans="13:13">
      <c r="M29517" s="202"/>
    </row>
    <row r="29518" spans="13:13">
      <c r="M29518" s="202"/>
    </row>
    <row r="29519" spans="13:13">
      <c r="M29519" s="202"/>
    </row>
    <row r="29520" spans="13:13">
      <c r="M29520" s="202"/>
    </row>
    <row r="29521" spans="13:13">
      <c r="M29521" s="202"/>
    </row>
    <row r="29522" spans="13:13">
      <c r="M29522" s="202"/>
    </row>
    <row r="29523" spans="13:13">
      <c r="M29523" s="202"/>
    </row>
    <row r="29524" spans="13:13">
      <c r="M29524" s="202"/>
    </row>
    <row r="29525" spans="13:13">
      <c r="M29525" s="202"/>
    </row>
    <row r="29526" spans="13:13">
      <c r="M29526" s="202"/>
    </row>
    <row r="29527" spans="13:13">
      <c r="M29527" s="202"/>
    </row>
    <row r="29528" spans="13:13">
      <c r="M29528" s="202"/>
    </row>
    <row r="29529" spans="13:13">
      <c r="M29529" s="202"/>
    </row>
    <row r="29530" spans="13:13">
      <c r="M29530" s="202"/>
    </row>
    <row r="29531" spans="13:13">
      <c r="M29531" s="202"/>
    </row>
    <row r="29532" spans="13:13">
      <c r="M29532" s="202"/>
    </row>
    <row r="29533" spans="13:13">
      <c r="M29533" s="202"/>
    </row>
    <row r="29534" spans="13:13">
      <c r="M29534" s="202"/>
    </row>
    <row r="29535" spans="13:13">
      <c r="M29535" s="202"/>
    </row>
    <row r="29536" spans="13:13">
      <c r="M29536" s="202"/>
    </row>
    <row r="29537" spans="13:13">
      <c r="M29537" s="202"/>
    </row>
    <row r="29538" spans="13:13">
      <c r="M29538" s="202"/>
    </row>
    <row r="29539" spans="13:13">
      <c r="M29539" s="202"/>
    </row>
    <row r="29540" spans="13:13">
      <c r="M29540" s="202"/>
    </row>
    <row r="29541" spans="13:13">
      <c r="M29541" s="202"/>
    </row>
    <row r="29542" spans="13:13">
      <c r="M29542" s="202"/>
    </row>
    <row r="29543" spans="13:13">
      <c r="M29543" s="202"/>
    </row>
    <row r="29544" spans="13:13">
      <c r="M29544" s="202"/>
    </row>
    <row r="29545" spans="13:13">
      <c r="M29545" s="202"/>
    </row>
    <row r="29546" spans="13:13">
      <c r="M29546" s="202"/>
    </row>
    <row r="29547" spans="13:13">
      <c r="M29547" s="202"/>
    </row>
    <row r="29548" spans="13:13">
      <c r="M29548" s="202"/>
    </row>
    <row r="29549" spans="13:13">
      <c r="M29549" s="202"/>
    </row>
    <row r="29550" spans="13:13">
      <c r="M29550" s="202"/>
    </row>
    <row r="29551" spans="13:13">
      <c r="M29551" s="202"/>
    </row>
    <row r="29552" spans="13:13">
      <c r="M29552" s="202"/>
    </row>
    <row r="29553" spans="13:13">
      <c r="M29553" s="202"/>
    </row>
    <row r="29554" spans="13:13">
      <c r="M29554" s="202"/>
    </row>
    <row r="29555" spans="13:13">
      <c r="M29555" s="202"/>
    </row>
    <row r="29556" spans="13:13">
      <c r="M29556" s="202"/>
    </row>
    <row r="29557" spans="13:13">
      <c r="M29557" s="202"/>
    </row>
    <row r="29558" spans="13:13">
      <c r="M29558" s="202"/>
    </row>
    <row r="29559" spans="13:13">
      <c r="M29559" s="202"/>
    </row>
    <row r="29560" spans="13:13">
      <c r="M29560" s="202"/>
    </row>
    <row r="29561" spans="13:13">
      <c r="M29561" s="202"/>
    </row>
    <row r="29562" spans="13:13">
      <c r="M29562" s="202"/>
    </row>
    <row r="29563" spans="13:13">
      <c r="M29563" s="202"/>
    </row>
    <row r="29564" spans="13:13">
      <c r="M29564" s="202"/>
    </row>
    <row r="29565" spans="13:13">
      <c r="M29565" s="202"/>
    </row>
    <row r="29566" spans="13:13">
      <c r="M29566" s="202"/>
    </row>
    <row r="29567" spans="13:13">
      <c r="M29567" s="202"/>
    </row>
    <row r="29568" spans="13:13">
      <c r="M29568" s="202"/>
    </row>
    <row r="29569" spans="13:13">
      <c r="M29569" s="202"/>
    </row>
    <row r="29570" spans="13:13">
      <c r="M29570" s="202"/>
    </row>
    <row r="29571" spans="13:13">
      <c r="M29571" s="202"/>
    </row>
    <row r="29572" spans="13:13">
      <c r="M29572" s="202"/>
    </row>
    <row r="29573" spans="13:13">
      <c r="M29573" s="202"/>
    </row>
    <row r="29574" spans="13:13">
      <c r="M29574" s="202"/>
    </row>
    <row r="29575" spans="13:13">
      <c r="M29575" s="202"/>
    </row>
    <row r="29576" spans="13:13">
      <c r="M29576" s="202"/>
    </row>
    <row r="29577" spans="13:13">
      <c r="M29577" s="202"/>
    </row>
    <row r="29578" spans="13:13">
      <c r="M29578" s="202"/>
    </row>
    <row r="29579" spans="13:13">
      <c r="M29579" s="202"/>
    </row>
    <row r="29580" spans="13:13">
      <c r="M29580" s="202"/>
    </row>
    <row r="29581" spans="13:13">
      <c r="M29581" s="202"/>
    </row>
    <row r="29582" spans="13:13">
      <c r="M29582" s="202"/>
    </row>
    <row r="29583" spans="13:13">
      <c r="M29583" s="202"/>
    </row>
    <row r="29584" spans="13:13">
      <c r="M29584" s="202"/>
    </row>
    <row r="29585" spans="13:13">
      <c r="M29585" s="202"/>
    </row>
    <row r="29586" spans="13:13">
      <c r="M29586" s="202"/>
    </row>
    <row r="29587" spans="13:13">
      <c r="M29587" s="202"/>
    </row>
    <row r="29588" spans="13:13">
      <c r="M29588" s="202"/>
    </row>
    <row r="29589" spans="13:13">
      <c r="M29589" s="202"/>
    </row>
    <row r="29590" spans="13:13">
      <c r="M29590" s="202"/>
    </row>
    <row r="29591" spans="13:13">
      <c r="M29591" s="202"/>
    </row>
    <row r="29592" spans="13:13">
      <c r="M29592" s="202"/>
    </row>
    <row r="29593" spans="13:13">
      <c r="M29593" s="202"/>
    </row>
    <row r="29594" spans="13:13">
      <c r="M29594" s="202"/>
    </row>
    <row r="29595" spans="13:13">
      <c r="M29595" s="202"/>
    </row>
    <row r="29596" spans="13:13">
      <c r="M29596" s="202"/>
    </row>
    <row r="29597" spans="13:13">
      <c r="M29597" s="202"/>
    </row>
    <row r="29598" spans="13:13">
      <c r="M29598" s="202"/>
    </row>
    <row r="29599" spans="13:13">
      <c r="M29599" s="202"/>
    </row>
    <row r="29600" spans="13:13">
      <c r="M29600" s="202"/>
    </row>
    <row r="29601" spans="13:13">
      <c r="M29601" s="202"/>
    </row>
    <row r="29602" spans="13:13">
      <c r="M29602" s="202"/>
    </row>
    <row r="29603" spans="13:13">
      <c r="M29603" s="202"/>
    </row>
    <row r="29604" spans="13:13">
      <c r="M29604" s="202"/>
    </row>
    <row r="29605" spans="13:13">
      <c r="M29605" s="202"/>
    </row>
    <row r="29606" spans="13:13">
      <c r="M29606" s="202"/>
    </row>
    <row r="29607" spans="13:13">
      <c r="M29607" s="202"/>
    </row>
    <row r="29608" spans="13:13">
      <c r="M29608" s="202"/>
    </row>
    <row r="29609" spans="13:13">
      <c r="M29609" s="202"/>
    </row>
    <row r="29610" spans="13:13">
      <c r="M29610" s="202"/>
    </row>
    <row r="29611" spans="13:13">
      <c r="M29611" s="202"/>
    </row>
    <row r="29612" spans="13:13">
      <c r="M29612" s="202"/>
    </row>
    <row r="29613" spans="13:13">
      <c r="M29613" s="202"/>
    </row>
    <row r="29614" spans="13:13">
      <c r="M29614" s="202"/>
    </row>
    <row r="29615" spans="13:13">
      <c r="M29615" s="202"/>
    </row>
    <row r="29616" spans="13:13">
      <c r="M29616" s="202"/>
    </row>
    <row r="29617" spans="13:13">
      <c r="M29617" s="202"/>
    </row>
    <row r="29618" spans="13:13">
      <c r="M29618" s="202"/>
    </row>
    <row r="29619" spans="13:13">
      <c r="M29619" s="202"/>
    </row>
    <row r="29620" spans="13:13">
      <c r="M29620" s="202"/>
    </row>
    <row r="29621" spans="13:13">
      <c r="M29621" s="202"/>
    </row>
    <row r="29622" spans="13:13">
      <c r="M29622" s="202"/>
    </row>
    <row r="29623" spans="13:13">
      <c r="M29623" s="202"/>
    </row>
    <row r="29624" spans="13:13">
      <c r="M29624" s="202"/>
    </row>
    <row r="29625" spans="13:13">
      <c r="M29625" s="202"/>
    </row>
    <row r="29626" spans="13:13">
      <c r="M29626" s="202"/>
    </row>
    <row r="29627" spans="13:13">
      <c r="M29627" s="202"/>
    </row>
    <row r="29628" spans="13:13">
      <c r="M29628" s="202"/>
    </row>
    <row r="29629" spans="13:13">
      <c r="M29629" s="202"/>
    </row>
    <row r="29630" spans="13:13">
      <c r="M29630" s="202"/>
    </row>
    <row r="29631" spans="13:13">
      <c r="M29631" s="202"/>
    </row>
    <row r="29632" spans="13:13">
      <c r="M29632" s="202"/>
    </row>
    <row r="29633" spans="13:13">
      <c r="M29633" s="202"/>
    </row>
    <row r="29634" spans="13:13">
      <c r="M29634" s="202"/>
    </row>
    <row r="29635" spans="13:13">
      <c r="M29635" s="202"/>
    </row>
    <row r="29636" spans="13:13">
      <c r="M29636" s="202"/>
    </row>
    <row r="29637" spans="13:13">
      <c r="M29637" s="202"/>
    </row>
    <row r="29638" spans="13:13">
      <c r="M29638" s="202"/>
    </row>
    <row r="29639" spans="13:13">
      <c r="M29639" s="202"/>
    </row>
    <row r="29640" spans="13:13">
      <c r="M29640" s="202"/>
    </row>
    <row r="29641" spans="13:13">
      <c r="M29641" s="202"/>
    </row>
    <row r="29642" spans="13:13">
      <c r="M29642" s="202"/>
    </row>
    <row r="29643" spans="13:13">
      <c r="M29643" s="202"/>
    </row>
    <row r="29644" spans="13:13">
      <c r="M29644" s="202"/>
    </row>
    <row r="29645" spans="13:13">
      <c r="M29645" s="202"/>
    </row>
    <row r="29646" spans="13:13">
      <c r="M29646" s="202"/>
    </row>
    <row r="29647" spans="13:13">
      <c r="M29647" s="202"/>
    </row>
    <row r="29648" spans="13:13">
      <c r="M29648" s="202"/>
    </row>
    <row r="29649" spans="13:13">
      <c r="M29649" s="202"/>
    </row>
    <row r="29650" spans="13:13">
      <c r="M29650" s="202"/>
    </row>
    <row r="29651" spans="13:13">
      <c r="M29651" s="202"/>
    </row>
    <row r="29652" spans="13:13">
      <c r="M29652" s="202"/>
    </row>
    <row r="29653" spans="13:13">
      <c r="M29653" s="202"/>
    </row>
    <row r="29654" spans="13:13">
      <c r="M29654" s="202"/>
    </row>
    <row r="29655" spans="13:13">
      <c r="M29655" s="202"/>
    </row>
    <row r="29656" spans="13:13">
      <c r="M29656" s="202"/>
    </row>
    <row r="29657" spans="13:13">
      <c r="M29657" s="202"/>
    </row>
    <row r="29658" spans="13:13">
      <c r="M29658" s="202"/>
    </row>
    <row r="29659" spans="13:13">
      <c r="M29659" s="202"/>
    </row>
    <row r="29660" spans="13:13">
      <c r="M29660" s="202"/>
    </row>
    <row r="29661" spans="13:13">
      <c r="M29661" s="202"/>
    </row>
    <row r="29662" spans="13:13">
      <c r="M29662" s="202"/>
    </row>
    <row r="29663" spans="13:13">
      <c r="M29663" s="202"/>
    </row>
    <row r="29664" spans="13:13">
      <c r="M29664" s="202"/>
    </row>
    <row r="29665" spans="13:13">
      <c r="M29665" s="202"/>
    </row>
    <row r="29666" spans="13:13">
      <c r="M29666" s="202"/>
    </row>
    <row r="29667" spans="13:13">
      <c r="M29667" s="202"/>
    </row>
    <row r="29668" spans="13:13">
      <c r="M29668" s="202"/>
    </row>
    <row r="29669" spans="13:13">
      <c r="M29669" s="202"/>
    </row>
    <row r="29670" spans="13:13">
      <c r="M29670" s="202"/>
    </row>
    <row r="29671" spans="13:13">
      <c r="M29671" s="202"/>
    </row>
    <row r="29672" spans="13:13">
      <c r="M29672" s="202"/>
    </row>
    <row r="29673" spans="13:13">
      <c r="M29673" s="202"/>
    </row>
    <row r="29674" spans="13:13">
      <c r="M29674" s="202"/>
    </row>
    <row r="29675" spans="13:13">
      <c r="M29675" s="202"/>
    </row>
    <row r="29676" spans="13:13">
      <c r="M29676" s="202"/>
    </row>
    <row r="29677" spans="13:13">
      <c r="M29677" s="202"/>
    </row>
    <row r="29678" spans="13:13">
      <c r="M29678" s="202"/>
    </row>
    <row r="29679" spans="13:13">
      <c r="M29679" s="202"/>
    </row>
    <row r="29680" spans="13:13">
      <c r="M29680" s="202"/>
    </row>
    <row r="29681" spans="13:13">
      <c r="M29681" s="202"/>
    </row>
    <row r="29682" spans="13:13">
      <c r="M29682" s="202"/>
    </row>
    <row r="29683" spans="13:13">
      <c r="M29683" s="202"/>
    </row>
    <row r="29684" spans="13:13">
      <c r="M29684" s="202"/>
    </row>
    <row r="29685" spans="13:13">
      <c r="M29685" s="202"/>
    </row>
    <row r="29686" spans="13:13">
      <c r="M29686" s="202"/>
    </row>
    <row r="29687" spans="13:13">
      <c r="M29687" s="202"/>
    </row>
    <row r="29688" spans="13:13">
      <c r="M29688" s="202"/>
    </row>
    <row r="29689" spans="13:13">
      <c r="M29689" s="202"/>
    </row>
    <row r="29690" spans="13:13">
      <c r="M29690" s="202"/>
    </row>
    <row r="29691" spans="13:13">
      <c r="M29691" s="202"/>
    </row>
    <row r="29692" spans="13:13">
      <c r="M29692" s="202"/>
    </row>
    <row r="29693" spans="13:13">
      <c r="M29693" s="202"/>
    </row>
    <row r="29694" spans="13:13">
      <c r="M29694" s="202"/>
    </row>
    <row r="29695" spans="13:13">
      <c r="M29695" s="202"/>
    </row>
    <row r="29696" spans="13:13">
      <c r="M29696" s="202"/>
    </row>
    <row r="29697" spans="13:13">
      <c r="M29697" s="202"/>
    </row>
    <row r="29698" spans="13:13">
      <c r="M29698" s="202"/>
    </row>
    <row r="29699" spans="13:13">
      <c r="M29699" s="202"/>
    </row>
    <row r="29700" spans="13:13">
      <c r="M29700" s="202"/>
    </row>
    <row r="29701" spans="13:13">
      <c r="M29701" s="202"/>
    </row>
    <row r="29702" spans="13:13">
      <c r="M29702" s="202"/>
    </row>
    <row r="29703" spans="13:13">
      <c r="M29703" s="202"/>
    </row>
    <row r="29704" spans="13:13">
      <c r="M29704" s="202"/>
    </row>
    <row r="29705" spans="13:13">
      <c r="M29705" s="202"/>
    </row>
    <row r="29706" spans="13:13">
      <c r="M29706" s="202"/>
    </row>
    <row r="29707" spans="13:13">
      <c r="M29707" s="202"/>
    </row>
    <row r="29708" spans="13:13">
      <c r="M29708" s="202"/>
    </row>
    <row r="29709" spans="13:13">
      <c r="M29709" s="202"/>
    </row>
    <row r="29710" spans="13:13">
      <c r="M29710" s="202"/>
    </row>
    <row r="29711" spans="13:13">
      <c r="M29711" s="202"/>
    </row>
    <row r="29712" spans="13:13">
      <c r="M29712" s="202"/>
    </row>
    <row r="29713" spans="13:13">
      <c r="M29713" s="202"/>
    </row>
    <row r="29714" spans="13:13">
      <c r="M29714" s="202"/>
    </row>
    <row r="29715" spans="13:13">
      <c r="M29715" s="202"/>
    </row>
    <row r="29716" spans="13:13">
      <c r="M29716" s="202"/>
    </row>
    <row r="29717" spans="13:13">
      <c r="M29717" s="202"/>
    </row>
    <row r="29718" spans="13:13">
      <c r="M29718" s="202"/>
    </row>
    <row r="29719" spans="13:13">
      <c r="M29719" s="202"/>
    </row>
    <row r="29720" spans="13:13">
      <c r="M29720" s="202"/>
    </row>
    <row r="29721" spans="13:13">
      <c r="M29721" s="202"/>
    </row>
    <row r="29722" spans="13:13">
      <c r="M29722" s="202"/>
    </row>
    <row r="29723" spans="13:13">
      <c r="M29723" s="202"/>
    </row>
    <row r="29724" spans="13:13">
      <c r="M29724" s="202"/>
    </row>
    <row r="29725" spans="13:13">
      <c r="M29725" s="202"/>
    </row>
    <row r="29726" spans="13:13">
      <c r="M29726" s="202"/>
    </row>
    <row r="29727" spans="13:13">
      <c r="M29727" s="202"/>
    </row>
    <row r="29728" spans="13:13">
      <c r="M29728" s="202"/>
    </row>
    <row r="29729" spans="13:13">
      <c r="M29729" s="202"/>
    </row>
    <row r="29730" spans="13:13">
      <c r="M29730" s="202"/>
    </row>
    <row r="29731" spans="13:13">
      <c r="M29731" s="202"/>
    </row>
    <row r="29732" spans="13:13">
      <c r="M29732" s="202"/>
    </row>
    <row r="29733" spans="13:13">
      <c r="M29733" s="202"/>
    </row>
    <row r="29734" spans="13:13">
      <c r="M29734" s="202"/>
    </row>
    <row r="29735" spans="13:13">
      <c r="M29735" s="202"/>
    </row>
    <row r="29736" spans="13:13">
      <c r="M29736" s="202"/>
    </row>
    <row r="29737" spans="13:13">
      <c r="M29737" s="202"/>
    </row>
    <row r="29738" spans="13:13">
      <c r="M29738" s="202"/>
    </row>
    <row r="29739" spans="13:13">
      <c r="M29739" s="202"/>
    </row>
    <row r="29740" spans="13:13">
      <c r="M29740" s="202"/>
    </row>
    <row r="29741" spans="13:13">
      <c r="M29741" s="202"/>
    </row>
    <row r="29742" spans="13:13">
      <c r="M29742" s="202"/>
    </row>
    <row r="29743" spans="13:13">
      <c r="M29743" s="202"/>
    </row>
    <row r="29744" spans="13:13">
      <c r="M29744" s="202"/>
    </row>
    <row r="29745" spans="13:13">
      <c r="M29745" s="202"/>
    </row>
    <row r="29746" spans="13:13">
      <c r="M29746" s="202"/>
    </row>
    <row r="29747" spans="13:13">
      <c r="M29747" s="202"/>
    </row>
    <row r="29748" spans="13:13">
      <c r="M29748" s="202"/>
    </row>
    <row r="29749" spans="13:13">
      <c r="M29749" s="202"/>
    </row>
    <row r="29750" spans="13:13">
      <c r="M29750" s="202"/>
    </row>
    <row r="29751" spans="13:13">
      <c r="M29751" s="202"/>
    </row>
    <row r="29752" spans="13:13">
      <c r="M29752" s="202"/>
    </row>
    <row r="29753" spans="13:13">
      <c r="M29753" s="202"/>
    </row>
    <row r="29754" spans="13:13">
      <c r="M29754" s="202"/>
    </row>
    <row r="29755" spans="13:13">
      <c r="M29755" s="202"/>
    </row>
    <row r="29756" spans="13:13">
      <c r="M29756" s="202"/>
    </row>
    <row r="29757" spans="13:13">
      <c r="M29757" s="202"/>
    </row>
    <row r="29758" spans="13:13">
      <c r="M29758" s="202"/>
    </row>
    <row r="29759" spans="13:13">
      <c r="M29759" s="202"/>
    </row>
    <row r="29760" spans="13:13">
      <c r="M29760" s="202"/>
    </row>
    <row r="29761" spans="13:13">
      <c r="M29761" s="202"/>
    </row>
    <row r="29762" spans="13:13">
      <c r="M29762" s="202"/>
    </row>
    <row r="29763" spans="13:13">
      <c r="M29763" s="202"/>
    </row>
    <row r="29764" spans="13:13">
      <c r="M29764" s="202"/>
    </row>
    <row r="29765" spans="13:13">
      <c r="M29765" s="202"/>
    </row>
    <row r="29766" spans="13:13">
      <c r="M29766" s="202"/>
    </row>
    <row r="29767" spans="13:13">
      <c r="M29767" s="202"/>
    </row>
    <row r="29768" spans="13:13">
      <c r="M29768" s="202"/>
    </row>
    <row r="29769" spans="13:13">
      <c r="M29769" s="202"/>
    </row>
    <row r="29770" spans="13:13">
      <c r="M29770" s="202"/>
    </row>
    <row r="29771" spans="13:13">
      <c r="M29771" s="202"/>
    </row>
    <row r="29772" spans="13:13">
      <c r="M29772" s="202"/>
    </row>
    <row r="29773" spans="13:13">
      <c r="M29773" s="202"/>
    </row>
    <row r="29774" spans="13:13">
      <c r="M29774" s="202"/>
    </row>
    <row r="29775" spans="13:13">
      <c r="M29775" s="202"/>
    </row>
    <row r="29776" spans="13:13">
      <c r="M29776" s="202"/>
    </row>
    <row r="29777" spans="13:13">
      <c r="M29777" s="202"/>
    </row>
    <row r="29778" spans="13:13">
      <c r="M29778" s="202"/>
    </row>
    <row r="29779" spans="13:13">
      <c r="M29779" s="202"/>
    </row>
    <row r="29780" spans="13:13">
      <c r="M29780" s="202"/>
    </row>
    <row r="29781" spans="13:13">
      <c r="M29781" s="202"/>
    </row>
    <row r="29782" spans="13:13">
      <c r="M29782" s="202"/>
    </row>
    <row r="29783" spans="13:13">
      <c r="M29783" s="202"/>
    </row>
    <row r="29784" spans="13:13">
      <c r="M29784" s="202"/>
    </row>
    <row r="29785" spans="13:13">
      <c r="M29785" s="202"/>
    </row>
    <row r="29786" spans="13:13">
      <c r="M29786" s="202"/>
    </row>
    <row r="29787" spans="13:13">
      <c r="M29787" s="202"/>
    </row>
    <row r="29788" spans="13:13">
      <c r="M29788" s="202"/>
    </row>
    <row r="29789" spans="13:13">
      <c r="M29789" s="202"/>
    </row>
    <row r="29790" spans="13:13">
      <c r="M29790" s="202"/>
    </row>
    <row r="29791" spans="13:13">
      <c r="M29791" s="202"/>
    </row>
    <row r="29792" spans="13:13">
      <c r="M29792" s="202"/>
    </row>
    <row r="29793" spans="13:13">
      <c r="M29793" s="202"/>
    </row>
    <row r="29794" spans="13:13">
      <c r="M29794" s="202"/>
    </row>
    <row r="29795" spans="13:13">
      <c r="M29795" s="202"/>
    </row>
    <row r="29796" spans="13:13">
      <c r="M29796" s="202"/>
    </row>
    <row r="29797" spans="13:13">
      <c r="M29797" s="202"/>
    </row>
    <row r="29798" spans="13:13">
      <c r="M29798" s="202"/>
    </row>
    <row r="29799" spans="13:13">
      <c r="M29799" s="202"/>
    </row>
    <row r="29800" spans="13:13">
      <c r="M29800" s="202"/>
    </row>
    <row r="29801" spans="13:13">
      <c r="M29801" s="202"/>
    </row>
    <row r="29802" spans="13:13">
      <c r="M29802" s="202"/>
    </row>
    <row r="29803" spans="13:13">
      <c r="M29803" s="202"/>
    </row>
    <row r="29804" spans="13:13">
      <c r="M29804" s="202"/>
    </row>
    <row r="29805" spans="13:13">
      <c r="M29805" s="202"/>
    </row>
    <row r="29806" spans="13:13">
      <c r="M29806" s="202"/>
    </row>
    <row r="29807" spans="13:13">
      <c r="M29807" s="202"/>
    </row>
    <row r="29808" spans="13:13">
      <c r="M29808" s="202"/>
    </row>
    <row r="29809" spans="13:13">
      <c r="M29809" s="202"/>
    </row>
    <row r="29810" spans="13:13">
      <c r="M29810" s="202"/>
    </row>
    <row r="29811" spans="13:13">
      <c r="M29811" s="202"/>
    </row>
    <row r="29812" spans="13:13">
      <c r="M29812" s="202"/>
    </row>
    <row r="29813" spans="13:13">
      <c r="M29813" s="202"/>
    </row>
    <row r="29814" spans="13:13">
      <c r="M29814" s="202"/>
    </row>
    <row r="29815" spans="13:13">
      <c r="M29815" s="202"/>
    </row>
    <row r="29816" spans="13:13">
      <c r="M29816" s="202"/>
    </row>
    <row r="29817" spans="13:13">
      <c r="M29817" s="202"/>
    </row>
    <row r="29818" spans="13:13">
      <c r="M29818" s="202"/>
    </row>
    <row r="29819" spans="13:13">
      <c r="M29819" s="202"/>
    </row>
    <row r="29820" spans="13:13">
      <c r="M29820" s="202"/>
    </row>
    <row r="29821" spans="13:13">
      <c r="M29821" s="202"/>
    </row>
    <row r="29822" spans="13:13">
      <c r="M29822" s="202"/>
    </row>
    <row r="29823" spans="13:13">
      <c r="M29823" s="202"/>
    </row>
    <row r="29824" spans="13:13">
      <c r="M29824" s="202"/>
    </row>
    <row r="29825" spans="13:13">
      <c r="M29825" s="202"/>
    </row>
    <row r="29826" spans="13:13">
      <c r="M29826" s="202"/>
    </row>
    <row r="29827" spans="13:13">
      <c r="M29827" s="202"/>
    </row>
    <row r="29828" spans="13:13">
      <c r="M29828" s="202"/>
    </row>
    <row r="29829" spans="13:13">
      <c r="M29829" s="202"/>
    </row>
    <row r="29830" spans="13:13">
      <c r="M29830" s="202"/>
    </row>
    <row r="29831" spans="13:13">
      <c r="M29831" s="202"/>
    </row>
    <row r="29832" spans="13:13">
      <c r="M29832" s="202"/>
    </row>
    <row r="29833" spans="13:13">
      <c r="M29833" s="202"/>
    </row>
    <row r="29834" spans="13:13">
      <c r="M29834" s="202"/>
    </row>
    <row r="29835" spans="13:13">
      <c r="M29835" s="202"/>
    </row>
    <row r="29836" spans="13:13">
      <c r="M29836" s="202"/>
    </row>
    <row r="29837" spans="13:13">
      <c r="M29837" s="202"/>
    </row>
    <row r="29838" spans="13:13">
      <c r="M29838" s="202"/>
    </row>
    <row r="29839" spans="13:13">
      <c r="M29839" s="202"/>
    </row>
    <row r="29840" spans="13:13">
      <c r="M29840" s="202"/>
    </row>
    <row r="29841" spans="13:13">
      <c r="M29841" s="202"/>
    </row>
    <row r="29842" spans="13:13">
      <c r="M29842" s="202"/>
    </row>
    <row r="29843" spans="13:13">
      <c r="M29843" s="202"/>
    </row>
    <row r="29844" spans="13:13">
      <c r="M29844" s="202"/>
    </row>
    <row r="29845" spans="13:13">
      <c r="M29845" s="202"/>
    </row>
    <row r="29846" spans="13:13">
      <c r="M29846" s="202"/>
    </row>
    <row r="29847" spans="13:13">
      <c r="M29847" s="202"/>
    </row>
    <row r="29848" spans="13:13">
      <c r="M29848" s="202"/>
    </row>
    <row r="29849" spans="13:13">
      <c r="M29849" s="202"/>
    </row>
    <row r="29850" spans="13:13">
      <c r="M29850" s="202"/>
    </row>
    <row r="29851" spans="13:13">
      <c r="M29851" s="202"/>
    </row>
    <row r="29852" spans="13:13">
      <c r="M29852" s="202"/>
    </row>
    <row r="29853" spans="13:13">
      <c r="M29853" s="202"/>
    </row>
    <row r="29854" spans="13:13">
      <c r="M29854" s="202"/>
    </row>
    <row r="29855" spans="13:13">
      <c r="M29855" s="202"/>
    </row>
    <row r="29856" spans="13:13">
      <c r="M29856" s="202"/>
    </row>
    <row r="29857" spans="13:13">
      <c r="M29857" s="202"/>
    </row>
    <row r="29858" spans="13:13">
      <c r="M29858" s="202"/>
    </row>
    <row r="29859" spans="13:13">
      <c r="M29859" s="202"/>
    </row>
    <row r="29860" spans="13:13">
      <c r="M29860" s="202"/>
    </row>
    <row r="29861" spans="13:13">
      <c r="M29861" s="202"/>
    </row>
    <row r="29862" spans="13:13">
      <c r="M29862" s="202"/>
    </row>
    <row r="29863" spans="13:13">
      <c r="M29863" s="202"/>
    </row>
    <row r="29864" spans="13:13">
      <c r="M29864" s="202"/>
    </row>
    <row r="29865" spans="13:13">
      <c r="M29865" s="202"/>
    </row>
    <row r="29866" spans="13:13">
      <c r="M29866" s="202"/>
    </row>
    <row r="29867" spans="13:13">
      <c r="M29867" s="202"/>
    </row>
    <row r="29868" spans="13:13">
      <c r="M29868" s="202"/>
    </row>
    <row r="29869" spans="13:13">
      <c r="M29869" s="202"/>
    </row>
    <row r="29870" spans="13:13">
      <c r="M29870" s="202"/>
    </row>
    <row r="29871" spans="13:13">
      <c r="M29871" s="202"/>
    </row>
    <row r="29872" spans="13:13">
      <c r="M29872" s="202"/>
    </row>
    <row r="29873" spans="13:13">
      <c r="M29873" s="202"/>
    </row>
    <row r="29874" spans="13:13">
      <c r="M29874" s="202"/>
    </row>
    <row r="29875" spans="13:13">
      <c r="M29875" s="202"/>
    </row>
    <row r="29876" spans="13:13">
      <c r="M29876" s="202"/>
    </row>
    <row r="29877" spans="13:13">
      <c r="M29877" s="202"/>
    </row>
    <row r="29878" spans="13:13">
      <c r="M29878" s="202"/>
    </row>
    <row r="29879" spans="13:13">
      <c r="M29879" s="202"/>
    </row>
    <row r="29880" spans="13:13">
      <c r="M29880" s="202"/>
    </row>
    <row r="29881" spans="13:13">
      <c r="M29881" s="202"/>
    </row>
    <row r="29882" spans="13:13">
      <c r="M29882" s="202"/>
    </row>
    <row r="29883" spans="13:13">
      <c r="M29883" s="202"/>
    </row>
    <row r="29884" spans="13:13">
      <c r="M29884" s="202"/>
    </row>
    <row r="29885" spans="13:13">
      <c r="M29885" s="202"/>
    </row>
    <row r="29886" spans="13:13">
      <c r="M29886" s="202"/>
    </row>
    <row r="29887" spans="13:13">
      <c r="M29887" s="202"/>
    </row>
    <row r="29888" spans="13:13">
      <c r="M29888" s="202"/>
    </row>
    <row r="29889" spans="13:13">
      <c r="M29889" s="202"/>
    </row>
    <row r="29890" spans="13:13">
      <c r="M29890" s="202"/>
    </row>
    <row r="29891" spans="13:13">
      <c r="M29891" s="202"/>
    </row>
    <row r="29892" spans="13:13">
      <c r="M29892" s="202"/>
    </row>
    <row r="29893" spans="13:13">
      <c r="M29893" s="202"/>
    </row>
    <row r="29894" spans="13:13">
      <c r="M29894" s="202"/>
    </row>
    <row r="29895" spans="13:13">
      <c r="M29895" s="202"/>
    </row>
    <row r="29896" spans="13:13">
      <c r="M29896" s="202"/>
    </row>
    <row r="29897" spans="13:13">
      <c r="M29897" s="202"/>
    </row>
    <row r="29898" spans="13:13">
      <c r="M29898" s="202"/>
    </row>
    <row r="29899" spans="13:13">
      <c r="M29899" s="202"/>
    </row>
    <row r="29900" spans="13:13">
      <c r="M29900" s="202"/>
    </row>
    <row r="29901" spans="13:13">
      <c r="M29901" s="202"/>
    </row>
    <row r="29902" spans="13:13">
      <c r="M29902" s="202"/>
    </row>
    <row r="29903" spans="13:13">
      <c r="M29903" s="202"/>
    </row>
    <row r="29904" spans="13:13">
      <c r="M29904" s="202"/>
    </row>
    <row r="29905" spans="13:13">
      <c r="M29905" s="202"/>
    </row>
    <row r="29906" spans="13:13">
      <c r="M29906" s="202"/>
    </row>
    <row r="29907" spans="13:13">
      <c r="M29907" s="202"/>
    </row>
    <row r="29908" spans="13:13">
      <c r="M29908" s="202"/>
    </row>
    <row r="29909" spans="13:13">
      <c r="M29909" s="202"/>
    </row>
    <row r="29910" spans="13:13">
      <c r="M29910" s="202"/>
    </row>
    <row r="29911" spans="13:13">
      <c r="M29911" s="202"/>
    </row>
    <row r="29912" spans="13:13">
      <c r="M29912" s="202"/>
    </row>
    <row r="29913" spans="13:13">
      <c r="M29913" s="202"/>
    </row>
    <row r="29914" spans="13:13">
      <c r="M29914" s="202"/>
    </row>
    <row r="29915" spans="13:13">
      <c r="M29915" s="202"/>
    </row>
    <row r="29916" spans="13:13">
      <c r="M29916" s="202"/>
    </row>
    <row r="29917" spans="13:13">
      <c r="M29917" s="202"/>
    </row>
    <row r="29918" spans="13:13">
      <c r="M29918" s="202"/>
    </row>
    <row r="29919" spans="13:13">
      <c r="M29919" s="202"/>
    </row>
    <row r="29920" spans="13:13">
      <c r="M29920" s="202"/>
    </row>
    <row r="29921" spans="13:13">
      <c r="M29921" s="202"/>
    </row>
    <row r="29922" spans="13:13">
      <c r="M29922" s="202"/>
    </row>
    <row r="29923" spans="13:13">
      <c r="M29923" s="202"/>
    </row>
    <row r="29924" spans="13:13">
      <c r="M29924" s="202"/>
    </row>
    <row r="29925" spans="13:13">
      <c r="M29925" s="202"/>
    </row>
    <row r="29926" spans="13:13">
      <c r="M29926" s="202"/>
    </row>
    <row r="29927" spans="13:13">
      <c r="M29927" s="202"/>
    </row>
    <row r="29928" spans="13:13">
      <c r="M29928" s="202"/>
    </row>
    <row r="29929" spans="13:13">
      <c r="M29929" s="202"/>
    </row>
    <row r="29930" spans="13:13">
      <c r="M29930" s="202"/>
    </row>
    <row r="29931" spans="13:13">
      <c r="M29931" s="202"/>
    </row>
    <row r="29932" spans="13:13">
      <c r="M29932" s="202"/>
    </row>
    <row r="29933" spans="13:13">
      <c r="M29933" s="202"/>
    </row>
    <row r="29934" spans="13:13">
      <c r="M29934" s="202"/>
    </row>
    <row r="29935" spans="13:13">
      <c r="M29935" s="202"/>
    </row>
    <row r="29936" spans="13:13">
      <c r="M29936" s="202"/>
    </row>
    <row r="29937" spans="13:13">
      <c r="M29937" s="202"/>
    </row>
    <row r="29938" spans="13:13">
      <c r="M29938" s="202"/>
    </row>
    <row r="29939" spans="13:13">
      <c r="M29939" s="202"/>
    </row>
    <row r="29940" spans="13:13">
      <c r="M29940" s="202"/>
    </row>
    <row r="29941" spans="13:13">
      <c r="M29941" s="202"/>
    </row>
    <row r="29942" spans="13:13">
      <c r="M29942" s="202"/>
    </row>
    <row r="29943" spans="13:13">
      <c r="M29943" s="202"/>
    </row>
    <row r="29944" spans="13:13">
      <c r="M29944" s="202"/>
    </row>
    <row r="29945" spans="13:13">
      <c r="M29945" s="202"/>
    </row>
    <row r="29946" spans="13:13">
      <c r="M29946" s="202"/>
    </row>
    <row r="29947" spans="13:13">
      <c r="M29947" s="202"/>
    </row>
    <row r="29948" spans="13:13">
      <c r="M29948" s="202"/>
    </row>
    <row r="29949" spans="13:13">
      <c r="M29949" s="202"/>
    </row>
    <row r="29950" spans="13:13">
      <c r="M29950" s="202"/>
    </row>
    <row r="29951" spans="13:13">
      <c r="M29951" s="202"/>
    </row>
    <row r="29952" spans="13:13">
      <c r="M29952" s="202"/>
    </row>
    <row r="29953" spans="13:13">
      <c r="M29953" s="202"/>
    </row>
    <row r="29954" spans="13:13">
      <c r="M29954" s="202"/>
    </row>
    <row r="29955" spans="13:13">
      <c r="M29955" s="202"/>
    </row>
    <row r="29956" spans="13:13">
      <c r="M29956" s="202"/>
    </row>
    <row r="29957" spans="13:13">
      <c r="M29957" s="202"/>
    </row>
    <row r="29958" spans="13:13">
      <c r="M29958" s="202"/>
    </row>
    <row r="29959" spans="13:13">
      <c r="M29959" s="202"/>
    </row>
    <row r="29960" spans="13:13">
      <c r="M29960" s="202"/>
    </row>
    <row r="29961" spans="13:13">
      <c r="M29961" s="202"/>
    </row>
    <row r="29962" spans="13:13">
      <c r="M29962" s="202"/>
    </row>
    <row r="29963" spans="13:13">
      <c r="M29963" s="202"/>
    </row>
    <row r="29964" spans="13:13">
      <c r="M29964" s="202"/>
    </row>
    <row r="29965" spans="13:13">
      <c r="M29965" s="202"/>
    </row>
    <row r="29966" spans="13:13">
      <c r="M29966" s="202"/>
    </row>
    <row r="29967" spans="13:13">
      <c r="M29967" s="202"/>
    </row>
    <row r="29968" spans="13:13">
      <c r="M29968" s="202"/>
    </row>
    <row r="29969" spans="13:13">
      <c r="M29969" s="202"/>
    </row>
    <row r="29970" spans="13:13">
      <c r="M29970" s="202"/>
    </row>
    <row r="29971" spans="13:13">
      <c r="M29971" s="202"/>
    </row>
    <row r="29972" spans="13:13">
      <c r="M29972" s="202"/>
    </row>
    <row r="29973" spans="13:13">
      <c r="M29973" s="202"/>
    </row>
    <row r="29974" spans="13:13">
      <c r="M29974" s="202"/>
    </row>
    <row r="29975" spans="13:13">
      <c r="M29975" s="202"/>
    </row>
    <row r="29976" spans="13:13">
      <c r="M29976" s="202"/>
    </row>
    <row r="29977" spans="13:13">
      <c r="M29977" s="202"/>
    </row>
    <row r="29978" spans="13:13">
      <c r="M29978" s="202"/>
    </row>
    <row r="29979" spans="13:13">
      <c r="M29979" s="202"/>
    </row>
    <row r="29980" spans="13:13">
      <c r="M29980" s="202"/>
    </row>
    <row r="29981" spans="13:13">
      <c r="M29981" s="202"/>
    </row>
    <row r="29982" spans="13:13">
      <c r="M29982" s="202"/>
    </row>
    <row r="29983" spans="13:13">
      <c r="M29983" s="202"/>
    </row>
    <row r="29984" spans="13:13">
      <c r="M29984" s="202"/>
    </row>
    <row r="29985" spans="13:13">
      <c r="M29985" s="202"/>
    </row>
    <row r="29986" spans="13:13">
      <c r="M29986" s="202"/>
    </row>
    <row r="29987" spans="13:13">
      <c r="M29987" s="202"/>
    </row>
    <row r="29988" spans="13:13">
      <c r="M29988" s="202"/>
    </row>
    <row r="29989" spans="13:13">
      <c r="M29989" s="202"/>
    </row>
    <row r="29990" spans="13:13">
      <c r="M29990" s="202"/>
    </row>
    <row r="29991" spans="13:13">
      <c r="M29991" s="202"/>
    </row>
    <row r="29992" spans="13:13">
      <c r="M29992" s="202"/>
    </row>
    <row r="29993" spans="13:13">
      <c r="M29993" s="202"/>
    </row>
    <row r="29994" spans="13:13">
      <c r="M29994" s="202"/>
    </row>
    <row r="29995" spans="13:13">
      <c r="M29995" s="202"/>
    </row>
    <row r="29996" spans="13:13">
      <c r="M29996" s="202"/>
    </row>
    <row r="29997" spans="13:13">
      <c r="M29997" s="202"/>
    </row>
    <row r="29998" spans="13:13">
      <c r="M29998" s="202"/>
    </row>
    <row r="29999" spans="13:13">
      <c r="M29999" s="202"/>
    </row>
    <row r="30000" spans="13:13">
      <c r="M30000" s="202"/>
    </row>
    <row r="30001" spans="13:13">
      <c r="M30001" s="202"/>
    </row>
    <row r="30002" spans="13:13">
      <c r="M30002" s="202"/>
    </row>
    <row r="30003" spans="13:13">
      <c r="M30003" s="202"/>
    </row>
    <row r="30004" spans="13:13">
      <c r="M30004" s="202"/>
    </row>
    <row r="30005" spans="13:13">
      <c r="M30005" s="202"/>
    </row>
    <row r="30006" spans="13:13">
      <c r="M30006" s="202"/>
    </row>
    <row r="30007" spans="13:13">
      <c r="M30007" s="202"/>
    </row>
    <row r="30008" spans="13:13">
      <c r="M30008" s="202"/>
    </row>
    <row r="30009" spans="13:13">
      <c r="M30009" s="202"/>
    </row>
    <row r="30010" spans="13:13">
      <c r="M30010" s="202"/>
    </row>
    <row r="30011" spans="13:13">
      <c r="M30011" s="202"/>
    </row>
    <row r="30012" spans="13:13">
      <c r="M30012" s="202"/>
    </row>
    <row r="30013" spans="13:13">
      <c r="M30013" s="202"/>
    </row>
    <row r="30014" spans="13:13">
      <c r="M30014" s="202"/>
    </row>
    <row r="30015" spans="13:13">
      <c r="M30015" s="202"/>
    </row>
    <row r="30016" spans="13:13">
      <c r="M30016" s="202"/>
    </row>
    <row r="30017" spans="13:13">
      <c r="M30017" s="202"/>
    </row>
    <row r="30018" spans="13:13">
      <c r="M30018" s="202"/>
    </row>
    <row r="30019" spans="13:13">
      <c r="M30019" s="202"/>
    </row>
    <row r="30020" spans="13:13">
      <c r="M30020" s="202"/>
    </row>
    <row r="30021" spans="13:13">
      <c r="M30021" s="202"/>
    </row>
    <row r="30022" spans="13:13">
      <c r="M30022" s="202"/>
    </row>
    <row r="30023" spans="13:13">
      <c r="M30023" s="202"/>
    </row>
    <row r="30024" spans="13:13">
      <c r="M30024" s="202"/>
    </row>
    <row r="30025" spans="13:13">
      <c r="M30025" s="202"/>
    </row>
    <row r="30026" spans="13:13">
      <c r="M30026" s="202"/>
    </row>
    <row r="30027" spans="13:13">
      <c r="M30027" s="202"/>
    </row>
    <row r="30028" spans="13:13">
      <c r="M30028" s="202"/>
    </row>
    <row r="30029" spans="13:13">
      <c r="M30029" s="202"/>
    </row>
    <row r="30030" spans="13:13">
      <c r="M30030" s="202"/>
    </row>
    <row r="30031" spans="13:13">
      <c r="M30031" s="202"/>
    </row>
    <row r="30032" spans="13:13">
      <c r="M30032" s="202"/>
    </row>
    <row r="30033" spans="13:13">
      <c r="M30033" s="202"/>
    </row>
    <row r="30034" spans="13:13">
      <c r="M30034" s="202"/>
    </row>
    <row r="30035" spans="13:13">
      <c r="M30035" s="202"/>
    </row>
    <row r="30036" spans="13:13">
      <c r="M30036" s="202"/>
    </row>
    <row r="30037" spans="13:13">
      <c r="M30037" s="202"/>
    </row>
    <row r="30038" spans="13:13">
      <c r="M30038" s="202"/>
    </row>
    <row r="30039" spans="13:13">
      <c r="M30039" s="202"/>
    </row>
    <row r="30040" spans="13:13">
      <c r="M30040" s="202"/>
    </row>
    <row r="30041" spans="13:13">
      <c r="M30041" s="202"/>
    </row>
    <row r="30042" spans="13:13">
      <c r="M30042" s="202"/>
    </row>
    <row r="30043" spans="13:13">
      <c r="M30043" s="202"/>
    </row>
    <row r="30044" spans="13:13">
      <c r="M30044" s="202"/>
    </row>
    <row r="30045" spans="13:13">
      <c r="M30045" s="202"/>
    </row>
    <row r="30046" spans="13:13">
      <c r="M30046" s="202"/>
    </row>
    <row r="30047" spans="13:13">
      <c r="M30047" s="202"/>
    </row>
    <row r="30048" spans="13:13">
      <c r="M30048" s="202"/>
    </row>
    <row r="30049" spans="13:13">
      <c r="M30049" s="202"/>
    </row>
    <row r="30050" spans="13:13">
      <c r="M30050" s="202"/>
    </row>
    <row r="30051" spans="13:13">
      <c r="M30051" s="202"/>
    </row>
    <row r="30052" spans="13:13">
      <c r="M30052" s="202"/>
    </row>
    <row r="30053" spans="13:13">
      <c r="M30053" s="202"/>
    </row>
    <row r="30054" spans="13:13">
      <c r="M30054" s="202"/>
    </row>
    <row r="30055" spans="13:13">
      <c r="M30055" s="202"/>
    </row>
    <row r="30056" spans="13:13">
      <c r="M30056" s="202"/>
    </row>
    <row r="30057" spans="13:13">
      <c r="M30057" s="202"/>
    </row>
    <row r="30058" spans="13:13">
      <c r="M30058" s="202"/>
    </row>
    <row r="30059" spans="13:13">
      <c r="M30059" s="202"/>
    </row>
    <row r="30060" spans="13:13">
      <c r="M30060" s="202"/>
    </row>
    <row r="30061" spans="13:13">
      <c r="M30061" s="202"/>
    </row>
    <row r="30062" spans="13:13">
      <c r="M30062" s="202"/>
    </row>
    <row r="30063" spans="13:13">
      <c r="M30063" s="202"/>
    </row>
    <row r="30064" spans="13:13">
      <c r="M30064" s="202"/>
    </row>
    <row r="30065" spans="13:13">
      <c r="M30065" s="202"/>
    </row>
    <row r="30066" spans="13:13">
      <c r="M30066" s="202"/>
    </row>
    <row r="30067" spans="13:13">
      <c r="M30067" s="202"/>
    </row>
    <row r="30068" spans="13:13">
      <c r="M30068" s="202"/>
    </row>
    <row r="30069" spans="13:13">
      <c r="M30069" s="202"/>
    </row>
    <row r="30070" spans="13:13">
      <c r="M30070" s="202"/>
    </row>
    <row r="30071" spans="13:13">
      <c r="M30071" s="202"/>
    </row>
    <row r="30072" spans="13:13">
      <c r="M30072" s="202"/>
    </row>
    <row r="30073" spans="13:13">
      <c r="M30073" s="202"/>
    </row>
    <row r="30074" spans="13:13">
      <c r="M30074" s="202"/>
    </row>
    <row r="30075" spans="13:13">
      <c r="M30075" s="202"/>
    </row>
    <row r="30076" spans="13:13">
      <c r="M30076" s="202"/>
    </row>
    <row r="30077" spans="13:13">
      <c r="M30077" s="202"/>
    </row>
    <row r="30078" spans="13:13">
      <c r="M30078" s="202"/>
    </row>
    <row r="30079" spans="13:13">
      <c r="M30079" s="202"/>
    </row>
    <row r="30080" spans="13:13">
      <c r="M30080" s="202"/>
    </row>
    <row r="30081" spans="13:13">
      <c r="M30081" s="202"/>
    </row>
    <row r="30082" spans="13:13">
      <c r="M30082" s="202"/>
    </row>
    <row r="30083" spans="13:13">
      <c r="M30083" s="202"/>
    </row>
    <row r="30084" spans="13:13">
      <c r="M30084" s="202"/>
    </row>
    <row r="30085" spans="13:13">
      <c r="M30085" s="202"/>
    </row>
    <row r="30086" spans="13:13">
      <c r="M30086" s="202"/>
    </row>
    <row r="30087" spans="13:13">
      <c r="M30087" s="202"/>
    </row>
    <row r="30088" spans="13:13">
      <c r="M30088" s="202"/>
    </row>
    <row r="30089" spans="13:13">
      <c r="M30089" s="202"/>
    </row>
    <row r="30090" spans="13:13">
      <c r="M30090" s="202"/>
    </row>
    <row r="30091" spans="13:13">
      <c r="M30091" s="202"/>
    </row>
    <row r="30092" spans="13:13">
      <c r="M30092" s="202"/>
    </row>
    <row r="30093" spans="13:13">
      <c r="M30093" s="202"/>
    </row>
    <row r="30094" spans="13:13">
      <c r="M30094" s="202"/>
    </row>
    <row r="30095" spans="13:13">
      <c r="M30095" s="202"/>
    </row>
    <row r="30096" spans="13:13">
      <c r="M30096" s="202"/>
    </row>
    <row r="30097" spans="13:13">
      <c r="M30097" s="202"/>
    </row>
    <row r="30098" spans="13:13">
      <c r="M30098" s="202"/>
    </row>
    <row r="30099" spans="13:13">
      <c r="M30099" s="202"/>
    </row>
    <row r="30100" spans="13:13">
      <c r="M30100" s="202"/>
    </row>
    <row r="30101" spans="13:13">
      <c r="M30101" s="202"/>
    </row>
    <row r="30102" spans="13:13">
      <c r="M30102" s="202"/>
    </row>
    <row r="30103" spans="13:13">
      <c r="M30103" s="202"/>
    </row>
    <row r="30104" spans="13:13">
      <c r="M30104" s="202"/>
    </row>
    <row r="30105" spans="13:13">
      <c r="M30105" s="202"/>
    </row>
    <row r="30106" spans="13:13">
      <c r="M30106" s="202"/>
    </row>
    <row r="30107" spans="13:13">
      <c r="M30107" s="202"/>
    </row>
    <row r="30108" spans="13:13">
      <c r="M30108" s="202"/>
    </row>
    <row r="30109" spans="13:13">
      <c r="M30109" s="202"/>
    </row>
    <row r="30110" spans="13:13">
      <c r="M30110" s="202"/>
    </row>
    <row r="30111" spans="13:13">
      <c r="M30111" s="202"/>
    </row>
    <row r="30112" spans="13:13">
      <c r="M30112" s="202"/>
    </row>
    <row r="30113" spans="13:13">
      <c r="M30113" s="202"/>
    </row>
    <row r="30114" spans="13:13">
      <c r="M30114" s="202"/>
    </row>
    <row r="30115" spans="13:13">
      <c r="M30115" s="202"/>
    </row>
    <row r="30116" spans="13:13">
      <c r="M30116" s="202"/>
    </row>
    <row r="30117" spans="13:13">
      <c r="M30117" s="202"/>
    </row>
    <row r="30118" spans="13:13">
      <c r="M30118" s="202"/>
    </row>
    <row r="30119" spans="13:13">
      <c r="M30119" s="202"/>
    </row>
    <row r="30120" spans="13:13">
      <c r="M30120" s="202"/>
    </row>
    <row r="30121" spans="13:13">
      <c r="M30121" s="202"/>
    </row>
    <row r="30122" spans="13:13">
      <c r="M30122" s="202"/>
    </row>
    <row r="30123" spans="13:13">
      <c r="M30123" s="202"/>
    </row>
    <row r="30124" spans="13:13">
      <c r="M30124" s="202"/>
    </row>
    <row r="30125" spans="13:13">
      <c r="M30125" s="202"/>
    </row>
    <row r="30126" spans="13:13">
      <c r="M30126" s="202"/>
    </row>
    <row r="30127" spans="13:13">
      <c r="M30127" s="202"/>
    </row>
    <row r="30128" spans="13:13">
      <c r="M30128" s="202"/>
    </row>
    <row r="30129" spans="13:13">
      <c r="M30129" s="202"/>
    </row>
    <row r="30130" spans="13:13">
      <c r="M30130" s="202"/>
    </row>
    <row r="30131" spans="13:13">
      <c r="M30131" s="202"/>
    </row>
    <row r="30132" spans="13:13">
      <c r="M30132" s="202"/>
    </row>
    <row r="30133" spans="13:13">
      <c r="M30133" s="202"/>
    </row>
    <row r="30134" spans="13:13">
      <c r="M30134" s="202"/>
    </row>
    <row r="30135" spans="13:13">
      <c r="M30135" s="202"/>
    </row>
    <row r="30136" spans="13:13">
      <c r="M30136" s="202"/>
    </row>
    <row r="30137" spans="13:13">
      <c r="M30137" s="202"/>
    </row>
    <row r="30138" spans="13:13">
      <c r="M30138" s="202"/>
    </row>
    <row r="30139" spans="13:13">
      <c r="M30139" s="202"/>
    </row>
    <row r="30140" spans="13:13">
      <c r="M30140" s="202"/>
    </row>
    <row r="30141" spans="13:13">
      <c r="M30141" s="202"/>
    </row>
    <row r="30142" spans="13:13">
      <c r="M30142" s="202"/>
    </row>
    <row r="30143" spans="13:13">
      <c r="M30143" s="202"/>
    </row>
    <row r="30144" spans="13:13">
      <c r="M30144" s="202"/>
    </row>
    <row r="30145" spans="13:13">
      <c r="M30145" s="202"/>
    </row>
    <row r="30146" spans="13:13">
      <c r="M30146" s="202"/>
    </row>
    <row r="30147" spans="13:13">
      <c r="M30147" s="202"/>
    </row>
    <row r="30148" spans="13:13">
      <c r="M30148" s="202"/>
    </row>
    <row r="30149" spans="13:13">
      <c r="M30149" s="202"/>
    </row>
    <row r="30150" spans="13:13">
      <c r="M30150" s="202"/>
    </row>
    <row r="30151" spans="13:13">
      <c r="M30151" s="202"/>
    </row>
    <row r="30152" spans="13:13">
      <c r="M30152" s="202"/>
    </row>
    <row r="30153" spans="13:13">
      <c r="M30153" s="202"/>
    </row>
    <row r="30154" spans="13:13">
      <c r="M30154" s="202"/>
    </row>
    <row r="30155" spans="13:13">
      <c r="M30155" s="202"/>
    </row>
    <row r="30156" spans="13:13">
      <c r="M30156" s="202"/>
    </row>
    <row r="30157" spans="13:13">
      <c r="M30157" s="202"/>
    </row>
    <row r="30158" spans="13:13">
      <c r="M30158" s="202"/>
    </row>
    <row r="30159" spans="13:13">
      <c r="M30159" s="202"/>
    </row>
    <row r="30160" spans="13:13">
      <c r="M30160" s="202"/>
    </row>
    <row r="30161" spans="13:13">
      <c r="M30161" s="202"/>
    </row>
    <row r="30162" spans="13:13">
      <c r="M30162" s="202"/>
    </row>
    <row r="30163" spans="13:13">
      <c r="M30163" s="202"/>
    </row>
    <row r="30164" spans="13:13">
      <c r="M30164" s="202"/>
    </row>
    <row r="30165" spans="13:13">
      <c r="M30165" s="202"/>
    </row>
    <row r="30166" spans="13:13">
      <c r="M30166" s="202"/>
    </row>
    <row r="30167" spans="13:13">
      <c r="M30167" s="202"/>
    </row>
    <row r="30168" spans="13:13">
      <c r="M30168" s="202"/>
    </row>
    <row r="30169" spans="13:13">
      <c r="M30169" s="202"/>
    </row>
    <row r="30170" spans="13:13">
      <c r="M30170" s="202"/>
    </row>
    <row r="30171" spans="13:13">
      <c r="M30171" s="202"/>
    </row>
    <row r="30172" spans="13:13">
      <c r="M30172" s="202"/>
    </row>
    <row r="30173" spans="13:13">
      <c r="M30173" s="202"/>
    </row>
    <row r="30174" spans="13:13">
      <c r="M30174" s="202"/>
    </row>
    <row r="30175" spans="13:13">
      <c r="M30175" s="202"/>
    </row>
    <row r="30176" spans="13:13">
      <c r="M30176" s="202"/>
    </row>
    <row r="30177" spans="13:13">
      <c r="M30177" s="202"/>
    </row>
    <row r="30178" spans="13:13">
      <c r="M30178" s="202"/>
    </row>
    <row r="30179" spans="13:13">
      <c r="M30179" s="202"/>
    </row>
    <row r="30180" spans="13:13">
      <c r="M30180" s="202"/>
    </row>
    <row r="30181" spans="13:13">
      <c r="M30181" s="202"/>
    </row>
    <row r="30182" spans="13:13">
      <c r="M30182" s="202"/>
    </row>
    <row r="30183" spans="13:13">
      <c r="M30183" s="202"/>
    </row>
    <row r="30184" spans="13:13">
      <c r="M30184" s="202"/>
    </row>
    <row r="30185" spans="13:13">
      <c r="M30185" s="202"/>
    </row>
    <row r="30186" spans="13:13">
      <c r="M30186" s="202"/>
    </row>
    <row r="30187" spans="13:13">
      <c r="M30187" s="202"/>
    </row>
    <row r="30188" spans="13:13">
      <c r="M30188" s="202"/>
    </row>
    <row r="30189" spans="13:13">
      <c r="M30189" s="202"/>
    </row>
    <row r="30190" spans="13:13">
      <c r="M30190" s="202"/>
    </row>
    <row r="30191" spans="13:13">
      <c r="M30191" s="202"/>
    </row>
    <row r="30192" spans="13:13">
      <c r="M30192" s="202"/>
    </row>
    <row r="30193" spans="13:13">
      <c r="M30193" s="202"/>
    </row>
    <row r="30194" spans="13:13">
      <c r="M30194" s="202"/>
    </row>
    <row r="30195" spans="13:13">
      <c r="M30195" s="202"/>
    </row>
    <row r="30196" spans="13:13">
      <c r="M30196" s="202"/>
    </row>
    <row r="30197" spans="13:13">
      <c r="M30197" s="202"/>
    </row>
    <row r="30198" spans="13:13">
      <c r="M30198" s="202"/>
    </row>
    <row r="30199" spans="13:13">
      <c r="M30199" s="202"/>
    </row>
    <row r="30200" spans="13:13">
      <c r="M30200" s="202"/>
    </row>
    <row r="30201" spans="13:13">
      <c r="M30201" s="202"/>
    </row>
    <row r="30202" spans="13:13">
      <c r="M30202" s="202"/>
    </row>
    <row r="30203" spans="13:13">
      <c r="M30203" s="202"/>
    </row>
    <row r="30204" spans="13:13">
      <c r="M30204" s="202"/>
    </row>
    <row r="30205" spans="13:13">
      <c r="M30205" s="202"/>
    </row>
    <row r="30206" spans="13:13">
      <c r="M30206" s="202"/>
    </row>
    <row r="30207" spans="13:13">
      <c r="M30207" s="202"/>
    </row>
    <row r="30208" spans="13:13">
      <c r="M30208" s="202"/>
    </row>
    <row r="30209" spans="13:13">
      <c r="M30209" s="202"/>
    </row>
    <row r="30210" spans="13:13">
      <c r="M30210" s="202"/>
    </row>
    <row r="30211" spans="13:13">
      <c r="M30211" s="202"/>
    </row>
    <row r="30212" spans="13:13">
      <c r="M30212" s="202"/>
    </row>
    <row r="30213" spans="13:13">
      <c r="M30213" s="202"/>
    </row>
    <row r="30214" spans="13:13">
      <c r="M30214" s="202"/>
    </row>
    <row r="30215" spans="13:13">
      <c r="M30215" s="202"/>
    </row>
    <row r="30216" spans="13:13">
      <c r="M30216" s="202"/>
    </row>
    <row r="30217" spans="13:13">
      <c r="M30217" s="202"/>
    </row>
    <row r="30218" spans="13:13">
      <c r="M30218" s="202"/>
    </row>
    <row r="30219" spans="13:13">
      <c r="M30219" s="202"/>
    </row>
    <row r="30220" spans="13:13">
      <c r="M30220" s="202"/>
    </row>
    <row r="30221" spans="13:13">
      <c r="M30221" s="202"/>
    </row>
    <row r="30222" spans="13:13">
      <c r="M30222" s="202"/>
    </row>
    <row r="30223" spans="13:13">
      <c r="M30223" s="202"/>
    </row>
    <row r="30224" spans="13:13">
      <c r="M30224" s="202"/>
    </row>
    <row r="30225" spans="13:13">
      <c r="M30225" s="202"/>
    </row>
    <row r="30226" spans="13:13">
      <c r="M30226" s="202"/>
    </row>
    <row r="30227" spans="13:13">
      <c r="M30227" s="202"/>
    </row>
    <row r="30228" spans="13:13">
      <c r="M30228" s="202"/>
    </row>
    <row r="30229" spans="13:13">
      <c r="M30229" s="202"/>
    </row>
    <row r="30230" spans="13:13">
      <c r="M30230" s="202"/>
    </row>
    <row r="30231" spans="13:13">
      <c r="M30231" s="202"/>
    </row>
    <row r="30232" spans="13:13">
      <c r="M30232" s="202"/>
    </row>
    <row r="30233" spans="13:13">
      <c r="M30233" s="202"/>
    </row>
    <row r="30234" spans="13:13">
      <c r="M30234" s="202"/>
    </row>
    <row r="30235" spans="13:13">
      <c r="M30235" s="202"/>
    </row>
    <row r="30236" spans="13:13">
      <c r="M30236" s="202"/>
    </row>
    <row r="30237" spans="13:13">
      <c r="M30237" s="202"/>
    </row>
    <row r="30238" spans="13:13">
      <c r="M30238" s="202"/>
    </row>
    <row r="30239" spans="13:13">
      <c r="M30239" s="202"/>
    </row>
    <row r="30240" spans="13:13">
      <c r="M30240" s="202"/>
    </row>
    <row r="30241" spans="13:13">
      <c r="M30241" s="202"/>
    </row>
    <row r="30242" spans="13:13">
      <c r="M30242" s="202"/>
    </row>
    <row r="30243" spans="13:13">
      <c r="M30243" s="202"/>
    </row>
    <row r="30244" spans="13:13">
      <c r="M30244" s="202"/>
    </row>
    <row r="30245" spans="13:13">
      <c r="M30245" s="202"/>
    </row>
    <row r="30246" spans="13:13">
      <c r="M30246" s="202"/>
    </row>
    <row r="30247" spans="13:13">
      <c r="M30247" s="202"/>
    </row>
    <row r="30248" spans="13:13">
      <c r="M30248" s="202"/>
    </row>
    <row r="30249" spans="13:13">
      <c r="M30249" s="202"/>
    </row>
    <row r="30250" spans="13:13">
      <c r="M30250" s="202"/>
    </row>
    <row r="30251" spans="13:13">
      <c r="M30251" s="202"/>
    </row>
    <row r="30252" spans="13:13">
      <c r="M30252" s="202"/>
    </row>
    <row r="30253" spans="13:13">
      <c r="M30253" s="202"/>
    </row>
    <row r="30254" spans="13:13">
      <c r="M30254" s="202"/>
    </row>
    <row r="30255" spans="13:13">
      <c r="M30255" s="202"/>
    </row>
    <row r="30256" spans="13:13">
      <c r="M30256" s="202"/>
    </row>
    <row r="30257" spans="13:13">
      <c r="M30257" s="202"/>
    </row>
    <row r="30258" spans="13:13">
      <c r="M30258" s="202"/>
    </row>
    <row r="30259" spans="13:13">
      <c r="M30259" s="202"/>
    </row>
    <row r="30260" spans="13:13">
      <c r="M30260" s="202"/>
    </row>
    <row r="30261" spans="13:13">
      <c r="M30261" s="202"/>
    </row>
    <row r="30262" spans="13:13">
      <c r="M30262" s="202"/>
    </row>
    <row r="30263" spans="13:13">
      <c r="M30263" s="202"/>
    </row>
    <row r="30264" spans="13:13">
      <c r="M30264" s="202"/>
    </row>
    <row r="30265" spans="13:13">
      <c r="M30265" s="202"/>
    </row>
    <row r="30266" spans="13:13">
      <c r="M30266" s="202"/>
    </row>
    <row r="30267" spans="13:13">
      <c r="M30267" s="202"/>
    </row>
    <row r="30268" spans="13:13">
      <c r="M30268" s="202"/>
    </row>
    <row r="30269" spans="13:13">
      <c r="M30269" s="202"/>
    </row>
    <row r="30270" spans="13:13">
      <c r="M30270" s="202"/>
    </row>
    <row r="30271" spans="13:13">
      <c r="M30271" s="202"/>
    </row>
    <row r="30272" spans="13:13">
      <c r="M30272" s="202"/>
    </row>
    <row r="30273" spans="13:13">
      <c r="M30273" s="202"/>
    </row>
    <row r="30274" spans="13:13">
      <c r="M30274" s="202"/>
    </row>
    <row r="30275" spans="13:13">
      <c r="M30275" s="202"/>
    </row>
    <row r="30276" spans="13:13">
      <c r="M30276" s="202"/>
    </row>
    <row r="30277" spans="13:13">
      <c r="M30277" s="202"/>
    </row>
    <row r="30278" spans="13:13">
      <c r="M30278" s="202"/>
    </row>
    <row r="30279" spans="13:13">
      <c r="M30279" s="202"/>
    </row>
    <row r="30280" spans="13:13">
      <c r="M30280" s="202"/>
    </row>
    <row r="30281" spans="13:13">
      <c r="M30281" s="202"/>
    </row>
    <row r="30282" spans="13:13">
      <c r="M30282" s="202"/>
    </row>
    <row r="30283" spans="13:13">
      <c r="M30283" s="202"/>
    </row>
    <row r="30284" spans="13:13">
      <c r="M30284" s="202"/>
    </row>
    <row r="30285" spans="13:13">
      <c r="M30285" s="202"/>
    </row>
    <row r="30286" spans="13:13">
      <c r="M30286" s="202"/>
    </row>
    <row r="30287" spans="13:13">
      <c r="M30287" s="202"/>
    </row>
    <row r="30288" spans="13:13">
      <c r="M30288" s="202"/>
    </row>
    <row r="30289" spans="13:13">
      <c r="M30289" s="202"/>
    </row>
    <row r="30290" spans="13:13">
      <c r="M30290" s="202"/>
    </row>
    <row r="30291" spans="13:13">
      <c r="M30291" s="202"/>
    </row>
    <row r="30292" spans="13:13">
      <c r="M30292" s="202"/>
    </row>
    <row r="30293" spans="13:13">
      <c r="M30293" s="202"/>
    </row>
    <row r="30294" spans="13:13">
      <c r="M30294" s="202"/>
    </row>
    <row r="30295" spans="13:13">
      <c r="M30295" s="202"/>
    </row>
    <row r="30296" spans="13:13">
      <c r="M30296" s="202"/>
    </row>
    <row r="30297" spans="13:13">
      <c r="M30297" s="202"/>
    </row>
    <row r="30298" spans="13:13">
      <c r="M30298" s="202"/>
    </row>
    <row r="30299" spans="13:13">
      <c r="M30299" s="202"/>
    </row>
    <row r="30300" spans="13:13">
      <c r="M30300" s="202"/>
    </row>
    <row r="30301" spans="13:13">
      <c r="M30301" s="202"/>
    </row>
    <row r="30302" spans="13:13">
      <c r="M30302" s="202"/>
    </row>
    <row r="30303" spans="13:13">
      <c r="M30303" s="202"/>
    </row>
    <row r="30304" spans="13:13">
      <c r="M30304" s="202"/>
    </row>
    <row r="30305" spans="13:13">
      <c r="M30305" s="202"/>
    </row>
    <row r="30306" spans="13:13">
      <c r="M30306" s="202"/>
    </row>
    <row r="30307" spans="13:13">
      <c r="M30307" s="202"/>
    </row>
    <row r="30308" spans="13:13">
      <c r="M30308" s="202"/>
    </row>
    <row r="30309" spans="13:13">
      <c r="M30309" s="202"/>
    </row>
    <row r="30310" spans="13:13">
      <c r="M30310" s="202"/>
    </row>
    <row r="30311" spans="13:13">
      <c r="M30311" s="202"/>
    </row>
    <row r="30312" spans="13:13">
      <c r="M30312" s="202"/>
    </row>
    <row r="30313" spans="13:13">
      <c r="M30313" s="202"/>
    </row>
    <row r="30314" spans="13:13">
      <c r="M30314" s="202"/>
    </row>
    <row r="30315" spans="13:13">
      <c r="M30315" s="202"/>
    </row>
    <row r="30316" spans="13:13">
      <c r="M30316" s="202"/>
    </row>
    <row r="30317" spans="13:13">
      <c r="M30317" s="202"/>
    </row>
    <row r="30318" spans="13:13">
      <c r="M30318" s="202"/>
    </row>
    <row r="30319" spans="13:13">
      <c r="M30319" s="202"/>
    </row>
    <row r="30320" spans="13:13">
      <c r="M30320" s="202"/>
    </row>
    <row r="30321" spans="13:13">
      <c r="M30321" s="202"/>
    </row>
    <row r="30322" spans="13:13">
      <c r="M30322" s="202"/>
    </row>
    <row r="30323" spans="13:13">
      <c r="M30323" s="202"/>
    </row>
    <row r="30324" spans="13:13">
      <c r="M30324" s="202"/>
    </row>
    <row r="30325" spans="13:13">
      <c r="M30325" s="202"/>
    </row>
    <row r="30326" spans="13:13">
      <c r="M30326" s="202"/>
    </row>
    <row r="30327" spans="13:13">
      <c r="M30327" s="202"/>
    </row>
    <row r="30328" spans="13:13">
      <c r="M30328" s="202"/>
    </row>
    <row r="30329" spans="13:13">
      <c r="M30329" s="202"/>
    </row>
    <row r="30330" spans="13:13">
      <c r="M30330" s="202"/>
    </row>
    <row r="30331" spans="13:13">
      <c r="M30331" s="202"/>
    </row>
    <row r="30332" spans="13:13">
      <c r="M30332" s="202"/>
    </row>
    <row r="30333" spans="13:13">
      <c r="M30333" s="202"/>
    </row>
    <row r="30334" spans="13:13">
      <c r="M30334" s="202"/>
    </row>
    <row r="30335" spans="13:13">
      <c r="M30335" s="202"/>
    </row>
    <row r="30336" spans="13:13">
      <c r="M30336" s="202"/>
    </row>
    <row r="30337" spans="13:13">
      <c r="M30337" s="202"/>
    </row>
    <row r="30338" spans="13:13">
      <c r="M30338" s="202"/>
    </row>
    <row r="30339" spans="13:13">
      <c r="M30339" s="202"/>
    </row>
    <row r="30340" spans="13:13">
      <c r="M30340" s="202"/>
    </row>
    <row r="30341" spans="13:13">
      <c r="M30341" s="202"/>
    </row>
    <row r="30342" spans="13:13">
      <c r="M30342" s="202"/>
    </row>
    <row r="30343" spans="13:13">
      <c r="M30343" s="202"/>
    </row>
    <row r="30344" spans="13:13">
      <c r="M30344" s="202"/>
    </row>
    <row r="30345" spans="13:13">
      <c r="M30345" s="202"/>
    </row>
    <row r="30346" spans="13:13">
      <c r="M30346" s="202"/>
    </row>
    <row r="30347" spans="13:13">
      <c r="M30347" s="202"/>
    </row>
    <row r="30348" spans="13:13">
      <c r="M30348" s="202"/>
    </row>
    <row r="30349" spans="13:13">
      <c r="M30349" s="202"/>
    </row>
    <row r="30350" spans="13:13">
      <c r="M30350" s="202"/>
    </row>
    <row r="30351" spans="13:13">
      <c r="M30351" s="202"/>
    </row>
    <row r="30352" spans="13:13">
      <c r="M30352" s="202"/>
    </row>
    <row r="30353" spans="13:13">
      <c r="M30353" s="202"/>
    </row>
    <row r="30354" spans="13:13">
      <c r="M30354" s="202"/>
    </row>
    <row r="30355" spans="13:13">
      <c r="M30355" s="202"/>
    </row>
    <row r="30356" spans="13:13">
      <c r="M30356" s="202"/>
    </row>
    <row r="30357" spans="13:13">
      <c r="M30357" s="202"/>
    </row>
    <row r="30358" spans="13:13">
      <c r="M30358" s="202"/>
    </row>
    <row r="30359" spans="13:13">
      <c r="M30359" s="202"/>
    </row>
    <row r="30360" spans="13:13">
      <c r="M30360" s="202"/>
    </row>
    <row r="30361" spans="13:13">
      <c r="M30361" s="202"/>
    </row>
    <row r="30362" spans="13:13">
      <c r="M30362" s="202"/>
    </row>
    <row r="30363" spans="13:13">
      <c r="M30363" s="202"/>
    </row>
    <row r="30364" spans="13:13">
      <c r="M30364" s="202"/>
    </row>
    <row r="30365" spans="13:13">
      <c r="M30365" s="202"/>
    </row>
    <row r="30366" spans="13:13">
      <c r="M30366" s="202"/>
    </row>
    <row r="30367" spans="13:13">
      <c r="M30367" s="202"/>
    </row>
    <row r="30368" spans="13:13">
      <c r="M30368" s="202"/>
    </row>
    <row r="30369" spans="13:13">
      <c r="M30369" s="202"/>
    </row>
    <row r="30370" spans="13:13">
      <c r="M30370" s="202"/>
    </row>
    <row r="30371" spans="13:13">
      <c r="M30371" s="202"/>
    </row>
    <row r="30372" spans="13:13">
      <c r="M30372" s="202"/>
    </row>
    <row r="30373" spans="13:13">
      <c r="M30373" s="202"/>
    </row>
    <row r="30374" spans="13:13">
      <c r="M30374" s="202"/>
    </row>
    <row r="30375" spans="13:13">
      <c r="M30375" s="202"/>
    </row>
    <row r="30376" spans="13:13">
      <c r="M30376" s="202"/>
    </row>
    <row r="30377" spans="13:13">
      <c r="M30377" s="202"/>
    </row>
    <row r="30378" spans="13:13">
      <c r="M30378" s="202"/>
    </row>
    <row r="30379" spans="13:13">
      <c r="M30379" s="202"/>
    </row>
    <row r="30380" spans="13:13">
      <c r="M30380" s="202"/>
    </row>
    <row r="30381" spans="13:13">
      <c r="M30381" s="202"/>
    </row>
    <row r="30382" spans="13:13">
      <c r="M30382" s="202"/>
    </row>
    <row r="30383" spans="13:13">
      <c r="M30383" s="202"/>
    </row>
    <row r="30384" spans="13:13">
      <c r="M30384" s="202"/>
    </row>
    <row r="30385" spans="13:13">
      <c r="M30385" s="202"/>
    </row>
    <row r="30386" spans="13:13">
      <c r="M30386" s="202"/>
    </row>
    <row r="30387" spans="13:13">
      <c r="M30387" s="202"/>
    </row>
    <row r="30388" spans="13:13">
      <c r="M30388" s="202"/>
    </row>
    <row r="30389" spans="13:13">
      <c r="M30389" s="202"/>
    </row>
    <row r="30390" spans="13:13">
      <c r="M30390" s="202"/>
    </row>
    <row r="30391" spans="13:13">
      <c r="M30391" s="202"/>
    </row>
    <row r="30392" spans="13:13">
      <c r="M30392" s="202"/>
    </row>
    <row r="30393" spans="13:13">
      <c r="M30393" s="202"/>
    </row>
    <row r="30394" spans="13:13">
      <c r="M30394" s="202"/>
    </row>
    <row r="30395" spans="13:13">
      <c r="M30395" s="202"/>
    </row>
    <row r="30396" spans="13:13">
      <c r="M30396" s="202"/>
    </row>
    <row r="30397" spans="13:13">
      <c r="M30397" s="202"/>
    </row>
    <row r="30398" spans="13:13">
      <c r="M30398" s="202"/>
    </row>
    <row r="30399" spans="13:13">
      <c r="M30399" s="202"/>
    </row>
    <row r="30400" spans="13:13">
      <c r="M30400" s="202"/>
    </row>
    <row r="30401" spans="13:13">
      <c r="M30401" s="202"/>
    </row>
    <row r="30402" spans="13:13">
      <c r="M30402" s="202"/>
    </row>
    <row r="30403" spans="13:13">
      <c r="M30403" s="202"/>
    </row>
    <row r="30404" spans="13:13">
      <c r="M30404" s="202"/>
    </row>
    <row r="30405" spans="13:13">
      <c r="M30405" s="202"/>
    </row>
    <row r="30406" spans="13:13">
      <c r="M30406" s="202"/>
    </row>
    <row r="30407" spans="13:13">
      <c r="M30407" s="202"/>
    </row>
    <row r="30408" spans="13:13">
      <c r="M30408" s="202"/>
    </row>
    <row r="30409" spans="13:13">
      <c r="M30409" s="202"/>
    </row>
    <row r="30410" spans="13:13">
      <c r="M30410" s="202"/>
    </row>
    <row r="30411" spans="13:13">
      <c r="M30411" s="202"/>
    </row>
    <row r="30412" spans="13:13">
      <c r="M30412" s="202"/>
    </row>
    <row r="30413" spans="13:13">
      <c r="M30413" s="202"/>
    </row>
    <row r="30414" spans="13:13">
      <c r="M30414" s="202"/>
    </row>
    <row r="30415" spans="13:13">
      <c r="M30415" s="202"/>
    </row>
    <row r="30416" spans="13:13">
      <c r="M30416" s="202"/>
    </row>
    <row r="30417" spans="13:13">
      <c r="M30417" s="202"/>
    </row>
    <row r="30418" spans="13:13">
      <c r="M30418" s="202"/>
    </row>
    <row r="30419" spans="13:13">
      <c r="M30419" s="202"/>
    </row>
    <row r="30420" spans="13:13">
      <c r="M30420" s="202"/>
    </row>
    <row r="30421" spans="13:13">
      <c r="M30421" s="202"/>
    </row>
    <row r="30422" spans="13:13">
      <c r="M30422" s="202"/>
    </row>
    <row r="30423" spans="13:13">
      <c r="M30423" s="202"/>
    </row>
    <row r="30424" spans="13:13">
      <c r="M30424" s="202"/>
    </row>
    <row r="30425" spans="13:13">
      <c r="M30425" s="202"/>
    </row>
    <row r="30426" spans="13:13">
      <c r="M30426" s="202"/>
    </row>
    <row r="30427" spans="13:13">
      <c r="M30427" s="202"/>
    </row>
    <row r="30428" spans="13:13">
      <c r="M30428" s="202"/>
    </row>
    <row r="30429" spans="13:13">
      <c r="M30429" s="202"/>
    </row>
    <row r="30430" spans="13:13">
      <c r="M30430" s="202"/>
    </row>
    <row r="30431" spans="13:13">
      <c r="M30431" s="202"/>
    </row>
    <row r="30432" spans="13:13">
      <c r="M30432" s="202"/>
    </row>
    <row r="30433" spans="13:13">
      <c r="M30433" s="202"/>
    </row>
    <row r="30434" spans="13:13">
      <c r="M30434" s="202"/>
    </row>
    <row r="30435" spans="13:13">
      <c r="M30435" s="202"/>
    </row>
    <row r="30436" spans="13:13">
      <c r="M30436" s="202"/>
    </row>
    <row r="30437" spans="13:13">
      <c r="M30437" s="202"/>
    </row>
    <row r="30438" spans="13:13">
      <c r="M30438" s="202"/>
    </row>
    <row r="30439" spans="13:13">
      <c r="M30439" s="202"/>
    </row>
    <row r="30440" spans="13:13">
      <c r="M30440" s="202"/>
    </row>
    <row r="30441" spans="13:13">
      <c r="M30441" s="202"/>
    </row>
    <row r="30442" spans="13:13">
      <c r="M30442" s="202"/>
    </row>
    <row r="30443" spans="13:13">
      <c r="M30443" s="202"/>
    </row>
    <row r="30444" spans="13:13">
      <c r="M30444" s="202"/>
    </row>
    <row r="30445" spans="13:13">
      <c r="M30445" s="202"/>
    </row>
    <row r="30446" spans="13:13">
      <c r="M30446" s="202"/>
    </row>
    <row r="30447" spans="13:13">
      <c r="M30447" s="202"/>
    </row>
    <row r="30448" spans="13:13">
      <c r="M30448" s="202"/>
    </row>
    <row r="30449" spans="13:13">
      <c r="M30449" s="202"/>
    </row>
    <row r="30450" spans="13:13">
      <c r="M30450" s="202"/>
    </row>
    <row r="30451" spans="13:13">
      <c r="M30451" s="202"/>
    </row>
    <row r="30452" spans="13:13">
      <c r="M30452" s="202"/>
    </row>
    <row r="30453" spans="13:13">
      <c r="M30453" s="202"/>
    </row>
    <row r="30454" spans="13:13">
      <c r="M30454" s="202"/>
    </row>
    <row r="30455" spans="13:13">
      <c r="M30455" s="202"/>
    </row>
    <row r="30456" spans="13:13">
      <c r="M30456" s="202"/>
    </row>
    <row r="30457" spans="13:13">
      <c r="M30457" s="202"/>
    </row>
    <row r="30458" spans="13:13">
      <c r="M30458" s="202"/>
    </row>
    <row r="30459" spans="13:13">
      <c r="M30459" s="202"/>
    </row>
    <row r="30460" spans="13:13">
      <c r="M30460" s="202"/>
    </row>
    <row r="30461" spans="13:13">
      <c r="M30461" s="202"/>
    </row>
    <row r="30462" spans="13:13">
      <c r="M30462" s="202"/>
    </row>
    <row r="30463" spans="13:13">
      <c r="M30463" s="202"/>
    </row>
    <row r="30464" spans="13:13">
      <c r="M30464" s="202"/>
    </row>
    <row r="30465" spans="13:13">
      <c r="M30465" s="202"/>
    </row>
    <row r="30466" spans="13:13">
      <c r="M30466" s="202"/>
    </row>
    <row r="30467" spans="13:13">
      <c r="M30467" s="202"/>
    </row>
    <row r="30468" spans="13:13">
      <c r="M30468" s="202"/>
    </row>
    <row r="30469" spans="13:13">
      <c r="M30469" s="202"/>
    </row>
    <row r="30470" spans="13:13">
      <c r="M30470" s="202"/>
    </row>
    <row r="30471" spans="13:13">
      <c r="M30471" s="202"/>
    </row>
    <row r="30472" spans="13:13">
      <c r="M30472" s="202"/>
    </row>
    <row r="30473" spans="13:13">
      <c r="M30473" s="202"/>
    </row>
    <row r="30474" spans="13:13">
      <c r="M30474" s="202"/>
    </row>
    <row r="30475" spans="13:13">
      <c r="M30475" s="202"/>
    </row>
    <row r="30476" spans="13:13">
      <c r="M30476" s="202"/>
    </row>
    <row r="30477" spans="13:13">
      <c r="M30477" s="202"/>
    </row>
    <row r="30478" spans="13:13">
      <c r="M30478" s="202"/>
    </row>
    <row r="30479" spans="13:13">
      <c r="M30479" s="202"/>
    </row>
    <row r="30480" spans="13:13">
      <c r="M30480" s="202"/>
    </row>
    <row r="30481" spans="13:13">
      <c r="M30481" s="202"/>
    </row>
    <row r="30482" spans="13:13">
      <c r="M30482" s="202"/>
    </row>
    <row r="30483" spans="13:13">
      <c r="M30483" s="202"/>
    </row>
    <row r="30484" spans="13:13">
      <c r="M30484" s="202"/>
    </row>
    <row r="30485" spans="13:13">
      <c r="M30485" s="202"/>
    </row>
    <row r="30486" spans="13:13">
      <c r="M30486" s="202"/>
    </row>
    <row r="30487" spans="13:13">
      <c r="M30487" s="202"/>
    </row>
    <row r="30488" spans="13:13">
      <c r="M30488" s="202"/>
    </row>
    <row r="30489" spans="13:13">
      <c r="M30489" s="202"/>
    </row>
    <row r="30490" spans="13:13">
      <c r="M30490" s="202"/>
    </row>
    <row r="30491" spans="13:13">
      <c r="M30491" s="202"/>
    </row>
    <row r="30492" spans="13:13">
      <c r="M30492" s="202"/>
    </row>
    <row r="30493" spans="13:13">
      <c r="M30493" s="202"/>
    </row>
    <row r="30494" spans="13:13">
      <c r="M30494" s="202"/>
    </row>
    <row r="30495" spans="13:13">
      <c r="M30495" s="202"/>
    </row>
    <row r="30496" spans="13:13">
      <c r="M30496" s="202"/>
    </row>
    <row r="30497" spans="13:13">
      <c r="M30497" s="202"/>
    </row>
    <row r="30498" spans="13:13">
      <c r="M30498" s="202"/>
    </row>
    <row r="30499" spans="13:13">
      <c r="M30499" s="202"/>
    </row>
    <row r="30500" spans="13:13">
      <c r="M30500" s="202"/>
    </row>
    <row r="30501" spans="13:13">
      <c r="M30501" s="202"/>
    </row>
    <row r="30502" spans="13:13">
      <c r="M30502" s="202"/>
    </row>
    <row r="30503" spans="13:13">
      <c r="M30503" s="202"/>
    </row>
    <row r="30504" spans="13:13">
      <c r="M30504" s="202"/>
    </row>
    <row r="30505" spans="13:13">
      <c r="M30505" s="202"/>
    </row>
    <row r="30506" spans="13:13">
      <c r="M30506" s="202"/>
    </row>
    <row r="30507" spans="13:13">
      <c r="M30507" s="202"/>
    </row>
    <row r="30508" spans="13:13">
      <c r="M30508" s="202"/>
    </row>
    <row r="30509" spans="13:13">
      <c r="M30509" s="202"/>
    </row>
    <row r="30510" spans="13:13">
      <c r="M30510" s="202"/>
    </row>
    <row r="30511" spans="13:13">
      <c r="M30511" s="202"/>
    </row>
    <row r="30512" spans="13:13">
      <c r="M30512" s="202"/>
    </row>
    <row r="30513" spans="13:13">
      <c r="M30513" s="202"/>
    </row>
    <row r="30514" spans="13:13">
      <c r="M30514" s="202"/>
    </row>
    <row r="30515" spans="13:13">
      <c r="M30515" s="202"/>
    </row>
    <row r="30516" spans="13:13">
      <c r="M30516" s="202"/>
    </row>
    <row r="30517" spans="13:13">
      <c r="M30517" s="202"/>
    </row>
    <row r="30518" spans="13:13">
      <c r="M30518" s="202"/>
    </row>
    <row r="30519" spans="13:13">
      <c r="M30519" s="202"/>
    </row>
    <row r="30520" spans="13:13">
      <c r="M30520" s="202"/>
    </row>
    <row r="30521" spans="13:13">
      <c r="M30521" s="202"/>
    </row>
    <row r="30522" spans="13:13">
      <c r="M30522" s="202"/>
    </row>
    <row r="30523" spans="13:13">
      <c r="M30523" s="202"/>
    </row>
    <row r="30524" spans="13:13">
      <c r="M30524" s="202"/>
    </row>
    <row r="30525" spans="13:13">
      <c r="M30525" s="202"/>
    </row>
    <row r="30526" spans="13:13">
      <c r="M30526" s="202"/>
    </row>
    <row r="30527" spans="13:13">
      <c r="M30527" s="202"/>
    </row>
    <row r="30528" spans="13:13">
      <c r="M30528" s="202"/>
    </row>
    <row r="30529" spans="13:13">
      <c r="M30529" s="202"/>
    </row>
    <row r="30530" spans="13:13">
      <c r="M30530" s="202"/>
    </row>
    <row r="30531" spans="13:13">
      <c r="M30531" s="202"/>
    </row>
    <row r="30532" spans="13:13">
      <c r="M30532" s="202"/>
    </row>
    <row r="30533" spans="13:13">
      <c r="M30533" s="202"/>
    </row>
    <row r="30534" spans="13:13">
      <c r="M30534" s="202"/>
    </row>
    <row r="30535" spans="13:13">
      <c r="M30535" s="202"/>
    </row>
    <row r="30536" spans="13:13">
      <c r="M30536" s="202"/>
    </row>
    <row r="30537" spans="13:13">
      <c r="M30537" s="202"/>
    </row>
    <row r="30538" spans="13:13">
      <c r="M30538" s="202"/>
    </row>
    <row r="30539" spans="13:13">
      <c r="M30539" s="202"/>
    </row>
    <row r="30540" spans="13:13">
      <c r="M30540" s="202"/>
    </row>
    <row r="30541" spans="13:13">
      <c r="M30541" s="202"/>
    </row>
    <row r="30542" spans="13:13">
      <c r="M30542" s="202"/>
    </row>
    <row r="30543" spans="13:13">
      <c r="M30543" s="202"/>
    </row>
    <row r="30544" spans="13:13">
      <c r="M30544" s="202"/>
    </row>
    <row r="30545" spans="13:13">
      <c r="M30545" s="202"/>
    </row>
    <row r="30546" spans="13:13">
      <c r="M30546" s="202"/>
    </row>
    <row r="30547" spans="13:13">
      <c r="M30547" s="202"/>
    </row>
    <row r="30548" spans="13:13">
      <c r="M30548" s="202"/>
    </row>
    <row r="30549" spans="13:13">
      <c r="M30549" s="202"/>
    </row>
    <row r="30550" spans="13:13">
      <c r="M30550" s="202"/>
    </row>
    <row r="30551" spans="13:13">
      <c r="M30551" s="202"/>
    </row>
    <row r="30552" spans="13:13">
      <c r="M30552" s="202"/>
    </row>
    <row r="30553" spans="13:13">
      <c r="M30553" s="202"/>
    </row>
    <row r="30554" spans="13:13">
      <c r="M30554" s="202"/>
    </row>
    <row r="30555" spans="13:13">
      <c r="M30555" s="202"/>
    </row>
    <row r="30556" spans="13:13">
      <c r="M30556" s="202"/>
    </row>
    <row r="30557" spans="13:13">
      <c r="M30557" s="202"/>
    </row>
    <row r="30558" spans="13:13">
      <c r="M30558" s="202"/>
    </row>
    <row r="30559" spans="13:13">
      <c r="M30559" s="202"/>
    </row>
    <row r="30560" spans="13:13">
      <c r="M30560" s="202"/>
    </row>
    <row r="30561" spans="13:13">
      <c r="M30561" s="202"/>
    </row>
    <row r="30562" spans="13:13">
      <c r="M30562" s="202"/>
    </row>
    <row r="30563" spans="13:13">
      <c r="M30563" s="202"/>
    </row>
    <row r="30564" spans="13:13">
      <c r="M30564" s="202"/>
    </row>
    <row r="30565" spans="13:13">
      <c r="M30565" s="202"/>
    </row>
    <row r="30566" spans="13:13">
      <c r="M30566" s="202"/>
    </row>
    <row r="30567" spans="13:13">
      <c r="M30567" s="202"/>
    </row>
    <row r="30568" spans="13:13">
      <c r="M30568" s="202"/>
    </row>
    <row r="30569" spans="13:13">
      <c r="M30569" s="202"/>
    </row>
    <row r="30570" spans="13:13">
      <c r="M30570" s="202"/>
    </row>
    <row r="30571" spans="13:13">
      <c r="M30571" s="202"/>
    </row>
    <row r="30572" spans="13:13">
      <c r="M30572" s="202"/>
    </row>
    <row r="30573" spans="13:13">
      <c r="M30573" s="202"/>
    </row>
    <row r="30574" spans="13:13">
      <c r="M30574" s="202"/>
    </row>
    <row r="30575" spans="13:13">
      <c r="M30575" s="202"/>
    </row>
    <row r="30576" spans="13:13">
      <c r="M30576" s="202"/>
    </row>
    <row r="30577" spans="13:13">
      <c r="M30577" s="202"/>
    </row>
    <row r="30578" spans="13:13">
      <c r="M30578" s="202"/>
    </row>
    <row r="30579" spans="13:13">
      <c r="M30579" s="202"/>
    </row>
    <row r="30580" spans="13:13">
      <c r="M30580" s="202"/>
    </row>
    <row r="30581" spans="13:13">
      <c r="M30581" s="202"/>
    </row>
    <row r="30582" spans="13:13">
      <c r="M30582" s="202"/>
    </row>
    <row r="30583" spans="13:13">
      <c r="M30583" s="202"/>
    </row>
    <row r="30584" spans="13:13">
      <c r="M30584" s="202"/>
    </row>
    <row r="30585" spans="13:13">
      <c r="M30585" s="202"/>
    </row>
    <row r="30586" spans="13:13">
      <c r="M30586" s="202"/>
    </row>
    <row r="30587" spans="13:13">
      <c r="M30587" s="202"/>
    </row>
    <row r="30588" spans="13:13">
      <c r="M30588" s="202"/>
    </row>
    <row r="30589" spans="13:13">
      <c r="M30589" s="202"/>
    </row>
    <row r="30590" spans="13:13">
      <c r="M30590" s="202"/>
    </row>
    <row r="30591" spans="13:13">
      <c r="M30591" s="202"/>
    </row>
    <row r="30592" spans="13:13">
      <c r="M30592" s="202"/>
    </row>
    <row r="30593" spans="13:13">
      <c r="M30593" s="202"/>
    </row>
    <row r="30594" spans="13:13">
      <c r="M30594" s="202"/>
    </row>
    <row r="30595" spans="13:13">
      <c r="M30595" s="202"/>
    </row>
    <row r="30596" spans="13:13">
      <c r="M30596" s="202"/>
    </row>
    <row r="30597" spans="13:13">
      <c r="M30597" s="202"/>
    </row>
    <row r="30598" spans="13:13">
      <c r="M30598" s="202"/>
    </row>
    <row r="30599" spans="13:13">
      <c r="M30599" s="202"/>
    </row>
    <row r="30600" spans="13:13">
      <c r="M30600" s="202"/>
    </row>
    <row r="30601" spans="13:13">
      <c r="M30601" s="202"/>
    </row>
    <row r="30602" spans="13:13">
      <c r="M30602" s="202"/>
    </row>
    <row r="30603" spans="13:13">
      <c r="M30603" s="202"/>
    </row>
    <row r="30604" spans="13:13">
      <c r="M30604" s="202"/>
    </row>
    <row r="30605" spans="13:13">
      <c r="M30605" s="202"/>
    </row>
    <row r="30606" spans="13:13">
      <c r="M30606" s="202"/>
    </row>
    <row r="30607" spans="13:13">
      <c r="M30607" s="202"/>
    </row>
    <row r="30608" spans="13:13">
      <c r="M30608" s="202"/>
    </row>
    <row r="30609" spans="13:13">
      <c r="M30609" s="202"/>
    </row>
    <row r="30610" spans="13:13">
      <c r="M30610" s="202"/>
    </row>
    <row r="30611" spans="13:13">
      <c r="M30611" s="202"/>
    </row>
    <row r="30612" spans="13:13">
      <c r="M30612" s="202"/>
    </row>
    <row r="30613" spans="13:13">
      <c r="M30613" s="202"/>
    </row>
    <row r="30614" spans="13:13">
      <c r="M30614" s="202"/>
    </row>
    <row r="30615" spans="13:13">
      <c r="M30615" s="202"/>
    </row>
    <row r="30616" spans="13:13">
      <c r="M30616" s="202"/>
    </row>
    <row r="30617" spans="13:13">
      <c r="M30617" s="202"/>
    </row>
    <row r="30618" spans="13:13">
      <c r="M30618" s="202"/>
    </row>
    <row r="30619" spans="13:13">
      <c r="M30619" s="202"/>
    </row>
    <row r="30620" spans="13:13">
      <c r="M30620" s="202"/>
    </row>
    <row r="30621" spans="13:13">
      <c r="M30621" s="202"/>
    </row>
    <row r="30622" spans="13:13">
      <c r="M30622" s="202"/>
    </row>
    <row r="30623" spans="13:13">
      <c r="M30623" s="202"/>
    </row>
    <row r="30624" spans="13:13">
      <c r="M30624" s="202"/>
    </row>
    <row r="30625" spans="13:13">
      <c r="M30625" s="202"/>
    </row>
    <row r="30626" spans="13:13">
      <c r="M30626" s="202"/>
    </row>
    <row r="30627" spans="13:13">
      <c r="M30627" s="202"/>
    </row>
    <row r="30628" spans="13:13">
      <c r="M30628" s="202"/>
    </row>
    <row r="30629" spans="13:13">
      <c r="M30629" s="202"/>
    </row>
    <row r="30630" spans="13:13">
      <c r="M30630" s="202"/>
    </row>
    <row r="30631" spans="13:13">
      <c r="M30631" s="202"/>
    </row>
    <row r="30632" spans="13:13">
      <c r="M30632" s="202"/>
    </row>
    <row r="30633" spans="13:13">
      <c r="M30633" s="202"/>
    </row>
    <row r="30634" spans="13:13">
      <c r="M30634" s="202"/>
    </row>
    <row r="30635" spans="13:13">
      <c r="M30635" s="202"/>
    </row>
    <row r="30636" spans="13:13">
      <c r="M30636" s="202"/>
    </row>
    <row r="30637" spans="13:13">
      <c r="M30637" s="202"/>
    </row>
    <row r="30638" spans="13:13">
      <c r="M30638" s="202"/>
    </row>
    <row r="30639" spans="13:13">
      <c r="M30639" s="202"/>
    </row>
    <row r="30640" spans="13:13">
      <c r="M30640" s="202"/>
    </row>
    <row r="30641" spans="13:13">
      <c r="M30641" s="202"/>
    </row>
    <row r="30642" spans="13:13">
      <c r="M30642" s="202"/>
    </row>
    <row r="30643" spans="13:13">
      <c r="M30643" s="202"/>
    </row>
    <row r="30644" spans="13:13">
      <c r="M30644" s="202"/>
    </row>
    <row r="30645" spans="13:13">
      <c r="M30645" s="202"/>
    </row>
    <row r="30646" spans="13:13">
      <c r="M30646" s="202"/>
    </row>
    <row r="30647" spans="13:13">
      <c r="M30647" s="202"/>
    </row>
    <row r="30648" spans="13:13">
      <c r="M30648" s="202"/>
    </row>
    <row r="30649" spans="13:13">
      <c r="M30649" s="202"/>
    </row>
    <row r="30650" spans="13:13">
      <c r="M30650" s="202"/>
    </row>
    <row r="30651" spans="13:13">
      <c r="M30651" s="202"/>
    </row>
    <row r="30652" spans="13:13">
      <c r="M30652" s="202"/>
    </row>
    <row r="30653" spans="13:13">
      <c r="M30653" s="202"/>
    </row>
    <row r="30654" spans="13:13">
      <c r="M30654" s="202"/>
    </row>
    <row r="30655" spans="13:13">
      <c r="M30655" s="202"/>
    </row>
    <row r="30656" spans="13:13">
      <c r="M30656" s="202"/>
    </row>
    <row r="30657" spans="13:13">
      <c r="M30657" s="202"/>
    </row>
    <row r="30658" spans="13:13">
      <c r="M30658" s="202"/>
    </row>
    <row r="30659" spans="13:13">
      <c r="M30659" s="202"/>
    </row>
    <row r="30660" spans="13:13">
      <c r="M30660" s="202"/>
    </row>
    <row r="30661" spans="13:13">
      <c r="M30661" s="202"/>
    </row>
    <row r="30662" spans="13:13">
      <c r="M30662" s="202"/>
    </row>
    <row r="30663" spans="13:13">
      <c r="M30663" s="202"/>
    </row>
    <row r="30664" spans="13:13">
      <c r="M30664" s="202"/>
    </row>
    <row r="30665" spans="13:13">
      <c r="M30665" s="202"/>
    </row>
    <row r="30666" spans="13:13">
      <c r="M30666" s="202"/>
    </row>
    <row r="30667" spans="13:13">
      <c r="M30667" s="202"/>
    </row>
    <row r="30668" spans="13:13">
      <c r="M30668" s="202"/>
    </row>
    <row r="30669" spans="13:13">
      <c r="M30669" s="202"/>
    </row>
    <row r="30670" spans="13:13">
      <c r="M30670" s="202"/>
    </row>
    <row r="30671" spans="13:13">
      <c r="M30671" s="202"/>
    </row>
    <row r="30672" spans="13:13">
      <c r="M30672" s="202"/>
    </row>
    <row r="30673" spans="13:13">
      <c r="M30673" s="202"/>
    </row>
    <row r="30674" spans="13:13">
      <c r="M30674" s="202"/>
    </row>
    <row r="30675" spans="13:13">
      <c r="M30675" s="202"/>
    </row>
    <row r="30676" spans="13:13">
      <c r="M30676" s="202"/>
    </row>
    <row r="30677" spans="13:13">
      <c r="M30677" s="202"/>
    </row>
    <row r="30678" spans="13:13">
      <c r="M30678" s="202"/>
    </row>
    <row r="30679" spans="13:13">
      <c r="M30679" s="202"/>
    </row>
    <row r="30680" spans="13:13">
      <c r="M30680" s="202"/>
    </row>
    <row r="30681" spans="13:13">
      <c r="M30681" s="202"/>
    </row>
    <row r="30682" spans="13:13">
      <c r="M30682" s="202"/>
    </row>
    <row r="30683" spans="13:13">
      <c r="M30683" s="202"/>
    </row>
    <row r="30684" spans="13:13">
      <c r="M30684" s="202"/>
    </row>
    <row r="30685" spans="13:13">
      <c r="M30685" s="202"/>
    </row>
    <row r="30686" spans="13:13">
      <c r="M30686" s="202"/>
    </row>
    <row r="30687" spans="13:13">
      <c r="M30687" s="202"/>
    </row>
    <row r="30688" spans="13:13">
      <c r="M30688" s="202"/>
    </row>
    <row r="30689" spans="13:13">
      <c r="M30689" s="202"/>
    </row>
    <row r="30690" spans="13:13">
      <c r="M30690" s="202"/>
    </row>
    <row r="30691" spans="13:13">
      <c r="M30691" s="202"/>
    </row>
    <row r="30692" spans="13:13">
      <c r="M30692" s="202"/>
    </row>
    <row r="30693" spans="13:13">
      <c r="M30693" s="202"/>
    </row>
    <row r="30694" spans="13:13">
      <c r="M30694" s="202"/>
    </row>
    <row r="30695" spans="13:13">
      <c r="M30695" s="202"/>
    </row>
    <row r="30696" spans="13:13">
      <c r="M30696" s="202"/>
    </row>
    <row r="30697" spans="13:13">
      <c r="M30697" s="202"/>
    </row>
    <row r="30698" spans="13:13">
      <c r="M30698" s="202"/>
    </row>
    <row r="30699" spans="13:13">
      <c r="M30699" s="202"/>
    </row>
    <row r="30700" spans="13:13">
      <c r="M30700" s="202"/>
    </row>
    <row r="30701" spans="13:13">
      <c r="M30701" s="202"/>
    </row>
    <row r="30702" spans="13:13">
      <c r="M30702" s="202"/>
    </row>
    <row r="30703" spans="13:13">
      <c r="M30703" s="202"/>
    </row>
    <row r="30704" spans="13:13">
      <c r="M30704" s="202"/>
    </row>
    <row r="30705" spans="13:13">
      <c r="M30705" s="202"/>
    </row>
    <row r="30706" spans="13:13">
      <c r="M30706" s="202"/>
    </row>
    <row r="30707" spans="13:13">
      <c r="M30707" s="202"/>
    </row>
    <row r="30708" spans="13:13">
      <c r="M30708" s="202"/>
    </row>
    <row r="30709" spans="13:13">
      <c r="M30709" s="202"/>
    </row>
    <row r="30710" spans="13:13">
      <c r="M30710" s="202"/>
    </row>
    <row r="30711" spans="13:13">
      <c r="M30711" s="202"/>
    </row>
    <row r="30712" spans="13:13">
      <c r="M30712" s="202"/>
    </row>
    <row r="30713" spans="13:13">
      <c r="M30713" s="202"/>
    </row>
    <row r="30714" spans="13:13">
      <c r="M30714" s="202"/>
    </row>
    <row r="30715" spans="13:13">
      <c r="M30715" s="202"/>
    </row>
    <row r="30716" spans="13:13">
      <c r="M30716" s="202"/>
    </row>
    <row r="30717" spans="13:13">
      <c r="M30717" s="202"/>
    </row>
    <row r="30718" spans="13:13">
      <c r="M30718" s="202"/>
    </row>
    <row r="30719" spans="13:13">
      <c r="M30719" s="202"/>
    </row>
    <row r="30720" spans="13:13">
      <c r="M30720" s="202"/>
    </row>
    <row r="30721" spans="13:13">
      <c r="M30721" s="202"/>
    </row>
    <row r="30722" spans="13:13">
      <c r="M30722" s="202"/>
    </row>
    <row r="30723" spans="13:13">
      <c r="M30723" s="202"/>
    </row>
    <row r="30724" spans="13:13">
      <c r="M30724" s="202"/>
    </row>
    <row r="30725" spans="13:13">
      <c r="M30725" s="202"/>
    </row>
    <row r="30726" spans="13:13">
      <c r="M30726" s="202"/>
    </row>
    <row r="30727" spans="13:13">
      <c r="M30727" s="202"/>
    </row>
    <row r="30728" spans="13:13">
      <c r="M30728" s="202"/>
    </row>
    <row r="30729" spans="13:13">
      <c r="M30729" s="202"/>
    </row>
    <row r="30730" spans="13:13">
      <c r="M30730" s="202"/>
    </row>
    <row r="30731" spans="13:13">
      <c r="M30731" s="202"/>
    </row>
    <row r="30732" spans="13:13">
      <c r="M30732" s="202"/>
    </row>
    <row r="30733" spans="13:13">
      <c r="M30733" s="202"/>
    </row>
    <row r="30734" spans="13:13">
      <c r="M30734" s="202"/>
    </row>
    <row r="30735" spans="13:13">
      <c r="M30735" s="202"/>
    </row>
    <row r="30736" spans="13:13">
      <c r="M30736" s="202"/>
    </row>
    <row r="30737" spans="13:13">
      <c r="M30737" s="202"/>
    </row>
    <row r="30738" spans="13:13">
      <c r="M30738" s="202"/>
    </row>
    <row r="30739" spans="13:13">
      <c r="M30739" s="202"/>
    </row>
    <row r="30740" spans="13:13">
      <c r="M30740" s="202"/>
    </row>
    <row r="30741" spans="13:13">
      <c r="M30741" s="202"/>
    </row>
    <row r="30742" spans="13:13">
      <c r="M30742" s="202"/>
    </row>
    <row r="30743" spans="13:13">
      <c r="M30743" s="202"/>
    </row>
    <row r="30744" spans="13:13">
      <c r="M30744" s="202"/>
    </row>
    <row r="30745" spans="13:13">
      <c r="M30745" s="202"/>
    </row>
    <row r="30746" spans="13:13">
      <c r="M30746" s="202"/>
    </row>
    <row r="30747" spans="13:13">
      <c r="M30747" s="202"/>
    </row>
    <row r="30748" spans="13:13">
      <c r="M30748" s="202"/>
    </row>
    <row r="30749" spans="13:13">
      <c r="M30749" s="202"/>
    </row>
    <row r="30750" spans="13:13">
      <c r="M30750" s="202"/>
    </row>
    <row r="30751" spans="13:13">
      <c r="M30751" s="202"/>
    </row>
    <row r="30752" spans="13:13">
      <c r="M30752" s="202"/>
    </row>
    <row r="30753" spans="13:13">
      <c r="M30753" s="202"/>
    </row>
    <row r="30754" spans="13:13">
      <c r="M30754" s="202"/>
    </row>
    <row r="30755" spans="13:13">
      <c r="M30755" s="202"/>
    </row>
    <row r="30756" spans="13:13">
      <c r="M30756" s="202"/>
    </row>
    <row r="30757" spans="13:13">
      <c r="M30757" s="202"/>
    </row>
    <row r="30758" spans="13:13">
      <c r="M30758" s="202"/>
    </row>
    <row r="30759" spans="13:13">
      <c r="M30759" s="202"/>
    </row>
    <row r="30760" spans="13:13">
      <c r="M30760" s="202"/>
    </row>
    <row r="30761" spans="13:13">
      <c r="M30761" s="202"/>
    </row>
    <row r="30762" spans="13:13">
      <c r="M30762" s="202"/>
    </row>
    <row r="30763" spans="13:13">
      <c r="M30763" s="202"/>
    </row>
    <row r="30764" spans="13:13">
      <c r="M30764" s="202"/>
    </row>
    <row r="30765" spans="13:13">
      <c r="M30765" s="202"/>
    </row>
    <row r="30766" spans="13:13">
      <c r="M30766" s="202"/>
    </row>
    <row r="30767" spans="13:13">
      <c r="M30767" s="202"/>
    </row>
    <row r="30768" spans="13:13">
      <c r="M30768" s="202"/>
    </row>
    <row r="30769" spans="13:13">
      <c r="M30769" s="202"/>
    </row>
    <row r="30770" spans="13:13">
      <c r="M30770" s="202"/>
    </row>
    <row r="30771" spans="13:13">
      <c r="M30771" s="202"/>
    </row>
    <row r="30772" spans="13:13">
      <c r="M30772" s="202"/>
    </row>
    <row r="30773" spans="13:13">
      <c r="M30773" s="202"/>
    </row>
    <row r="30774" spans="13:13">
      <c r="M30774" s="202"/>
    </row>
    <row r="30775" spans="13:13">
      <c r="M30775" s="202"/>
    </row>
    <row r="30776" spans="13:13">
      <c r="M30776" s="202"/>
    </row>
    <row r="30777" spans="13:13">
      <c r="M30777" s="202"/>
    </row>
    <row r="30778" spans="13:13">
      <c r="M30778" s="202"/>
    </row>
    <row r="30779" spans="13:13">
      <c r="M30779" s="202"/>
    </row>
    <row r="30780" spans="13:13">
      <c r="M30780" s="202"/>
    </row>
    <row r="30781" spans="13:13">
      <c r="M30781" s="202"/>
    </row>
    <row r="30782" spans="13:13">
      <c r="M30782" s="202"/>
    </row>
    <row r="30783" spans="13:13">
      <c r="M30783" s="202"/>
    </row>
    <row r="30784" spans="13:13">
      <c r="M30784" s="202"/>
    </row>
    <row r="30785" spans="13:13">
      <c r="M30785" s="202"/>
    </row>
    <row r="30786" spans="13:13">
      <c r="M30786" s="202"/>
    </row>
    <row r="30787" spans="13:13">
      <c r="M30787" s="202"/>
    </row>
    <row r="30788" spans="13:13">
      <c r="M30788" s="202"/>
    </row>
    <row r="30789" spans="13:13">
      <c r="M30789" s="202"/>
    </row>
    <row r="30790" spans="13:13">
      <c r="M30790" s="202"/>
    </row>
    <row r="30791" spans="13:13">
      <c r="M30791" s="202"/>
    </row>
    <row r="30792" spans="13:13">
      <c r="M30792" s="202"/>
    </row>
    <row r="30793" spans="13:13">
      <c r="M30793" s="202"/>
    </row>
    <row r="30794" spans="13:13">
      <c r="M30794" s="202"/>
    </row>
    <row r="30795" spans="13:13">
      <c r="M30795" s="202"/>
    </row>
    <row r="30796" spans="13:13">
      <c r="M30796" s="202"/>
    </row>
    <row r="30797" spans="13:13">
      <c r="M30797" s="202"/>
    </row>
    <row r="30798" spans="13:13">
      <c r="M30798" s="202"/>
    </row>
    <row r="30799" spans="13:13">
      <c r="M30799" s="202"/>
    </row>
    <row r="30800" spans="13:13">
      <c r="M30800" s="202"/>
    </row>
    <row r="30801" spans="13:13">
      <c r="M30801" s="202"/>
    </row>
    <row r="30802" spans="13:13">
      <c r="M30802" s="202"/>
    </row>
    <row r="30803" spans="13:13">
      <c r="M30803" s="202"/>
    </row>
    <row r="30804" spans="13:13">
      <c r="M30804" s="202"/>
    </row>
    <row r="30805" spans="13:13">
      <c r="M30805" s="202"/>
    </row>
    <row r="30806" spans="13:13">
      <c r="M30806" s="202"/>
    </row>
    <row r="30807" spans="13:13">
      <c r="M30807" s="202"/>
    </row>
    <row r="30808" spans="13:13">
      <c r="M30808" s="202"/>
    </row>
    <row r="30809" spans="13:13">
      <c r="M30809" s="202"/>
    </row>
    <row r="30810" spans="13:13">
      <c r="M30810" s="202"/>
    </row>
    <row r="30811" spans="13:13">
      <c r="M30811" s="202"/>
    </row>
    <row r="30812" spans="13:13">
      <c r="M30812" s="202"/>
    </row>
    <row r="30813" spans="13:13">
      <c r="M30813" s="202"/>
    </row>
    <row r="30814" spans="13:13">
      <c r="M30814" s="202"/>
    </row>
    <row r="30815" spans="13:13">
      <c r="M30815" s="202"/>
    </row>
    <row r="30816" spans="13:13">
      <c r="M30816" s="202"/>
    </row>
    <row r="30817" spans="13:13">
      <c r="M30817" s="202"/>
    </row>
    <row r="30818" spans="13:13">
      <c r="M30818" s="202"/>
    </row>
    <row r="30819" spans="13:13">
      <c r="M30819" s="202"/>
    </row>
    <row r="30820" spans="13:13">
      <c r="M30820" s="202"/>
    </row>
    <row r="30821" spans="13:13">
      <c r="M30821" s="202"/>
    </row>
    <row r="30822" spans="13:13">
      <c r="M30822" s="202"/>
    </row>
    <row r="30823" spans="13:13">
      <c r="M30823" s="202"/>
    </row>
    <row r="30824" spans="13:13">
      <c r="M30824" s="202"/>
    </row>
    <row r="30825" spans="13:13">
      <c r="M30825" s="202"/>
    </row>
    <row r="30826" spans="13:13">
      <c r="M30826" s="202"/>
    </row>
    <row r="30827" spans="13:13">
      <c r="M30827" s="202"/>
    </row>
    <row r="30828" spans="13:13">
      <c r="M30828" s="202"/>
    </row>
    <row r="30829" spans="13:13">
      <c r="M30829" s="202"/>
    </row>
    <row r="30830" spans="13:13">
      <c r="M30830" s="202"/>
    </row>
    <row r="30831" spans="13:13">
      <c r="M30831" s="202"/>
    </row>
    <row r="30832" spans="13:13">
      <c r="M30832" s="202"/>
    </row>
    <row r="30833" spans="13:13">
      <c r="M30833" s="202"/>
    </row>
    <row r="30834" spans="13:13">
      <c r="M30834" s="202"/>
    </row>
    <row r="30835" spans="13:13">
      <c r="M30835" s="202"/>
    </row>
    <row r="30836" spans="13:13">
      <c r="M30836" s="202"/>
    </row>
    <row r="30837" spans="13:13">
      <c r="M30837" s="202"/>
    </row>
    <row r="30838" spans="13:13">
      <c r="M30838" s="202"/>
    </row>
    <row r="30839" spans="13:13">
      <c r="M30839" s="202"/>
    </row>
    <row r="30840" spans="13:13">
      <c r="M30840" s="202"/>
    </row>
    <row r="30841" spans="13:13">
      <c r="M30841" s="202"/>
    </row>
    <row r="30842" spans="13:13">
      <c r="M30842" s="202"/>
    </row>
    <row r="30843" spans="13:13">
      <c r="M30843" s="202"/>
    </row>
    <row r="30844" spans="13:13">
      <c r="M30844" s="202"/>
    </row>
    <row r="30845" spans="13:13">
      <c r="M30845" s="202"/>
    </row>
    <row r="30846" spans="13:13">
      <c r="M30846" s="202"/>
    </row>
    <row r="30847" spans="13:13">
      <c r="M30847" s="202"/>
    </row>
    <row r="30848" spans="13:13">
      <c r="M30848" s="202"/>
    </row>
    <row r="30849" spans="13:13">
      <c r="M30849" s="202"/>
    </row>
    <row r="30850" spans="13:13">
      <c r="M30850" s="202"/>
    </row>
    <row r="30851" spans="13:13">
      <c r="M30851" s="202"/>
    </row>
    <row r="30852" spans="13:13">
      <c r="M30852" s="202"/>
    </row>
    <row r="30853" spans="13:13">
      <c r="M30853" s="202"/>
    </row>
    <row r="30854" spans="13:13">
      <c r="M30854" s="202"/>
    </row>
    <row r="30855" spans="13:13">
      <c r="M30855" s="202"/>
    </row>
    <row r="30856" spans="13:13">
      <c r="M30856" s="202"/>
    </row>
    <row r="30857" spans="13:13">
      <c r="M30857" s="202"/>
    </row>
    <row r="30858" spans="13:13">
      <c r="M30858" s="202"/>
    </row>
    <row r="30859" spans="13:13">
      <c r="M30859" s="202"/>
    </row>
    <row r="30860" spans="13:13">
      <c r="M30860" s="202"/>
    </row>
    <row r="30861" spans="13:13">
      <c r="M30861" s="202"/>
    </row>
    <row r="30862" spans="13:13">
      <c r="M30862" s="202"/>
    </row>
    <row r="30863" spans="13:13">
      <c r="M30863" s="202"/>
    </row>
    <row r="30864" spans="13:13">
      <c r="M30864" s="202"/>
    </row>
    <row r="30865" spans="13:13">
      <c r="M30865" s="202"/>
    </row>
    <row r="30866" spans="13:13">
      <c r="M30866" s="202"/>
    </row>
    <row r="30867" spans="13:13">
      <c r="M30867" s="202"/>
    </row>
    <row r="30868" spans="13:13">
      <c r="M30868" s="202"/>
    </row>
    <row r="30869" spans="13:13">
      <c r="M30869" s="202"/>
    </row>
    <row r="30870" spans="13:13">
      <c r="M30870" s="202"/>
    </row>
    <row r="30871" spans="13:13">
      <c r="M30871" s="202"/>
    </row>
    <row r="30872" spans="13:13">
      <c r="M30872" s="202"/>
    </row>
    <row r="30873" spans="13:13">
      <c r="M30873" s="202"/>
    </row>
    <row r="30874" spans="13:13">
      <c r="M30874" s="202"/>
    </row>
    <row r="30875" spans="13:13">
      <c r="M30875" s="202"/>
    </row>
    <row r="30876" spans="13:13">
      <c r="M30876" s="202"/>
    </row>
    <row r="30877" spans="13:13">
      <c r="M30877" s="202"/>
    </row>
    <row r="30878" spans="13:13">
      <c r="M30878" s="202"/>
    </row>
    <row r="30879" spans="13:13">
      <c r="M30879" s="202"/>
    </row>
    <row r="30880" spans="13:13">
      <c r="M30880" s="202"/>
    </row>
    <row r="30881" spans="13:13">
      <c r="M30881" s="202"/>
    </row>
    <row r="30882" spans="13:13">
      <c r="M30882" s="202"/>
    </row>
    <row r="30883" spans="13:13">
      <c r="M30883" s="202"/>
    </row>
    <row r="30884" spans="13:13">
      <c r="M30884" s="202"/>
    </row>
    <row r="30885" spans="13:13">
      <c r="M30885" s="202"/>
    </row>
    <row r="30886" spans="13:13">
      <c r="M30886" s="202"/>
    </row>
    <row r="30887" spans="13:13">
      <c r="M30887" s="202"/>
    </row>
    <row r="30888" spans="13:13">
      <c r="M30888" s="202"/>
    </row>
    <row r="30889" spans="13:13">
      <c r="M30889" s="202"/>
    </row>
    <row r="30890" spans="13:13">
      <c r="M30890" s="202"/>
    </row>
    <row r="30891" spans="13:13">
      <c r="M30891" s="202"/>
    </row>
    <row r="30892" spans="13:13">
      <c r="M30892" s="202"/>
    </row>
    <row r="30893" spans="13:13">
      <c r="M30893" s="202"/>
    </row>
    <row r="30894" spans="13:13">
      <c r="M30894" s="202"/>
    </row>
    <row r="30895" spans="13:13">
      <c r="M30895" s="202"/>
    </row>
    <row r="30896" spans="13:13">
      <c r="M30896" s="202"/>
    </row>
    <row r="30897" spans="13:13">
      <c r="M30897" s="202"/>
    </row>
    <row r="30898" spans="13:13">
      <c r="M30898" s="202"/>
    </row>
    <row r="30899" spans="13:13">
      <c r="M30899" s="202"/>
    </row>
    <row r="30900" spans="13:13">
      <c r="M30900" s="202"/>
    </row>
    <row r="30901" spans="13:13">
      <c r="M30901" s="202"/>
    </row>
    <row r="30902" spans="13:13">
      <c r="M30902" s="202"/>
    </row>
    <row r="30903" spans="13:13">
      <c r="M30903" s="202"/>
    </row>
    <row r="30904" spans="13:13">
      <c r="M30904" s="202"/>
    </row>
    <row r="30905" spans="13:13">
      <c r="M30905" s="202"/>
    </row>
    <row r="30906" spans="13:13">
      <c r="M30906" s="202"/>
    </row>
    <row r="30907" spans="13:13">
      <c r="M30907" s="202"/>
    </row>
    <row r="30908" spans="13:13">
      <c r="M30908" s="202"/>
    </row>
    <row r="30909" spans="13:13">
      <c r="M30909" s="202"/>
    </row>
    <row r="30910" spans="13:13">
      <c r="M30910" s="202"/>
    </row>
    <row r="30911" spans="13:13">
      <c r="M30911" s="202"/>
    </row>
    <row r="30912" spans="13:13">
      <c r="M30912" s="202"/>
    </row>
    <row r="30913" spans="13:13">
      <c r="M30913" s="202"/>
    </row>
    <row r="30914" spans="13:13">
      <c r="M30914" s="202"/>
    </row>
    <row r="30915" spans="13:13">
      <c r="M30915" s="202"/>
    </row>
    <row r="30916" spans="13:13">
      <c r="M30916" s="202"/>
    </row>
    <row r="30917" spans="13:13">
      <c r="M30917" s="202"/>
    </row>
    <row r="30918" spans="13:13">
      <c r="M30918" s="202"/>
    </row>
    <row r="30919" spans="13:13">
      <c r="M30919" s="202"/>
    </row>
    <row r="30920" spans="13:13">
      <c r="M30920" s="202"/>
    </row>
    <row r="30921" spans="13:13">
      <c r="M30921" s="202"/>
    </row>
    <row r="30922" spans="13:13">
      <c r="M30922" s="202"/>
    </row>
    <row r="30923" spans="13:13">
      <c r="M30923" s="202"/>
    </row>
    <row r="30924" spans="13:13">
      <c r="M30924" s="202"/>
    </row>
    <row r="30925" spans="13:13">
      <c r="M30925" s="202"/>
    </row>
    <row r="30926" spans="13:13">
      <c r="M30926" s="202"/>
    </row>
    <row r="30927" spans="13:13">
      <c r="M30927" s="202"/>
    </row>
    <row r="30928" spans="13:13">
      <c r="M30928" s="202"/>
    </row>
    <row r="30929" spans="13:13">
      <c r="M30929" s="202"/>
    </row>
    <row r="30930" spans="13:13">
      <c r="M30930" s="202"/>
    </row>
    <row r="30931" spans="13:13">
      <c r="M30931" s="202"/>
    </row>
    <row r="30932" spans="13:13">
      <c r="M30932" s="202"/>
    </row>
    <row r="30933" spans="13:13">
      <c r="M30933" s="202"/>
    </row>
    <row r="30934" spans="13:13">
      <c r="M30934" s="202"/>
    </row>
    <row r="30935" spans="13:13">
      <c r="M30935" s="202"/>
    </row>
    <row r="30936" spans="13:13">
      <c r="M30936" s="202"/>
    </row>
    <row r="30937" spans="13:13">
      <c r="M30937" s="202"/>
    </row>
    <row r="30938" spans="13:13">
      <c r="M30938" s="202"/>
    </row>
    <row r="30939" spans="13:13">
      <c r="M30939" s="202"/>
    </row>
    <row r="30940" spans="13:13">
      <c r="M30940" s="202"/>
    </row>
    <row r="30941" spans="13:13">
      <c r="M30941" s="202"/>
    </row>
    <row r="30942" spans="13:13">
      <c r="M30942" s="202"/>
    </row>
    <row r="30943" spans="13:13">
      <c r="M30943" s="202"/>
    </row>
    <row r="30944" spans="13:13">
      <c r="M30944" s="202"/>
    </row>
    <row r="30945" spans="13:13">
      <c r="M30945" s="202"/>
    </row>
    <row r="30946" spans="13:13">
      <c r="M30946" s="202"/>
    </row>
    <row r="30947" spans="13:13">
      <c r="M30947" s="202"/>
    </row>
    <row r="30948" spans="13:13">
      <c r="M30948" s="202"/>
    </row>
    <row r="30949" spans="13:13">
      <c r="M30949" s="202"/>
    </row>
    <row r="30950" spans="13:13">
      <c r="M30950" s="202"/>
    </row>
    <row r="30951" spans="13:13">
      <c r="M30951" s="202"/>
    </row>
    <row r="30952" spans="13:13">
      <c r="M30952" s="202"/>
    </row>
    <row r="30953" spans="13:13">
      <c r="M30953" s="202"/>
    </row>
    <row r="30954" spans="13:13">
      <c r="M30954" s="202"/>
    </row>
    <row r="30955" spans="13:13">
      <c r="M30955" s="202"/>
    </row>
    <row r="30956" spans="13:13">
      <c r="M30956" s="202"/>
    </row>
    <row r="30957" spans="13:13">
      <c r="M30957" s="202"/>
    </row>
    <row r="30958" spans="13:13">
      <c r="M30958" s="202"/>
    </row>
    <row r="30959" spans="13:13">
      <c r="M30959" s="202"/>
    </row>
    <row r="30960" spans="13:13">
      <c r="M30960" s="202"/>
    </row>
    <row r="30961" spans="13:13">
      <c r="M30961" s="202"/>
    </row>
    <row r="30962" spans="13:13">
      <c r="M30962" s="202"/>
    </row>
    <row r="30963" spans="13:13">
      <c r="M30963" s="202"/>
    </row>
    <row r="30964" spans="13:13">
      <c r="M30964" s="202"/>
    </row>
    <row r="30965" spans="13:13">
      <c r="M30965" s="202"/>
    </row>
    <row r="30966" spans="13:13">
      <c r="M30966" s="202"/>
    </row>
    <row r="30967" spans="13:13">
      <c r="M30967" s="202"/>
    </row>
    <row r="30968" spans="13:13">
      <c r="M30968" s="202"/>
    </row>
    <row r="30969" spans="13:13">
      <c r="M30969" s="202"/>
    </row>
    <row r="30970" spans="13:13">
      <c r="M30970" s="202"/>
    </row>
    <row r="30971" spans="13:13">
      <c r="M30971" s="202"/>
    </row>
    <row r="30972" spans="13:13">
      <c r="M30972" s="202"/>
    </row>
    <row r="30973" spans="13:13">
      <c r="M30973" s="202"/>
    </row>
    <row r="30974" spans="13:13">
      <c r="M30974" s="202"/>
    </row>
    <row r="30975" spans="13:13">
      <c r="M30975" s="202"/>
    </row>
    <row r="30976" spans="13:13">
      <c r="M30976" s="202"/>
    </row>
    <row r="30977" spans="13:13">
      <c r="M30977" s="202"/>
    </row>
    <row r="30978" spans="13:13">
      <c r="M30978" s="202"/>
    </row>
    <row r="30979" spans="13:13">
      <c r="M30979" s="202"/>
    </row>
    <row r="30980" spans="13:13">
      <c r="M30980" s="202"/>
    </row>
    <row r="30981" spans="13:13">
      <c r="M30981" s="202"/>
    </row>
    <row r="30982" spans="13:13">
      <c r="M30982" s="202"/>
    </row>
    <row r="30983" spans="13:13">
      <c r="M30983" s="202"/>
    </row>
    <row r="30984" spans="13:13">
      <c r="M30984" s="202"/>
    </row>
    <row r="30985" spans="13:13">
      <c r="M30985" s="202"/>
    </row>
    <row r="30986" spans="13:13">
      <c r="M30986" s="202"/>
    </row>
    <row r="30987" spans="13:13">
      <c r="M30987" s="202"/>
    </row>
    <row r="30988" spans="13:13">
      <c r="M30988" s="202"/>
    </row>
    <row r="30989" spans="13:13">
      <c r="M30989" s="202"/>
    </row>
    <row r="30990" spans="13:13">
      <c r="M30990" s="202"/>
    </row>
    <row r="30991" spans="13:13">
      <c r="M30991" s="202"/>
    </row>
    <row r="30992" spans="13:13">
      <c r="M30992" s="202"/>
    </row>
    <row r="30993" spans="13:13">
      <c r="M30993" s="202"/>
    </row>
    <row r="30994" spans="13:13">
      <c r="M30994" s="202"/>
    </row>
    <row r="30995" spans="13:13">
      <c r="M30995" s="202"/>
    </row>
    <row r="30996" spans="13:13">
      <c r="M30996" s="202"/>
    </row>
    <row r="30997" spans="13:13">
      <c r="M30997" s="202"/>
    </row>
    <row r="30998" spans="13:13">
      <c r="M30998" s="202"/>
    </row>
    <row r="30999" spans="13:13">
      <c r="M30999" s="202"/>
    </row>
    <row r="31000" spans="13:13">
      <c r="M31000" s="202"/>
    </row>
    <row r="31001" spans="13:13">
      <c r="M31001" s="202"/>
    </row>
    <row r="31002" spans="13:13">
      <c r="M31002" s="202"/>
    </row>
    <row r="31003" spans="13:13">
      <c r="M31003" s="202"/>
    </row>
    <row r="31004" spans="13:13">
      <c r="M31004" s="202"/>
    </row>
    <row r="31005" spans="13:13">
      <c r="M31005" s="202"/>
    </row>
    <row r="31006" spans="13:13">
      <c r="M31006" s="202"/>
    </row>
    <row r="31007" spans="13:13">
      <c r="M31007" s="202"/>
    </row>
    <row r="31008" spans="13:13">
      <c r="M31008" s="202"/>
    </row>
    <row r="31009" spans="13:13">
      <c r="M31009" s="202"/>
    </row>
    <row r="31010" spans="13:13">
      <c r="M31010" s="202"/>
    </row>
    <row r="31011" spans="13:13">
      <c r="M31011" s="202"/>
    </row>
    <row r="31012" spans="13:13">
      <c r="M31012" s="202"/>
    </row>
    <row r="31013" spans="13:13">
      <c r="M31013" s="202"/>
    </row>
    <row r="31014" spans="13:13">
      <c r="M31014" s="202"/>
    </row>
    <row r="31015" spans="13:13">
      <c r="M31015" s="202"/>
    </row>
    <row r="31016" spans="13:13">
      <c r="M31016" s="202"/>
    </row>
    <row r="31017" spans="13:13">
      <c r="M31017" s="202"/>
    </row>
    <row r="31018" spans="13:13">
      <c r="M31018" s="202"/>
    </row>
    <row r="31019" spans="13:13">
      <c r="M31019" s="202"/>
    </row>
    <row r="31020" spans="13:13">
      <c r="M31020" s="202"/>
    </row>
    <row r="31021" spans="13:13">
      <c r="M31021" s="202"/>
    </row>
    <row r="31022" spans="13:13">
      <c r="M31022" s="202"/>
    </row>
    <row r="31023" spans="13:13">
      <c r="M31023" s="202"/>
    </row>
    <row r="31024" spans="13:13">
      <c r="M31024" s="202"/>
    </row>
    <row r="31025" spans="13:13">
      <c r="M31025" s="202"/>
    </row>
    <row r="31026" spans="13:13">
      <c r="M31026" s="202"/>
    </row>
    <row r="31027" spans="13:13">
      <c r="M31027" s="202"/>
    </row>
    <row r="31028" spans="13:13">
      <c r="M31028" s="202"/>
    </row>
    <row r="31029" spans="13:13">
      <c r="M31029" s="202"/>
    </row>
    <row r="31030" spans="13:13">
      <c r="M31030" s="202"/>
    </row>
    <row r="31031" spans="13:13">
      <c r="M31031" s="202"/>
    </row>
    <row r="31032" spans="13:13">
      <c r="M31032" s="202"/>
    </row>
    <row r="31033" spans="13:13">
      <c r="M31033" s="202"/>
    </row>
    <row r="31034" spans="13:13">
      <c r="M31034" s="202"/>
    </row>
    <row r="31035" spans="13:13">
      <c r="M31035" s="202"/>
    </row>
    <row r="31036" spans="13:13">
      <c r="M31036" s="202"/>
    </row>
    <row r="31037" spans="13:13">
      <c r="M31037" s="202"/>
    </row>
    <row r="31038" spans="13:13">
      <c r="M31038" s="202"/>
    </row>
    <row r="31039" spans="13:13">
      <c r="M31039" s="202"/>
    </row>
    <row r="31040" spans="13:13">
      <c r="M31040" s="202"/>
    </row>
    <row r="31041" spans="13:13">
      <c r="M31041" s="202"/>
    </row>
    <row r="31042" spans="13:13">
      <c r="M31042" s="202"/>
    </row>
    <row r="31043" spans="13:13">
      <c r="M31043" s="202"/>
    </row>
    <row r="31044" spans="13:13">
      <c r="M31044" s="202"/>
    </row>
    <row r="31045" spans="13:13">
      <c r="M31045" s="202"/>
    </row>
    <row r="31046" spans="13:13">
      <c r="M31046" s="202"/>
    </row>
    <row r="31047" spans="13:13">
      <c r="M31047" s="202"/>
    </row>
    <row r="31048" spans="13:13">
      <c r="M31048" s="202"/>
    </row>
    <row r="31049" spans="13:13">
      <c r="M31049" s="202"/>
    </row>
    <row r="31050" spans="13:13">
      <c r="M31050" s="202"/>
    </row>
    <row r="31051" spans="13:13">
      <c r="M31051" s="202"/>
    </row>
    <row r="31052" spans="13:13">
      <c r="M31052" s="202"/>
    </row>
    <row r="31053" spans="13:13">
      <c r="M31053" s="202"/>
    </row>
    <row r="31054" spans="13:13">
      <c r="M31054" s="202"/>
    </row>
    <row r="31055" spans="13:13">
      <c r="M31055" s="202"/>
    </row>
    <row r="31056" spans="13:13">
      <c r="M31056" s="202"/>
    </row>
    <row r="31057" spans="13:13">
      <c r="M31057" s="202"/>
    </row>
    <row r="31058" spans="13:13">
      <c r="M31058" s="202"/>
    </row>
    <row r="31059" spans="13:13">
      <c r="M31059" s="202"/>
    </row>
    <row r="31060" spans="13:13">
      <c r="M31060" s="202"/>
    </row>
    <row r="31061" spans="13:13">
      <c r="M31061" s="202"/>
    </row>
    <row r="31062" spans="13:13">
      <c r="M31062" s="202"/>
    </row>
    <row r="31063" spans="13:13">
      <c r="M31063" s="202"/>
    </row>
    <row r="31064" spans="13:13">
      <c r="M31064" s="202"/>
    </row>
    <row r="31065" spans="13:13">
      <c r="M31065" s="202"/>
    </row>
    <row r="31066" spans="13:13">
      <c r="M31066" s="202"/>
    </row>
    <row r="31067" spans="13:13">
      <c r="M31067" s="202"/>
    </row>
    <row r="31068" spans="13:13">
      <c r="M31068" s="202"/>
    </row>
    <row r="31069" spans="13:13">
      <c r="M31069" s="202"/>
    </row>
    <row r="31070" spans="13:13">
      <c r="M31070" s="202"/>
    </row>
    <row r="31071" spans="13:13">
      <c r="M31071" s="202"/>
    </row>
    <row r="31072" spans="13:13">
      <c r="M31072" s="202"/>
    </row>
    <row r="31073" spans="13:13">
      <c r="M31073" s="202"/>
    </row>
    <row r="31074" spans="13:13">
      <c r="M31074" s="202"/>
    </row>
    <row r="31075" spans="13:13">
      <c r="M31075" s="202"/>
    </row>
    <row r="31076" spans="13:13">
      <c r="M31076" s="202"/>
    </row>
    <row r="31077" spans="13:13">
      <c r="M31077" s="202"/>
    </row>
    <row r="31078" spans="13:13">
      <c r="M31078" s="202"/>
    </row>
    <row r="31079" spans="13:13">
      <c r="M31079" s="202"/>
    </row>
    <row r="31080" spans="13:13">
      <c r="M31080" s="202"/>
    </row>
    <row r="31081" spans="13:13">
      <c r="M31081" s="202"/>
    </row>
    <row r="31082" spans="13:13">
      <c r="M31082" s="202"/>
    </row>
    <row r="31083" spans="13:13">
      <c r="M31083" s="202"/>
    </row>
    <row r="31084" spans="13:13">
      <c r="M31084" s="202"/>
    </row>
    <row r="31085" spans="13:13">
      <c r="M31085" s="202"/>
    </row>
    <row r="31086" spans="13:13">
      <c r="M31086" s="202"/>
    </row>
    <row r="31087" spans="13:13">
      <c r="M31087" s="202"/>
    </row>
    <row r="31088" spans="13:13">
      <c r="M31088" s="202"/>
    </row>
    <row r="31089" spans="13:13">
      <c r="M31089" s="202"/>
    </row>
    <row r="31090" spans="13:13">
      <c r="M31090" s="202"/>
    </row>
    <row r="31091" spans="13:13">
      <c r="M31091" s="202"/>
    </row>
    <row r="31092" spans="13:13">
      <c r="M31092" s="202"/>
    </row>
    <row r="31093" spans="13:13">
      <c r="M31093" s="202"/>
    </row>
    <row r="31094" spans="13:13">
      <c r="M31094" s="202"/>
    </row>
    <row r="31095" spans="13:13">
      <c r="M31095" s="202"/>
    </row>
    <row r="31096" spans="13:13">
      <c r="M31096" s="202"/>
    </row>
    <row r="31097" spans="13:13">
      <c r="M31097" s="202"/>
    </row>
    <row r="31098" spans="13:13">
      <c r="M31098" s="202"/>
    </row>
    <row r="31099" spans="13:13">
      <c r="M31099" s="202"/>
    </row>
    <row r="31100" spans="13:13">
      <c r="M31100" s="202"/>
    </row>
    <row r="31101" spans="13:13">
      <c r="M31101" s="202"/>
    </row>
    <row r="31102" spans="13:13">
      <c r="M31102" s="202"/>
    </row>
    <row r="31103" spans="13:13">
      <c r="M31103" s="202"/>
    </row>
    <row r="31104" spans="13:13">
      <c r="M31104" s="202"/>
    </row>
    <row r="31105" spans="13:13">
      <c r="M31105" s="202"/>
    </row>
    <row r="31106" spans="13:13">
      <c r="M31106" s="202"/>
    </row>
    <row r="31107" spans="13:13">
      <c r="M31107" s="202"/>
    </row>
    <row r="31108" spans="13:13">
      <c r="M31108" s="202"/>
    </row>
    <row r="31109" spans="13:13">
      <c r="M31109" s="202"/>
    </row>
    <row r="31110" spans="13:13">
      <c r="M31110" s="202"/>
    </row>
    <row r="31111" spans="13:13">
      <c r="M31111" s="202"/>
    </row>
    <row r="31112" spans="13:13">
      <c r="M31112" s="202"/>
    </row>
    <row r="31113" spans="13:13">
      <c r="M31113" s="202"/>
    </row>
    <row r="31114" spans="13:13">
      <c r="M31114" s="202"/>
    </row>
    <row r="31115" spans="13:13">
      <c r="M31115" s="202"/>
    </row>
    <row r="31116" spans="13:13">
      <c r="M31116" s="202"/>
    </row>
    <row r="31117" spans="13:13">
      <c r="M31117" s="202"/>
    </row>
    <row r="31118" spans="13:13">
      <c r="M31118" s="202"/>
    </row>
    <row r="31119" spans="13:13">
      <c r="M31119" s="202"/>
    </row>
    <row r="31120" spans="13:13">
      <c r="M31120" s="202"/>
    </row>
    <row r="31121" spans="13:13">
      <c r="M31121" s="202"/>
    </row>
    <row r="31122" spans="13:13">
      <c r="M31122" s="202"/>
    </row>
    <row r="31123" spans="13:13">
      <c r="M31123" s="202"/>
    </row>
    <row r="31124" spans="13:13">
      <c r="M31124" s="202"/>
    </row>
    <row r="31125" spans="13:13">
      <c r="M31125" s="202"/>
    </row>
    <row r="31126" spans="13:13">
      <c r="M31126" s="202"/>
    </row>
    <row r="31127" spans="13:13">
      <c r="M31127" s="202"/>
    </row>
    <row r="31128" spans="13:13">
      <c r="M31128" s="202"/>
    </row>
    <row r="31129" spans="13:13">
      <c r="M31129" s="202"/>
    </row>
    <row r="31130" spans="13:13">
      <c r="M31130" s="202"/>
    </row>
    <row r="31131" spans="13:13">
      <c r="M31131" s="202"/>
    </row>
    <row r="31132" spans="13:13">
      <c r="M31132" s="202"/>
    </row>
    <row r="31133" spans="13:13">
      <c r="M31133" s="202"/>
    </row>
    <row r="31134" spans="13:13">
      <c r="M31134" s="202"/>
    </row>
    <row r="31135" spans="13:13">
      <c r="M31135" s="202"/>
    </row>
    <row r="31136" spans="13:13">
      <c r="M31136" s="202"/>
    </row>
    <row r="31137" spans="13:13">
      <c r="M31137" s="202"/>
    </row>
    <row r="31138" spans="13:13">
      <c r="M31138" s="202"/>
    </row>
    <row r="31139" spans="13:13">
      <c r="M31139" s="202"/>
    </row>
    <row r="31140" spans="13:13">
      <c r="M31140" s="202"/>
    </row>
    <row r="31141" spans="13:13">
      <c r="M31141" s="202"/>
    </row>
    <row r="31142" spans="13:13">
      <c r="M31142" s="202"/>
    </row>
    <row r="31143" spans="13:13">
      <c r="M31143" s="202"/>
    </row>
    <row r="31144" spans="13:13">
      <c r="M31144" s="202"/>
    </row>
    <row r="31145" spans="13:13">
      <c r="M31145" s="202"/>
    </row>
    <row r="31146" spans="13:13">
      <c r="M31146" s="202"/>
    </row>
    <row r="31147" spans="13:13">
      <c r="M31147" s="202"/>
    </row>
    <row r="31148" spans="13:13">
      <c r="M31148" s="202"/>
    </row>
    <row r="31149" spans="13:13">
      <c r="M31149" s="202"/>
    </row>
    <row r="31150" spans="13:13">
      <c r="M31150" s="202"/>
    </row>
    <row r="31151" spans="13:13">
      <c r="M31151" s="202"/>
    </row>
    <row r="31152" spans="13:13">
      <c r="M31152" s="202"/>
    </row>
    <row r="31153" spans="13:13">
      <c r="M31153" s="202"/>
    </row>
    <row r="31154" spans="13:13">
      <c r="M31154" s="202"/>
    </row>
    <row r="31155" spans="13:13">
      <c r="M31155" s="202"/>
    </row>
    <row r="31156" spans="13:13">
      <c r="M31156" s="202"/>
    </row>
    <row r="31157" spans="13:13">
      <c r="M31157" s="202"/>
    </row>
    <row r="31158" spans="13:13">
      <c r="M31158" s="202"/>
    </row>
    <row r="31159" spans="13:13">
      <c r="M31159" s="202"/>
    </row>
    <row r="31160" spans="13:13">
      <c r="M31160" s="202"/>
    </row>
    <row r="31161" spans="13:13">
      <c r="M31161" s="202"/>
    </row>
    <row r="31162" spans="13:13">
      <c r="M31162" s="202"/>
    </row>
    <row r="31163" spans="13:13">
      <c r="M31163" s="202"/>
    </row>
    <row r="31164" spans="13:13">
      <c r="M31164" s="202"/>
    </row>
    <row r="31165" spans="13:13">
      <c r="M31165" s="202"/>
    </row>
    <row r="31166" spans="13:13">
      <c r="M31166" s="202"/>
    </row>
    <row r="31167" spans="13:13">
      <c r="M31167" s="202"/>
    </row>
    <row r="31168" spans="13:13">
      <c r="M31168" s="202"/>
    </row>
    <row r="31169" spans="13:13">
      <c r="M31169" s="202"/>
    </row>
    <row r="31170" spans="13:13">
      <c r="M31170" s="202"/>
    </row>
    <row r="31171" spans="13:13">
      <c r="M31171" s="202"/>
    </row>
    <row r="31172" spans="13:13">
      <c r="M31172" s="202"/>
    </row>
    <row r="31173" spans="13:13">
      <c r="M31173" s="202"/>
    </row>
    <row r="31174" spans="13:13">
      <c r="M31174" s="202"/>
    </row>
    <row r="31175" spans="13:13">
      <c r="M31175" s="202"/>
    </row>
    <row r="31176" spans="13:13">
      <c r="M31176" s="202"/>
    </row>
    <row r="31177" spans="13:13">
      <c r="M31177" s="202"/>
    </row>
    <row r="31178" spans="13:13">
      <c r="M31178" s="202"/>
    </row>
    <row r="31179" spans="13:13">
      <c r="M31179" s="202"/>
    </row>
    <row r="31180" spans="13:13">
      <c r="M31180" s="202"/>
    </row>
    <row r="31181" spans="13:13">
      <c r="M31181" s="202"/>
    </row>
    <row r="31182" spans="13:13">
      <c r="M31182" s="202"/>
    </row>
    <row r="31183" spans="13:13">
      <c r="M31183" s="202"/>
    </row>
    <row r="31184" spans="13:13">
      <c r="M31184" s="202"/>
    </row>
    <row r="31185" spans="13:13">
      <c r="M31185" s="202"/>
    </row>
    <row r="31186" spans="13:13">
      <c r="M31186" s="202"/>
    </row>
    <row r="31187" spans="13:13">
      <c r="M31187" s="202"/>
    </row>
    <row r="31188" spans="13:13">
      <c r="M31188" s="202"/>
    </row>
    <row r="31189" spans="13:13">
      <c r="M31189" s="202"/>
    </row>
    <row r="31190" spans="13:13">
      <c r="M31190" s="202"/>
    </row>
    <row r="31191" spans="13:13">
      <c r="M31191" s="202"/>
    </row>
    <row r="31192" spans="13:13">
      <c r="M31192" s="202"/>
    </row>
    <row r="31193" spans="13:13">
      <c r="M31193" s="202"/>
    </row>
    <row r="31194" spans="13:13">
      <c r="M31194" s="202"/>
    </row>
    <row r="31195" spans="13:13">
      <c r="M31195" s="202"/>
    </row>
    <row r="31196" spans="13:13">
      <c r="M31196" s="202"/>
    </row>
    <row r="31197" spans="13:13">
      <c r="M31197" s="202"/>
    </row>
    <row r="31198" spans="13:13">
      <c r="M31198" s="202"/>
    </row>
    <row r="31199" spans="13:13">
      <c r="M31199" s="202"/>
    </row>
    <row r="31200" spans="13:13">
      <c r="M31200" s="202"/>
    </row>
    <row r="31201" spans="13:13">
      <c r="M31201" s="202"/>
    </row>
    <row r="31202" spans="13:13">
      <c r="M31202" s="202"/>
    </row>
    <row r="31203" spans="13:13">
      <c r="M31203" s="202"/>
    </row>
    <row r="31204" spans="13:13">
      <c r="M31204" s="202"/>
    </row>
    <row r="31205" spans="13:13">
      <c r="M31205" s="202"/>
    </row>
    <row r="31206" spans="13:13">
      <c r="M31206" s="202"/>
    </row>
    <row r="31207" spans="13:13">
      <c r="M31207" s="202"/>
    </row>
    <row r="31208" spans="13:13">
      <c r="M31208" s="202"/>
    </row>
    <row r="31209" spans="13:13">
      <c r="M31209" s="202"/>
    </row>
    <row r="31210" spans="13:13">
      <c r="M31210" s="202"/>
    </row>
    <row r="31211" spans="13:13">
      <c r="M31211" s="202"/>
    </row>
    <row r="31212" spans="13:13">
      <c r="M31212" s="202"/>
    </row>
    <row r="31213" spans="13:13">
      <c r="M31213" s="202"/>
    </row>
    <row r="31214" spans="13:13">
      <c r="M31214" s="202"/>
    </row>
    <row r="31215" spans="13:13">
      <c r="M31215" s="202"/>
    </row>
    <row r="31216" spans="13:13">
      <c r="M31216" s="202"/>
    </row>
    <row r="31217" spans="13:13">
      <c r="M31217" s="202"/>
    </row>
    <row r="31218" spans="13:13">
      <c r="M31218" s="202"/>
    </row>
    <row r="31219" spans="13:13">
      <c r="M31219" s="202"/>
    </row>
    <row r="31220" spans="13:13">
      <c r="M31220" s="202"/>
    </row>
    <row r="31221" spans="13:13">
      <c r="M31221" s="202"/>
    </row>
    <row r="31222" spans="13:13">
      <c r="M31222" s="202"/>
    </row>
    <row r="31223" spans="13:13">
      <c r="M31223" s="202"/>
    </row>
    <row r="31224" spans="13:13">
      <c r="M31224" s="202"/>
    </row>
    <row r="31225" spans="13:13">
      <c r="M31225" s="202"/>
    </row>
    <row r="31226" spans="13:13">
      <c r="M31226" s="202"/>
    </row>
    <row r="31227" spans="13:13">
      <c r="M31227" s="202"/>
    </row>
    <row r="31228" spans="13:13">
      <c r="M31228" s="202"/>
    </row>
    <row r="31229" spans="13:13">
      <c r="M31229" s="202"/>
    </row>
    <row r="31230" spans="13:13">
      <c r="M31230" s="202"/>
    </row>
    <row r="31231" spans="13:13">
      <c r="M31231" s="202"/>
    </row>
    <row r="31232" spans="13:13">
      <c r="M31232" s="202"/>
    </row>
    <row r="31233" spans="13:13">
      <c r="M31233" s="202"/>
    </row>
    <row r="31234" spans="13:13">
      <c r="M31234" s="202"/>
    </row>
    <row r="31235" spans="13:13">
      <c r="M31235" s="202"/>
    </row>
    <row r="31236" spans="13:13">
      <c r="M31236" s="202"/>
    </row>
    <row r="31237" spans="13:13">
      <c r="M31237" s="202"/>
    </row>
    <row r="31238" spans="13:13">
      <c r="M31238" s="202"/>
    </row>
    <row r="31239" spans="13:13">
      <c r="M31239" s="202"/>
    </row>
    <row r="31240" spans="13:13">
      <c r="M31240" s="202"/>
    </row>
    <row r="31241" spans="13:13">
      <c r="M31241" s="202"/>
    </row>
    <row r="31242" spans="13:13">
      <c r="M31242" s="202"/>
    </row>
    <row r="31243" spans="13:13">
      <c r="M31243" s="202"/>
    </row>
    <row r="31244" spans="13:13">
      <c r="M31244" s="202"/>
    </row>
    <row r="31245" spans="13:13">
      <c r="M31245" s="202"/>
    </row>
    <row r="31246" spans="13:13">
      <c r="M31246" s="202"/>
    </row>
    <row r="31247" spans="13:13">
      <c r="M31247" s="202"/>
    </row>
    <row r="31248" spans="13:13">
      <c r="M31248" s="202"/>
    </row>
    <row r="31249" spans="13:13">
      <c r="M31249" s="202"/>
    </row>
    <row r="31250" spans="13:13">
      <c r="M31250" s="202"/>
    </row>
    <row r="31251" spans="13:13">
      <c r="M31251" s="202"/>
    </row>
    <row r="31252" spans="13:13">
      <c r="M31252" s="202"/>
    </row>
    <row r="31253" spans="13:13">
      <c r="M31253" s="202"/>
    </row>
    <row r="31254" spans="13:13">
      <c r="M31254" s="202"/>
    </row>
    <row r="31255" spans="13:13">
      <c r="M31255" s="202"/>
    </row>
    <row r="31256" spans="13:13">
      <c r="M31256" s="202"/>
    </row>
    <row r="31257" spans="13:13">
      <c r="M31257" s="202"/>
    </row>
    <row r="31258" spans="13:13">
      <c r="M31258" s="202"/>
    </row>
    <row r="31259" spans="13:13">
      <c r="M31259" s="202"/>
    </row>
    <row r="31260" spans="13:13">
      <c r="M31260" s="202"/>
    </row>
    <row r="31261" spans="13:13">
      <c r="M31261" s="202"/>
    </row>
    <row r="31262" spans="13:13">
      <c r="M31262" s="202"/>
    </row>
    <row r="31263" spans="13:13">
      <c r="M31263" s="202"/>
    </row>
    <row r="31264" spans="13:13">
      <c r="M31264" s="202"/>
    </row>
    <row r="31265" spans="13:13">
      <c r="M31265" s="202"/>
    </row>
    <row r="31266" spans="13:13">
      <c r="M31266" s="202"/>
    </row>
    <row r="31267" spans="13:13">
      <c r="M31267" s="202"/>
    </row>
    <row r="31268" spans="13:13">
      <c r="M31268" s="202"/>
    </row>
    <row r="31269" spans="13:13">
      <c r="M31269" s="202"/>
    </row>
    <row r="31270" spans="13:13">
      <c r="M31270" s="202"/>
    </row>
    <row r="31271" spans="13:13">
      <c r="M31271" s="202"/>
    </row>
    <row r="31272" spans="13:13">
      <c r="M31272" s="202"/>
    </row>
    <row r="31273" spans="13:13">
      <c r="M31273" s="202"/>
    </row>
    <row r="31274" spans="13:13">
      <c r="M31274" s="202"/>
    </row>
    <row r="31275" spans="13:13">
      <c r="M31275" s="202"/>
    </row>
    <row r="31276" spans="13:13">
      <c r="M31276" s="202"/>
    </row>
    <row r="31277" spans="13:13">
      <c r="M31277" s="202"/>
    </row>
    <row r="31278" spans="13:13">
      <c r="M31278" s="202"/>
    </row>
    <row r="31279" spans="13:13">
      <c r="M31279" s="202"/>
    </row>
    <row r="31280" spans="13:13">
      <c r="M31280" s="202"/>
    </row>
    <row r="31281" spans="13:13">
      <c r="M31281" s="202"/>
    </row>
    <row r="31282" spans="13:13">
      <c r="M31282" s="202"/>
    </row>
    <row r="31283" spans="13:13">
      <c r="M31283" s="202"/>
    </row>
    <row r="31284" spans="13:13">
      <c r="M31284" s="202"/>
    </row>
    <row r="31285" spans="13:13">
      <c r="M31285" s="202"/>
    </row>
    <row r="31286" spans="13:13">
      <c r="M31286" s="202"/>
    </row>
    <row r="31287" spans="13:13">
      <c r="M31287" s="202"/>
    </row>
    <row r="31288" spans="13:13">
      <c r="M31288" s="202"/>
    </row>
    <row r="31289" spans="13:13">
      <c r="M31289" s="202"/>
    </row>
    <row r="31290" spans="13:13">
      <c r="M31290" s="202"/>
    </row>
    <row r="31291" spans="13:13">
      <c r="M31291" s="202"/>
    </row>
    <row r="31292" spans="13:13">
      <c r="M31292" s="202"/>
    </row>
    <row r="31293" spans="13:13">
      <c r="M31293" s="202"/>
    </row>
    <row r="31294" spans="13:13">
      <c r="M31294" s="202"/>
    </row>
    <row r="31295" spans="13:13">
      <c r="M31295" s="202"/>
    </row>
    <row r="31296" spans="13:13">
      <c r="M31296" s="202"/>
    </row>
    <row r="31297" spans="13:13">
      <c r="M31297" s="202"/>
    </row>
    <row r="31298" spans="13:13">
      <c r="M31298" s="202"/>
    </row>
    <row r="31299" spans="13:13">
      <c r="M31299" s="202"/>
    </row>
    <row r="31300" spans="13:13">
      <c r="M31300" s="202"/>
    </row>
    <row r="31301" spans="13:13">
      <c r="M31301" s="202"/>
    </row>
    <row r="31302" spans="13:13">
      <c r="M31302" s="202"/>
    </row>
    <row r="31303" spans="13:13">
      <c r="M31303" s="202"/>
    </row>
    <row r="31304" spans="13:13">
      <c r="M31304" s="202"/>
    </row>
    <row r="31305" spans="13:13">
      <c r="M31305" s="202"/>
    </row>
    <row r="31306" spans="13:13">
      <c r="M31306" s="202"/>
    </row>
    <row r="31307" spans="13:13">
      <c r="M31307" s="202"/>
    </row>
    <row r="31308" spans="13:13">
      <c r="M31308" s="202"/>
    </row>
    <row r="31309" spans="13:13">
      <c r="M31309" s="202"/>
    </row>
    <row r="31310" spans="13:13">
      <c r="M31310" s="202"/>
    </row>
    <row r="31311" spans="13:13">
      <c r="M31311" s="202"/>
    </row>
    <row r="31312" spans="13:13">
      <c r="M31312" s="202"/>
    </row>
    <row r="31313" spans="13:13">
      <c r="M31313" s="202"/>
    </row>
    <row r="31314" spans="13:13">
      <c r="M31314" s="202"/>
    </row>
    <row r="31315" spans="13:13">
      <c r="M31315" s="202"/>
    </row>
    <row r="31316" spans="13:13">
      <c r="M31316" s="202"/>
    </row>
    <row r="31317" spans="13:13">
      <c r="M31317" s="202"/>
    </row>
    <row r="31318" spans="13:13">
      <c r="M31318" s="202"/>
    </row>
    <row r="31319" spans="13:13">
      <c r="M31319" s="202"/>
    </row>
    <row r="31320" spans="13:13">
      <c r="M31320" s="202"/>
    </row>
    <row r="31321" spans="13:13">
      <c r="M31321" s="202"/>
    </row>
    <row r="31322" spans="13:13">
      <c r="M31322" s="202"/>
    </row>
    <row r="31323" spans="13:13">
      <c r="M31323" s="202"/>
    </row>
    <row r="31324" spans="13:13">
      <c r="M31324" s="202"/>
    </row>
    <row r="31325" spans="13:13">
      <c r="M31325" s="202"/>
    </row>
    <row r="31326" spans="13:13">
      <c r="M31326" s="202"/>
    </row>
    <row r="31327" spans="13:13">
      <c r="M31327" s="202"/>
    </row>
    <row r="31328" spans="13:13">
      <c r="M31328" s="202"/>
    </row>
    <row r="31329" spans="13:13">
      <c r="M31329" s="202"/>
    </row>
    <row r="31330" spans="13:13">
      <c r="M31330" s="202"/>
    </row>
    <row r="31331" spans="13:13">
      <c r="M31331" s="202"/>
    </row>
    <row r="31332" spans="13:13">
      <c r="M31332" s="202"/>
    </row>
    <row r="31333" spans="13:13">
      <c r="M31333" s="202"/>
    </row>
    <row r="31334" spans="13:13">
      <c r="M31334" s="202"/>
    </row>
    <row r="31335" spans="13:13">
      <c r="M31335" s="202"/>
    </row>
    <row r="31336" spans="13:13">
      <c r="M31336" s="202"/>
    </row>
    <row r="31337" spans="13:13">
      <c r="M31337" s="202"/>
    </row>
    <row r="31338" spans="13:13">
      <c r="M31338" s="202"/>
    </row>
    <row r="31339" spans="13:13">
      <c r="M31339" s="202"/>
    </row>
    <row r="31340" spans="13:13">
      <c r="M31340" s="202"/>
    </row>
    <row r="31341" spans="13:13">
      <c r="M31341" s="202"/>
    </row>
    <row r="31342" spans="13:13">
      <c r="M31342" s="202"/>
    </row>
    <row r="31343" spans="13:13">
      <c r="M31343" s="202"/>
    </row>
    <row r="31344" spans="13:13">
      <c r="M31344" s="202"/>
    </row>
    <row r="31345" spans="13:13">
      <c r="M31345" s="202"/>
    </row>
    <row r="31346" spans="13:13">
      <c r="M31346" s="202"/>
    </row>
    <row r="31347" spans="13:13">
      <c r="M31347" s="202"/>
    </row>
    <row r="31348" spans="13:13">
      <c r="M31348" s="202"/>
    </row>
    <row r="31349" spans="13:13">
      <c r="M31349" s="202"/>
    </row>
    <row r="31350" spans="13:13">
      <c r="M31350" s="202"/>
    </row>
    <row r="31351" spans="13:13">
      <c r="M31351" s="202"/>
    </row>
    <row r="31352" spans="13:13">
      <c r="M31352" s="202"/>
    </row>
    <row r="31353" spans="13:13">
      <c r="M31353" s="202"/>
    </row>
    <row r="31354" spans="13:13">
      <c r="M31354" s="202"/>
    </row>
    <row r="31355" spans="13:13">
      <c r="M31355" s="202"/>
    </row>
    <row r="31356" spans="13:13">
      <c r="M31356" s="202"/>
    </row>
    <row r="31357" spans="13:13">
      <c r="M31357" s="202"/>
    </row>
    <row r="31358" spans="13:13">
      <c r="M31358" s="202"/>
    </row>
    <row r="31359" spans="13:13">
      <c r="M31359" s="202"/>
    </row>
    <row r="31360" spans="13:13">
      <c r="M31360" s="202"/>
    </row>
    <row r="31361" spans="13:13">
      <c r="M31361" s="202"/>
    </row>
    <row r="31362" spans="13:13">
      <c r="M31362" s="202"/>
    </row>
    <row r="31363" spans="13:13">
      <c r="M31363" s="202"/>
    </row>
    <row r="31364" spans="13:13">
      <c r="M31364" s="202"/>
    </row>
    <row r="31365" spans="13:13">
      <c r="M31365" s="202"/>
    </row>
    <row r="31366" spans="13:13">
      <c r="M31366" s="202"/>
    </row>
    <row r="31367" spans="13:13">
      <c r="M31367" s="202"/>
    </row>
    <row r="31368" spans="13:13">
      <c r="M31368" s="202"/>
    </row>
    <row r="31369" spans="13:13">
      <c r="M31369" s="202"/>
    </row>
    <row r="31370" spans="13:13">
      <c r="M31370" s="202"/>
    </row>
    <row r="31371" spans="13:13">
      <c r="M31371" s="202"/>
    </row>
    <row r="31372" spans="13:13">
      <c r="M31372" s="202"/>
    </row>
    <row r="31373" spans="13:13">
      <c r="M31373" s="202"/>
    </row>
    <row r="31374" spans="13:13">
      <c r="M31374" s="202"/>
    </row>
    <row r="31375" spans="13:13">
      <c r="M31375" s="202"/>
    </row>
    <row r="31376" spans="13:13">
      <c r="M31376" s="202"/>
    </row>
    <row r="31377" spans="13:13">
      <c r="M31377" s="202"/>
    </row>
    <row r="31378" spans="13:13">
      <c r="M31378" s="202"/>
    </row>
    <row r="31379" spans="13:13">
      <c r="M31379" s="202"/>
    </row>
    <row r="31380" spans="13:13">
      <c r="M31380" s="202"/>
    </row>
    <row r="31381" spans="13:13">
      <c r="M31381" s="202"/>
    </row>
    <row r="31382" spans="13:13">
      <c r="M31382" s="202"/>
    </row>
    <row r="31383" spans="13:13">
      <c r="M31383" s="202"/>
    </row>
    <row r="31384" spans="13:13">
      <c r="M31384" s="202"/>
    </row>
    <row r="31385" spans="13:13">
      <c r="M31385" s="202"/>
    </row>
    <row r="31386" spans="13:13">
      <c r="M31386" s="202"/>
    </row>
    <row r="31387" spans="13:13">
      <c r="M31387" s="202"/>
    </row>
    <row r="31388" spans="13:13">
      <c r="M31388" s="202"/>
    </row>
    <row r="31389" spans="13:13">
      <c r="M31389" s="202"/>
    </row>
    <row r="31390" spans="13:13">
      <c r="M31390" s="202"/>
    </row>
    <row r="31391" spans="13:13">
      <c r="M31391" s="202"/>
    </row>
    <row r="31392" spans="13:13">
      <c r="M31392" s="202"/>
    </row>
    <row r="31393" spans="13:13">
      <c r="M31393" s="202"/>
    </row>
    <row r="31394" spans="13:13">
      <c r="M31394" s="202"/>
    </row>
    <row r="31395" spans="13:13">
      <c r="M31395" s="202"/>
    </row>
    <row r="31396" spans="13:13">
      <c r="M31396" s="202"/>
    </row>
    <row r="31397" spans="13:13">
      <c r="M31397" s="202"/>
    </row>
    <row r="31398" spans="13:13">
      <c r="M31398" s="202"/>
    </row>
    <row r="31399" spans="13:13">
      <c r="M31399" s="202"/>
    </row>
    <row r="31400" spans="13:13">
      <c r="M31400" s="202"/>
    </row>
    <row r="31401" spans="13:13">
      <c r="M31401" s="202"/>
    </row>
    <row r="31402" spans="13:13">
      <c r="M31402" s="202"/>
    </row>
    <row r="31403" spans="13:13">
      <c r="M31403" s="202"/>
    </row>
    <row r="31404" spans="13:13">
      <c r="M31404" s="202"/>
    </row>
    <row r="31405" spans="13:13">
      <c r="M31405" s="202"/>
    </row>
    <row r="31406" spans="13:13">
      <c r="M31406" s="202"/>
    </row>
    <row r="31407" spans="13:13">
      <c r="M31407" s="202"/>
    </row>
    <row r="31408" spans="13:13">
      <c r="M31408" s="202"/>
    </row>
    <row r="31409" spans="13:13">
      <c r="M31409" s="202"/>
    </row>
    <row r="31410" spans="13:13">
      <c r="M31410" s="202"/>
    </row>
    <row r="31411" spans="13:13">
      <c r="M31411" s="202"/>
    </row>
    <row r="31412" spans="13:13">
      <c r="M31412" s="202"/>
    </row>
    <row r="31413" spans="13:13">
      <c r="M31413" s="202"/>
    </row>
    <row r="31414" spans="13:13">
      <c r="M31414" s="202"/>
    </row>
    <row r="31415" spans="13:13">
      <c r="M31415" s="202"/>
    </row>
    <row r="31416" spans="13:13">
      <c r="M31416" s="202"/>
    </row>
    <row r="31417" spans="13:13">
      <c r="M31417" s="202"/>
    </row>
    <row r="31418" spans="13:13">
      <c r="M31418" s="202"/>
    </row>
    <row r="31419" spans="13:13">
      <c r="M31419" s="202"/>
    </row>
    <row r="31420" spans="13:13">
      <c r="M31420" s="202"/>
    </row>
    <row r="31421" spans="13:13">
      <c r="M31421" s="202"/>
    </row>
    <row r="31422" spans="13:13">
      <c r="M31422" s="202"/>
    </row>
    <row r="31423" spans="13:13">
      <c r="M31423" s="202"/>
    </row>
    <row r="31424" spans="13:13">
      <c r="M31424" s="202"/>
    </row>
    <row r="31425" spans="13:13">
      <c r="M31425" s="202"/>
    </row>
    <row r="31426" spans="13:13">
      <c r="M31426" s="202"/>
    </row>
    <row r="31427" spans="13:13">
      <c r="M31427" s="202"/>
    </row>
    <row r="31428" spans="13:13">
      <c r="M31428" s="202"/>
    </row>
    <row r="31429" spans="13:13">
      <c r="M31429" s="202"/>
    </row>
    <row r="31430" spans="13:13">
      <c r="M31430" s="202"/>
    </row>
    <row r="31431" spans="13:13">
      <c r="M31431" s="202"/>
    </row>
    <row r="31432" spans="13:13">
      <c r="M31432" s="202"/>
    </row>
    <row r="31433" spans="13:13">
      <c r="M31433" s="202"/>
    </row>
    <row r="31434" spans="13:13">
      <c r="M31434" s="202"/>
    </row>
    <row r="31435" spans="13:13">
      <c r="M31435" s="202"/>
    </row>
    <row r="31436" spans="13:13">
      <c r="M31436" s="202"/>
    </row>
    <row r="31437" spans="13:13">
      <c r="M31437" s="202"/>
    </row>
    <row r="31438" spans="13:13">
      <c r="M31438" s="202"/>
    </row>
    <row r="31439" spans="13:13">
      <c r="M31439" s="202"/>
    </row>
    <row r="31440" spans="13:13">
      <c r="M31440" s="202"/>
    </row>
    <row r="31441" spans="13:13">
      <c r="M31441" s="202"/>
    </row>
    <row r="31442" spans="13:13">
      <c r="M31442" s="202"/>
    </row>
    <row r="31443" spans="13:13">
      <c r="M31443" s="202"/>
    </row>
    <row r="31444" spans="13:13">
      <c r="M31444" s="202"/>
    </row>
    <row r="31445" spans="13:13">
      <c r="M31445" s="202"/>
    </row>
    <row r="31446" spans="13:13">
      <c r="M31446" s="202"/>
    </row>
    <row r="31447" spans="13:13">
      <c r="M31447" s="202"/>
    </row>
    <row r="31448" spans="13:13">
      <c r="M31448" s="202"/>
    </row>
    <row r="31449" spans="13:13">
      <c r="M31449" s="202"/>
    </row>
    <row r="31450" spans="13:13">
      <c r="M31450" s="202"/>
    </row>
    <row r="31451" spans="13:13">
      <c r="M31451" s="202"/>
    </row>
    <row r="31452" spans="13:13">
      <c r="M31452" s="202"/>
    </row>
    <row r="31453" spans="13:13">
      <c r="M31453" s="202"/>
    </row>
    <row r="31454" spans="13:13">
      <c r="M31454" s="202"/>
    </row>
    <row r="31455" spans="13:13">
      <c r="M31455" s="202"/>
    </row>
    <row r="31456" spans="13:13">
      <c r="M31456" s="202"/>
    </row>
    <row r="31457" spans="13:13">
      <c r="M31457" s="202"/>
    </row>
    <row r="31458" spans="13:13">
      <c r="M31458" s="202"/>
    </row>
    <row r="31459" spans="13:13">
      <c r="M31459" s="202"/>
    </row>
    <row r="31460" spans="13:13">
      <c r="M31460" s="202"/>
    </row>
    <row r="31461" spans="13:13">
      <c r="M31461" s="202"/>
    </row>
    <row r="31462" spans="13:13">
      <c r="M31462" s="202"/>
    </row>
    <row r="31463" spans="13:13">
      <c r="M31463" s="202"/>
    </row>
    <row r="31464" spans="13:13">
      <c r="M31464" s="202"/>
    </row>
    <row r="31465" spans="13:13">
      <c r="M31465" s="202"/>
    </row>
    <row r="31466" spans="13:13">
      <c r="M31466" s="202"/>
    </row>
    <row r="31467" spans="13:13">
      <c r="M31467" s="202"/>
    </row>
    <row r="31468" spans="13:13">
      <c r="M31468" s="202"/>
    </row>
    <row r="31469" spans="13:13">
      <c r="M31469" s="202"/>
    </row>
    <row r="31470" spans="13:13">
      <c r="M31470" s="202"/>
    </row>
    <row r="31471" spans="13:13">
      <c r="M31471" s="202"/>
    </row>
    <row r="31472" spans="13:13">
      <c r="M31472" s="202"/>
    </row>
    <row r="31473" spans="13:13">
      <c r="M31473" s="202"/>
    </row>
    <row r="31474" spans="13:13">
      <c r="M31474" s="202"/>
    </row>
    <row r="31475" spans="13:13">
      <c r="M31475" s="202"/>
    </row>
    <row r="31476" spans="13:13">
      <c r="M31476" s="202"/>
    </row>
    <row r="31477" spans="13:13">
      <c r="M31477" s="202"/>
    </row>
    <row r="31478" spans="13:13">
      <c r="M31478" s="202"/>
    </row>
    <row r="31479" spans="13:13">
      <c r="M31479" s="202"/>
    </row>
    <row r="31480" spans="13:13">
      <c r="M31480" s="202"/>
    </row>
    <row r="31481" spans="13:13">
      <c r="M31481" s="202"/>
    </row>
    <row r="31482" spans="13:13">
      <c r="M31482" s="202"/>
    </row>
    <row r="31483" spans="13:13">
      <c r="M31483" s="202"/>
    </row>
    <row r="31484" spans="13:13">
      <c r="M31484" s="202"/>
    </row>
    <row r="31485" spans="13:13">
      <c r="M31485" s="202"/>
    </row>
    <row r="31486" spans="13:13">
      <c r="M31486" s="202"/>
    </row>
    <row r="31487" spans="13:13">
      <c r="M31487" s="202"/>
    </row>
    <row r="31488" spans="13:13">
      <c r="M31488" s="202"/>
    </row>
    <row r="31489" spans="13:13">
      <c r="M31489" s="202"/>
    </row>
    <row r="31490" spans="13:13">
      <c r="M31490" s="202"/>
    </row>
    <row r="31491" spans="13:13">
      <c r="M31491" s="202"/>
    </row>
    <row r="31492" spans="13:13">
      <c r="M31492" s="202"/>
    </row>
    <row r="31493" spans="13:13">
      <c r="M31493" s="202"/>
    </row>
    <row r="31494" spans="13:13">
      <c r="M31494" s="202"/>
    </row>
    <row r="31495" spans="13:13">
      <c r="M31495" s="202"/>
    </row>
    <row r="31496" spans="13:13">
      <c r="M31496" s="202"/>
    </row>
    <row r="31497" spans="13:13">
      <c r="M31497" s="202"/>
    </row>
    <row r="31498" spans="13:13">
      <c r="M31498" s="202"/>
    </row>
    <row r="31499" spans="13:13">
      <c r="M31499" s="202"/>
    </row>
    <row r="31500" spans="13:13">
      <c r="M31500" s="202"/>
    </row>
    <row r="31501" spans="13:13">
      <c r="M31501" s="202"/>
    </row>
    <row r="31502" spans="13:13">
      <c r="M31502" s="202"/>
    </row>
    <row r="31503" spans="13:13">
      <c r="M31503" s="202"/>
    </row>
    <row r="31504" spans="13:13">
      <c r="M31504" s="202"/>
    </row>
    <row r="31505" spans="13:13">
      <c r="M31505" s="202"/>
    </row>
    <row r="31506" spans="13:13">
      <c r="M31506" s="202"/>
    </row>
    <row r="31507" spans="13:13">
      <c r="M31507" s="202"/>
    </row>
    <row r="31508" spans="13:13">
      <c r="M31508" s="202"/>
    </row>
    <row r="31509" spans="13:13">
      <c r="M31509" s="202"/>
    </row>
    <row r="31510" spans="13:13">
      <c r="M31510" s="202"/>
    </row>
    <row r="31511" spans="13:13">
      <c r="M31511" s="202"/>
    </row>
    <row r="31512" spans="13:13">
      <c r="M31512" s="202"/>
    </row>
    <row r="31513" spans="13:13">
      <c r="M31513" s="202"/>
    </row>
    <row r="31514" spans="13:13">
      <c r="M31514" s="202"/>
    </row>
    <row r="31515" spans="13:13">
      <c r="M31515" s="202"/>
    </row>
    <row r="31516" spans="13:13">
      <c r="M31516" s="202"/>
    </row>
    <row r="31517" spans="13:13">
      <c r="M31517" s="202"/>
    </row>
    <row r="31518" spans="13:13">
      <c r="M31518" s="202"/>
    </row>
    <row r="31519" spans="13:13">
      <c r="M31519" s="202"/>
    </row>
    <row r="31520" spans="13:13">
      <c r="M31520" s="202"/>
    </row>
    <row r="31521" spans="13:13">
      <c r="M31521" s="202"/>
    </row>
    <row r="31522" spans="13:13">
      <c r="M31522" s="202"/>
    </row>
    <row r="31523" spans="13:13">
      <c r="M31523" s="202"/>
    </row>
    <row r="31524" spans="13:13">
      <c r="M31524" s="202"/>
    </row>
    <row r="31525" spans="13:13">
      <c r="M31525" s="202"/>
    </row>
    <row r="31526" spans="13:13">
      <c r="M31526" s="202"/>
    </row>
    <row r="31527" spans="13:13">
      <c r="M31527" s="202"/>
    </row>
    <row r="31528" spans="13:13">
      <c r="M31528" s="202"/>
    </row>
    <row r="31529" spans="13:13">
      <c r="M31529" s="202"/>
    </row>
    <row r="31530" spans="13:13">
      <c r="M31530" s="202"/>
    </row>
    <row r="31531" spans="13:13">
      <c r="M31531" s="202"/>
    </row>
    <row r="31532" spans="13:13">
      <c r="M31532" s="202"/>
    </row>
    <row r="31533" spans="13:13">
      <c r="M31533" s="202"/>
    </row>
    <row r="31534" spans="13:13">
      <c r="M31534" s="202"/>
    </row>
    <row r="31535" spans="13:13">
      <c r="M31535" s="202"/>
    </row>
    <row r="31536" spans="13:13">
      <c r="M31536" s="202"/>
    </row>
    <row r="31537" spans="13:13">
      <c r="M31537" s="202"/>
    </row>
    <row r="31538" spans="13:13">
      <c r="M31538" s="202"/>
    </row>
    <row r="31539" spans="13:13">
      <c r="M31539" s="202"/>
    </row>
    <row r="31540" spans="13:13">
      <c r="M31540" s="202"/>
    </row>
    <row r="31541" spans="13:13">
      <c r="M31541" s="202"/>
    </row>
    <row r="31542" spans="13:13">
      <c r="M31542" s="202"/>
    </row>
    <row r="31543" spans="13:13">
      <c r="M31543" s="202"/>
    </row>
    <row r="31544" spans="13:13">
      <c r="M31544" s="202"/>
    </row>
    <row r="31545" spans="13:13">
      <c r="M31545" s="202"/>
    </row>
    <row r="31546" spans="13:13">
      <c r="M31546" s="202"/>
    </row>
    <row r="31547" spans="13:13">
      <c r="M31547" s="202"/>
    </row>
    <row r="31548" spans="13:13">
      <c r="M31548" s="202"/>
    </row>
    <row r="31549" spans="13:13">
      <c r="M31549" s="202"/>
    </row>
    <row r="31550" spans="13:13">
      <c r="M31550" s="202"/>
    </row>
    <row r="31551" spans="13:13">
      <c r="M31551" s="202"/>
    </row>
    <row r="31552" spans="13:13">
      <c r="M31552" s="202"/>
    </row>
    <row r="31553" spans="13:13">
      <c r="M31553" s="202"/>
    </row>
    <row r="31554" spans="13:13">
      <c r="M31554" s="202"/>
    </row>
    <row r="31555" spans="13:13">
      <c r="M31555" s="202"/>
    </row>
    <row r="31556" spans="13:13">
      <c r="M31556" s="202"/>
    </row>
    <row r="31557" spans="13:13">
      <c r="M31557" s="202"/>
    </row>
    <row r="31558" spans="13:13">
      <c r="M31558" s="202"/>
    </row>
    <row r="31559" spans="13:13">
      <c r="M31559" s="202"/>
    </row>
    <row r="31560" spans="13:13">
      <c r="M31560" s="202"/>
    </row>
    <row r="31561" spans="13:13">
      <c r="M31561" s="202"/>
    </row>
    <row r="31562" spans="13:13">
      <c r="M31562" s="202"/>
    </row>
    <row r="31563" spans="13:13">
      <c r="M31563" s="202"/>
    </row>
    <row r="31564" spans="13:13">
      <c r="M31564" s="202"/>
    </row>
    <row r="31565" spans="13:13">
      <c r="M31565" s="202"/>
    </row>
    <row r="31566" spans="13:13">
      <c r="M31566" s="202"/>
    </row>
    <row r="31567" spans="13:13">
      <c r="M31567" s="202"/>
    </row>
    <row r="31568" spans="13:13">
      <c r="M31568" s="202"/>
    </row>
    <row r="31569" spans="13:13">
      <c r="M31569" s="202"/>
    </row>
    <row r="31570" spans="13:13">
      <c r="M31570" s="202"/>
    </row>
    <row r="31571" spans="13:13">
      <c r="M31571" s="202"/>
    </row>
    <row r="31572" spans="13:13">
      <c r="M31572" s="202"/>
    </row>
    <row r="31573" spans="13:13">
      <c r="M31573" s="202"/>
    </row>
    <row r="31574" spans="13:13">
      <c r="M31574" s="202"/>
    </row>
    <row r="31575" spans="13:13">
      <c r="M31575" s="202"/>
    </row>
    <row r="31576" spans="13:13">
      <c r="M31576" s="202"/>
    </row>
    <row r="31577" spans="13:13">
      <c r="M31577" s="202"/>
    </row>
    <row r="31578" spans="13:13">
      <c r="M31578" s="202"/>
    </row>
    <row r="31579" spans="13:13">
      <c r="M31579" s="202"/>
    </row>
    <row r="31580" spans="13:13">
      <c r="M31580" s="202"/>
    </row>
    <row r="31581" spans="13:13">
      <c r="M31581" s="202"/>
    </row>
    <row r="31582" spans="13:13">
      <c r="M31582" s="202"/>
    </row>
    <row r="31583" spans="13:13">
      <c r="M31583" s="202"/>
    </row>
    <row r="31584" spans="13:13">
      <c r="M31584" s="202"/>
    </row>
    <row r="31585" spans="13:13">
      <c r="M31585" s="202"/>
    </row>
    <row r="31586" spans="13:13">
      <c r="M31586" s="202"/>
    </row>
    <row r="31587" spans="13:13">
      <c r="M31587" s="202"/>
    </row>
    <row r="31588" spans="13:13">
      <c r="M31588" s="202"/>
    </row>
    <row r="31589" spans="13:13">
      <c r="M31589" s="202"/>
    </row>
    <row r="31590" spans="13:13">
      <c r="M31590" s="202"/>
    </row>
    <row r="31591" spans="13:13">
      <c r="M31591" s="202"/>
    </row>
    <row r="31592" spans="13:13">
      <c r="M31592" s="202"/>
    </row>
    <row r="31593" spans="13:13">
      <c r="M31593" s="202"/>
    </row>
    <row r="31594" spans="13:13">
      <c r="M31594" s="202"/>
    </row>
    <row r="31595" spans="13:13">
      <c r="M31595" s="202"/>
    </row>
    <row r="31596" spans="13:13">
      <c r="M31596" s="202"/>
    </row>
    <row r="31597" spans="13:13">
      <c r="M31597" s="202"/>
    </row>
    <row r="31598" spans="13:13">
      <c r="M31598" s="202"/>
    </row>
    <row r="31599" spans="13:13">
      <c r="M31599" s="202"/>
    </row>
    <row r="31600" spans="13:13">
      <c r="M31600" s="202"/>
    </row>
    <row r="31601" spans="13:13">
      <c r="M31601" s="202"/>
    </row>
    <row r="31602" spans="13:13">
      <c r="M31602" s="202"/>
    </row>
    <row r="31603" spans="13:13">
      <c r="M31603" s="202"/>
    </row>
    <row r="31604" spans="13:13">
      <c r="M31604" s="202"/>
    </row>
    <row r="31605" spans="13:13">
      <c r="M31605" s="202"/>
    </row>
    <row r="31606" spans="13:13">
      <c r="M31606" s="202"/>
    </row>
    <row r="31607" spans="13:13">
      <c r="M31607" s="202"/>
    </row>
    <row r="31608" spans="13:13">
      <c r="M31608" s="202"/>
    </row>
    <row r="31609" spans="13:13">
      <c r="M31609" s="202"/>
    </row>
    <row r="31610" spans="13:13">
      <c r="M31610" s="202"/>
    </row>
    <row r="31611" spans="13:13">
      <c r="M31611" s="202"/>
    </row>
    <row r="31612" spans="13:13">
      <c r="M31612" s="202"/>
    </row>
    <row r="31613" spans="13:13">
      <c r="M31613" s="202"/>
    </row>
    <row r="31614" spans="13:13">
      <c r="M31614" s="202"/>
    </row>
    <row r="31615" spans="13:13">
      <c r="M31615" s="202"/>
    </row>
    <row r="31616" spans="13:13">
      <c r="M31616" s="202"/>
    </row>
    <row r="31617" spans="13:13">
      <c r="M31617" s="202"/>
    </row>
    <row r="31618" spans="13:13">
      <c r="M31618" s="202"/>
    </row>
    <row r="31619" spans="13:13">
      <c r="M31619" s="202"/>
    </row>
    <row r="31620" spans="13:13">
      <c r="M31620" s="202"/>
    </row>
    <row r="31621" spans="13:13">
      <c r="M31621" s="202"/>
    </row>
    <row r="31622" spans="13:13">
      <c r="M31622" s="202"/>
    </row>
    <row r="31623" spans="13:13">
      <c r="M31623" s="202"/>
    </row>
    <row r="31624" spans="13:13">
      <c r="M31624" s="202"/>
    </row>
    <row r="31625" spans="13:13">
      <c r="M31625" s="202"/>
    </row>
    <row r="31626" spans="13:13">
      <c r="M31626" s="202"/>
    </row>
    <row r="31627" spans="13:13">
      <c r="M31627" s="202"/>
    </row>
    <row r="31628" spans="13:13">
      <c r="M31628" s="202"/>
    </row>
    <row r="31629" spans="13:13">
      <c r="M31629" s="202"/>
    </row>
    <row r="31630" spans="13:13">
      <c r="M31630" s="202"/>
    </row>
    <row r="31631" spans="13:13">
      <c r="M31631" s="202"/>
    </row>
    <row r="31632" spans="13:13">
      <c r="M31632" s="202"/>
    </row>
    <row r="31633" spans="13:13">
      <c r="M31633" s="202"/>
    </row>
    <row r="31634" spans="13:13">
      <c r="M31634" s="202"/>
    </row>
    <row r="31635" spans="13:13">
      <c r="M31635" s="202"/>
    </row>
    <row r="31636" spans="13:13">
      <c r="M31636" s="202"/>
    </row>
    <row r="31637" spans="13:13">
      <c r="M31637" s="202"/>
    </row>
    <row r="31638" spans="13:13">
      <c r="M31638" s="202"/>
    </row>
    <row r="31639" spans="13:13">
      <c r="M31639" s="202"/>
    </row>
    <row r="31640" spans="13:13">
      <c r="M31640" s="202"/>
    </row>
    <row r="31641" spans="13:13">
      <c r="M31641" s="202"/>
    </row>
    <row r="31642" spans="13:13">
      <c r="M31642" s="202"/>
    </row>
    <row r="31643" spans="13:13">
      <c r="M31643" s="202"/>
    </row>
    <row r="31644" spans="13:13">
      <c r="M31644" s="202"/>
    </row>
    <row r="31645" spans="13:13">
      <c r="M31645" s="202"/>
    </row>
    <row r="31646" spans="13:13">
      <c r="M31646" s="202"/>
    </row>
    <row r="31647" spans="13:13">
      <c r="M31647" s="202"/>
    </row>
    <row r="31648" spans="13:13">
      <c r="M31648" s="202"/>
    </row>
    <row r="31649" spans="13:13">
      <c r="M31649" s="202"/>
    </row>
    <row r="31650" spans="13:13">
      <c r="M31650" s="202"/>
    </row>
    <row r="31651" spans="13:13">
      <c r="M31651" s="202"/>
    </row>
    <row r="31652" spans="13:13">
      <c r="M31652" s="202"/>
    </row>
    <row r="31653" spans="13:13">
      <c r="M31653" s="202"/>
    </row>
    <row r="31654" spans="13:13">
      <c r="M31654" s="202"/>
    </row>
    <row r="31655" spans="13:13">
      <c r="M31655" s="202"/>
    </row>
    <row r="31656" spans="13:13">
      <c r="M31656" s="202"/>
    </row>
    <row r="31657" spans="13:13">
      <c r="M31657" s="202"/>
    </row>
    <row r="31658" spans="13:13">
      <c r="M31658" s="202"/>
    </row>
    <row r="31659" spans="13:13">
      <c r="M31659" s="202"/>
    </row>
    <row r="31660" spans="13:13">
      <c r="M31660" s="202"/>
    </row>
    <row r="31661" spans="13:13">
      <c r="M31661" s="202"/>
    </row>
    <row r="31662" spans="13:13">
      <c r="M31662" s="202"/>
    </row>
    <row r="31663" spans="13:13">
      <c r="M31663" s="202"/>
    </row>
    <row r="31664" spans="13:13">
      <c r="M31664" s="202"/>
    </row>
    <row r="31665" spans="13:13">
      <c r="M31665" s="202"/>
    </row>
    <row r="31666" spans="13:13">
      <c r="M31666" s="202"/>
    </row>
    <row r="31667" spans="13:13">
      <c r="M31667" s="202"/>
    </row>
    <row r="31668" spans="13:13">
      <c r="M31668" s="202"/>
    </row>
    <row r="31669" spans="13:13">
      <c r="M31669" s="202"/>
    </row>
    <row r="31670" spans="13:13">
      <c r="M31670" s="202"/>
    </row>
    <row r="31671" spans="13:13">
      <c r="M31671" s="202"/>
    </row>
    <row r="31672" spans="13:13">
      <c r="M31672" s="202"/>
    </row>
    <row r="31673" spans="13:13">
      <c r="M31673" s="202"/>
    </row>
    <row r="31674" spans="13:13">
      <c r="M31674" s="202"/>
    </row>
    <row r="31675" spans="13:13">
      <c r="M31675" s="202"/>
    </row>
    <row r="31676" spans="13:13">
      <c r="M31676" s="202"/>
    </row>
    <row r="31677" spans="13:13">
      <c r="M31677" s="202"/>
    </row>
    <row r="31678" spans="13:13">
      <c r="M31678" s="202"/>
    </row>
    <row r="31679" spans="13:13">
      <c r="M31679" s="202"/>
    </row>
    <row r="31680" spans="13:13">
      <c r="M31680" s="202"/>
    </row>
    <row r="31681" spans="13:13">
      <c r="M31681" s="202"/>
    </row>
    <row r="31682" spans="13:13">
      <c r="M31682" s="202"/>
    </row>
    <row r="31683" spans="13:13">
      <c r="M31683" s="202"/>
    </row>
    <row r="31684" spans="13:13">
      <c r="M31684" s="202"/>
    </row>
    <row r="31685" spans="13:13">
      <c r="M31685" s="202"/>
    </row>
    <row r="31686" spans="13:13">
      <c r="M31686" s="202"/>
    </row>
    <row r="31687" spans="13:13">
      <c r="M31687" s="202"/>
    </row>
    <row r="31688" spans="13:13">
      <c r="M31688" s="202"/>
    </row>
    <row r="31689" spans="13:13">
      <c r="M31689" s="202"/>
    </row>
    <row r="31690" spans="13:13">
      <c r="M31690" s="202"/>
    </row>
    <row r="31691" spans="13:13">
      <c r="M31691" s="202"/>
    </row>
    <row r="31692" spans="13:13">
      <c r="M31692" s="202"/>
    </row>
    <row r="31693" spans="13:13">
      <c r="M31693" s="202"/>
    </row>
    <row r="31694" spans="13:13">
      <c r="M31694" s="202"/>
    </row>
    <row r="31695" spans="13:13">
      <c r="M31695" s="202"/>
    </row>
    <row r="31696" spans="13:13">
      <c r="M31696" s="202"/>
    </row>
    <row r="31697" spans="13:13">
      <c r="M31697" s="202"/>
    </row>
    <row r="31698" spans="13:13">
      <c r="M31698" s="202"/>
    </row>
    <row r="31699" spans="13:13">
      <c r="M31699" s="202"/>
    </row>
    <row r="31700" spans="13:13">
      <c r="M31700" s="202"/>
    </row>
    <row r="31701" spans="13:13">
      <c r="M31701" s="202"/>
    </row>
    <row r="31702" spans="13:13">
      <c r="M31702" s="202"/>
    </row>
    <row r="31703" spans="13:13">
      <c r="M31703" s="202"/>
    </row>
    <row r="31704" spans="13:13">
      <c r="M31704" s="202"/>
    </row>
    <row r="31705" spans="13:13">
      <c r="M31705" s="202"/>
    </row>
    <row r="31706" spans="13:13">
      <c r="M31706" s="202"/>
    </row>
    <row r="31707" spans="13:13">
      <c r="M31707" s="202"/>
    </row>
    <row r="31708" spans="13:13">
      <c r="M31708" s="202"/>
    </row>
    <row r="31709" spans="13:13">
      <c r="M31709" s="202"/>
    </row>
    <row r="31710" spans="13:13">
      <c r="M31710" s="202"/>
    </row>
    <row r="31711" spans="13:13">
      <c r="M31711" s="202"/>
    </row>
    <row r="31712" spans="13:13">
      <c r="M31712" s="202"/>
    </row>
    <row r="31713" spans="13:13">
      <c r="M31713" s="202"/>
    </row>
    <row r="31714" spans="13:13">
      <c r="M31714" s="202"/>
    </row>
    <row r="31715" spans="13:13">
      <c r="M31715" s="202"/>
    </row>
    <row r="31716" spans="13:13">
      <c r="M31716" s="202"/>
    </row>
    <row r="31717" spans="13:13">
      <c r="M31717" s="202"/>
    </row>
    <row r="31718" spans="13:13">
      <c r="M31718" s="202"/>
    </row>
    <row r="31719" spans="13:13">
      <c r="M31719" s="202"/>
    </row>
    <row r="31720" spans="13:13">
      <c r="M31720" s="202"/>
    </row>
    <row r="31721" spans="13:13">
      <c r="M31721" s="202"/>
    </row>
    <row r="31722" spans="13:13">
      <c r="M31722" s="202"/>
    </row>
    <row r="31723" spans="13:13">
      <c r="M31723" s="202"/>
    </row>
    <row r="31724" spans="13:13">
      <c r="M31724" s="202"/>
    </row>
    <row r="31725" spans="13:13">
      <c r="M31725" s="202"/>
    </row>
    <row r="31726" spans="13:13">
      <c r="M31726" s="202"/>
    </row>
    <row r="31727" spans="13:13">
      <c r="M31727" s="202"/>
    </row>
    <row r="31728" spans="13:13">
      <c r="M31728" s="202"/>
    </row>
    <row r="31729" spans="13:13">
      <c r="M31729" s="202"/>
    </row>
    <row r="31730" spans="13:13">
      <c r="M31730" s="202"/>
    </row>
    <row r="31731" spans="13:13">
      <c r="M31731" s="202"/>
    </row>
    <row r="31732" spans="13:13">
      <c r="M31732" s="202"/>
    </row>
    <row r="31733" spans="13:13">
      <c r="M31733" s="202"/>
    </row>
    <row r="31734" spans="13:13">
      <c r="M31734" s="202"/>
    </row>
    <row r="31735" spans="13:13">
      <c r="M31735" s="202"/>
    </row>
    <row r="31736" spans="13:13">
      <c r="M31736" s="202"/>
    </row>
    <row r="31737" spans="13:13">
      <c r="M31737" s="202"/>
    </row>
    <row r="31738" spans="13:13">
      <c r="M31738" s="202"/>
    </row>
    <row r="31739" spans="13:13">
      <c r="M31739" s="202"/>
    </row>
    <row r="31740" spans="13:13">
      <c r="M31740" s="202"/>
    </row>
    <row r="31741" spans="13:13">
      <c r="M31741" s="202"/>
    </row>
    <row r="31742" spans="13:13">
      <c r="M31742" s="202"/>
    </row>
    <row r="31743" spans="13:13">
      <c r="M31743" s="202"/>
    </row>
    <row r="31744" spans="13:13">
      <c r="M31744" s="202"/>
    </row>
    <row r="31745" spans="13:13">
      <c r="M31745" s="202"/>
    </row>
    <row r="31746" spans="13:13">
      <c r="M31746" s="202"/>
    </row>
    <row r="31747" spans="13:13">
      <c r="M31747" s="202"/>
    </row>
    <row r="31748" spans="13:13">
      <c r="M31748" s="202"/>
    </row>
    <row r="31749" spans="13:13">
      <c r="M31749" s="202"/>
    </row>
    <row r="31750" spans="13:13">
      <c r="M31750" s="202"/>
    </row>
    <row r="31751" spans="13:13">
      <c r="M31751" s="202"/>
    </row>
    <row r="31752" spans="13:13">
      <c r="M31752" s="202"/>
    </row>
    <row r="31753" spans="13:13">
      <c r="M31753" s="202"/>
    </row>
    <row r="31754" spans="13:13">
      <c r="M31754" s="202"/>
    </row>
    <row r="31755" spans="13:13">
      <c r="M31755" s="202"/>
    </row>
    <row r="31756" spans="13:13">
      <c r="M31756" s="202"/>
    </row>
    <row r="31757" spans="13:13">
      <c r="M31757" s="202"/>
    </row>
    <row r="31758" spans="13:13">
      <c r="M31758" s="202"/>
    </row>
    <row r="31759" spans="13:13">
      <c r="M31759" s="202"/>
    </row>
    <row r="31760" spans="13:13">
      <c r="M31760" s="202"/>
    </row>
    <row r="31761" spans="13:13">
      <c r="M31761" s="202"/>
    </row>
    <row r="31762" spans="13:13">
      <c r="M31762" s="202"/>
    </row>
    <row r="31763" spans="13:13">
      <c r="M31763" s="202"/>
    </row>
    <row r="31764" spans="13:13">
      <c r="M31764" s="202"/>
    </row>
    <row r="31765" spans="13:13">
      <c r="M31765" s="202"/>
    </row>
    <row r="31766" spans="13:13">
      <c r="M31766" s="202"/>
    </row>
    <row r="31767" spans="13:13">
      <c r="M31767" s="202"/>
    </row>
    <row r="31768" spans="13:13">
      <c r="M31768" s="202"/>
    </row>
    <row r="31769" spans="13:13">
      <c r="M31769" s="202"/>
    </row>
    <row r="31770" spans="13:13">
      <c r="M31770" s="202"/>
    </row>
    <row r="31771" spans="13:13">
      <c r="M31771" s="202"/>
    </row>
    <row r="31772" spans="13:13">
      <c r="M31772" s="202"/>
    </row>
    <row r="31773" spans="13:13">
      <c r="M31773" s="202"/>
    </row>
    <row r="31774" spans="13:13">
      <c r="M31774" s="202"/>
    </row>
    <row r="31775" spans="13:13">
      <c r="M31775" s="202"/>
    </row>
    <row r="31776" spans="13:13">
      <c r="M31776" s="202"/>
    </row>
    <row r="31777" spans="13:13">
      <c r="M31777" s="202"/>
    </row>
    <row r="31778" spans="13:13">
      <c r="M31778" s="202"/>
    </row>
    <row r="31779" spans="13:13">
      <c r="M31779" s="202"/>
    </row>
    <row r="31780" spans="13:13">
      <c r="M31780" s="202"/>
    </row>
    <row r="31781" spans="13:13">
      <c r="M31781" s="202"/>
    </row>
    <row r="31782" spans="13:13">
      <c r="M31782" s="202"/>
    </row>
    <row r="31783" spans="13:13">
      <c r="M31783" s="202"/>
    </row>
    <row r="31784" spans="13:13">
      <c r="M31784" s="202"/>
    </row>
    <row r="31785" spans="13:13">
      <c r="M31785" s="202"/>
    </row>
    <row r="31786" spans="13:13">
      <c r="M31786" s="202"/>
    </row>
    <row r="31787" spans="13:13">
      <c r="M31787" s="202"/>
    </row>
    <row r="31788" spans="13:13">
      <c r="M31788" s="202"/>
    </row>
    <row r="31789" spans="13:13">
      <c r="M31789" s="202"/>
    </row>
    <row r="31790" spans="13:13">
      <c r="M31790" s="202"/>
    </row>
    <row r="31791" spans="13:13">
      <c r="M31791" s="202"/>
    </row>
    <row r="31792" spans="13:13">
      <c r="M31792" s="202"/>
    </row>
    <row r="31793" spans="13:13">
      <c r="M31793" s="202"/>
    </row>
    <row r="31794" spans="13:13">
      <c r="M31794" s="202"/>
    </row>
    <row r="31795" spans="13:13">
      <c r="M31795" s="202"/>
    </row>
    <row r="31796" spans="13:13">
      <c r="M31796" s="202"/>
    </row>
    <row r="31797" spans="13:13">
      <c r="M31797" s="202"/>
    </row>
    <row r="31798" spans="13:13">
      <c r="M31798" s="202"/>
    </row>
    <row r="31799" spans="13:13">
      <c r="M31799" s="202"/>
    </row>
    <row r="31800" spans="13:13">
      <c r="M31800" s="202"/>
    </row>
    <row r="31801" spans="13:13">
      <c r="M31801" s="202"/>
    </row>
    <row r="31802" spans="13:13">
      <c r="M31802" s="202"/>
    </row>
    <row r="31803" spans="13:13">
      <c r="M31803" s="202"/>
    </row>
    <row r="31804" spans="13:13">
      <c r="M31804" s="202"/>
    </row>
    <row r="31805" spans="13:13">
      <c r="M31805" s="202"/>
    </row>
    <row r="31806" spans="13:13">
      <c r="M31806" s="202"/>
    </row>
    <row r="31807" spans="13:13">
      <c r="M31807" s="202"/>
    </row>
    <row r="31808" spans="13:13">
      <c r="M31808" s="202"/>
    </row>
    <row r="31809" spans="13:13">
      <c r="M31809" s="202"/>
    </row>
    <row r="31810" spans="13:13">
      <c r="M31810" s="202"/>
    </row>
    <row r="31811" spans="13:13">
      <c r="M31811" s="202"/>
    </row>
    <row r="31812" spans="13:13">
      <c r="M31812" s="202"/>
    </row>
    <row r="31813" spans="13:13">
      <c r="M31813" s="202"/>
    </row>
    <row r="31814" spans="13:13">
      <c r="M31814" s="202"/>
    </row>
    <row r="31815" spans="13:13">
      <c r="M31815" s="202"/>
    </row>
    <row r="31816" spans="13:13">
      <c r="M31816" s="202"/>
    </row>
    <row r="31817" spans="13:13">
      <c r="M31817" s="202"/>
    </row>
    <row r="31818" spans="13:13">
      <c r="M31818" s="202"/>
    </row>
    <row r="31819" spans="13:13">
      <c r="M31819" s="202"/>
    </row>
    <row r="31820" spans="13:13">
      <c r="M31820" s="202"/>
    </row>
    <row r="31821" spans="13:13">
      <c r="M31821" s="202"/>
    </row>
    <row r="31822" spans="13:13">
      <c r="M31822" s="202"/>
    </row>
    <row r="31823" spans="13:13">
      <c r="M31823" s="202"/>
    </row>
    <row r="31824" spans="13:13">
      <c r="M31824" s="202"/>
    </row>
    <row r="31825" spans="13:13">
      <c r="M31825" s="202"/>
    </row>
    <row r="31826" spans="13:13">
      <c r="M31826" s="202"/>
    </row>
    <row r="31827" spans="13:13">
      <c r="M31827" s="202"/>
    </row>
    <row r="31828" spans="13:13">
      <c r="M31828" s="202"/>
    </row>
    <row r="31829" spans="13:13">
      <c r="M31829" s="202"/>
    </row>
    <row r="31830" spans="13:13">
      <c r="M31830" s="202"/>
    </row>
    <row r="31831" spans="13:13">
      <c r="M31831" s="202"/>
    </row>
    <row r="31832" spans="13:13">
      <c r="M31832" s="202"/>
    </row>
    <row r="31833" spans="13:13">
      <c r="M31833" s="202"/>
    </row>
    <row r="31834" spans="13:13">
      <c r="M31834" s="202"/>
    </row>
    <row r="31835" spans="13:13">
      <c r="M31835" s="202"/>
    </row>
    <row r="31836" spans="13:13">
      <c r="M31836" s="202"/>
    </row>
    <row r="31837" spans="13:13">
      <c r="M31837" s="202"/>
    </row>
    <row r="31838" spans="13:13">
      <c r="M31838" s="202"/>
    </row>
    <row r="31839" spans="13:13">
      <c r="M31839" s="202"/>
    </row>
    <row r="31840" spans="13:13">
      <c r="M31840" s="202"/>
    </row>
    <row r="31841" spans="13:13">
      <c r="M31841" s="202"/>
    </row>
    <row r="31842" spans="13:13">
      <c r="M31842" s="202"/>
    </row>
    <row r="31843" spans="13:13">
      <c r="M31843" s="202"/>
    </row>
    <row r="31844" spans="13:13">
      <c r="M31844" s="202"/>
    </row>
    <row r="31845" spans="13:13">
      <c r="M31845" s="202"/>
    </row>
    <row r="31846" spans="13:13">
      <c r="M31846" s="202"/>
    </row>
    <row r="31847" spans="13:13">
      <c r="M31847" s="202"/>
    </row>
    <row r="31848" spans="13:13">
      <c r="M31848" s="202"/>
    </row>
    <row r="31849" spans="13:13">
      <c r="M31849" s="202"/>
    </row>
    <row r="31850" spans="13:13">
      <c r="M31850" s="202"/>
    </row>
    <row r="31851" spans="13:13">
      <c r="M31851" s="202"/>
    </row>
    <row r="31852" spans="13:13">
      <c r="M31852" s="202"/>
    </row>
    <row r="31853" spans="13:13">
      <c r="M31853" s="202"/>
    </row>
    <row r="31854" spans="13:13">
      <c r="M31854" s="202"/>
    </row>
    <row r="31855" spans="13:13">
      <c r="M31855" s="202"/>
    </row>
    <row r="31856" spans="13:13">
      <c r="M31856" s="202"/>
    </row>
    <row r="31857" spans="13:13">
      <c r="M31857" s="202"/>
    </row>
    <row r="31858" spans="13:13">
      <c r="M31858" s="202"/>
    </row>
    <row r="31859" spans="13:13">
      <c r="M31859" s="202"/>
    </row>
    <row r="31860" spans="13:13">
      <c r="M31860" s="202"/>
    </row>
    <row r="31861" spans="13:13">
      <c r="M31861" s="202"/>
    </row>
    <row r="31862" spans="13:13">
      <c r="M31862" s="202"/>
    </row>
    <row r="31863" spans="13:13">
      <c r="M31863" s="202"/>
    </row>
    <row r="31864" spans="13:13">
      <c r="M31864" s="202"/>
    </row>
    <row r="31865" spans="13:13">
      <c r="M31865" s="202"/>
    </row>
    <row r="31866" spans="13:13">
      <c r="M31866" s="202"/>
    </row>
    <row r="31867" spans="13:13">
      <c r="M31867" s="202"/>
    </row>
    <row r="31868" spans="13:13">
      <c r="M31868" s="202"/>
    </row>
    <row r="31869" spans="13:13">
      <c r="M31869" s="202"/>
    </row>
    <row r="31870" spans="13:13">
      <c r="M31870" s="202"/>
    </row>
    <row r="31871" spans="13:13">
      <c r="M31871" s="202"/>
    </row>
    <row r="31872" spans="13:13">
      <c r="M31872" s="202"/>
    </row>
    <row r="31873" spans="13:13">
      <c r="M31873" s="202"/>
    </row>
    <row r="31874" spans="13:13">
      <c r="M31874" s="202"/>
    </row>
    <row r="31875" spans="13:13">
      <c r="M31875" s="202"/>
    </row>
    <row r="31876" spans="13:13">
      <c r="M31876" s="202"/>
    </row>
    <row r="31877" spans="13:13">
      <c r="M31877" s="202"/>
    </row>
    <row r="31878" spans="13:13">
      <c r="M31878" s="202"/>
    </row>
    <row r="31879" spans="13:13">
      <c r="M31879" s="202"/>
    </row>
    <row r="31880" spans="13:13">
      <c r="M31880" s="202"/>
    </row>
    <row r="31881" spans="13:13">
      <c r="M31881" s="202"/>
    </row>
    <row r="31882" spans="13:13">
      <c r="M31882" s="202"/>
    </row>
    <row r="31883" spans="13:13">
      <c r="M31883" s="202"/>
    </row>
    <row r="31884" spans="13:13">
      <c r="M31884" s="202"/>
    </row>
    <row r="31885" spans="13:13">
      <c r="M31885" s="202"/>
    </row>
    <row r="31886" spans="13:13">
      <c r="M31886" s="202"/>
    </row>
    <row r="31887" spans="13:13">
      <c r="M31887" s="202"/>
    </row>
    <row r="31888" spans="13:13">
      <c r="M31888" s="202"/>
    </row>
    <row r="31889" spans="13:13">
      <c r="M31889" s="202"/>
    </row>
    <row r="31890" spans="13:13">
      <c r="M31890" s="202"/>
    </row>
    <row r="31891" spans="13:13">
      <c r="M31891" s="202"/>
    </row>
    <row r="31892" spans="13:13">
      <c r="M31892" s="202"/>
    </row>
    <row r="31893" spans="13:13">
      <c r="M31893" s="202"/>
    </row>
    <row r="31894" spans="13:13">
      <c r="M31894" s="202"/>
    </row>
    <row r="31895" spans="13:13">
      <c r="M31895" s="202"/>
    </row>
    <row r="31896" spans="13:13">
      <c r="M31896" s="202"/>
    </row>
    <row r="31897" spans="13:13">
      <c r="M31897" s="202"/>
    </row>
    <row r="31898" spans="13:13">
      <c r="M31898" s="202"/>
    </row>
    <row r="31899" spans="13:13">
      <c r="M31899" s="202"/>
    </row>
    <row r="31900" spans="13:13">
      <c r="M31900" s="202"/>
    </row>
    <row r="31901" spans="13:13">
      <c r="M31901" s="202"/>
    </row>
    <row r="31902" spans="13:13">
      <c r="M31902" s="202"/>
    </row>
    <row r="31903" spans="13:13">
      <c r="M31903" s="202"/>
    </row>
    <row r="31904" spans="13:13">
      <c r="M31904" s="202"/>
    </row>
    <row r="31905" spans="13:13">
      <c r="M31905" s="202"/>
    </row>
    <row r="31906" spans="13:13">
      <c r="M31906" s="202"/>
    </row>
    <row r="31907" spans="13:13">
      <c r="M31907" s="202"/>
    </row>
    <row r="31908" spans="13:13">
      <c r="M31908" s="202"/>
    </row>
    <row r="31909" spans="13:13">
      <c r="M31909" s="202"/>
    </row>
    <row r="31910" spans="13:13">
      <c r="M31910" s="202"/>
    </row>
    <row r="31911" spans="13:13">
      <c r="M31911" s="202"/>
    </row>
    <row r="31912" spans="13:13">
      <c r="M31912" s="202"/>
    </row>
    <row r="31913" spans="13:13">
      <c r="M31913" s="202"/>
    </row>
    <row r="31914" spans="13:13">
      <c r="M31914" s="202"/>
    </row>
    <row r="31915" spans="13:13">
      <c r="M31915" s="202"/>
    </row>
    <row r="31916" spans="13:13">
      <c r="M31916" s="202"/>
    </row>
    <row r="31917" spans="13:13">
      <c r="M31917" s="202"/>
    </row>
    <row r="31918" spans="13:13">
      <c r="M31918" s="202"/>
    </row>
    <row r="31919" spans="13:13">
      <c r="M31919" s="202"/>
    </row>
    <row r="31920" spans="13:13">
      <c r="M31920" s="202"/>
    </row>
    <row r="31921" spans="13:13">
      <c r="M31921" s="202"/>
    </row>
    <row r="31922" spans="13:13">
      <c r="M31922" s="202"/>
    </row>
    <row r="31923" spans="13:13">
      <c r="M31923" s="202"/>
    </row>
    <row r="31924" spans="13:13">
      <c r="M31924" s="202"/>
    </row>
    <row r="31925" spans="13:13">
      <c r="M31925" s="202"/>
    </row>
    <row r="31926" spans="13:13">
      <c r="M31926" s="202"/>
    </row>
    <row r="31927" spans="13:13">
      <c r="M31927" s="202"/>
    </row>
    <row r="31928" spans="13:13">
      <c r="M31928" s="202"/>
    </row>
    <row r="31929" spans="13:13">
      <c r="M31929" s="202"/>
    </row>
    <row r="31930" spans="13:13">
      <c r="M31930" s="202"/>
    </row>
    <row r="31931" spans="13:13">
      <c r="M31931" s="202"/>
    </row>
    <row r="31932" spans="13:13">
      <c r="M31932" s="202"/>
    </row>
    <row r="31933" spans="13:13">
      <c r="M31933" s="202"/>
    </row>
    <row r="31934" spans="13:13">
      <c r="M31934" s="202"/>
    </row>
    <row r="31935" spans="13:13">
      <c r="M31935" s="202"/>
    </row>
    <row r="31936" spans="13:13">
      <c r="M31936" s="202"/>
    </row>
    <row r="31937" spans="13:13">
      <c r="M31937" s="202"/>
    </row>
    <row r="31938" spans="13:13">
      <c r="M31938" s="202"/>
    </row>
    <row r="31939" spans="13:13">
      <c r="M31939" s="202"/>
    </row>
    <row r="31940" spans="13:13">
      <c r="M31940" s="202"/>
    </row>
    <row r="31941" spans="13:13">
      <c r="M31941" s="202"/>
    </row>
    <row r="31942" spans="13:13">
      <c r="M31942" s="202"/>
    </row>
    <row r="31943" spans="13:13">
      <c r="M31943" s="202"/>
    </row>
    <row r="31944" spans="13:13">
      <c r="M31944" s="202"/>
    </row>
    <row r="31945" spans="13:13">
      <c r="M31945" s="202"/>
    </row>
    <row r="31946" spans="13:13">
      <c r="M31946" s="202"/>
    </row>
    <row r="31947" spans="13:13">
      <c r="M31947" s="202"/>
    </row>
    <row r="31948" spans="13:13">
      <c r="M31948" s="202"/>
    </row>
    <row r="31949" spans="13:13">
      <c r="M31949" s="202"/>
    </row>
    <row r="31950" spans="13:13">
      <c r="M31950" s="202"/>
    </row>
    <row r="31951" spans="13:13">
      <c r="M31951" s="202"/>
    </row>
    <row r="31952" spans="13:13">
      <c r="M31952" s="202"/>
    </row>
    <row r="31953" spans="13:13">
      <c r="M31953" s="202"/>
    </row>
    <row r="31954" spans="13:13">
      <c r="M31954" s="202"/>
    </row>
    <row r="31955" spans="13:13">
      <c r="M31955" s="202"/>
    </row>
    <row r="31956" spans="13:13">
      <c r="M31956" s="202"/>
    </row>
    <row r="31957" spans="13:13">
      <c r="M31957" s="202"/>
    </row>
    <row r="31958" spans="13:13">
      <c r="M31958" s="202"/>
    </row>
    <row r="31959" spans="13:13">
      <c r="M31959" s="202"/>
    </row>
    <row r="31960" spans="13:13">
      <c r="M31960" s="202"/>
    </row>
    <row r="31961" spans="13:13">
      <c r="M31961" s="202"/>
    </row>
    <row r="31962" spans="13:13">
      <c r="M31962" s="202"/>
    </row>
    <row r="31963" spans="13:13">
      <c r="M31963" s="202"/>
    </row>
    <row r="31964" spans="13:13">
      <c r="M31964" s="202"/>
    </row>
    <row r="31965" spans="13:13">
      <c r="M31965" s="202"/>
    </row>
    <row r="31966" spans="13:13">
      <c r="M31966" s="202"/>
    </row>
    <row r="31967" spans="13:13">
      <c r="M31967" s="202"/>
    </row>
    <row r="31968" spans="13:13">
      <c r="M31968" s="202"/>
    </row>
    <row r="31969" spans="13:13">
      <c r="M31969" s="202"/>
    </row>
    <row r="31970" spans="13:13">
      <c r="M31970" s="202"/>
    </row>
    <row r="31971" spans="13:13">
      <c r="M31971" s="202"/>
    </row>
    <row r="31972" spans="13:13">
      <c r="M31972" s="202"/>
    </row>
    <row r="31973" spans="13:13">
      <c r="M31973" s="202"/>
    </row>
    <row r="31974" spans="13:13">
      <c r="M31974" s="202"/>
    </row>
    <row r="31975" spans="13:13">
      <c r="M31975" s="202"/>
    </row>
    <row r="31976" spans="13:13">
      <c r="M31976" s="202"/>
    </row>
    <row r="31977" spans="13:13">
      <c r="M31977" s="202"/>
    </row>
    <row r="31978" spans="13:13">
      <c r="M31978" s="202"/>
    </row>
    <row r="31979" spans="13:13">
      <c r="M31979" s="202"/>
    </row>
    <row r="31980" spans="13:13">
      <c r="M31980" s="202"/>
    </row>
    <row r="31981" spans="13:13">
      <c r="M31981" s="202"/>
    </row>
    <row r="31982" spans="13:13">
      <c r="M31982" s="202"/>
    </row>
    <row r="31983" spans="13:13">
      <c r="M31983" s="202"/>
    </row>
    <row r="31984" spans="13:13">
      <c r="M31984" s="202"/>
    </row>
    <row r="31985" spans="13:13">
      <c r="M31985" s="202"/>
    </row>
    <row r="31986" spans="13:13">
      <c r="M31986" s="202"/>
    </row>
    <row r="31987" spans="13:13">
      <c r="M31987" s="202"/>
    </row>
    <row r="31988" spans="13:13">
      <c r="M31988" s="202"/>
    </row>
    <row r="31989" spans="13:13">
      <c r="M31989" s="202"/>
    </row>
    <row r="31990" spans="13:13">
      <c r="M31990" s="202"/>
    </row>
    <row r="31991" spans="13:13">
      <c r="M31991" s="202"/>
    </row>
    <row r="31992" spans="13:13">
      <c r="M31992" s="202"/>
    </row>
    <row r="31993" spans="13:13">
      <c r="M31993" s="202"/>
    </row>
    <row r="31994" spans="13:13">
      <c r="M31994" s="202"/>
    </row>
    <row r="31995" spans="13:13">
      <c r="M31995" s="202"/>
    </row>
    <row r="31996" spans="13:13">
      <c r="M31996" s="202"/>
    </row>
    <row r="31997" spans="13:13">
      <c r="M31997" s="202"/>
    </row>
    <row r="31998" spans="13:13">
      <c r="M31998" s="202"/>
    </row>
    <row r="31999" spans="13:13">
      <c r="M31999" s="202"/>
    </row>
    <row r="32000" spans="13:13">
      <c r="M32000" s="202"/>
    </row>
    <row r="32001" spans="13:13">
      <c r="M32001" s="202"/>
    </row>
    <row r="32002" spans="13:13">
      <c r="M32002" s="202"/>
    </row>
    <row r="32003" spans="13:13">
      <c r="M32003" s="202"/>
    </row>
    <row r="32004" spans="13:13">
      <c r="M32004" s="202"/>
    </row>
    <row r="32005" spans="13:13">
      <c r="M32005" s="202"/>
    </row>
    <row r="32006" spans="13:13">
      <c r="M32006" s="202"/>
    </row>
    <row r="32007" spans="13:13">
      <c r="M32007" s="202"/>
    </row>
    <row r="32008" spans="13:13">
      <c r="M32008" s="202"/>
    </row>
    <row r="32009" spans="13:13">
      <c r="M32009" s="202"/>
    </row>
    <row r="32010" spans="13:13">
      <c r="M32010" s="202"/>
    </row>
    <row r="32011" spans="13:13">
      <c r="M32011" s="202"/>
    </row>
    <row r="32012" spans="13:13">
      <c r="M32012" s="202"/>
    </row>
    <row r="32013" spans="13:13">
      <c r="M32013" s="202"/>
    </row>
    <row r="32014" spans="13:13">
      <c r="M32014" s="202"/>
    </row>
    <row r="32015" spans="13:13">
      <c r="M32015" s="202"/>
    </row>
    <row r="32016" spans="13:13">
      <c r="M32016" s="202"/>
    </row>
    <row r="32017" spans="13:13">
      <c r="M32017" s="202"/>
    </row>
    <row r="32018" spans="13:13">
      <c r="M32018" s="202"/>
    </row>
    <row r="32019" spans="13:13">
      <c r="M32019" s="202"/>
    </row>
    <row r="32020" spans="13:13">
      <c r="M32020" s="202"/>
    </row>
    <row r="32021" spans="13:13">
      <c r="M32021" s="202"/>
    </row>
    <row r="32022" spans="13:13">
      <c r="M32022" s="202"/>
    </row>
    <row r="32023" spans="13:13">
      <c r="M32023" s="202"/>
    </row>
    <row r="32024" spans="13:13">
      <c r="M32024" s="202"/>
    </row>
    <row r="32025" spans="13:13">
      <c r="M32025" s="202"/>
    </row>
    <row r="32026" spans="13:13">
      <c r="M32026" s="202"/>
    </row>
    <row r="32027" spans="13:13">
      <c r="M32027" s="202"/>
    </row>
    <row r="32028" spans="13:13">
      <c r="M32028" s="202"/>
    </row>
    <row r="32029" spans="13:13">
      <c r="M32029" s="202"/>
    </row>
    <row r="32030" spans="13:13">
      <c r="M32030" s="202"/>
    </row>
    <row r="32031" spans="13:13">
      <c r="M32031" s="202"/>
    </row>
    <row r="32032" spans="13:13">
      <c r="M32032" s="202"/>
    </row>
    <row r="32033" spans="13:13">
      <c r="M32033" s="202"/>
    </row>
    <row r="32034" spans="13:13">
      <c r="M32034" s="202"/>
    </row>
    <row r="32035" spans="13:13">
      <c r="M32035" s="202"/>
    </row>
    <row r="32036" spans="13:13">
      <c r="M32036" s="202"/>
    </row>
    <row r="32037" spans="13:13">
      <c r="M32037" s="202"/>
    </row>
    <row r="32038" spans="13:13">
      <c r="M32038" s="202"/>
    </row>
    <row r="32039" spans="13:13">
      <c r="M32039" s="202"/>
    </row>
    <row r="32040" spans="13:13">
      <c r="M32040" s="202"/>
    </row>
    <row r="32041" spans="13:13">
      <c r="M32041" s="202"/>
    </row>
    <row r="32042" spans="13:13">
      <c r="M32042" s="202"/>
    </row>
    <row r="32043" spans="13:13">
      <c r="M32043" s="202"/>
    </row>
    <row r="32044" spans="13:13">
      <c r="M32044" s="202"/>
    </row>
    <row r="32045" spans="13:13">
      <c r="M32045" s="202"/>
    </row>
    <row r="32046" spans="13:13">
      <c r="M32046" s="202"/>
    </row>
    <row r="32047" spans="13:13">
      <c r="M32047" s="202"/>
    </row>
    <row r="32048" spans="13:13">
      <c r="M32048" s="202"/>
    </row>
    <row r="32049" spans="13:13">
      <c r="M32049" s="202"/>
    </row>
    <row r="32050" spans="13:13">
      <c r="M32050" s="202"/>
    </row>
    <row r="32051" spans="13:13">
      <c r="M32051" s="202"/>
    </row>
    <row r="32052" spans="13:13">
      <c r="M32052" s="202"/>
    </row>
    <row r="32053" spans="13:13">
      <c r="M32053" s="202"/>
    </row>
    <row r="32054" spans="13:13">
      <c r="M32054" s="202"/>
    </row>
    <row r="32055" spans="13:13">
      <c r="M32055" s="202"/>
    </row>
    <row r="32056" spans="13:13">
      <c r="M32056" s="202"/>
    </row>
    <row r="32057" spans="13:13">
      <c r="M32057" s="202"/>
    </row>
    <row r="32058" spans="13:13">
      <c r="M32058" s="202"/>
    </row>
    <row r="32059" spans="13:13">
      <c r="M32059" s="202"/>
    </row>
    <row r="32060" spans="13:13">
      <c r="M32060" s="202"/>
    </row>
    <row r="32061" spans="13:13">
      <c r="M32061" s="202"/>
    </row>
    <row r="32062" spans="13:13">
      <c r="M32062" s="202"/>
    </row>
    <row r="32063" spans="13:13">
      <c r="M32063" s="202"/>
    </row>
    <row r="32064" spans="13:13">
      <c r="M32064" s="202"/>
    </row>
    <row r="32065" spans="13:13">
      <c r="M32065" s="202"/>
    </row>
    <row r="32066" spans="13:13">
      <c r="M32066" s="202"/>
    </row>
    <row r="32067" spans="13:13">
      <c r="M32067" s="202"/>
    </row>
    <row r="32068" spans="13:13">
      <c r="M32068" s="202"/>
    </row>
    <row r="32069" spans="13:13">
      <c r="M32069" s="202"/>
    </row>
    <row r="32070" spans="13:13">
      <c r="M32070" s="202"/>
    </row>
    <row r="32071" spans="13:13">
      <c r="M32071" s="202"/>
    </row>
    <row r="32072" spans="13:13">
      <c r="M32072" s="202"/>
    </row>
    <row r="32073" spans="13:13">
      <c r="M32073" s="202"/>
    </row>
    <row r="32074" spans="13:13">
      <c r="M32074" s="202"/>
    </row>
    <row r="32075" spans="13:13">
      <c r="M32075" s="202"/>
    </row>
    <row r="32076" spans="13:13">
      <c r="M32076" s="202"/>
    </row>
    <row r="32077" spans="13:13">
      <c r="M32077" s="202"/>
    </row>
    <row r="32078" spans="13:13">
      <c r="M32078" s="202"/>
    </row>
    <row r="32079" spans="13:13">
      <c r="M32079" s="202"/>
    </row>
    <row r="32080" spans="13:13">
      <c r="M32080" s="202"/>
    </row>
    <row r="32081" spans="13:13">
      <c r="M32081" s="202"/>
    </row>
    <row r="32082" spans="13:13">
      <c r="M32082" s="202"/>
    </row>
    <row r="32083" spans="13:13">
      <c r="M32083" s="202"/>
    </row>
    <row r="32084" spans="13:13">
      <c r="M32084" s="202"/>
    </row>
    <row r="32085" spans="13:13">
      <c r="M32085" s="202"/>
    </row>
    <row r="32086" spans="13:13">
      <c r="M32086" s="202"/>
    </row>
    <row r="32087" spans="13:13">
      <c r="M32087" s="202"/>
    </row>
    <row r="32088" spans="13:13">
      <c r="M32088" s="202"/>
    </row>
    <row r="32089" spans="13:13">
      <c r="M32089" s="202"/>
    </row>
    <row r="32090" spans="13:13">
      <c r="M32090" s="202"/>
    </row>
    <row r="32091" spans="13:13">
      <c r="M32091" s="202"/>
    </row>
    <row r="32092" spans="13:13">
      <c r="M32092" s="202"/>
    </row>
    <row r="32093" spans="13:13">
      <c r="M32093" s="202"/>
    </row>
    <row r="32094" spans="13:13">
      <c r="M32094" s="202"/>
    </row>
    <row r="32095" spans="13:13">
      <c r="M32095" s="202"/>
    </row>
    <row r="32096" spans="13:13">
      <c r="M32096" s="202"/>
    </row>
    <row r="32097" spans="13:13">
      <c r="M32097" s="202"/>
    </row>
    <row r="32098" spans="13:13">
      <c r="M32098" s="202"/>
    </row>
    <row r="32099" spans="13:13">
      <c r="M32099" s="202"/>
    </row>
    <row r="32100" spans="13:13">
      <c r="M32100" s="202"/>
    </row>
    <row r="32101" spans="13:13">
      <c r="M32101" s="202"/>
    </row>
    <row r="32102" spans="13:13">
      <c r="M32102" s="202"/>
    </row>
    <row r="32103" spans="13:13">
      <c r="M32103" s="202"/>
    </row>
    <row r="32104" spans="13:13">
      <c r="M32104" s="202"/>
    </row>
    <row r="32105" spans="13:13">
      <c r="M32105" s="202"/>
    </row>
    <row r="32106" spans="13:13">
      <c r="M32106" s="202"/>
    </row>
    <row r="32107" spans="13:13">
      <c r="M32107" s="202"/>
    </row>
    <row r="32108" spans="13:13">
      <c r="M32108" s="202"/>
    </row>
    <row r="32109" spans="13:13">
      <c r="M32109" s="202"/>
    </row>
    <row r="32110" spans="13:13">
      <c r="M32110" s="202"/>
    </row>
    <row r="32111" spans="13:13">
      <c r="M32111" s="202"/>
    </row>
    <row r="32112" spans="13:13">
      <c r="M32112" s="202"/>
    </row>
    <row r="32113" spans="13:13">
      <c r="M32113" s="202"/>
    </row>
    <row r="32114" spans="13:13">
      <c r="M32114" s="202"/>
    </row>
    <row r="32115" spans="13:13">
      <c r="M32115" s="202"/>
    </row>
    <row r="32116" spans="13:13">
      <c r="M32116" s="202"/>
    </row>
    <row r="32117" spans="13:13">
      <c r="M32117" s="202"/>
    </row>
    <row r="32118" spans="13:13">
      <c r="M32118" s="202"/>
    </row>
    <row r="32119" spans="13:13">
      <c r="M32119" s="202"/>
    </row>
    <row r="32120" spans="13:13">
      <c r="M32120" s="202"/>
    </row>
    <row r="32121" spans="13:13">
      <c r="M32121" s="202"/>
    </row>
    <row r="32122" spans="13:13">
      <c r="M32122" s="202"/>
    </row>
    <row r="32123" spans="13:13">
      <c r="M32123" s="202"/>
    </row>
    <row r="32124" spans="13:13">
      <c r="M32124" s="202"/>
    </row>
    <row r="32125" spans="13:13">
      <c r="M32125" s="202"/>
    </row>
    <row r="32126" spans="13:13">
      <c r="M32126" s="202"/>
    </row>
    <row r="32127" spans="13:13">
      <c r="M32127" s="202"/>
    </row>
    <row r="32128" spans="13:13">
      <c r="M32128" s="202"/>
    </row>
    <row r="32129" spans="13:13">
      <c r="M32129" s="202"/>
    </row>
    <row r="32130" spans="13:13">
      <c r="M32130" s="202"/>
    </row>
    <row r="32131" spans="13:13">
      <c r="M32131" s="202"/>
    </row>
    <row r="32132" spans="13:13">
      <c r="M32132" s="202"/>
    </row>
    <row r="32133" spans="13:13">
      <c r="M32133" s="202"/>
    </row>
    <row r="32134" spans="13:13">
      <c r="M32134" s="202"/>
    </row>
    <row r="32135" spans="13:13">
      <c r="M32135" s="202"/>
    </row>
    <row r="32136" spans="13:13">
      <c r="M32136" s="202"/>
    </row>
    <row r="32137" spans="13:13">
      <c r="M32137" s="202"/>
    </row>
    <row r="32138" spans="13:13">
      <c r="M32138" s="202"/>
    </row>
    <row r="32139" spans="13:13">
      <c r="M32139" s="202"/>
    </row>
    <row r="32140" spans="13:13">
      <c r="M32140" s="202"/>
    </row>
    <row r="32141" spans="13:13">
      <c r="M32141" s="202"/>
    </row>
    <row r="32142" spans="13:13">
      <c r="M32142" s="202"/>
    </row>
    <row r="32143" spans="13:13">
      <c r="M32143" s="202"/>
    </row>
    <row r="32144" spans="13:13">
      <c r="M32144" s="202"/>
    </row>
    <row r="32145" spans="13:13">
      <c r="M32145" s="202"/>
    </row>
    <row r="32146" spans="13:13">
      <c r="M32146" s="202"/>
    </row>
    <row r="32147" spans="13:13">
      <c r="M32147" s="202"/>
    </row>
    <row r="32148" spans="13:13">
      <c r="M32148" s="202"/>
    </row>
    <row r="32149" spans="13:13">
      <c r="M32149" s="202"/>
    </row>
    <row r="32150" spans="13:13">
      <c r="M32150" s="202"/>
    </row>
    <row r="32151" spans="13:13">
      <c r="M32151" s="202"/>
    </row>
    <row r="32152" spans="13:13">
      <c r="M32152" s="202"/>
    </row>
    <row r="32153" spans="13:13">
      <c r="M32153" s="202"/>
    </row>
    <row r="32154" spans="13:13">
      <c r="M32154" s="202"/>
    </row>
    <row r="32155" spans="13:13">
      <c r="M32155" s="202"/>
    </row>
    <row r="32156" spans="13:13">
      <c r="M32156" s="202"/>
    </row>
    <row r="32157" spans="13:13">
      <c r="M32157" s="202"/>
    </row>
    <row r="32158" spans="13:13">
      <c r="M32158" s="202"/>
    </row>
    <row r="32159" spans="13:13">
      <c r="M32159" s="202"/>
    </row>
    <row r="32160" spans="13:13">
      <c r="M32160" s="202"/>
    </row>
    <row r="32161" spans="13:13">
      <c r="M32161" s="202"/>
    </row>
    <row r="32162" spans="13:13">
      <c r="M32162" s="202"/>
    </row>
    <row r="32163" spans="13:13">
      <c r="M32163" s="202"/>
    </row>
    <row r="32164" spans="13:13">
      <c r="M32164" s="202"/>
    </row>
    <row r="32165" spans="13:13">
      <c r="M32165" s="202"/>
    </row>
    <row r="32166" spans="13:13">
      <c r="M32166" s="202"/>
    </row>
    <row r="32167" spans="13:13">
      <c r="M32167" s="202"/>
    </row>
    <row r="32168" spans="13:13">
      <c r="M32168" s="202"/>
    </row>
    <row r="32169" spans="13:13">
      <c r="M32169" s="202"/>
    </row>
    <row r="32170" spans="13:13">
      <c r="M32170" s="202"/>
    </row>
    <row r="32171" spans="13:13">
      <c r="M32171" s="202"/>
    </row>
    <row r="32172" spans="13:13">
      <c r="M32172" s="202"/>
    </row>
    <row r="32173" spans="13:13">
      <c r="M32173" s="202"/>
    </row>
    <row r="32174" spans="13:13">
      <c r="M32174" s="202"/>
    </row>
    <row r="32175" spans="13:13">
      <c r="M32175" s="202"/>
    </row>
    <row r="32176" spans="13:13">
      <c r="M32176" s="202"/>
    </row>
    <row r="32177" spans="13:13">
      <c r="M32177" s="202"/>
    </row>
    <row r="32178" spans="13:13">
      <c r="M32178" s="202"/>
    </row>
    <row r="32179" spans="13:13">
      <c r="M32179" s="202"/>
    </row>
    <row r="32180" spans="13:13">
      <c r="M32180" s="202"/>
    </row>
    <row r="32181" spans="13:13">
      <c r="M32181" s="202"/>
    </row>
    <row r="32182" spans="13:13">
      <c r="M32182" s="202"/>
    </row>
    <row r="32183" spans="13:13">
      <c r="M32183" s="202"/>
    </row>
    <row r="32184" spans="13:13">
      <c r="M32184" s="202"/>
    </row>
    <row r="32185" spans="13:13">
      <c r="M32185" s="202"/>
    </row>
    <row r="32186" spans="13:13">
      <c r="M32186" s="202"/>
    </row>
    <row r="32187" spans="13:13">
      <c r="M32187" s="202"/>
    </row>
    <row r="32188" spans="13:13">
      <c r="M32188" s="202"/>
    </row>
    <row r="32189" spans="13:13">
      <c r="M32189" s="202"/>
    </row>
    <row r="32190" spans="13:13">
      <c r="M32190" s="202"/>
    </row>
    <row r="32191" spans="13:13">
      <c r="M32191" s="202"/>
    </row>
    <row r="32192" spans="13:13">
      <c r="M32192" s="202"/>
    </row>
    <row r="32193" spans="13:13">
      <c r="M32193" s="202"/>
    </row>
    <row r="32194" spans="13:13">
      <c r="M32194" s="202"/>
    </row>
    <row r="32195" spans="13:13">
      <c r="M32195" s="202"/>
    </row>
    <row r="32196" spans="13:13">
      <c r="M32196" s="202"/>
    </row>
    <row r="32197" spans="13:13">
      <c r="M32197" s="202"/>
    </row>
    <row r="32198" spans="13:13">
      <c r="M32198" s="202"/>
    </row>
    <row r="32199" spans="13:13">
      <c r="M32199" s="202"/>
    </row>
    <row r="32200" spans="13:13">
      <c r="M32200" s="202"/>
    </row>
    <row r="32201" spans="13:13">
      <c r="M32201" s="202"/>
    </row>
    <row r="32202" spans="13:13">
      <c r="M32202" s="202"/>
    </row>
    <row r="32203" spans="13:13">
      <c r="M32203" s="202"/>
    </row>
    <row r="32204" spans="13:13">
      <c r="M32204" s="202"/>
    </row>
    <row r="32205" spans="13:13">
      <c r="M32205" s="202"/>
    </row>
    <row r="32206" spans="13:13">
      <c r="M32206" s="202"/>
    </row>
    <row r="32207" spans="13:13">
      <c r="M32207" s="202"/>
    </row>
    <row r="32208" spans="13:13">
      <c r="M32208" s="202"/>
    </row>
    <row r="32209" spans="13:13">
      <c r="M32209" s="202"/>
    </row>
    <row r="32210" spans="13:13">
      <c r="M32210" s="202"/>
    </row>
    <row r="32211" spans="13:13">
      <c r="M32211" s="202"/>
    </row>
    <row r="32212" spans="13:13">
      <c r="M32212" s="202"/>
    </row>
    <row r="32213" spans="13:13">
      <c r="M32213" s="202"/>
    </row>
    <row r="32214" spans="13:13">
      <c r="M32214" s="202"/>
    </row>
    <row r="32215" spans="13:13">
      <c r="M32215" s="202"/>
    </row>
    <row r="32216" spans="13:13">
      <c r="M32216" s="202"/>
    </row>
    <row r="32217" spans="13:13">
      <c r="M32217" s="202"/>
    </row>
    <row r="32218" spans="13:13">
      <c r="M32218" s="202"/>
    </row>
    <row r="32219" spans="13:13">
      <c r="M32219" s="202"/>
    </row>
    <row r="32220" spans="13:13">
      <c r="M32220" s="202"/>
    </row>
    <row r="32221" spans="13:13">
      <c r="M32221" s="202"/>
    </row>
    <row r="32222" spans="13:13">
      <c r="M32222" s="202"/>
    </row>
    <row r="32223" spans="13:13">
      <c r="M32223" s="202"/>
    </row>
    <row r="32224" spans="13:13">
      <c r="M32224" s="202"/>
    </row>
    <row r="32225" spans="13:13">
      <c r="M32225" s="202"/>
    </row>
    <row r="32226" spans="13:13">
      <c r="M32226" s="202"/>
    </row>
    <row r="32227" spans="13:13">
      <c r="M32227" s="202"/>
    </row>
    <row r="32228" spans="13:13">
      <c r="M32228" s="202"/>
    </row>
    <row r="32229" spans="13:13">
      <c r="M32229" s="202"/>
    </row>
    <row r="32230" spans="13:13">
      <c r="M32230" s="202"/>
    </row>
    <row r="32231" spans="13:13">
      <c r="M32231" s="202"/>
    </row>
    <row r="32232" spans="13:13">
      <c r="M32232" s="202"/>
    </row>
    <row r="32233" spans="13:13">
      <c r="M32233" s="202"/>
    </row>
    <row r="32234" spans="13:13">
      <c r="M32234" s="202"/>
    </row>
    <row r="32235" spans="13:13">
      <c r="M32235" s="202"/>
    </row>
    <row r="32236" spans="13:13">
      <c r="M32236" s="202"/>
    </row>
    <row r="32237" spans="13:13">
      <c r="M32237" s="202"/>
    </row>
    <row r="32238" spans="13:13">
      <c r="M32238" s="202"/>
    </row>
    <row r="32239" spans="13:13">
      <c r="M32239" s="202"/>
    </row>
    <row r="32240" spans="13:13">
      <c r="M32240" s="202"/>
    </row>
    <row r="32241" spans="13:13">
      <c r="M32241" s="202"/>
    </row>
    <row r="32242" spans="13:13">
      <c r="M32242" s="202"/>
    </row>
    <row r="32243" spans="13:13">
      <c r="M32243" s="202"/>
    </row>
    <row r="32244" spans="13:13">
      <c r="M32244" s="202"/>
    </row>
    <row r="32245" spans="13:13">
      <c r="M32245" s="202"/>
    </row>
    <row r="32246" spans="13:13">
      <c r="M32246" s="202"/>
    </row>
    <row r="32247" spans="13:13">
      <c r="M32247" s="202"/>
    </row>
    <row r="32248" spans="13:13">
      <c r="M32248" s="202"/>
    </row>
    <row r="32249" spans="13:13">
      <c r="M32249" s="202"/>
    </row>
    <row r="32250" spans="13:13">
      <c r="M32250" s="202"/>
    </row>
    <row r="32251" spans="13:13">
      <c r="M32251" s="202"/>
    </row>
    <row r="32252" spans="13:13">
      <c r="M32252" s="202"/>
    </row>
    <row r="32253" spans="13:13">
      <c r="M32253" s="202"/>
    </row>
    <row r="32254" spans="13:13">
      <c r="M32254" s="202"/>
    </row>
    <row r="32255" spans="13:13">
      <c r="M32255" s="202"/>
    </row>
    <row r="32256" spans="13:13">
      <c r="M32256" s="202"/>
    </row>
    <row r="32257" spans="13:13">
      <c r="M32257" s="202"/>
    </row>
    <row r="32258" spans="13:13">
      <c r="M32258" s="202"/>
    </row>
    <row r="32259" spans="13:13">
      <c r="M32259" s="202"/>
    </row>
    <row r="32260" spans="13:13">
      <c r="M32260" s="202"/>
    </row>
    <row r="32261" spans="13:13">
      <c r="M32261" s="202"/>
    </row>
    <row r="32262" spans="13:13">
      <c r="M32262" s="202"/>
    </row>
    <row r="32263" spans="13:13">
      <c r="M32263" s="202"/>
    </row>
    <row r="32264" spans="13:13">
      <c r="M32264" s="202"/>
    </row>
    <row r="32265" spans="13:13">
      <c r="M32265" s="202"/>
    </row>
    <row r="32266" spans="13:13">
      <c r="M32266" s="202"/>
    </row>
    <row r="32267" spans="13:13">
      <c r="M32267" s="202"/>
    </row>
    <row r="32268" spans="13:13">
      <c r="M32268" s="202"/>
    </row>
    <row r="32269" spans="13:13">
      <c r="M32269" s="202"/>
    </row>
    <row r="32270" spans="13:13">
      <c r="M32270" s="202"/>
    </row>
    <row r="32271" spans="13:13">
      <c r="M32271" s="202"/>
    </row>
    <row r="32272" spans="13:13">
      <c r="M32272" s="202"/>
    </row>
    <row r="32273" spans="13:13">
      <c r="M32273" s="202"/>
    </row>
    <row r="32274" spans="13:13">
      <c r="M32274" s="202"/>
    </row>
    <row r="32275" spans="13:13">
      <c r="M32275" s="202"/>
    </row>
    <row r="32276" spans="13:13">
      <c r="M32276" s="202"/>
    </row>
    <row r="32277" spans="13:13">
      <c r="M32277" s="202"/>
    </row>
    <row r="32278" spans="13:13">
      <c r="M32278" s="202"/>
    </row>
    <row r="32279" spans="13:13">
      <c r="M32279" s="202"/>
    </row>
    <row r="32280" spans="13:13">
      <c r="M32280" s="202"/>
    </row>
    <row r="32281" spans="13:13">
      <c r="M32281" s="202"/>
    </row>
    <row r="32282" spans="13:13">
      <c r="M32282" s="202"/>
    </row>
    <row r="32283" spans="13:13">
      <c r="M32283" s="202"/>
    </row>
    <row r="32284" spans="13:13">
      <c r="M32284" s="202"/>
    </row>
    <row r="32285" spans="13:13">
      <c r="M32285" s="202"/>
    </row>
    <row r="32286" spans="13:13">
      <c r="M32286" s="202"/>
    </row>
    <row r="32287" spans="13:13">
      <c r="M32287" s="202"/>
    </row>
    <row r="32288" spans="13:13">
      <c r="M32288" s="202"/>
    </row>
    <row r="32289" spans="13:13">
      <c r="M32289" s="202"/>
    </row>
    <row r="32290" spans="13:13">
      <c r="M32290" s="202"/>
    </row>
    <row r="32291" spans="13:13">
      <c r="M32291" s="202"/>
    </row>
    <row r="32292" spans="13:13">
      <c r="M32292" s="202"/>
    </row>
    <row r="32293" spans="13:13">
      <c r="M32293" s="202"/>
    </row>
    <row r="32294" spans="13:13">
      <c r="M32294" s="202"/>
    </row>
    <row r="32295" spans="13:13">
      <c r="M32295" s="202"/>
    </row>
    <row r="32296" spans="13:13">
      <c r="M32296" s="202"/>
    </row>
    <row r="32297" spans="13:13">
      <c r="M32297" s="202"/>
    </row>
    <row r="32298" spans="13:13">
      <c r="M32298" s="202"/>
    </row>
    <row r="32299" spans="13:13">
      <c r="M32299" s="202"/>
    </row>
    <row r="32300" spans="13:13">
      <c r="M32300" s="202"/>
    </row>
    <row r="32301" spans="13:13">
      <c r="M32301" s="202"/>
    </row>
    <row r="32302" spans="13:13">
      <c r="M32302" s="202"/>
    </row>
    <row r="32303" spans="13:13">
      <c r="M32303" s="202"/>
    </row>
    <row r="32304" spans="13:13">
      <c r="M32304" s="202"/>
    </row>
    <row r="32305" spans="13:13">
      <c r="M32305" s="202"/>
    </row>
    <row r="32306" spans="13:13">
      <c r="M32306" s="202"/>
    </row>
    <row r="32307" spans="13:13">
      <c r="M32307" s="202"/>
    </row>
    <row r="32308" spans="13:13">
      <c r="M32308" s="202"/>
    </row>
    <row r="32309" spans="13:13">
      <c r="M32309" s="202"/>
    </row>
    <row r="32310" spans="13:13">
      <c r="M32310" s="202"/>
    </row>
    <row r="32311" spans="13:13">
      <c r="M32311" s="202"/>
    </row>
    <row r="32312" spans="13:13">
      <c r="M32312" s="202"/>
    </row>
    <row r="32313" spans="13:13">
      <c r="M32313" s="202"/>
    </row>
    <row r="32314" spans="13:13">
      <c r="M32314" s="202"/>
    </row>
    <row r="32315" spans="13:13">
      <c r="M32315" s="202"/>
    </row>
    <row r="32316" spans="13:13">
      <c r="M32316" s="202"/>
    </row>
    <row r="32317" spans="13:13">
      <c r="M32317" s="202"/>
    </row>
    <row r="32318" spans="13:13">
      <c r="M32318" s="202"/>
    </row>
    <row r="32319" spans="13:13">
      <c r="M32319" s="202"/>
    </row>
    <row r="32320" spans="13:13">
      <c r="M32320" s="202"/>
    </row>
    <row r="32321" spans="13:13">
      <c r="M32321" s="202"/>
    </row>
    <row r="32322" spans="13:13">
      <c r="M32322" s="202"/>
    </row>
    <row r="32323" spans="13:13">
      <c r="M32323" s="202"/>
    </row>
    <row r="32324" spans="13:13">
      <c r="M32324" s="202"/>
    </row>
    <row r="32325" spans="13:13">
      <c r="M32325" s="202"/>
    </row>
    <row r="32326" spans="13:13">
      <c r="M32326" s="202"/>
    </row>
    <row r="32327" spans="13:13">
      <c r="M32327" s="202"/>
    </row>
    <row r="32328" spans="13:13">
      <c r="M32328" s="202"/>
    </row>
    <row r="32329" spans="13:13">
      <c r="M32329" s="202"/>
    </row>
    <row r="32330" spans="13:13">
      <c r="M32330" s="202"/>
    </row>
    <row r="32331" spans="13:13">
      <c r="M32331" s="202"/>
    </row>
    <row r="32332" spans="13:13">
      <c r="M32332" s="202"/>
    </row>
    <row r="32333" spans="13:13">
      <c r="M32333" s="202"/>
    </row>
    <row r="32334" spans="13:13">
      <c r="M32334" s="202"/>
    </row>
    <row r="32335" spans="13:13">
      <c r="M32335" s="202"/>
    </row>
    <row r="32336" spans="13:13">
      <c r="M32336" s="202"/>
    </row>
    <row r="32337" spans="13:13">
      <c r="M32337" s="202"/>
    </row>
    <row r="32338" spans="13:13">
      <c r="M32338" s="202"/>
    </row>
    <row r="32339" spans="13:13">
      <c r="M32339" s="202"/>
    </row>
    <row r="32340" spans="13:13">
      <c r="M32340" s="202"/>
    </row>
    <row r="32341" spans="13:13">
      <c r="M32341" s="202"/>
    </row>
    <row r="32342" spans="13:13">
      <c r="M32342" s="202"/>
    </row>
    <row r="32343" spans="13:13">
      <c r="M32343" s="202"/>
    </row>
    <row r="32344" spans="13:13">
      <c r="M32344" s="202"/>
    </row>
    <row r="32345" spans="13:13">
      <c r="M32345" s="202"/>
    </row>
    <row r="32346" spans="13:13">
      <c r="M32346" s="202"/>
    </row>
    <row r="32347" spans="13:13">
      <c r="M32347" s="202"/>
    </row>
    <row r="32348" spans="13:13">
      <c r="M32348" s="202"/>
    </row>
    <row r="32349" spans="13:13">
      <c r="M32349" s="202"/>
    </row>
    <row r="32350" spans="13:13">
      <c r="M32350" s="202"/>
    </row>
    <row r="32351" spans="13:13">
      <c r="M32351" s="202"/>
    </row>
    <row r="32352" spans="13:13">
      <c r="M32352" s="202"/>
    </row>
    <row r="32353" spans="13:13">
      <c r="M32353" s="202"/>
    </row>
    <row r="32354" spans="13:13">
      <c r="M32354" s="202"/>
    </row>
    <row r="32355" spans="13:13">
      <c r="M32355" s="202"/>
    </row>
    <row r="32356" spans="13:13">
      <c r="M32356" s="202"/>
    </row>
    <row r="32357" spans="13:13">
      <c r="M32357" s="202"/>
    </row>
    <row r="32358" spans="13:13">
      <c r="M32358" s="202"/>
    </row>
    <row r="32359" spans="13:13">
      <c r="M32359" s="202"/>
    </row>
    <row r="32360" spans="13:13">
      <c r="M32360" s="202"/>
    </row>
    <row r="32361" spans="13:13">
      <c r="M32361" s="202"/>
    </row>
    <row r="32362" spans="13:13">
      <c r="M32362" s="202"/>
    </row>
    <row r="32363" spans="13:13">
      <c r="M32363" s="202"/>
    </row>
    <row r="32364" spans="13:13">
      <c r="M32364" s="202"/>
    </row>
    <row r="32365" spans="13:13">
      <c r="M32365" s="202"/>
    </row>
    <row r="32366" spans="13:13">
      <c r="M32366" s="202"/>
    </row>
    <row r="32367" spans="13:13">
      <c r="M32367" s="202"/>
    </row>
    <row r="32368" spans="13:13">
      <c r="M32368" s="202"/>
    </row>
    <row r="32369" spans="13:13">
      <c r="M32369" s="202"/>
    </row>
    <row r="32370" spans="13:13">
      <c r="M32370" s="202"/>
    </row>
    <row r="32371" spans="13:13">
      <c r="M32371" s="202"/>
    </row>
    <row r="32372" spans="13:13">
      <c r="M32372" s="202"/>
    </row>
    <row r="32373" spans="13:13">
      <c r="M32373" s="202"/>
    </row>
    <row r="32374" spans="13:13">
      <c r="M32374" s="202"/>
    </row>
    <row r="32375" spans="13:13">
      <c r="M32375" s="202"/>
    </row>
    <row r="32376" spans="13:13">
      <c r="M32376" s="202"/>
    </row>
    <row r="32377" spans="13:13">
      <c r="M32377" s="202"/>
    </row>
    <row r="32378" spans="13:13">
      <c r="M32378" s="202"/>
    </row>
    <row r="32379" spans="13:13">
      <c r="M32379" s="202"/>
    </row>
    <row r="32380" spans="13:13">
      <c r="M32380" s="202"/>
    </row>
    <row r="32381" spans="13:13">
      <c r="M32381" s="202"/>
    </row>
    <row r="32382" spans="13:13">
      <c r="M32382" s="202"/>
    </row>
    <row r="32383" spans="13:13">
      <c r="M32383" s="202"/>
    </row>
    <row r="32384" spans="13:13">
      <c r="M32384" s="202"/>
    </row>
    <row r="32385" spans="13:13">
      <c r="M32385" s="202"/>
    </row>
    <row r="32386" spans="13:13">
      <c r="M32386" s="202"/>
    </row>
    <row r="32387" spans="13:13">
      <c r="M32387" s="202"/>
    </row>
    <row r="32388" spans="13:13">
      <c r="M32388" s="202"/>
    </row>
    <row r="32389" spans="13:13">
      <c r="M32389" s="202"/>
    </row>
    <row r="32390" spans="13:13">
      <c r="M32390" s="202"/>
    </row>
    <row r="32391" spans="13:13">
      <c r="M32391" s="202"/>
    </row>
    <row r="32392" spans="13:13">
      <c r="M32392" s="202"/>
    </row>
    <row r="32393" spans="13:13">
      <c r="M32393" s="202"/>
    </row>
    <row r="32394" spans="13:13">
      <c r="M32394" s="202"/>
    </row>
    <row r="32395" spans="13:13">
      <c r="M32395" s="202"/>
    </row>
    <row r="32396" spans="13:13">
      <c r="M32396" s="202"/>
    </row>
    <row r="32397" spans="13:13">
      <c r="M32397" s="202"/>
    </row>
    <row r="32398" spans="13:13">
      <c r="M32398" s="202"/>
    </row>
    <row r="32399" spans="13:13">
      <c r="M32399" s="202"/>
    </row>
    <row r="32400" spans="13:13">
      <c r="M32400" s="202"/>
    </row>
    <row r="32401" spans="13:13">
      <c r="M32401" s="202"/>
    </row>
    <row r="32402" spans="13:13">
      <c r="M32402" s="202"/>
    </row>
    <row r="32403" spans="13:13">
      <c r="M32403" s="202"/>
    </row>
    <row r="32404" spans="13:13">
      <c r="M32404" s="202"/>
    </row>
    <row r="32405" spans="13:13">
      <c r="M32405" s="202"/>
    </row>
    <row r="32406" spans="13:13">
      <c r="M32406" s="202"/>
    </row>
    <row r="32407" spans="13:13">
      <c r="M32407" s="202"/>
    </row>
    <row r="32408" spans="13:13">
      <c r="M32408" s="202"/>
    </row>
    <row r="32409" spans="13:13">
      <c r="M32409" s="202"/>
    </row>
    <row r="32410" spans="13:13">
      <c r="M32410" s="202"/>
    </row>
    <row r="32411" spans="13:13">
      <c r="M32411" s="202"/>
    </row>
    <row r="32412" spans="13:13">
      <c r="M32412" s="202"/>
    </row>
    <row r="32413" spans="13:13">
      <c r="M32413" s="202"/>
    </row>
    <row r="32414" spans="13:13">
      <c r="M32414" s="202"/>
    </row>
    <row r="32415" spans="13:13">
      <c r="M32415" s="202"/>
    </row>
    <row r="32416" spans="13:13">
      <c r="M32416" s="202"/>
    </row>
    <row r="32417" spans="13:13">
      <c r="M32417" s="202"/>
    </row>
    <row r="32418" spans="13:13">
      <c r="M32418" s="202"/>
    </row>
    <row r="32419" spans="13:13">
      <c r="M32419" s="202"/>
    </row>
    <row r="32420" spans="13:13">
      <c r="M32420" s="202"/>
    </row>
    <row r="32421" spans="13:13">
      <c r="M32421" s="202"/>
    </row>
    <row r="32422" spans="13:13">
      <c r="M32422" s="202"/>
    </row>
    <row r="32423" spans="13:13">
      <c r="M32423" s="202"/>
    </row>
    <row r="32424" spans="13:13">
      <c r="M32424" s="202"/>
    </row>
    <row r="32425" spans="13:13">
      <c r="M32425" s="202"/>
    </row>
    <row r="32426" spans="13:13">
      <c r="M32426" s="202"/>
    </row>
    <row r="32427" spans="13:13">
      <c r="M32427" s="202"/>
    </row>
    <row r="32428" spans="13:13">
      <c r="M32428" s="202"/>
    </row>
    <row r="32429" spans="13:13">
      <c r="M32429" s="202"/>
    </row>
    <row r="32430" spans="13:13">
      <c r="M32430" s="202"/>
    </row>
    <row r="32431" spans="13:13">
      <c r="M32431" s="202"/>
    </row>
    <row r="32432" spans="13:13">
      <c r="M32432" s="202"/>
    </row>
    <row r="32433" spans="13:13">
      <c r="M32433" s="202"/>
    </row>
    <row r="32434" spans="13:13">
      <c r="M32434" s="202"/>
    </row>
    <row r="32435" spans="13:13">
      <c r="M32435" s="202"/>
    </row>
    <row r="32436" spans="13:13">
      <c r="M32436" s="202"/>
    </row>
    <row r="32437" spans="13:13">
      <c r="M32437" s="202"/>
    </row>
    <row r="32438" spans="13:13">
      <c r="M32438" s="202"/>
    </row>
    <row r="32439" spans="13:13">
      <c r="M32439" s="202"/>
    </row>
    <row r="32440" spans="13:13">
      <c r="M32440" s="202"/>
    </row>
    <row r="32441" spans="13:13">
      <c r="M32441" s="202"/>
    </row>
    <row r="32442" spans="13:13">
      <c r="M32442" s="202"/>
    </row>
    <row r="32443" spans="13:13">
      <c r="M32443" s="202"/>
    </row>
    <row r="32444" spans="13:13">
      <c r="M32444" s="202"/>
    </row>
    <row r="32445" spans="13:13">
      <c r="M32445" s="202"/>
    </row>
    <row r="32446" spans="13:13">
      <c r="M32446" s="202"/>
    </row>
    <row r="32447" spans="13:13">
      <c r="M32447" s="202"/>
    </row>
    <row r="32448" spans="13:13">
      <c r="M32448" s="202"/>
    </row>
    <row r="32449" spans="13:13">
      <c r="M32449" s="202"/>
    </row>
    <row r="32450" spans="13:13">
      <c r="M32450" s="202"/>
    </row>
    <row r="32451" spans="13:13">
      <c r="M32451" s="202"/>
    </row>
    <row r="32452" spans="13:13">
      <c r="M32452" s="202"/>
    </row>
    <row r="32453" spans="13:13">
      <c r="M32453" s="202"/>
    </row>
    <row r="32454" spans="13:13">
      <c r="M32454" s="202"/>
    </row>
    <row r="32455" spans="13:13">
      <c r="M32455" s="202"/>
    </row>
    <row r="32456" spans="13:13">
      <c r="M32456" s="202"/>
    </row>
    <row r="32457" spans="13:13">
      <c r="M32457" s="202"/>
    </row>
    <row r="32458" spans="13:13">
      <c r="M32458" s="202"/>
    </row>
    <row r="32459" spans="13:13">
      <c r="M32459" s="202"/>
    </row>
    <row r="32460" spans="13:13">
      <c r="M32460" s="202"/>
    </row>
    <row r="32461" spans="13:13">
      <c r="M32461" s="202"/>
    </row>
    <row r="32462" spans="13:13">
      <c r="M32462" s="202"/>
    </row>
    <row r="32463" spans="13:13">
      <c r="M32463" s="202"/>
    </row>
    <row r="32464" spans="13:13">
      <c r="M32464" s="202"/>
    </row>
    <row r="32465" spans="13:13">
      <c r="M32465" s="202"/>
    </row>
    <row r="32466" spans="13:13">
      <c r="M32466" s="202"/>
    </row>
    <row r="32467" spans="13:13">
      <c r="M32467" s="202"/>
    </row>
    <row r="32468" spans="13:13">
      <c r="M32468" s="202"/>
    </row>
    <row r="32469" spans="13:13">
      <c r="M32469" s="202"/>
    </row>
    <row r="32470" spans="13:13">
      <c r="M32470" s="202"/>
    </row>
    <row r="32471" spans="13:13">
      <c r="M32471" s="202"/>
    </row>
    <row r="32472" spans="13:13">
      <c r="M32472" s="202"/>
    </row>
    <row r="32473" spans="13:13">
      <c r="M32473" s="202"/>
    </row>
    <row r="32474" spans="13:13">
      <c r="M32474" s="202"/>
    </row>
    <row r="32475" spans="13:13">
      <c r="M32475" s="202"/>
    </row>
    <row r="32476" spans="13:13">
      <c r="M32476" s="202"/>
    </row>
    <row r="32477" spans="13:13">
      <c r="M32477" s="202"/>
    </row>
    <row r="32478" spans="13:13">
      <c r="M32478" s="202"/>
    </row>
    <row r="32479" spans="13:13">
      <c r="M32479" s="202"/>
    </row>
    <row r="32480" spans="13:13">
      <c r="M32480" s="202"/>
    </row>
    <row r="32481" spans="13:13">
      <c r="M32481" s="202"/>
    </row>
    <row r="32482" spans="13:13">
      <c r="M32482" s="202"/>
    </row>
    <row r="32483" spans="13:13">
      <c r="M32483" s="202"/>
    </row>
    <row r="32484" spans="13:13">
      <c r="M32484" s="202"/>
    </row>
    <row r="32485" spans="13:13">
      <c r="M32485" s="202"/>
    </row>
    <row r="32486" spans="13:13">
      <c r="M32486" s="202"/>
    </row>
    <row r="32487" spans="13:13">
      <c r="M32487" s="202"/>
    </row>
    <row r="32488" spans="13:13">
      <c r="M32488" s="202"/>
    </row>
    <row r="32489" spans="13:13">
      <c r="M32489" s="202"/>
    </row>
    <row r="32490" spans="13:13">
      <c r="M32490" s="202"/>
    </row>
    <row r="32491" spans="13:13">
      <c r="M32491" s="202"/>
    </row>
    <row r="32492" spans="13:13">
      <c r="M32492" s="202"/>
    </row>
    <row r="32493" spans="13:13">
      <c r="M32493" s="202"/>
    </row>
    <row r="32494" spans="13:13">
      <c r="M32494" s="202"/>
    </row>
    <row r="32495" spans="13:13">
      <c r="M32495" s="202"/>
    </row>
    <row r="32496" spans="13:13">
      <c r="M32496" s="202"/>
    </row>
    <row r="32497" spans="13:13">
      <c r="M32497" s="202"/>
    </row>
    <row r="32498" spans="13:13">
      <c r="M32498" s="202"/>
    </row>
    <row r="32499" spans="13:13">
      <c r="M32499" s="202"/>
    </row>
    <row r="32500" spans="13:13">
      <c r="M32500" s="202"/>
    </row>
    <row r="32501" spans="13:13">
      <c r="M32501" s="202"/>
    </row>
    <row r="32502" spans="13:13">
      <c r="M32502" s="202"/>
    </row>
    <row r="32503" spans="13:13">
      <c r="M32503" s="202"/>
    </row>
    <row r="32504" spans="13:13">
      <c r="M32504" s="202"/>
    </row>
    <row r="32505" spans="13:13">
      <c r="M32505" s="202"/>
    </row>
    <row r="32506" spans="13:13">
      <c r="M32506" s="202"/>
    </row>
    <row r="32507" spans="13:13">
      <c r="M32507" s="202"/>
    </row>
    <row r="32508" spans="13:13">
      <c r="M32508" s="202"/>
    </row>
    <row r="32509" spans="13:13">
      <c r="M32509" s="202"/>
    </row>
    <row r="32510" spans="13:13">
      <c r="M32510" s="202"/>
    </row>
    <row r="32511" spans="13:13">
      <c r="M32511" s="202"/>
    </row>
    <row r="32512" spans="13:13">
      <c r="M32512" s="202"/>
    </row>
    <row r="32513" spans="13:13">
      <c r="M32513" s="202"/>
    </row>
    <row r="32514" spans="13:13">
      <c r="M32514" s="202"/>
    </row>
    <row r="32515" spans="13:13">
      <c r="M32515" s="202"/>
    </row>
    <row r="32516" spans="13:13">
      <c r="M32516" s="202"/>
    </row>
    <row r="32517" spans="13:13">
      <c r="M32517" s="202"/>
    </row>
    <row r="32518" spans="13:13">
      <c r="M32518" s="202"/>
    </row>
    <row r="32519" spans="13:13">
      <c r="M32519" s="202"/>
    </row>
    <row r="32520" spans="13:13">
      <c r="M32520" s="202"/>
    </row>
    <row r="32521" spans="13:13">
      <c r="M32521" s="202"/>
    </row>
    <row r="32522" spans="13:13">
      <c r="M32522" s="202"/>
    </row>
    <row r="32523" spans="13:13">
      <c r="M32523" s="202"/>
    </row>
    <row r="32524" spans="13:13">
      <c r="M32524" s="202"/>
    </row>
    <row r="32525" spans="13:13">
      <c r="M32525" s="202"/>
    </row>
    <row r="32526" spans="13:13">
      <c r="M32526" s="202"/>
    </row>
    <row r="32527" spans="13:13">
      <c r="M32527" s="202"/>
    </row>
    <row r="32528" spans="13:13">
      <c r="M32528" s="202"/>
    </row>
    <row r="32529" spans="13:13">
      <c r="M32529" s="202"/>
    </row>
    <row r="32530" spans="13:13">
      <c r="M32530" s="202"/>
    </row>
    <row r="32531" spans="13:13">
      <c r="M32531" s="202"/>
    </row>
    <row r="32532" spans="13:13">
      <c r="M32532" s="202"/>
    </row>
    <row r="32533" spans="13:13">
      <c r="M32533" s="202"/>
    </row>
    <row r="32534" spans="13:13">
      <c r="M32534" s="202"/>
    </row>
    <row r="32535" spans="13:13">
      <c r="M32535" s="202"/>
    </row>
    <row r="32536" spans="13:13">
      <c r="M32536" s="202"/>
    </row>
    <row r="32537" spans="13:13">
      <c r="M32537" s="202"/>
    </row>
    <row r="32538" spans="13:13">
      <c r="M32538" s="202"/>
    </row>
    <row r="32539" spans="13:13">
      <c r="M32539" s="202"/>
    </row>
    <row r="32540" spans="13:13">
      <c r="M32540" s="202"/>
    </row>
    <row r="32541" spans="13:13">
      <c r="M32541" s="202"/>
    </row>
    <row r="32542" spans="13:13">
      <c r="M32542" s="202"/>
    </row>
    <row r="32543" spans="13:13">
      <c r="M32543" s="202"/>
    </row>
    <row r="32544" spans="13:13">
      <c r="M32544" s="202"/>
    </row>
    <row r="32545" spans="13:13">
      <c r="M32545" s="202"/>
    </row>
    <row r="32546" spans="13:13">
      <c r="M32546" s="202"/>
    </row>
    <row r="32547" spans="13:13">
      <c r="M32547" s="202"/>
    </row>
    <row r="32548" spans="13:13">
      <c r="M32548" s="202"/>
    </row>
    <row r="32549" spans="13:13">
      <c r="M32549" s="202"/>
    </row>
    <row r="32550" spans="13:13">
      <c r="M32550" s="202"/>
    </row>
    <row r="32551" spans="13:13">
      <c r="M32551" s="202"/>
    </row>
    <row r="32552" spans="13:13">
      <c r="M32552" s="202"/>
    </row>
    <row r="32553" spans="13:13">
      <c r="M32553" s="202"/>
    </row>
    <row r="32554" spans="13:13">
      <c r="M32554" s="202"/>
    </row>
    <row r="32555" spans="13:13">
      <c r="M32555" s="202"/>
    </row>
    <row r="32556" spans="13:13">
      <c r="M32556" s="202"/>
    </row>
    <row r="32557" spans="13:13">
      <c r="M32557" s="202"/>
    </row>
    <row r="32558" spans="13:13">
      <c r="M32558" s="202"/>
    </row>
    <row r="32559" spans="13:13">
      <c r="M32559" s="202"/>
    </row>
    <row r="32560" spans="13:13">
      <c r="M32560" s="202"/>
    </row>
    <row r="32561" spans="13:13">
      <c r="M32561" s="202"/>
    </row>
    <row r="32562" spans="13:13">
      <c r="M32562" s="202"/>
    </row>
    <row r="32563" spans="13:13">
      <c r="M32563" s="202"/>
    </row>
    <row r="32564" spans="13:13">
      <c r="M32564" s="202"/>
    </row>
    <row r="32565" spans="13:13">
      <c r="M32565" s="202"/>
    </row>
    <row r="32566" spans="13:13">
      <c r="M32566" s="202"/>
    </row>
    <row r="32567" spans="13:13">
      <c r="M32567" s="202"/>
    </row>
    <row r="32568" spans="13:13">
      <c r="M32568" s="202"/>
    </row>
    <row r="32569" spans="13:13">
      <c r="M32569" s="202"/>
    </row>
    <row r="32570" spans="13:13">
      <c r="M32570" s="202"/>
    </row>
    <row r="32571" spans="13:13">
      <c r="M32571" s="202"/>
    </row>
    <row r="32572" spans="13:13">
      <c r="M32572" s="202"/>
    </row>
    <row r="32573" spans="13:13">
      <c r="M32573" s="202"/>
    </row>
    <row r="32574" spans="13:13">
      <c r="M32574" s="202"/>
    </row>
    <row r="32575" spans="13:13">
      <c r="M32575" s="202"/>
    </row>
    <row r="32576" spans="13:13">
      <c r="M32576" s="202"/>
    </row>
    <row r="32577" spans="13:13">
      <c r="M32577" s="202"/>
    </row>
    <row r="32578" spans="13:13">
      <c r="M32578" s="202"/>
    </row>
    <row r="32579" spans="13:13">
      <c r="M32579" s="202"/>
    </row>
    <row r="32580" spans="13:13">
      <c r="M32580" s="202"/>
    </row>
    <row r="32581" spans="13:13">
      <c r="M32581" s="202"/>
    </row>
    <row r="32582" spans="13:13">
      <c r="M32582" s="202"/>
    </row>
    <row r="32583" spans="13:13">
      <c r="M32583" s="202"/>
    </row>
    <row r="32584" spans="13:13">
      <c r="M32584" s="202"/>
    </row>
    <row r="32585" spans="13:13">
      <c r="M32585" s="202"/>
    </row>
    <row r="32586" spans="13:13">
      <c r="M32586" s="202"/>
    </row>
    <row r="32587" spans="13:13">
      <c r="M32587" s="202"/>
    </row>
    <row r="32588" spans="13:13">
      <c r="M32588" s="202"/>
    </row>
    <row r="32589" spans="13:13">
      <c r="M32589" s="202"/>
    </row>
    <row r="32590" spans="13:13">
      <c r="M32590" s="202"/>
    </row>
    <row r="32591" spans="13:13">
      <c r="M32591" s="202"/>
    </row>
    <row r="32592" spans="13:13">
      <c r="M32592" s="202"/>
    </row>
    <row r="32593" spans="13:13">
      <c r="M32593" s="202"/>
    </row>
    <row r="32594" spans="13:13">
      <c r="M32594" s="202"/>
    </row>
    <row r="32595" spans="13:13">
      <c r="M32595" s="202"/>
    </row>
    <row r="32596" spans="13:13">
      <c r="M32596" s="202"/>
    </row>
    <row r="32597" spans="13:13">
      <c r="M32597" s="202"/>
    </row>
    <row r="32598" spans="13:13">
      <c r="M32598" s="202"/>
    </row>
    <row r="32599" spans="13:13">
      <c r="M32599" s="202"/>
    </row>
    <row r="32600" spans="13:13">
      <c r="M32600" s="202"/>
    </row>
    <row r="32601" spans="13:13">
      <c r="M32601" s="202"/>
    </row>
    <row r="32602" spans="13:13">
      <c r="M32602" s="202"/>
    </row>
    <row r="32603" spans="13:13">
      <c r="M32603" s="202"/>
    </row>
    <row r="32604" spans="13:13">
      <c r="M32604" s="202"/>
    </row>
    <row r="32605" spans="13:13">
      <c r="M32605" s="202"/>
    </row>
    <row r="32606" spans="13:13">
      <c r="M32606" s="202"/>
    </row>
    <row r="32607" spans="13:13">
      <c r="M32607" s="202"/>
    </row>
    <row r="32608" spans="13:13">
      <c r="M32608" s="202"/>
    </row>
    <row r="32609" spans="13:13">
      <c r="M32609" s="202"/>
    </row>
    <row r="32610" spans="13:13">
      <c r="M32610" s="202"/>
    </row>
    <row r="32611" spans="13:13">
      <c r="M32611" s="202"/>
    </row>
    <row r="32612" spans="13:13">
      <c r="M32612" s="202"/>
    </row>
    <row r="32613" spans="13:13">
      <c r="M32613" s="202"/>
    </row>
    <row r="32614" spans="13:13">
      <c r="M32614" s="202"/>
    </row>
    <row r="32615" spans="13:13">
      <c r="M32615" s="202"/>
    </row>
    <row r="32616" spans="13:13">
      <c r="M32616" s="202"/>
    </row>
    <row r="32617" spans="13:13">
      <c r="M32617" s="202"/>
    </row>
    <row r="32618" spans="13:13">
      <c r="M32618" s="202"/>
    </row>
    <row r="32619" spans="13:13">
      <c r="M32619" s="202"/>
    </row>
    <row r="32620" spans="13:13">
      <c r="M32620" s="202"/>
    </row>
    <row r="32621" spans="13:13">
      <c r="M32621" s="202"/>
    </row>
    <row r="32622" spans="13:13">
      <c r="M32622" s="202"/>
    </row>
    <row r="32623" spans="13:13">
      <c r="M32623" s="202"/>
    </row>
    <row r="32624" spans="13:13">
      <c r="M32624" s="202"/>
    </row>
    <row r="32625" spans="13:13">
      <c r="M32625" s="202"/>
    </row>
    <row r="32626" spans="13:13">
      <c r="M32626" s="202"/>
    </row>
    <row r="32627" spans="13:13">
      <c r="M32627" s="202"/>
    </row>
    <row r="32628" spans="13:13">
      <c r="M32628" s="202"/>
    </row>
    <row r="32629" spans="13:13">
      <c r="M32629" s="202"/>
    </row>
    <row r="32630" spans="13:13">
      <c r="M32630" s="202"/>
    </row>
    <row r="32631" spans="13:13">
      <c r="M32631" s="202"/>
    </row>
    <row r="32632" spans="13:13">
      <c r="M32632" s="202"/>
    </row>
    <row r="32633" spans="13:13">
      <c r="M32633" s="202"/>
    </row>
    <row r="32634" spans="13:13">
      <c r="M32634" s="202"/>
    </row>
    <row r="32635" spans="13:13">
      <c r="M32635" s="202"/>
    </row>
    <row r="32636" spans="13:13">
      <c r="M32636" s="202"/>
    </row>
    <row r="32637" spans="13:13">
      <c r="M32637" s="202"/>
    </row>
    <row r="32638" spans="13:13">
      <c r="M32638" s="202"/>
    </row>
    <row r="32639" spans="13:13">
      <c r="M32639" s="202"/>
    </row>
    <row r="32640" spans="13:13">
      <c r="M32640" s="202"/>
    </row>
    <row r="32641" spans="13:13">
      <c r="M32641" s="202"/>
    </row>
    <row r="32642" spans="13:13">
      <c r="M32642" s="202"/>
    </row>
    <row r="32643" spans="13:13">
      <c r="M32643" s="202"/>
    </row>
    <row r="32644" spans="13:13">
      <c r="M32644" s="202"/>
    </row>
    <row r="32645" spans="13:13">
      <c r="M32645" s="202"/>
    </row>
    <row r="32646" spans="13:13">
      <c r="M32646" s="202"/>
    </row>
    <row r="32647" spans="13:13">
      <c r="M32647" s="202"/>
    </row>
    <row r="32648" spans="13:13">
      <c r="M32648" s="202"/>
    </row>
    <row r="32649" spans="13:13">
      <c r="M32649" s="202"/>
    </row>
    <row r="32650" spans="13:13">
      <c r="M32650" s="202"/>
    </row>
    <row r="32651" spans="13:13">
      <c r="M32651" s="202"/>
    </row>
    <row r="32652" spans="13:13">
      <c r="M32652" s="202"/>
    </row>
    <row r="32653" spans="13:13">
      <c r="M32653" s="202"/>
    </row>
    <row r="32654" spans="13:13">
      <c r="M32654" s="202"/>
    </row>
    <row r="32655" spans="13:13">
      <c r="M32655" s="202"/>
    </row>
    <row r="32656" spans="13:13">
      <c r="M32656" s="202"/>
    </row>
    <row r="32657" spans="13:13">
      <c r="M32657" s="202"/>
    </row>
    <row r="32658" spans="13:13">
      <c r="M32658" s="202"/>
    </row>
    <row r="32659" spans="13:13">
      <c r="M32659" s="202"/>
    </row>
    <row r="32660" spans="13:13">
      <c r="M32660" s="202"/>
    </row>
    <row r="32661" spans="13:13">
      <c r="M32661" s="202"/>
    </row>
    <row r="32662" spans="13:13">
      <c r="M32662" s="202"/>
    </row>
    <row r="32663" spans="13:13">
      <c r="M32663" s="202"/>
    </row>
    <row r="32664" spans="13:13">
      <c r="M32664" s="202"/>
    </row>
    <row r="32665" spans="13:13">
      <c r="M32665" s="202"/>
    </row>
    <row r="32666" spans="13:13">
      <c r="M32666" s="202"/>
    </row>
    <row r="32667" spans="13:13">
      <c r="M32667" s="202"/>
    </row>
    <row r="32668" spans="13:13">
      <c r="M32668" s="202"/>
    </row>
    <row r="32669" spans="13:13">
      <c r="M32669" s="202"/>
    </row>
    <row r="32670" spans="13:13">
      <c r="M32670" s="202"/>
    </row>
    <row r="32671" spans="13:13">
      <c r="M32671" s="202"/>
    </row>
    <row r="32672" spans="13:13">
      <c r="M32672" s="202"/>
    </row>
    <row r="32673" spans="13:13">
      <c r="M32673" s="202"/>
    </row>
    <row r="32674" spans="13:13">
      <c r="M32674" s="202"/>
    </row>
    <row r="32675" spans="13:13">
      <c r="M32675" s="202"/>
    </row>
    <row r="32676" spans="13:13">
      <c r="M32676" s="202"/>
    </row>
    <row r="32677" spans="13:13">
      <c r="M32677" s="202"/>
    </row>
    <row r="32678" spans="13:13">
      <c r="M32678" s="202"/>
    </row>
    <row r="32679" spans="13:13">
      <c r="M32679" s="202"/>
    </row>
    <row r="32680" spans="13:13">
      <c r="M32680" s="202"/>
    </row>
    <row r="32681" spans="13:13">
      <c r="M32681" s="202"/>
    </row>
    <row r="32682" spans="13:13">
      <c r="M32682" s="202"/>
    </row>
    <row r="32683" spans="13:13">
      <c r="M32683" s="202"/>
    </row>
    <row r="32684" spans="13:13">
      <c r="M32684" s="202"/>
    </row>
    <row r="32685" spans="13:13">
      <c r="M32685" s="202"/>
    </row>
    <row r="32686" spans="13:13">
      <c r="M32686" s="202"/>
    </row>
    <row r="32687" spans="13:13">
      <c r="M32687" s="202"/>
    </row>
    <row r="32688" spans="13:13">
      <c r="M32688" s="202"/>
    </row>
    <row r="32689" spans="13:13">
      <c r="M32689" s="202"/>
    </row>
    <row r="32690" spans="13:13">
      <c r="M32690" s="202"/>
    </row>
    <row r="32691" spans="13:13">
      <c r="M32691" s="202"/>
    </row>
    <row r="32692" spans="13:13">
      <c r="M32692" s="202"/>
    </row>
    <row r="32693" spans="13:13">
      <c r="M32693" s="202"/>
    </row>
    <row r="32694" spans="13:13">
      <c r="M32694" s="202"/>
    </row>
    <row r="32695" spans="13:13">
      <c r="M32695" s="202"/>
    </row>
    <row r="32696" spans="13:13">
      <c r="M32696" s="202"/>
    </row>
    <row r="32697" spans="13:13">
      <c r="M32697" s="202"/>
    </row>
    <row r="32698" spans="13:13">
      <c r="M32698" s="202"/>
    </row>
    <row r="32699" spans="13:13">
      <c r="M32699" s="202"/>
    </row>
    <row r="32700" spans="13:13">
      <c r="M32700" s="202"/>
    </row>
    <row r="32701" spans="13:13">
      <c r="M32701" s="202"/>
    </row>
    <row r="32702" spans="13:13">
      <c r="M32702" s="202"/>
    </row>
    <row r="32703" spans="13:13">
      <c r="M32703" s="202"/>
    </row>
    <row r="32704" spans="13:13">
      <c r="M32704" s="202"/>
    </row>
    <row r="32705" spans="13:13">
      <c r="M32705" s="202"/>
    </row>
    <row r="32706" spans="13:13">
      <c r="M32706" s="202"/>
    </row>
    <row r="32707" spans="13:13">
      <c r="M32707" s="202"/>
    </row>
    <row r="32708" spans="13:13">
      <c r="M32708" s="202"/>
    </row>
    <row r="32709" spans="13:13">
      <c r="M32709" s="202"/>
    </row>
    <row r="32710" spans="13:13">
      <c r="M32710" s="202"/>
    </row>
    <row r="32711" spans="13:13">
      <c r="M32711" s="202"/>
    </row>
    <row r="32712" spans="13:13">
      <c r="M32712" s="202"/>
    </row>
    <row r="32713" spans="13:13">
      <c r="M32713" s="202"/>
    </row>
    <row r="32714" spans="13:13">
      <c r="M32714" s="202"/>
    </row>
    <row r="32715" spans="13:13">
      <c r="M32715" s="202"/>
    </row>
    <row r="32716" spans="13:13">
      <c r="M32716" s="202"/>
    </row>
    <row r="32717" spans="13:13">
      <c r="M32717" s="202"/>
    </row>
    <row r="32718" spans="13:13">
      <c r="M32718" s="202"/>
    </row>
    <row r="32719" spans="13:13">
      <c r="M32719" s="202"/>
    </row>
    <row r="32720" spans="13:13">
      <c r="M32720" s="202"/>
    </row>
    <row r="32721" spans="13:13">
      <c r="M32721" s="202"/>
    </row>
    <row r="32722" spans="13:13">
      <c r="M32722" s="202"/>
    </row>
    <row r="32723" spans="13:13">
      <c r="M32723" s="202"/>
    </row>
    <row r="32724" spans="13:13">
      <c r="M32724" s="202"/>
    </row>
    <row r="32725" spans="13:13">
      <c r="M32725" s="202"/>
    </row>
    <row r="32726" spans="13:13">
      <c r="M32726" s="202"/>
    </row>
    <row r="32727" spans="13:13">
      <c r="M32727" s="202"/>
    </row>
    <row r="32728" spans="13:13">
      <c r="M32728" s="202"/>
    </row>
    <row r="32729" spans="13:13">
      <c r="M32729" s="202"/>
    </row>
    <row r="32730" spans="13:13">
      <c r="M32730" s="202"/>
    </row>
    <row r="32731" spans="13:13">
      <c r="M32731" s="202"/>
    </row>
    <row r="32732" spans="13:13">
      <c r="M32732" s="202"/>
    </row>
    <row r="32733" spans="13:13">
      <c r="M32733" s="202"/>
    </row>
    <row r="32734" spans="13:13">
      <c r="M32734" s="202"/>
    </row>
    <row r="32735" spans="13:13">
      <c r="M32735" s="202"/>
    </row>
    <row r="32736" spans="13:13">
      <c r="M32736" s="202"/>
    </row>
    <row r="32737" spans="13:13">
      <c r="M32737" s="202"/>
    </row>
    <row r="32738" spans="13:13">
      <c r="M32738" s="202"/>
    </row>
    <row r="32739" spans="13:13">
      <c r="M32739" s="202"/>
    </row>
    <row r="32740" spans="13:13">
      <c r="M32740" s="202"/>
    </row>
    <row r="32741" spans="13:13">
      <c r="M32741" s="202"/>
    </row>
    <row r="32742" spans="13:13">
      <c r="M32742" s="202"/>
    </row>
    <row r="32743" spans="13:13">
      <c r="M32743" s="202"/>
    </row>
    <row r="32744" spans="13:13">
      <c r="M32744" s="202"/>
    </row>
    <row r="32745" spans="13:13">
      <c r="M32745" s="202"/>
    </row>
    <row r="32746" spans="13:13">
      <c r="M32746" s="202"/>
    </row>
    <row r="32747" spans="13:13">
      <c r="M32747" s="202"/>
    </row>
    <row r="32748" spans="13:13">
      <c r="M32748" s="202"/>
    </row>
    <row r="32749" spans="13:13">
      <c r="M32749" s="202"/>
    </row>
    <row r="32750" spans="13:13">
      <c r="M32750" s="202"/>
    </row>
    <row r="32751" spans="13:13">
      <c r="M32751" s="202"/>
    </row>
    <row r="32752" spans="13:13">
      <c r="M32752" s="202"/>
    </row>
    <row r="32753" spans="13:13">
      <c r="M32753" s="202"/>
    </row>
    <row r="32754" spans="13:13">
      <c r="M32754" s="202"/>
    </row>
    <row r="32755" spans="13:13">
      <c r="M32755" s="202"/>
    </row>
    <row r="32756" spans="13:13">
      <c r="M32756" s="202"/>
    </row>
    <row r="32757" spans="13:13">
      <c r="M32757" s="202"/>
    </row>
    <row r="32758" spans="13:13">
      <c r="M32758" s="202"/>
    </row>
    <row r="32759" spans="13:13">
      <c r="M32759" s="202"/>
    </row>
    <row r="32760" spans="13:13">
      <c r="M32760" s="202"/>
    </row>
    <row r="32761" spans="13:13">
      <c r="M32761" s="202"/>
    </row>
    <row r="32762" spans="13:13">
      <c r="M32762" s="202"/>
    </row>
    <row r="32763" spans="13:13">
      <c r="M32763" s="202"/>
    </row>
    <row r="32764" spans="13:13">
      <c r="M32764" s="202"/>
    </row>
    <row r="32765" spans="13:13">
      <c r="M32765" s="202"/>
    </row>
    <row r="32766" spans="13:13">
      <c r="M32766" s="202"/>
    </row>
    <row r="32767" spans="13:13">
      <c r="M32767" s="202"/>
    </row>
    <row r="32768" spans="13:13">
      <c r="M32768" s="202"/>
    </row>
    <row r="32769" spans="13:13">
      <c r="M32769" s="202"/>
    </row>
    <row r="32770" spans="13:13">
      <c r="M32770" s="202"/>
    </row>
    <row r="32771" spans="13:13">
      <c r="M32771" s="202"/>
    </row>
    <row r="32772" spans="13:13">
      <c r="M32772" s="202"/>
    </row>
    <row r="32773" spans="13:13">
      <c r="M32773" s="202"/>
    </row>
    <row r="32774" spans="13:13">
      <c r="M32774" s="202"/>
    </row>
    <row r="32775" spans="13:13">
      <c r="M32775" s="202"/>
    </row>
    <row r="32776" spans="13:13">
      <c r="M32776" s="202"/>
    </row>
    <row r="32777" spans="13:13">
      <c r="M32777" s="202"/>
    </row>
    <row r="32778" spans="13:13">
      <c r="M32778" s="202"/>
    </row>
    <row r="32779" spans="13:13">
      <c r="M32779" s="202"/>
    </row>
    <row r="32780" spans="13:13">
      <c r="M32780" s="202"/>
    </row>
    <row r="32781" spans="13:13">
      <c r="M32781" s="202"/>
    </row>
    <row r="32782" spans="13:13">
      <c r="M32782" s="202"/>
    </row>
    <row r="32783" spans="13:13">
      <c r="M32783" s="202"/>
    </row>
    <row r="32784" spans="13:13">
      <c r="M32784" s="202"/>
    </row>
    <row r="32785" spans="13:13">
      <c r="M32785" s="202"/>
    </row>
    <row r="32786" spans="13:13">
      <c r="M32786" s="202"/>
    </row>
    <row r="32787" spans="13:13">
      <c r="M32787" s="202"/>
    </row>
    <row r="32788" spans="13:13">
      <c r="M32788" s="202"/>
    </row>
    <row r="32789" spans="13:13">
      <c r="M32789" s="202"/>
    </row>
    <row r="32790" spans="13:13">
      <c r="M32790" s="202"/>
    </row>
    <row r="32791" spans="13:13">
      <c r="M32791" s="202"/>
    </row>
    <row r="32792" spans="13:13">
      <c r="M32792" s="202"/>
    </row>
    <row r="32793" spans="13:13">
      <c r="M32793" s="202"/>
    </row>
    <row r="32794" spans="13:13">
      <c r="M32794" s="202"/>
    </row>
    <row r="32795" spans="13:13">
      <c r="M32795" s="202"/>
    </row>
    <row r="32796" spans="13:13">
      <c r="M32796" s="202"/>
    </row>
    <row r="32797" spans="13:13">
      <c r="M32797" s="202"/>
    </row>
    <row r="32798" spans="13:13">
      <c r="M32798" s="202"/>
    </row>
    <row r="32799" spans="13:13">
      <c r="M32799" s="202"/>
    </row>
    <row r="32800" spans="13:13">
      <c r="M32800" s="202"/>
    </row>
    <row r="32801" spans="13:13">
      <c r="M32801" s="202"/>
    </row>
    <row r="32802" spans="13:13">
      <c r="M32802" s="202"/>
    </row>
    <row r="32803" spans="13:13">
      <c r="M32803" s="202"/>
    </row>
    <row r="32804" spans="13:13">
      <c r="M32804" s="202"/>
    </row>
    <row r="32805" spans="13:13">
      <c r="M32805" s="202"/>
    </row>
    <row r="32806" spans="13:13">
      <c r="M32806" s="202"/>
    </row>
    <row r="32807" spans="13:13">
      <c r="M32807" s="202"/>
    </row>
    <row r="32808" spans="13:13">
      <c r="M32808" s="202"/>
    </row>
    <row r="32809" spans="13:13">
      <c r="M32809" s="202"/>
    </row>
    <row r="32810" spans="13:13">
      <c r="M32810" s="202"/>
    </row>
    <row r="32811" spans="13:13">
      <c r="M32811" s="202"/>
    </row>
    <row r="32812" spans="13:13">
      <c r="M32812" s="202"/>
    </row>
    <row r="32813" spans="13:13">
      <c r="M32813" s="202"/>
    </row>
    <row r="32814" spans="13:13">
      <c r="M32814" s="202"/>
    </row>
    <row r="32815" spans="13:13">
      <c r="M32815" s="202"/>
    </row>
    <row r="32816" spans="13:13">
      <c r="M32816" s="202"/>
    </row>
    <row r="32817" spans="13:13">
      <c r="M32817" s="202"/>
    </row>
    <row r="32818" spans="13:13">
      <c r="M32818" s="202"/>
    </row>
    <row r="32819" spans="13:13">
      <c r="M32819" s="202"/>
    </row>
    <row r="32820" spans="13:13">
      <c r="M32820" s="202"/>
    </row>
    <row r="32821" spans="13:13">
      <c r="M32821" s="202"/>
    </row>
    <row r="32822" spans="13:13">
      <c r="M32822" s="202"/>
    </row>
    <row r="32823" spans="13:13">
      <c r="M32823" s="202"/>
    </row>
    <row r="32824" spans="13:13">
      <c r="M32824" s="202"/>
    </row>
    <row r="32825" spans="13:13">
      <c r="M32825" s="202"/>
    </row>
    <row r="32826" spans="13:13">
      <c r="M32826" s="202"/>
    </row>
    <row r="32827" spans="13:13">
      <c r="M32827" s="202"/>
    </row>
    <row r="32828" spans="13:13">
      <c r="M32828" s="202"/>
    </row>
    <row r="32829" spans="13:13">
      <c r="M32829" s="202"/>
    </row>
    <row r="32830" spans="13:13">
      <c r="M32830" s="202"/>
    </row>
    <row r="32831" spans="13:13">
      <c r="M32831" s="202"/>
    </row>
    <row r="32832" spans="13:13">
      <c r="M32832" s="202"/>
    </row>
    <row r="32833" spans="13:13">
      <c r="M32833" s="202"/>
    </row>
    <row r="32834" spans="13:13">
      <c r="M32834" s="202"/>
    </row>
    <row r="32835" spans="13:13">
      <c r="M32835" s="202"/>
    </row>
    <row r="32836" spans="13:13">
      <c r="M32836" s="202"/>
    </row>
    <row r="32837" spans="13:13">
      <c r="M32837" s="202"/>
    </row>
    <row r="32838" spans="13:13">
      <c r="M32838" s="202"/>
    </row>
    <row r="32839" spans="13:13">
      <c r="M32839" s="202"/>
    </row>
    <row r="32840" spans="13:13">
      <c r="M32840" s="202"/>
    </row>
    <row r="32841" spans="13:13">
      <c r="M32841" s="202"/>
    </row>
    <row r="32842" spans="13:13">
      <c r="M32842" s="202"/>
    </row>
    <row r="32843" spans="13:13">
      <c r="M32843" s="202"/>
    </row>
    <row r="32844" spans="13:13">
      <c r="M32844" s="202"/>
    </row>
    <row r="32845" spans="13:13">
      <c r="M32845" s="202"/>
    </row>
    <row r="32846" spans="13:13">
      <c r="M32846" s="202"/>
    </row>
    <row r="32847" spans="13:13">
      <c r="M32847" s="202"/>
    </row>
    <row r="32848" spans="13:13">
      <c r="M32848" s="202"/>
    </row>
    <row r="32849" spans="13:13">
      <c r="M32849" s="202"/>
    </row>
    <row r="32850" spans="13:13">
      <c r="M32850" s="202"/>
    </row>
    <row r="32851" spans="13:13">
      <c r="M32851" s="202"/>
    </row>
    <row r="32852" spans="13:13">
      <c r="M32852" s="202"/>
    </row>
    <row r="32853" spans="13:13">
      <c r="M32853" s="202"/>
    </row>
    <row r="32854" spans="13:13">
      <c r="M32854" s="202"/>
    </row>
    <row r="32855" spans="13:13">
      <c r="M32855" s="202"/>
    </row>
    <row r="32856" spans="13:13">
      <c r="M32856" s="202"/>
    </row>
    <row r="32857" spans="13:13">
      <c r="M32857" s="202"/>
    </row>
    <row r="32858" spans="13:13">
      <c r="M32858" s="202"/>
    </row>
    <row r="32859" spans="13:13">
      <c r="M32859" s="202"/>
    </row>
    <row r="32860" spans="13:13">
      <c r="M32860" s="202"/>
    </row>
    <row r="32861" spans="13:13">
      <c r="M32861" s="202"/>
    </row>
    <row r="32862" spans="13:13">
      <c r="M32862" s="202"/>
    </row>
    <row r="32863" spans="13:13">
      <c r="M32863" s="202"/>
    </row>
    <row r="32864" spans="13:13">
      <c r="M32864" s="202"/>
    </row>
    <row r="32865" spans="13:13">
      <c r="M32865" s="202"/>
    </row>
    <row r="32866" spans="13:13">
      <c r="M32866" s="202"/>
    </row>
    <row r="32867" spans="13:13">
      <c r="M32867" s="202"/>
    </row>
    <row r="32868" spans="13:13">
      <c r="M32868" s="202"/>
    </row>
    <row r="32869" spans="13:13">
      <c r="M32869" s="202"/>
    </row>
    <row r="32870" spans="13:13">
      <c r="M32870" s="202"/>
    </row>
    <row r="32871" spans="13:13">
      <c r="M32871" s="202"/>
    </row>
    <row r="32872" spans="13:13">
      <c r="M32872" s="202"/>
    </row>
    <row r="32873" spans="13:13">
      <c r="M32873" s="202"/>
    </row>
    <row r="32874" spans="13:13">
      <c r="M32874" s="202"/>
    </row>
    <row r="32875" spans="13:13">
      <c r="M32875" s="202"/>
    </row>
    <row r="32876" spans="13:13">
      <c r="M32876" s="202"/>
    </row>
    <row r="32877" spans="13:13">
      <c r="M32877" s="202"/>
    </row>
    <row r="32878" spans="13:13">
      <c r="M32878" s="202"/>
    </row>
    <row r="32879" spans="13:13">
      <c r="M32879" s="202"/>
    </row>
    <row r="32880" spans="13:13">
      <c r="M32880" s="202"/>
    </row>
    <row r="32881" spans="13:13">
      <c r="M32881" s="202"/>
    </row>
    <row r="32882" spans="13:13">
      <c r="M32882" s="202"/>
    </row>
    <row r="32883" spans="13:13">
      <c r="M32883" s="202"/>
    </row>
    <row r="32884" spans="13:13">
      <c r="M32884" s="202"/>
    </row>
    <row r="32885" spans="13:13">
      <c r="M32885" s="202"/>
    </row>
    <row r="32886" spans="13:13">
      <c r="M32886" s="202"/>
    </row>
    <row r="32887" spans="13:13">
      <c r="M32887" s="202"/>
    </row>
    <row r="32888" spans="13:13">
      <c r="M32888" s="202"/>
    </row>
    <row r="32889" spans="13:13">
      <c r="M32889" s="202"/>
    </row>
    <row r="32890" spans="13:13">
      <c r="M32890" s="202"/>
    </row>
    <row r="32891" spans="13:13">
      <c r="M32891" s="202"/>
    </row>
    <row r="32892" spans="13:13">
      <c r="M32892" s="202"/>
    </row>
    <row r="32893" spans="13:13">
      <c r="M32893" s="202"/>
    </row>
    <row r="32894" spans="13:13">
      <c r="M32894" s="202"/>
    </row>
    <row r="32895" spans="13:13">
      <c r="M32895" s="202"/>
    </row>
    <row r="32896" spans="13:13">
      <c r="M32896" s="202"/>
    </row>
    <row r="32897" spans="13:13">
      <c r="M32897" s="202"/>
    </row>
    <row r="32898" spans="13:13">
      <c r="M32898" s="202"/>
    </row>
    <row r="32899" spans="13:13">
      <c r="M32899" s="202"/>
    </row>
    <row r="32900" spans="13:13">
      <c r="M32900" s="202"/>
    </row>
    <row r="32901" spans="13:13">
      <c r="M32901" s="202"/>
    </row>
    <row r="32902" spans="13:13">
      <c r="M32902" s="202"/>
    </row>
    <row r="32903" spans="13:13">
      <c r="M32903" s="202"/>
    </row>
    <row r="32904" spans="13:13">
      <c r="M32904" s="202"/>
    </row>
    <row r="32905" spans="13:13">
      <c r="M32905" s="202"/>
    </row>
    <row r="32906" spans="13:13">
      <c r="M32906" s="202"/>
    </row>
    <row r="32907" spans="13:13">
      <c r="M32907" s="202"/>
    </row>
    <row r="32908" spans="13:13">
      <c r="M32908" s="202"/>
    </row>
    <row r="32909" spans="13:13">
      <c r="M32909" s="202"/>
    </row>
    <row r="32910" spans="13:13">
      <c r="M32910" s="202"/>
    </row>
    <row r="32911" spans="13:13">
      <c r="M32911" s="202"/>
    </row>
    <row r="32912" spans="13:13">
      <c r="M32912" s="202"/>
    </row>
    <row r="32913" spans="13:13">
      <c r="M32913" s="202"/>
    </row>
    <row r="32914" spans="13:13">
      <c r="M32914" s="202"/>
    </row>
    <row r="32915" spans="13:13">
      <c r="M32915" s="202"/>
    </row>
    <row r="32916" spans="13:13">
      <c r="M32916" s="202"/>
    </row>
    <row r="32917" spans="13:13">
      <c r="M32917" s="202"/>
    </row>
    <row r="32918" spans="13:13">
      <c r="M32918" s="202"/>
    </row>
    <row r="32919" spans="13:13">
      <c r="M32919" s="202"/>
    </row>
    <row r="32920" spans="13:13">
      <c r="M32920" s="202"/>
    </row>
    <row r="32921" spans="13:13">
      <c r="M32921" s="202"/>
    </row>
    <row r="32922" spans="13:13">
      <c r="M32922" s="202"/>
    </row>
    <row r="32923" spans="13:13">
      <c r="M32923" s="202"/>
    </row>
    <row r="32924" spans="13:13">
      <c r="M32924" s="202"/>
    </row>
    <row r="32925" spans="13:13">
      <c r="M32925" s="202"/>
    </row>
    <row r="32926" spans="13:13">
      <c r="M32926" s="202"/>
    </row>
    <row r="32927" spans="13:13">
      <c r="M32927" s="202"/>
    </row>
    <row r="32928" spans="13:13">
      <c r="M32928" s="202"/>
    </row>
    <row r="32929" spans="13:13">
      <c r="M32929" s="202"/>
    </row>
    <row r="32930" spans="13:13">
      <c r="M32930" s="202"/>
    </row>
    <row r="32931" spans="13:13">
      <c r="M32931" s="202"/>
    </row>
    <row r="32932" spans="13:13">
      <c r="M32932" s="202"/>
    </row>
    <row r="32933" spans="13:13">
      <c r="M32933" s="202"/>
    </row>
    <row r="32934" spans="13:13">
      <c r="M32934" s="202"/>
    </row>
    <row r="32935" spans="13:13">
      <c r="M32935" s="202"/>
    </row>
    <row r="32936" spans="13:13">
      <c r="M32936" s="202"/>
    </row>
    <row r="32937" spans="13:13">
      <c r="M32937" s="202"/>
    </row>
    <row r="32938" spans="13:13">
      <c r="M32938" s="202"/>
    </row>
    <row r="32939" spans="13:13">
      <c r="M32939" s="202"/>
    </row>
    <row r="32940" spans="13:13">
      <c r="M32940" s="202"/>
    </row>
    <row r="32941" spans="13:13">
      <c r="M32941" s="202"/>
    </row>
    <row r="32942" spans="13:13">
      <c r="M32942" s="202"/>
    </row>
    <row r="32943" spans="13:13">
      <c r="M32943" s="202"/>
    </row>
    <row r="32944" spans="13:13">
      <c r="M32944" s="202"/>
    </row>
    <row r="32945" spans="13:13">
      <c r="M32945" s="202"/>
    </row>
    <row r="32946" spans="13:13">
      <c r="M32946" s="202"/>
    </row>
    <row r="32947" spans="13:13">
      <c r="M32947" s="202"/>
    </row>
    <row r="32948" spans="13:13">
      <c r="M32948" s="202"/>
    </row>
    <row r="32949" spans="13:13">
      <c r="M32949" s="202"/>
    </row>
    <row r="32950" spans="13:13">
      <c r="M32950" s="202"/>
    </row>
    <row r="32951" spans="13:13">
      <c r="M32951" s="202"/>
    </row>
    <row r="32952" spans="13:13">
      <c r="M32952" s="202"/>
    </row>
    <row r="32953" spans="13:13">
      <c r="M32953" s="202"/>
    </row>
    <row r="32954" spans="13:13">
      <c r="M32954" s="202"/>
    </row>
    <row r="32955" spans="13:13">
      <c r="M32955" s="202"/>
    </row>
    <row r="32956" spans="13:13">
      <c r="M32956" s="202"/>
    </row>
    <row r="32957" spans="13:13">
      <c r="M32957" s="202"/>
    </row>
    <row r="32958" spans="13:13">
      <c r="M32958" s="202"/>
    </row>
    <row r="32959" spans="13:13">
      <c r="M32959" s="202"/>
    </row>
    <row r="32960" spans="13:13">
      <c r="M32960" s="202"/>
    </row>
    <row r="32961" spans="13:13">
      <c r="M32961" s="202"/>
    </row>
    <row r="32962" spans="13:13">
      <c r="M32962" s="202"/>
    </row>
    <row r="32963" spans="13:13">
      <c r="M32963" s="202"/>
    </row>
    <row r="32964" spans="13:13">
      <c r="M32964" s="202"/>
    </row>
    <row r="32965" spans="13:13">
      <c r="M32965" s="202"/>
    </row>
    <row r="32966" spans="13:13">
      <c r="M32966" s="202"/>
    </row>
    <row r="32967" spans="13:13">
      <c r="M32967" s="202"/>
    </row>
    <row r="32968" spans="13:13">
      <c r="M32968" s="202"/>
    </row>
    <row r="32969" spans="13:13">
      <c r="M32969" s="202"/>
    </row>
    <row r="32970" spans="13:13">
      <c r="M32970" s="202"/>
    </row>
    <row r="32971" spans="13:13">
      <c r="M32971" s="202"/>
    </row>
    <row r="32972" spans="13:13">
      <c r="M32972" s="202"/>
    </row>
    <row r="32973" spans="13:13">
      <c r="M32973" s="202"/>
    </row>
    <row r="32974" spans="13:13">
      <c r="M32974" s="202"/>
    </row>
    <row r="32975" spans="13:13">
      <c r="M32975" s="202"/>
    </row>
    <row r="32976" spans="13:13">
      <c r="M32976" s="202"/>
    </row>
    <row r="32977" spans="13:13">
      <c r="M32977" s="202"/>
    </row>
    <row r="32978" spans="13:13">
      <c r="M32978" s="202"/>
    </row>
    <row r="32979" spans="13:13">
      <c r="M32979" s="202"/>
    </row>
    <row r="32980" spans="13:13">
      <c r="M32980" s="202"/>
    </row>
    <row r="32981" spans="13:13">
      <c r="M32981" s="202"/>
    </row>
    <row r="32982" spans="13:13">
      <c r="M32982" s="202"/>
    </row>
    <row r="32983" spans="13:13">
      <c r="M32983" s="202"/>
    </row>
    <row r="32984" spans="13:13">
      <c r="M32984" s="202"/>
    </row>
    <row r="32985" spans="13:13">
      <c r="M32985" s="202"/>
    </row>
    <row r="32986" spans="13:13">
      <c r="M32986" s="202"/>
    </row>
    <row r="32987" spans="13:13">
      <c r="M32987" s="202"/>
    </row>
    <row r="32988" spans="13:13">
      <c r="M32988" s="202"/>
    </row>
    <row r="32989" spans="13:13">
      <c r="M32989" s="202"/>
    </row>
    <row r="32990" spans="13:13">
      <c r="M32990" s="202"/>
    </row>
    <row r="32991" spans="13:13">
      <c r="M32991" s="202"/>
    </row>
    <row r="32992" spans="13:13">
      <c r="M32992" s="202"/>
    </row>
    <row r="32993" spans="13:13">
      <c r="M32993" s="202"/>
    </row>
    <row r="32994" spans="13:13">
      <c r="M32994" s="202"/>
    </row>
    <row r="32995" spans="13:13">
      <c r="M32995" s="202"/>
    </row>
    <row r="32996" spans="13:13">
      <c r="M32996" s="202"/>
    </row>
    <row r="32997" spans="13:13">
      <c r="M32997" s="202"/>
    </row>
    <row r="32998" spans="13:13">
      <c r="M32998" s="202"/>
    </row>
    <row r="32999" spans="13:13">
      <c r="M32999" s="202"/>
    </row>
    <row r="33000" spans="13:13">
      <c r="M33000" s="202"/>
    </row>
    <row r="33001" spans="13:13">
      <c r="M33001" s="202"/>
    </row>
    <row r="33002" spans="13:13">
      <c r="M33002" s="202"/>
    </row>
    <row r="33003" spans="13:13">
      <c r="M33003" s="202"/>
    </row>
    <row r="33004" spans="13:13">
      <c r="M33004" s="202"/>
    </row>
    <row r="33005" spans="13:13">
      <c r="M33005" s="202"/>
    </row>
    <row r="33006" spans="13:13">
      <c r="M33006" s="202"/>
    </row>
    <row r="33007" spans="13:13">
      <c r="M33007" s="202"/>
    </row>
    <row r="33008" spans="13:13">
      <c r="M33008" s="202"/>
    </row>
    <row r="33009" spans="13:13">
      <c r="M33009" s="202"/>
    </row>
    <row r="33010" spans="13:13">
      <c r="M33010" s="202"/>
    </row>
    <row r="33011" spans="13:13">
      <c r="M33011" s="202"/>
    </row>
    <row r="33012" spans="13:13">
      <c r="M33012" s="202"/>
    </row>
    <row r="33013" spans="13:13">
      <c r="M33013" s="202"/>
    </row>
    <row r="33014" spans="13:13">
      <c r="M33014" s="202"/>
    </row>
    <row r="33015" spans="13:13">
      <c r="M33015" s="202"/>
    </row>
    <row r="33016" spans="13:13">
      <c r="M33016" s="202"/>
    </row>
    <row r="33017" spans="13:13">
      <c r="M33017" s="202"/>
    </row>
    <row r="33018" spans="13:13">
      <c r="M33018" s="202"/>
    </row>
    <row r="33019" spans="13:13">
      <c r="M33019" s="202"/>
    </row>
    <row r="33020" spans="13:13">
      <c r="M33020" s="202"/>
    </row>
    <row r="33021" spans="13:13">
      <c r="M33021" s="202"/>
    </row>
    <row r="33022" spans="13:13">
      <c r="M33022" s="202"/>
    </row>
    <row r="33023" spans="13:13">
      <c r="M33023" s="202"/>
    </row>
    <row r="33024" spans="13:13">
      <c r="M33024" s="202"/>
    </row>
    <row r="33025" spans="13:13">
      <c r="M33025" s="202"/>
    </row>
    <row r="33026" spans="13:13">
      <c r="M33026" s="202"/>
    </row>
    <row r="33027" spans="13:13">
      <c r="M33027" s="202"/>
    </row>
    <row r="33028" spans="13:13">
      <c r="M33028" s="202"/>
    </row>
    <row r="33029" spans="13:13">
      <c r="M33029" s="202"/>
    </row>
    <row r="33030" spans="13:13">
      <c r="M33030" s="202"/>
    </row>
    <row r="33031" spans="13:13">
      <c r="M33031" s="202"/>
    </row>
    <row r="33032" spans="13:13">
      <c r="M33032" s="202"/>
    </row>
    <row r="33033" spans="13:13">
      <c r="M33033" s="202"/>
    </row>
    <row r="33034" spans="13:13">
      <c r="M33034" s="202"/>
    </row>
    <row r="33035" spans="13:13">
      <c r="M33035" s="202"/>
    </row>
    <row r="33036" spans="13:13">
      <c r="M33036" s="202"/>
    </row>
    <row r="33037" spans="13:13">
      <c r="M33037" s="202"/>
    </row>
    <row r="33038" spans="13:13">
      <c r="M33038" s="202"/>
    </row>
    <row r="33039" spans="13:13">
      <c r="M33039" s="202"/>
    </row>
    <row r="33040" spans="13:13">
      <c r="M33040" s="202"/>
    </row>
    <row r="33041" spans="13:13">
      <c r="M33041" s="202"/>
    </row>
    <row r="33042" spans="13:13">
      <c r="M33042" s="202"/>
    </row>
    <row r="33043" spans="13:13">
      <c r="M33043" s="202"/>
    </row>
    <row r="33044" spans="13:13">
      <c r="M33044" s="202"/>
    </row>
    <row r="33045" spans="13:13">
      <c r="M33045" s="202"/>
    </row>
    <row r="33046" spans="13:13">
      <c r="M33046" s="202"/>
    </row>
    <row r="33047" spans="13:13">
      <c r="M33047" s="202"/>
    </row>
    <row r="33048" spans="13:13">
      <c r="M33048" s="202"/>
    </row>
    <row r="33049" spans="13:13">
      <c r="M33049" s="202"/>
    </row>
    <row r="33050" spans="13:13">
      <c r="M33050" s="202"/>
    </row>
    <row r="33051" spans="13:13">
      <c r="M33051" s="202"/>
    </row>
    <row r="33052" spans="13:13">
      <c r="M33052" s="202"/>
    </row>
    <row r="33053" spans="13:13">
      <c r="M33053" s="202"/>
    </row>
    <row r="33054" spans="13:13">
      <c r="M33054" s="202"/>
    </row>
    <row r="33055" spans="13:13">
      <c r="M33055" s="202"/>
    </row>
    <row r="33056" spans="13:13">
      <c r="M33056" s="202"/>
    </row>
    <row r="33057" spans="13:13">
      <c r="M33057" s="202"/>
    </row>
    <row r="33058" spans="13:13">
      <c r="M33058" s="202"/>
    </row>
    <row r="33059" spans="13:13">
      <c r="M33059" s="202"/>
    </row>
    <row r="33060" spans="13:13">
      <c r="M33060" s="202"/>
    </row>
    <row r="33061" spans="13:13">
      <c r="M33061" s="202"/>
    </row>
    <row r="33062" spans="13:13">
      <c r="M33062" s="202"/>
    </row>
    <row r="33063" spans="13:13">
      <c r="M33063" s="202"/>
    </row>
    <row r="33064" spans="13:13">
      <c r="M33064" s="202"/>
    </row>
    <row r="33065" spans="13:13">
      <c r="M33065" s="202"/>
    </row>
    <row r="33066" spans="13:13">
      <c r="M33066" s="202"/>
    </row>
    <row r="33067" spans="13:13">
      <c r="M33067" s="202"/>
    </row>
    <row r="33068" spans="13:13">
      <c r="M33068" s="202"/>
    </row>
    <row r="33069" spans="13:13">
      <c r="M33069" s="202"/>
    </row>
    <row r="33070" spans="13:13">
      <c r="M33070" s="202"/>
    </row>
    <row r="33071" spans="13:13">
      <c r="M33071" s="202"/>
    </row>
    <row r="33072" spans="13:13">
      <c r="M33072" s="202"/>
    </row>
    <row r="33073" spans="13:13">
      <c r="M33073" s="202"/>
    </row>
    <row r="33074" spans="13:13">
      <c r="M33074" s="202"/>
    </row>
    <row r="33075" spans="13:13">
      <c r="M33075" s="202"/>
    </row>
    <row r="33076" spans="13:13">
      <c r="M33076" s="202"/>
    </row>
    <row r="33077" spans="13:13">
      <c r="M33077" s="202"/>
    </row>
    <row r="33078" spans="13:13">
      <c r="M33078" s="202"/>
    </row>
    <row r="33079" spans="13:13">
      <c r="M33079" s="202"/>
    </row>
    <row r="33080" spans="13:13">
      <c r="M33080" s="202"/>
    </row>
    <row r="33081" spans="13:13">
      <c r="M33081" s="202"/>
    </row>
    <row r="33082" spans="13:13">
      <c r="M33082" s="202"/>
    </row>
    <row r="33083" spans="13:13">
      <c r="M33083" s="202"/>
    </row>
    <row r="33084" spans="13:13">
      <c r="M33084" s="202"/>
    </row>
    <row r="33085" spans="13:13">
      <c r="M33085" s="202"/>
    </row>
    <row r="33086" spans="13:13">
      <c r="M33086" s="202"/>
    </row>
    <row r="33087" spans="13:13">
      <c r="M33087" s="202"/>
    </row>
    <row r="33088" spans="13:13">
      <c r="M33088" s="202"/>
    </row>
    <row r="33089" spans="13:13">
      <c r="M33089" s="202"/>
    </row>
    <row r="33090" spans="13:13">
      <c r="M33090" s="202"/>
    </row>
    <row r="33091" spans="13:13">
      <c r="M33091" s="202"/>
    </row>
    <row r="33092" spans="13:13">
      <c r="M33092" s="202"/>
    </row>
    <row r="33093" spans="13:13">
      <c r="M33093" s="202"/>
    </row>
    <row r="33094" spans="13:13">
      <c r="M33094" s="202"/>
    </row>
    <row r="33095" spans="13:13">
      <c r="M33095" s="202"/>
    </row>
    <row r="33096" spans="13:13">
      <c r="M33096" s="202"/>
    </row>
    <row r="33097" spans="13:13">
      <c r="M33097" s="202"/>
    </row>
    <row r="33098" spans="13:13">
      <c r="M33098" s="202"/>
    </row>
    <row r="33099" spans="13:13">
      <c r="M33099" s="202"/>
    </row>
    <row r="33100" spans="13:13">
      <c r="M33100" s="202"/>
    </row>
    <row r="33101" spans="13:13">
      <c r="M33101" s="202"/>
    </row>
    <row r="33102" spans="13:13">
      <c r="M33102" s="202"/>
    </row>
    <row r="33103" spans="13:13">
      <c r="M33103" s="202"/>
    </row>
    <row r="33104" spans="13:13">
      <c r="M33104" s="202"/>
    </row>
    <row r="33105" spans="13:13">
      <c r="M33105" s="202"/>
    </row>
    <row r="33106" spans="13:13">
      <c r="M33106" s="202"/>
    </row>
    <row r="33107" spans="13:13">
      <c r="M33107" s="202"/>
    </row>
    <row r="33108" spans="13:13">
      <c r="M33108" s="202"/>
    </row>
    <row r="33109" spans="13:13">
      <c r="M33109" s="202"/>
    </row>
    <row r="33110" spans="13:13">
      <c r="M33110" s="202"/>
    </row>
    <row r="33111" spans="13:13">
      <c r="M33111" s="202"/>
    </row>
    <row r="33112" spans="13:13">
      <c r="M33112" s="202"/>
    </row>
    <row r="33113" spans="13:13">
      <c r="M33113" s="202"/>
    </row>
    <row r="33114" spans="13:13">
      <c r="M33114" s="202"/>
    </row>
    <row r="33115" spans="13:13">
      <c r="M33115" s="202"/>
    </row>
    <row r="33116" spans="13:13">
      <c r="M33116" s="202"/>
    </row>
    <row r="33117" spans="13:13">
      <c r="M33117" s="202"/>
    </row>
    <row r="33118" spans="13:13">
      <c r="M33118" s="202"/>
    </row>
    <row r="33119" spans="13:13">
      <c r="M33119" s="202"/>
    </row>
    <row r="33120" spans="13:13">
      <c r="M33120" s="202"/>
    </row>
    <row r="33121" spans="13:13">
      <c r="M33121" s="202"/>
    </row>
    <row r="33122" spans="13:13">
      <c r="M33122" s="202"/>
    </row>
    <row r="33123" spans="13:13">
      <c r="M33123" s="202"/>
    </row>
    <row r="33124" spans="13:13">
      <c r="M33124" s="202"/>
    </row>
    <row r="33125" spans="13:13">
      <c r="M33125" s="202"/>
    </row>
    <row r="33126" spans="13:13">
      <c r="M33126" s="202"/>
    </row>
    <row r="33127" spans="13:13">
      <c r="M33127" s="202"/>
    </row>
    <row r="33128" spans="13:13">
      <c r="M33128" s="202"/>
    </row>
    <row r="33129" spans="13:13">
      <c r="M33129" s="202"/>
    </row>
    <row r="33130" spans="13:13">
      <c r="M33130" s="202"/>
    </row>
    <row r="33131" spans="13:13">
      <c r="M33131" s="202"/>
    </row>
    <row r="33132" spans="13:13">
      <c r="M33132" s="202"/>
    </row>
    <row r="33133" spans="13:13">
      <c r="M33133" s="202"/>
    </row>
    <row r="33134" spans="13:13">
      <c r="M33134" s="202"/>
    </row>
    <row r="33135" spans="13:13">
      <c r="M33135" s="202"/>
    </row>
    <row r="33136" spans="13:13">
      <c r="M33136" s="202"/>
    </row>
    <row r="33137" spans="13:13">
      <c r="M33137" s="202"/>
    </row>
    <row r="33138" spans="13:13">
      <c r="M33138" s="202"/>
    </row>
    <row r="33139" spans="13:13">
      <c r="M33139" s="202"/>
    </row>
    <row r="33140" spans="13:13">
      <c r="M33140" s="202"/>
    </row>
    <row r="33141" spans="13:13">
      <c r="M33141" s="202"/>
    </row>
    <row r="33142" spans="13:13">
      <c r="M33142" s="202"/>
    </row>
    <row r="33143" spans="13:13">
      <c r="M33143" s="202"/>
    </row>
    <row r="33144" spans="13:13">
      <c r="M33144" s="202"/>
    </row>
    <row r="33145" spans="13:13">
      <c r="M33145" s="202"/>
    </row>
    <row r="33146" spans="13:13">
      <c r="M33146" s="202"/>
    </row>
    <row r="33147" spans="13:13">
      <c r="M33147" s="202"/>
    </row>
    <row r="33148" spans="13:13">
      <c r="M33148" s="202"/>
    </row>
    <row r="33149" spans="13:13">
      <c r="M33149" s="202"/>
    </row>
    <row r="33150" spans="13:13">
      <c r="M33150" s="202"/>
    </row>
    <row r="33151" spans="13:13">
      <c r="M33151" s="202"/>
    </row>
    <row r="33152" spans="13:13">
      <c r="M33152" s="202"/>
    </row>
    <row r="33153" spans="13:13">
      <c r="M33153" s="202"/>
    </row>
    <row r="33154" spans="13:13">
      <c r="M33154" s="202"/>
    </row>
    <row r="33155" spans="13:13">
      <c r="M33155" s="202"/>
    </row>
    <row r="33156" spans="13:13">
      <c r="M33156" s="202"/>
    </row>
    <row r="33157" spans="13:13">
      <c r="M33157" s="202"/>
    </row>
    <row r="33158" spans="13:13">
      <c r="M33158" s="202"/>
    </row>
    <row r="33159" spans="13:13">
      <c r="M33159" s="202"/>
    </row>
    <row r="33160" spans="13:13">
      <c r="M33160" s="202"/>
    </row>
    <row r="33161" spans="13:13">
      <c r="M33161" s="202"/>
    </row>
    <row r="33162" spans="13:13">
      <c r="M33162" s="202"/>
    </row>
    <row r="33163" spans="13:13">
      <c r="M33163" s="202"/>
    </row>
    <row r="33164" spans="13:13">
      <c r="M33164" s="202"/>
    </row>
    <row r="33165" spans="13:13">
      <c r="M33165" s="202"/>
    </row>
    <row r="33166" spans="13:13">
      <c r="M33166" s="202"/>
    </row>
    <row r="33167" spans="13:13">
      <c r="M33167" s="202"/>
    </row>
    <row r="33168" spans="13:13">
      <c r="M33168" s="202"/>
    </row>
    <row r="33169" spans="13:13">
      <c r="M33169" s="202"/>
    </row>
    <row r="33170" spans="13:13">
      <c r="M33170" s="202"/>
    </row>
    <row r="33171" spans="13:13">
      <c r="M33171" s="202"/>
    </row>
    <row r="33172" spans="13:13">
      <c r="M33172" s="202"/>
    </row>
    <row r="33173" spans="13:13">
      <c r="M33173" s="202"/>
    </row>
    <row r="33174" spans="13:13">
      <c r="M33174" s="202"/>
    </row>
    <row r="33175" spans="13:13">
      <c r="M33175" s="202"/>
    </row>
    <row r="33176" spans="13:13">
      <c r="M33176" s="202"/>
    </row>
    <row r="33177" spans="13:13">
      <c r="M33177" s="202"/>
    </row>
    <row r="33178" spans="13:13">
      <c r="M33178" s="202"/>
    </row>
    <row r="33179" spans="13:13">
      <c r="M33179" s="202"/>
    </row>
    <row r="33180" spans="13:13">
      <c r="M33180" s="202"/>
    </row>
    <row r="33181" spans="13:13">
      <c r="M33181" s="202"/>
    </row>
    <row r="33182" spans="13:13">
      <c r="M33182" s="202"/>
    </row>
    <row r="33183" spans="13:13">
      <c r="M33183" s="202"/>
    </row>
    <row r="33184" spans="13:13">
      <c r="M33184" s="202"/>
    </row>
    <row r="33185" spans="13:13">
      <c r="M33185" s="202"/>
    </row>
    <row r="33186" spans="13:13">
      <c r="M33186" s="202"/>
    </row>
    <row r="33187" spans="13:13">
      <c r="M33187" s="202"/>
    </row>
    <row r="33188" spans="13:13">
      <c r="M33188" s="202"/>
    </row>
    <row r="33189" spans="13:13">
      <c r="M33189" s="202"/>
    </row>
    <row r="33190" spans="13:13">
      <c r="M33190" s="202"/>
    </row>
    <row r="33191" spans="13:13">
      <c r="M33191" s="202"/>
    </row>
    <row r="33192" spans="13:13">
      <c r="M33192" s="202"/>
    </row>
    <row r="33193" spans="13:13">
      <c r="M33193" s="202"/>
    </row>
    <row r="33194" spans="13:13">
      <c r="M33194" s="202"/>
    </row>
    <row r="33195" spans="13:13">
      <c r="M33195" s="202"/>
    </row>
    <row r="33196" spans="13:13">
      <c r="M33196" s="202"/>
    </row>
    <row r="33197" spans="13:13">
      <c r="M33197" s="202"/>
    </row>
    <row r="33198" spans="13:13">
      <c r="M33198" s="202"/>
    </row>
    <row r="33199" spans="13:13">
      <c r="M33199" s="202"/>
    </row>
    <row r="33200" spans="13:13">
      <c r="M33200" s="202"/>
    </row>
    <row r="33201" spans="13:13">
      <c r="M33201" s="202"/>
    </row>
    <row r="33202" spans="13:13">
      <c r="M33202" s="202"/>
    </row>
    <row r="33203" spans="13:13">
      <c r="M33203" s="202"/>
    </row>
    <row r="33204" spans="13:13">
      <c r="M33204" s="202"/>
    </row>
    <row r="33205" spans="13:13">
      <c r="M33205" s="202"/>
    </row>
    <row r="33206" spans="13:13">
      <c r="M33206" s="202"/>
    </row>
    <row r="33207" spans="13:13">
      <c r="M33207" s="202"/>
    </row>
    <row r="33208" spans="13:13">
      <c r="M33208" s="202"/>
    </row>
    <row r="33209" spans="13:13">
      <c r="M33209" s="202"/>
    </row>
    <row r="33210" spans="13:13">
      <c r="M33210" s="202"/>
    </row>
    <row r="33211" spans="13:13">
      <c r="M33211" s="202"/>
    </row>
    <row r="33212" spans="13:13">
      <c r="M33212" s="202"/>
    </row>
    <row r="33213" spans="13:13">
      <c r="M33213" s="202"/>
    </row>
    <row r="33214" spans="13:13">
      <c r="M33214" s="202"/>
    </row>
    <row r="33215" spans="13:13">
      <c r="M33215" s="202"/>
    </row>
    <row r="33216" spans="13:13">
      <c r="M33216" s="202"/>
    </row>
    <row r="33217" spans="13:13">
      <c r="M33217" s="202"/>
    </row>
    <row r="33218" spans="13:13">
      <c r="M33218" s="202"/>
    </row>
    <row r="33219" spans="13:13">
      <c r="M33219" s="202"/>
    </row>
    <row r="33220" spans="13:13">
      <c r="M33220" s="202"/>
    </row>
    <row r="33221" spans="13:13">
      <c r="M33221" s="202"/>
    </row>
    <row r="33222" spans="13:13">
      <c r="M33222" s="202"/>
    </row>
    <row r="33223" spans="13:13">
      <c r="M33223" s="202"/>
    </row>
    <row r="33224" spans="13:13">
      <c r="M33224" s="202"/>
    </row>
    <row r="33225" spans="13:13">
      <c r="M33225" s="202"/>
    </row>
    <row r="33226" spans="13:13">
      <c r="M33226" s="202"/>
    </row>
    <row r="33227" spans="13:13">
      <c r="M33227" s="202"/>
    </row>
    <row r="33228" spans="13:13">
      <c r="M33228" s="202"/>
    </row>
    <row r="33229" spans="13:13">
      <c r="M33229" s="202"/>
    </row>
    <row r="33230" spans="13:13">
      <c r="M33230" s="202"/>
    </row>
    <row r="33231" spans="13:13">
      <c r="M33231" s="202"/>
    </row>
    <row r="33232" spans="13:13">
      <c r="M33232" s="202"/>
    </row>
    <row r="33233" spans="13:13">
      <c r="M33233" s="202"/>
    </row>
    <row r="33234" spans="13:13">
      <c r="M33234" s="202"/>
    </row>
    <row r="33235" spans="13:13">
      <c r="M33235" s="202"/>
    </row>
    <row r="33236" spans="13:13">
      <c r="M33236" s="202"/>
    </row>
    <row r="33237" spans="13:13">
      <c r="M33237" s="202"/>
    </row>
    <row r="33238" spans="13:13">
      <c r="M33238" s="202"/>
    </row>
    <row r="33239" spans="13:13">
      <c r="M33239" s="202"/>
    </row>
    <row r="33240" spans="13:13">
      <c r="M33240" s="202"/>
    </row>
    <row r="33241" spans="13:13">
      <c r="M33241" s="202"/>
    </row>
    <row r="33242" spans="13:13">
      <c r="M33242" s="202"/>
    </row>
    <row r="33243" spans="13:13">
      <c r="M33243" s="202"/>
    </row>
    <row r="33244" spans="13:13">
      <c r="M33244" s="202"/>
    </row>
    <row r="33245" spans="13:13">
      <c r="M33245" s="202"/>
    </row>
    <row r="33246" spans="13:13">
      <c r="M33246" s="202"/>
    </row>
    <row r="33247" spans="13:13">
      <c r="M33247" s="202"/>
    </row>
    <row r="33248" spans="13:13">
      <c r="M33248" s="202"/>
    </row>
    <row r="33249" spans="13:13">
      <c r="M33249" s="202"/>
    </row>
    <row r="33250" spans="13:13">
      <c r="M33250" s="202"/>
    </row>
    <row r="33251" spans="13:13">
      <c r="M33251" s="202"/>
    </row>
    <row r="33252" spans="13:13">
      <c r="M33252" s="202"/>
    </row>
    <row r="33253" spans="13:13">
      <c r="M33253" s="202"/>
    </row>
    <row r="33254" spans="13:13">
      <c r="M33254" s="202"/>
    </row>
    <row r="33255" spans="13:13">
      <c r="M33255" s="202"/>
    </row>
    <row r="33256" spans="13:13">
      <c r="M33256" s="202"/>
    </row>
    <row r="33257" spans="13:13">
      <c r="M33257" s="202"/>
    </row>
    <row r="33258" spans="13:13">
      <c r="M33258" s="202"/>
    </row>
    <row r="33259" spans="13:13">
      <c r="M33259" s="202"/>
    </row>
    <row r="33260" spans="13:13">
      <c r="M33260" s="202"/>
    </row>
    <row r="33261" spans="13:13">
      <c r="M33261" s="202"/>
    </row>
    <row r="33262" spans="13:13">
      <c r="M33262" s="202"/>
    </row>
    <row r="33263" spans="13:13">
      <c r="M33263" s="202"/>
    </row>
    <row r="33264" spans="13:13">
      <c r="M33264" s="202"/>
    </row>
    <row r="33265" spans="13:13">
      <c r="M33265" s="202"/>
    </row>
    <row r="33266" spans="13:13">
      <c r="M33266" s="202"/>
    </row>
    <row r="33267" spans="13:13">
      <c r="M33267" s="202"/>
    </row>
    <row r="33268" spans="13:13">
      <c r="M33268" s="202"/>
    </row>
    <row r="33269" spans="13:13">
      <c r="M33269" s="202"/>
    </row>
    <row r="33270" spans="13:13">
      <c r="M33270" s="202"/>
    </row>
    <row r="33271" spans="13:13">
      <c r="M33271" s="202"/>
    </row>
    <row r="33272" spans="13:13">
      <c r="M33272" s="202"/>
    </row>
    <row r="33273" spans="13:13">
      <c r="M33273" s="202"/>
    </row>
    <row r="33274" spans="13:13">
      <c r="M33274" s="202"/>
    </row>
    <row r="33275" spans="13:13">
      <c r="M33275" s="202"/>
    </row>
    <row r="33276" spans="13:13">
      <c r="M33276" s="202"/>
    </row>
    <row r="33277" spans="13:13">
      <c r="M33277" s="202"/>
    </row>
    <row r="33278" spans="13:13">
      <c r="M33278" s="202"/>
    </row>
    <row r="33279" spans="13:13">
      <c r="M33279" s="202"/>
    </row>
    <row r="33280" spans="13:13">
      <c r="M33280" s="202"/>
    </row>
    <row r="33281" spans="13:13">
      <c r="M33281" s="202"/>
    </row>
    <row r="33282" spans="13:13">
      <c r="M33282" s="202"/>
    </row>
    <row r="33283" spans="13:13">
      <c r="M33283" s="202"/>
    </row>
    <row r="33284" spans="13:13">
      <c r="M33284" s="202"/>
    </row>
    <row r="33285" spans="13:13">
      <c r="M33285" s="202"/>
    </row>
    <row r="33286" spans="13:13">
      <c r="M33286" s="202"/>
    </row>
    <row r="33287" spans="13:13">
      <c r="M33287" s="202"/>
    </row>
    <row r="33288" spans="13:13">
      <c r="M33288" s="202"/>
    </row>
    <row r="33289" spans="13:13">
      <c r="M33289" s="202"/>
    </row>
    <row r="33290" spans="13:13">
      <c r="M33290" s="202"/>
    </row>
    <row r="33291" spans="13:13">
      <c r="M33291" s="202"/>
    </row>
    <row r="33292" spans="13:13">
      <c r="M33292" s="202"/>
    </row>
    <row r="33293" spans="13:13">
      <c r="M33293" s="202"/>
    </row>
    <row r="33294" spans="13:13">
      <c r="M33294" s="202"/>
    </row>
    <row r="33295" spans="13:13">
      <c r="M33295" s="202"/>
    </row>
    <row r="33296" spans="13:13">
      <c r="M33296" s="202"/>
    </row>
    <row r="33297" spans="13:13">
      <c r="M33297" s="202"/>
    </row>
    <row r="33298" spans="13:13">
      <c r="M33298" s="202"/>
    </row>
    <row r="33299" spans="13:13">
      <c r="M33299" s="202"/>
    </row>
    <row r="33300" spans="13:13">
      <c r="M33300" s="202"/>
    </row>
    <row r="33301" spans="13:13">
      <c r="M33301" s="202"/>
    </row>
    <row r="33302" spans="13:13">
      <c r="M33302" s="202"/>
    </row>
    <row r="33303" spans="13:13">
      <c r="M33303" s="202"/>
    </row>
    <row r="33304" spans="13:13">
      <c r="M33304" s="202"/>
    </row>
    <row r="33305" spans="13:13">
      <c r="M33305" s="202"/>
    </row>
    <row r="33306" spans="13:13">
      <c r="M33306" s="202"/>
    </row>
    <row r="33307" spans="13:13">
      <c r="M33307" s="202"/>
    </row>
    <row r="33308" spans="13:13">
      <c r="M33308" s="202"/>
    </row>
    <row r="33309" spans="13:13">
      <c r="M33309" s="202"/>
    </row>
    <row r="33310" spans="13:13">
      <c r="M33310" s="202"/>
    </row>
    <row r="33311" spans="13:13">
      <c r="M33311" s="202"/>
    </row>
    <row r="33312" spans="13:13">
      <c r="M33312" s="202"/>
    </row>
    <row r="33313" spans="13:13">
      <c r="M33313" s="202"/>
    </row>
    <row r="33314" spans="13:13">
      <c r="M33314" s="202"/>
    </row>
    <row r="33315" spans="13:13">
      <c r="M33315" s="202"/>
    </row>
    <row r="33316" spans="13:13">
      <c r="M33316" s="202"/>
    </row>
    <row r="33317" spans="13:13">
      <c r="M33317" s="202"/>
    </row>
    <row r="33318" spans="13:13">
      <c r="M33318" s="202"/>
    </row>
    <row r="33319" spans="13:13">
      <c r="M33319" s="202"/>
    </row>
    <row r="33320" spans="13:13">
      <c r="M33320" s="202"/>
    </row>
    <row r="33321" spans="13:13">
      <c r="M33321" s="202"/>
    </row>
    <row r="33322" spans="13:13">
      <c r="M33322" s="202"/>
    </row>
    <row r="33323" spans="13:13">
      <c r="M33323" s="202"/>
    </row>
    <row r="33324" spans="13:13">
      <c r="M33324" s="202"/>
    </row>
    <row r="33325" spans="13:13">
      <c r="M33325" s="202"/>
    </row>
    <row r="33326" spans="13:13">
      <c r="M33326" s="202"/>
    </row>
    <row r="33327" spans="13:13">
      <c r="M33327" s="202"/>
    </row>
    <row r="33328" spans="13:13">
      <c r="M33328" s="202"/>
    </row>
    <row r="33329" spans="13:13">
      <c r="M33329" s="202"/>
    </row>
    <row r="33330" spans="13:13">
      <c r="M33330" s="202"/>
    </row>
    <row r="33331" spans="13:13">
      <c r="M33331" s="202"/>
    </row>
    <row r="33332" spans="13:13">
      <c r="M33332" s="202"/>
    </row>
    <row r="33333" spans="13:13">
      <c r="M33333" s="202"/>
    </row>
    <row r="33334" spans="13:13">
      <c r="M33334" s="202"/>
    </row>
    <row r="33335" spans="13:13">
      <c r="M33335" s="202"/>
    </row>
    <row r="33336" spans="13:13">
      <c r="M33336" s="202"/>
    </row>
    <row r="33337" spans="13:13">
      <c r="M33337" s="202"/>
    </row>
    <row r="33338" spans="13:13">
      <c r="M33338" s="202"/>
    </row>
    <row r="33339" spans="13:13">
      <c r="M33339" s="202"/>
    </row>
    <row r="33340" spans="13:13">
      <c r="M33340" s="202"/>
    </row>
    <row r="33341" spans="13:13">
      <c r="M33341" s="202"/>
    </row>
    <row r="33342" spans="13:13">
      <c r="M33342" s="202"/>
    </row>
    <row r="33343" spans="13:13">
      <c r="M33343" s="202"/>
    </row>
    <row r="33344" spans="13:13">
      <c r="M33344" s="202"/>
    </row>
    <row r="33345" spans="13:13">
      <c r="M33345" s="202"/>
    </row>
    <row r="33346" spans="13:13">
      <c r="M33346" s="202"/>
    </row>
    <row r="33347" spans="13:13">
      <c r="M33347" s="202"/>
    </row>
    <row r="33348" spans="13:13">
      <c r="M33348" s="202"/>
    </row>
    <row r="33349" spans="13:13">
      <c r="M33349" s="202"/>
    </row>
    <row r="33350" spans="13:13">
      <c r="M33350" s="202"/>
    </row>
    <row r="33351" spans="13:13">
      <c r="M33351" s="202"/>
    </row>
    <row r="33352" spans="13:13">
      <c r="M33352" s="202"/>
    </row>
    <row r="33353" spans="13:13">
      <c r="M33353" s="202"/>
    </row>
    <row r="33354" spans="13:13">
      <c r="M33354" s="202"/>
    </row>
    <row r="33355" spans="13:13">
      <c r="M33355" s="202"/>
    </row>
    <row r="33356" spans="13:13">
      <c r="M33356" s="202"/>
    </row>
    <row r="33357" spans="13:13">
      <c r="M33357" s="202"/>
    </row>
    <row r="33358" spans="13:13">
      <c r="M33358" s="202"/>
    </row>
    <row r="33359" spans="13:13">
      <c r="M33359" s="202"/>
    </row>
    <row r="33360" spans="13:13">
      <c r="M33360" s="202"/>
    </row>
    <row r="33361" spans="13:13">
      <c r="M33361" s="202"/>
    </row>
    <row r="33362" spans="13:13">
      <c r="M33362" s="202"/>
    </row>
    <row r="33363" spans="13:13">
      <c r="M33363" s="202"/>
    </row>
    <row r="33364" spans="13:13">
      <c r="M33364" s="202"/>
    </row>
    <row r="33365" spans="13:13">
      <c r="M33365" s="202"/>
    </row>
    <row r="33366" spans="13:13">
      <c r="M33366" s="202"/>
    </row>
    <row r="33367" spans="13:13">
      <c r="M33367" s="202"/>
    </row>
    <row r="33368" spans="13:13">
      <c r="M33368" s="202"/>
    </row>
    <row r="33369" spans="13:13">
      <c r="M33369" s="202"/>
    </row>
    <row r="33370" spans="13:13">
      <c r="M33370" s="202"/>
    </row>
    <row r="33371" spans="13:13">
      <c r="M33371" s="202"/>
    </row>
    <row r="33372" spans="13:13">
      <c r="M33372" s="202"/>
    </row>
    <row r="33373" spans="13:13">
      <c r="M33373" s="202"/>
    </row>
    <row r="33374" spans="13:13">
      <c r="M33374" s="202"/>
    </row>
    <row r="33375" spans="13:13">
      <c r="M33375" s="202"/>
    </row>
    <row r="33376" spans="13:13">
      <c r="M33376" s="202"/>
    </row>
    <row r="33377" spans="13:13">
      <c r="M33377" s="202"/>
    </row>
    <row r="33378" spans="13:13">
      <c r="M33378" s="202"/>
    </row>
    <row r="33379" spans="13:13">
      <c r="M33379" s="202"/>
    </row>
    <row r="33380" spans="13:13">
      <c r="M33380" s="202"/>
    </row>
    <row r="33381" spans="13:13">
      <c r="M33381" s="202"/>
    </row>
    <row r="33382" spans="13:13">
      <c r="M33382" s="202"/>
    </row>
    <row r="33383" spans="13:13">
      <c r="M33383" s="202"/>
    </row>
    <row r="33384" spans="13:13">
      <c r="M33384" s="202"/>
    </row>
    <row r="33385" spans="13:13">
      <c r="M33385" s="202"/>
    </row>
    <row r="33386" spans="13:13">
      <c r="M33386" s="202"/>
    </row>
    <row r="33387" spans="13:13">
      <c r="M33387" s="202"/>
    </row>
    <row r="33388" spans="13:13">
      <c r="M33388" s="202"/>
    </row>
    <row r="33389" spans="13:13">
      <c r="M33389" s="202"/>
    </row>
    <row r="33390" spans="13:13">
      <c r="M33390" s="202"/>
    </row>
    <row r="33391" spans="13:13">
      <c r="M33391" s="202"/>
    </row>
    <row r="33392" spans="13:13">
      <c r="M33392" s="202"/>
    </row>
    <row r="33393" spans="13:13">
      <c r="M33393" s="202"/>
    </row>
    <row r="33394" spans="13:13">
      <c r="M33394" s="202"/>
    </row>
    <row r="33395" spans="13:13">
      <c r="M33395" s="202"/>
    </row>
    <row r="33396" spans="13:13">
      <c r="M33396" s="202"/>
    </row>
    <row r="33397" spans="13:13">
      <c r="M33397" s="202"/>
    </row>
    <row r="33398" spans="13:13">
      <c r="M33398" s="202"/>
    </row>
    <row r="33399" spans="13:13">
      <c r="M33399" s="202"/>
    </row>
    <row r="33400" spans="13:13">
      <c r="M33400" s="202"/>
    </row>
    <row r="33401" spans="13:13">
      <c r="M33401" s="202"/>
    </row>
    <row r="33402" spans="13:13">
      <c r="M33402" s="202"/>
    </row>
    <row r="33403" spans="13:13">
      <c r="M33403" s="202"/>
    </row>
    <row r="33404" spans="13:13">
      <c r="M33404" s="202"/>
    </row>
    <row r="33405" spans="13:13">
      <c r="M33405" s="202"/>
    </row>
    <row r="33406" spans="13:13">
      <c r="M33406" s="202"/>
    </row>
    <row r="33407" spans="13:13">
      <c r="M33407" s="202"/>
    </row>
    <row r="33408" spans="13:13">
      <c r="M33408" s="202"/>
    </row>
    <row r="33409" spans="13:13">
      <c r="M33409" s="202"/>
    </row>
    <row r="33410" spans="13:13">
      <c r="M33410" s="202"/>
    </row>
    <row r="33411" spans="13:13">
      <c r="M33411" s="202"/>
    </row>
    <row r="33412" spans="13:13">
      <c r="M33412" s="202"/>
    </row>
    <row r="33413" spans="13:13">
      <c r="M33413" s="202"/>
    </row>
    <row r="33414" spans="13:13">
      <c r="M33414" s="202"/>
    </row>
    <row r="33415" spans="13:13">
      <c r="M33415" s="202"/>
    </row>
    <row r="33416" spans="13:13">
      <c r="M33416" s="202"/>
    </row>
    <row r="33417" spans="13:13">
      <c r="M33417" s="202"/>
    </row>
    <row r="33418" spans="13:13">
      <c r="M33418" s="202"/>
    </row>
    <row r="33419" spans="13:13">
      <c r="M33419" s="202"/>
    </row>
    <row r="33420" spans="13:13">
      <c r="M33420" s="202"/>
    </row>
    <row r="33421" spans="13:13">
      <c r="M33421" s="202"/>
    </row>
    <row r="33422" spans="13:13">
      <c r="M33422" s="202"/>
    </row>
    <row r="33423" spans="13:13">
      <c r="M33423" s="202"/>
    </row>
    <row r="33424" spans="13:13">
      <c r="M33424" s="202"/>
    </row>
    <row r="33425" spans="13:13">
      <c r="M33425" s="202"/>
    </row>
    <row r="33426" spans="13:13">
      <c r="M33426" s="202"/>
    </row>
    <row r="33427" spans="13:13">
      <c r="M33427" s="202"/>
    </row>
    <row r="33428" spans="13:13">
      <c r="M33428" s="202"/>
    </row>
    <row r="33429" spans="13:13">
      <c r="M33429" s="202"/>
    </row>
    <row r="33430" spans="13:13">
      <c r="M33430" s="202"/>
    </row>
    <row r="33431" spans="13:13">
      <c r="M33431" s="202"/>
    </row>
    <row r="33432" spans="13:13">
      <c r="M33432" s="202"/>
    </row>
    <row r="33433" spans="13:13">
      <c r="M33433" s="202"/>
    </row>
    <row r="33434" spans="13:13">
      <c r="M33434" s="202"/>
    </row>
    <row r="33435" spans="13:13">
      <c r="M33435" s="202"/>
    </row>
    <row r="33436" spans="13:13">
      <c r="M33436" s="202"/>
    </row>
    <row r="33437" spans="13:13">
      <c r="M33437" s="202"/>
    </row>
    <row r="33438" spans="13:13">
      <c r="M33438" s="202"/>
    </row>
    <row r="33439" spans="13:13">
      <c r="M33439" s="202"/>
    </row>
    <row r="33440" spans="13:13">
      <c r="M33440" s="202"/>
    </row>
    <row r="33441" spans="13:13">
      <c r="M33441" s="202"/>
    </row>
    <row r="33442" spans="13:13">
      <c r="M33442" s="202"/>
    </row>
    <row r="33443" spans="13:13">
      <c r="M33443" s="202"/>
    </row>
    <row r="33444" spans="13:13">
      <c r="M33444" s="202"/>
    </row>
    <row r="33445" spans="13:13">
      <c r="M33445" s="202"/>
    </row>
    <row r="33446" spans="13:13">
      <c r="M33446" s="202"/>
    </row>
    <row r="33447" spans="13:13">
      <c r="M33447" s="202"/>
    </row>
    <row r="33448" spans="13:13">
      <c r="M33448" s="202"/>
    </row>
    <row r="33449" spans="13:13">
      <c r="M33449" s="202"/>
    </row>
    <row r="33450" spans="13:13">
      <c r="M33450" s="202"/>
    </row>
    <row r="33451" spans="13:13">
      <c r="M33451" s="202"/>
    </row>
    <row r="33452" spans="13:13">
      <c r="M33452" s="202"/>
    </row>
    <row r="33453" spans="13:13">
      <c r="M33453" s="202"/>
    </row>
    <row r="33454" spans="13:13">
      <c r="M33454" s="202"/>
    </row>
    <row r="33455" spans="13:13">
      <c r="M33455" s="202"/>
    </row>
    <row r="33456" spans="13:13">
      <c r="M33456" s="202"/>
    </row>
    <row r="33457" spans="13:13">
      <c r="M33457" s="202"/>
    </row>
    <row r="33458" spans="13:13">
      <c r="M33458" s="202"/>
    </row>
    <row r="33459" spans="13:13">
      <c r="M33459" s="202"/>
    </row>
    <row r="33460" spans="13:13">
      <c r="M33460" s="202"/>
    </row>
    <row r="33461" spans="13:13">
      <c r="M33461" s="202"/>
    </row>
    <row r="33462" spans="13:13">
      <c r="M33462" s="202"/>
    </row>
    <row r="33463" spans="13:13">
      <c r="M33463" s="202"/>
    </row>
    <row r="33464" spans="13:13">
      <c r="M33464" s="202"/>
    </row>
    <row r="33465" spans="13:13">
      <c r="M33465" s="202"/>
    </row>
    <row r="33466" spans="13:13">
      <c r="M33466" s="202"/>
    </row>
    <row r="33467" spans="13:13">
      <c r="M33467" s="202"/>
    </row>
    <row r="33468" spans="13:13">
      <c r="M33468" s="202"/>
    </row>
    <row r="33469" spans="13:13">
      <c r="M33469" s="202"/>
    </row>
    <row r="33470" spans="13:13">
      <c r="M33470" s="202"/>
    </row>
    <row r="33471" spans="13:13">
      <c r="M33471" s="202"/>
    </row>
    <row r="33472" spans="13:13">
      <c r="M33472" s="202"/>
    </row>
    <row r="33473" spans="13:13">
      <c r="M33473" s="202"/>
    </row>
    <row r="33474" spans="13:13">
      <c r="M33474" s="202"/>
    </row>
    <row r="33475" spans="13:13">
      <c r="M33475" s="202"/>
    </row>
    <row r="33476" spans="13:13">
      <c r="M33476" s="202"/>
    </row>
    <row r="33477" spans="13:13">
      <c r="M33477" s="202"/>
    </row>
    <row r="33478" spans="13:13">
      <c r="M33478" s="202"/>
    </row>
    <row r="33479" spans="13:13">
      <c r="M33479" s="202"/>
    </row>
    <row r="33480" spans="13:13">
      <c r="M33480" s="202"/>
    </row>
    <row r="33481" spans="13:13">
      <c r="M33481" s="202"/>
    </row>
    <row r="33482" spans="13:13">
      <c r="M33482" s="202"/>
    </row>
    <row r="33483" spans="13:13">
      <c r="M33483" s="202"/>
    </row>
    <row r="33484" spans="13:13">
      <c r="M33484" s="202"/>
    </row>
    <row r="33485" spans="13:13">
      <c r="M33485" s="202"/>
    </row>
    <row r="33486" spans="13:13">
      <c r="M33486" s="202"/>
    </row>
    <row r="33487" spans="13:13">
      <c r="M33487" s="202"/>
    </row>
    <row r="33488" spans="13:13">
      <c r="M33488" s="202"/>
    </row>
    <row r="33489" spans="13:13">
      <c r="M33489" s="202"/>
    </row>
    <row r="33490" spans="13:13">
      <c r="M33490" s="202"/>
    </row>
    <row r="33491" spans="13:13">
      <c r="M33491" s="202"/>
    </row>
    <row r="33492" spans="13:13">
      <c r="M33492" s="202"/>
    </row>
    <row r="33493" spans="13:13">
      <c r="M33493" s="202"/>
    </row>
    <row r="33494" spans="13:13">
      <c r="M33494" s="202"/>
    </row>
    <row r="33495" spans="13:13">
      <c r="M33495" s="202"/>
    </row>
    <row r="33496" spans="13:13">
      <c r="M33496" s="202"/>
    </row>
    <row r="33497" spans="13:13">
      <c r="M33497" s="202"/>
    </row>
    <row r="33498" spans="13:13">
      <c r="M33498" s="202"/>
    </row>
    <row r="33499" spans="13:13">
      <c r="M33499" s="202"/>
    </row>
    <row r="33500" spans="13:13">
      <c r="M33500" s="202"/>
    </row>
    <row r="33501" spans="13:13">
      <c r="M33501" s="202"/>
    </row>
    <row r="33502" spans="13:13">
      <c r="M33502" s="202"/>
    </row>
    <row r="33503" spans="13:13">
      <c r="M33503" s="202"/>
    </row>
    <row r="33504" spans="13:13">
      <c r="M33504" s="202"/>
    </row>
    <row r="33505" spans="13:13">
      <c r="M33505" s="202"/>
    </row>
    <row r="33506" spans="13:13">
      <c r="M33506" s="202"/>
    </row>
    <row r="33507" spans="13:13">
      <c r="M33507" s="202"/>
    </row>
    <row r="33508" spans="13:13">
      <c r="M33508" s="202"/>
    </row>
    <row r="33509" spans="13:13">
      <c r="M33509" s="202"/>
    </row>
    <row r="33510" spans="13:13">
      <c r="M33510" s="202"/>
    </row>
    <row r="33511" spans="13:13">
      <c r="M33511" s="202"/>
    </row>
    <row r="33512" spans="13:13">
      <c r="M33512" s="202"/>
    </row>
    <row r="33513" spans="13:13">
      <c r="M33513" s="202"/>
    </row>
    <row r="33514" spans="13:13">
      <c r="M33514" s="202"/>
    </row>
    <row r="33515" spans="13:13">
      <c r="M33515" s="202"/>
    </row>
    <row r="33516" spans="13:13">
      <c r="M33516" s="202"/>
    </row>
    <row r="33517" spans="13:13">
      <c r="M33517" s="202"/>
    </row>
    <row r="33518" spans="13:13">
      <c r="M33518" s="202"/>
    </row>
    <row r="33519" spans="13:13">
      <c r="M33519" s="202"/>
    </row>
    <row r="33520" spans="13:13">
      <c r="M33520" s="202"/>
    </row>
    <row r="33521" spans="13:13">
      <c r="M33521" s="202"/>
    </row>
    <row r="33522" spans="13:13">
      <c r="M33522" s="202"/>
    </row>
    <row r="33523" spans="13:13">
      <c r="M33523" s="202"/>
    </row>
    <row r="33524" spans="13:13">
      <c r="M33524" s="202"/>
    </row>
    <row r="33525" spans="13:13">
      <c r="M33525" s="202"/>
    </row>
    <row r="33526" spans="13:13">
      <c r="M33526" s="202"/>
    </row>
    <row r="33527" spans="13:13">
      <c r="M33527" s="202"/>
    </row>
    <row r="33528" spans="13:13">
      <c r="M33528" s="202"/>
    </row>
    <row r="33529" spans="13:13">
      <c r="M33529" s="202"/>
    </row>
    <row r="33530" spans="13:13">
      <c r="M33530" s="202"/>
    </row>
    <row r="33531" spans="13:13">
      <c r="M33531" s="202"/>
    </row>
    <row r="33532" spans="13:13">
      <c r="M33532" s="202"/>
    </row>
    <row r="33533" spans="13:13">
      <c r="M33533" s="202"/>
    </row>
    <row r="33534" spans="13:13">
      <c r="M33534" s="202"/>
    </row>
    <row r="33535" spans="13:13">
      <c r="M33535" s="202"/>
    </row>
    <row r="33536" spans="13:13">
      <c r="M33536" s="202"/>
    </row>
    <row r="33537" spans="13:13">
      <c r="M33537" s="202"/>
    </row>
    <row r="33538" spans="13:13">
      <c r="M33538" s="202"/>
    </row>
    <row r="33539" spans="13:13">
      <c r="M33539" s="202"/>
    </row>
    <row r="33540" spans="13:13">
      <c r="M33540" s="202"/>
    </row>
    <row r="33541" spans="13:13">
      <c r="M33541" s="202"/>
    </row>
    <row r="33542" spans="13:13">
      <c r="M33542" s="202"/>
    </row>
    <row r="33543" spans="13:13">
      <c r="M33543" s="202"/>
    </row>
    <row r="33544" spans="13:13">
      <c r="M33544" s="202"/>
    </row>
    <row r="33545" spans="13:13">
      <c r="M33545" s="202"/>
    </row>
    <row r="33546" spans="13:13">
      <c r="M33546" s="202"/>
    </row>
    <row r="33547" spans="13:13">
      <c r="M33547" s="202"/>
    </row>
    <row r="33548" spans="13:13">
      <c r="M33548" s="202"/>
    </row>
    <row r="33549" spans="13:13">
      <c r="M33549" s="202"/>
    </row>
    <row r="33550" spans="13:13">
      <c r="M33550" s="202"/>
    </row>
    <row r="33551" spans="13:13">
      <c r="M33551" s="202"/>
    </row>
    <row r="33552" spans="13:13">
      <c r="M33552" s="202"/>
    </row>
    <row r="33553" spans="13:13">
      <c r="M33553" s="202"/>
    </row>
    <row r="33554" spans="13:13">
      <c r="M33554" s="202"/>
    </row>
    <row r="33555" spans="13:13">
      <c r="M33555" s="202"/>
    </row>
    <row r="33556" spans="13:13">
      <c r="M33556" s="202"/>
    </row>
    <row r="33557" spans="13:13">
      <c r="M33557" s="202"/>
    </row>
    <row r="33558" spans="13:13">
      <c r="M33558" s="202"/>
    </row>
    <row r="33559" spans="13:13">
      <c r="M33559" s="202"/>
    </row>
    <row r="33560" spans="13:13">
      <c r="M33560" s="202"/>
    </row>
    <row r="33561" spans="13:13">
      <c r="M33561" s="202"/>
    </row>
    <row r="33562" spans="13:13">
      <c r="M33562" s="202"/>
    </row>
    <row r="33563" spans="13:13">
      <c r="M33563" s="202"/>
    </row>
    <row r="33564" spans="13:13">
      <c r="M33564" s="202"/>
    </row>
    <row r="33565" spans="13:13">
      <c r="M33565" s="202"/>
    </row>
    <row r="33566" spans="13:13">
      <c r="M33566" s="202"/>
    </row>
    <row r="33567" spans="13:13">
      <c r="M33567" s="202"/>
    </row>
    <row r="33568" spans="13:13">
      <c r="M33568" s="202"/>
    </row>
    <row r="33569" spans="13:13">
      <c r="M33569" s="202"/>
    </row>
    <row r="33570" spans="13:13">
      <c r="M33570" s="202"/>
    </row>
    <row r="33571" spans="13:13">
      <c r="M33571" s="202"/>
    </row>
    <row r="33572" spans="13:13">
      <c r="M33572" s="202"/>
    </row>
    <row r="33573" spans="13:13">
      <c r="M33573" s="202"/>
    </row>
    <row r="33574" spans="13:13">
      <c r="M33574" s="202"/>
    </row>
    <row r="33575" spans="13:13">
      <c r="M33575" s="202"/>
    </row>
    <row r="33576" spans="13:13">
      <c r="M33576" s="202"/>
    </row>
    <row r="33577" spans="13:13">
      <c r="M33577" s="202"/>
    </row>
    <row r="33578" spans="13:13">
      <c r="M33578" s="202"/>
    </row>
    <row r="33579" spans="13:13">
      <c r="M33579" s="202"/>
    </row>
    <row r="33580" spans="13:13">
      <c r="M33580" s="202"/>
    </row>
    <row r="33581" spans="13:13">
      <c r="M33581" s="202"/>
    </row>
    <row r="33582" spans="13:13">
      <c r="M33582" s="202"/>
    </row>
    <row r="33583" spans="13:13">
      <c r="M33583" s="202"/>
    </row>
    <row r="33584" spans="13:13">
      <c r="M33584" s="202"/>
    </row>
    <row r="33585" spans="13:13">
      <c r="M33585" s="202"/>
    </row>
    <row r="33586" spans="13:13">
      <c r="M33586" s="202"/>
    </row>
    <row r="33587" spans="13:13">
      <c r="M33587" s="202"/>
    </row>
    <row r="33588" spans="13:13">
      <c r="M33588" s="202"/>
    </row>
    <row r="33589" spans="13:13">
      <c r="M33589" s="202"/>
    </row>
    <row r="33590" spans="13:13">
      <c r="M33590" s="202"/>
    </row>
    <row r="33591" spans="13:13">
      <c r="M33591" s="202"/>
    </row>
    <row r="33592" spans="13:13">
      <c r="M33592" s="202"/>
    </row>
    <row r="33593" spans="13:13">
      <c r="M33593" s="202"/>
    </row>
    <row r="33594" spans="13:13">
      <c r="M33594" s="202"/>
    </row>
    <row r="33595" spans="13:13">
      <c r="M33595" s="202"/>
    </row>
    <row r="33596" spans="13:13">
      <c r="M33596" s="202"/>
    </row>
    <row r="33597" spans="13:13">
      <c r="M33597" s="202"/>
    </row>
    <row r="33598" spans="13:13">
      <c r="M33598" s="202"/>
    </row>
    <row r="33599" spans="13:13">
      <c r="M33599" s="202"/>
    </row>
    <row r="33600" spans="13:13">
      <c r="M33600" s="202"/>
    </row>
    <row r="33601" spans="13:13">
      <c r="M33601" s="202"/>
    </row>
    <row r="33602" spans="13:13">
      <c r="M33602" s="202"/>
    </row>
    <row r="33603" spans="13:13">
      <c r="M33603" s="202"/>
    </row>
    <row r="33604" spans="13:13">
      <c r="M33604" s="202"/>
    </row>
    <row r="33605" spans="13:13">
      <c r="M33605" s="202"/>
    </row>
    <row r="33606" spans="13:13">
      <c r="M33606" s="202"/>
    </row>
    <row r="33607" spans="13:13">
      <c r="M33607" s="202"/>
    </row>
    <row r="33608" spans="13:13">
      <c r="M33608" s="202"/>
    </row>
    <row r="33609" spans="13:13">
      <c r="M33609" s="202"/>
    </row>
    <row r="33610" spans="13:13">
      <c r="M33610" s="202"/>
    </row>
    <row r="33611" spans="13:13">
      <c r="M33611" s="202"/>
    </row>
    <row r="33612" spans="13:13">
      <c r="M33612" s="202"/>
    </row>
    <row r="33613" spans="13:13">
      <c r="M33613" s="202"/>
    </row>
    <row r="33614" spans="13:13">
      <c r="M33614" s="202"/>
    </row>
    <row r="33615" spans="13:13">
      <c r="M33615" s="202"/>
    </row>
    <row r="33616" spans="13:13">
      <c r="M33616" s="202"/>
    </row>
    <row r="33617" spans="13:13">
      <c r="M33617" s="202"/>
    </row>
    <row r="33618" spans="13:13">
      <c r="M33618" s="202"/>
    </row>
    <row r="33619" spans="13:13">
      <c r="M33619" s="202"/>
    </row>
    <row r="33620" spans="13:13">
      <c r="M33620" s="202"/>
    </row>
    <row r="33621" spans="13:13">
      <c r="M33621" s="202"/>
    </row>
    <row r="33622" spans="13:13">
      <c r="M33622" s="202"/>
    </row>
    <row r="33623" spans="13:13">
      <c r="M33623" s="202"/>
    </row>
    <row r="33624" spans="13:13">
      <c r="M33624" s="202"/>
    </row>
    <row r="33625" spans="13:13">
      <c r="M33625" s="202"/>
    </row>
    <row r="33626" spans="13:13">
      <c r="M33626" s="202"/>
    </row>
    <row r="33627" spans="13:13">
      <c r="M33627" s="202"/>
    </row>
    <row r="33628" spans="13:13">
      <c r="M33628" s="202"/>
    </row>
    <row r="33629" spans="13:13">
      <c r="M33629" s="202"/>
    </row>
    <row r="33630" spans="13:13">
      <c r="M33630" s="202"/>
    </row>
    <row r="33631" spans="13:13">
      <c r="M33631" s="202"/>
    </row>
    <row r="33632" spans="13:13">
      <c r="M33632" s="202"/>
    </row>
    <row r="33633" spans="13:13">
      <c r="M33633" s="202"/>
    </row>
    <row r="33634" spans="13:13">
      <c r="M33634" s="202"/>
    </row>
    <row r="33635" spans="13:13">
      <c r="M33635" s="202"/>
    </row>
    <row r="33636" spans="13:13">
      <c r="M33636" s="202"/>
    </row>
    <row r="33637" spans="13:13">
      <c r="M33637" s="202"/>
    </row>
    <row r="33638" spans="13:13">
      <c r="M33638" s="202"/>
    </row>
    <row r="33639" spans="13:13">
      <c r="M33639" s="202"/>
    </row>
    <row r="33640" spans="13:13">
      <c r="M33640" s="202"/>
    </row>
    <row r="33641" spans="13:13">
      <c r="M33641" s="202"/>
    </row>
    <row r="33642" spans="13:13">
      <c r="M33642" s="202"/>
    </row>
    <row r="33643" spans="13:13">
      <c r="M33643" s="202"/>
    </row>
    <row r="33644" spans="13:13">
      <c r="M33644" s="202"/>
    </row>
    <row r="33645" spans="13:13">
      <c r="M33645" s="202"/>
    </row>
    <row r="33646" spans="13:13">
      <c r="M33646" s="202"/>
    </row>
    <row r="33647" spans="13:13">
      <c r="M33647" s="202"/>
    </row>
    <row r="33648" spans="13:13">
      <c r="M33648" s="202"/>
    </row>
    <row r="33649" spans="13:13">
      <c r="M33649" s="202"/>
    </row>
    <row r="33650" spans="13:13">
      <c r="M33650" s="202"/>
    </row>
    <row r="33651" spans="13:13">
      <c r="M33651" s="202"/>
    </row>
    <row r="33652" spans="13:13">
      <c r="M33652" s="202"/>
    </row>
    <row r="33653" spans="13:13">
      <c r="M33653" s="202"/>
    </row>
    <row r="33654" spans="13:13">
      <c r="M33654" s="202"/>
    </row>
    <row r="33655" spans="13:13">
      <c r="M33655" s="202"/>
    </row>
    <row r="33656" spans="13:13">
      <c r="M33656" s="202"/>
    </row>
    <row r="33657" spans="13:13">
      <c r="M33657" s="202"/>
    </row>
    <row r="33658" spans="13:13">
      <c r="M33658" s="202"/>
    </row>
    <row r="33659" spans="13:13">
      <c r="M33659" s="202"/>
    </row>
    <row r="33660" spans="13:13">
      <c r="M33660" s="202"/>
    </row>
    <row r="33661" spans="13:13">
      <c r="M33661" s="202"/>
    </row>
    <row r="33662" spans="13:13">
      <c r="M33662" s="202"/>
    </row>
    <row r="33663" spans="13:13">
      <c r="M33663" s="202"/>
    </row>
    <row r="33664" spans="13:13">
      <c r="M33664" s="202"/>
    </row>
    <row r="33665" spans="13:13">
      <c r="M33665" s="202"/>
    </row>
    <row r="33666" spans="13:13">
      <c r="M33666" s="202"/>
    </row>
    <row r="33667" spans="13:13">
      <c r="M33667" s="202"/>
    </row>
    <row r="33668" spans="13:13">
      <c r="M33668" s="202"/>
    </row>
    <row r="33669" spans="13:13">
      <c r="M33669" s="202"/>
    </row>
    <row r="33670" spans="13:13">
      <c r="M33670" s="202"/>
    </row>
    <row r="33671" spans="13:13">
      <c r="M33671" s="202"/>
    </row>
    <row r="33672" spans="13:13">
      <c r="M33672" s="202"/>
    </row>
    <row r="33673" spans="13:13">
      <c r="M33673" s="202"/>
    </row>
    <row r="33674" spans="13:13">
      <c r="M33674" s="202"/>
    </row>
    <row r="33675" spans="13:13">
      <c r="M33675" s="202"/>
    </row>
    <row r="33676" spans="13:13">
      <c r="M33676" s="202"/>
    </row>
    <row r="33677" spans="13:13">
      <c r="M33677" s="202"/>
    </row>
    <row r="33678" spans="13:13">
      <c r="M33678" s="202"/>
    </row>
    <row r="33679" spans="13:13">
      <c r="M33679" s="202"/>
    </row>
    <row r="33680" spans="13:13">
      <c r="M33680" s="202"/>
    </row>
    <row r="33681" spans="13:13">
      <c r="M33681" s="202"/>
    </row>
    <row r="33682" spans="13:13">
      <c r="M33682" s="202"/>
    </row>
    <row r="33683" spans="13:13">
      <c r="M33683" s="202"/>
    </row>
    <row r="33684" spans="13:13">
      <c r="M33684" s="202"/>
    </row>
    <row r="33685" spans="13:13">
      <c r="M33685" s="202"/>
    </row>
    <row r="33686" spans="13:13">
      <c r="M33686" s="202"/>
    </row>
    <row r="33687" spans="13:13">
      <c r="M33687" s="202"/>
    </row>
    <row r="33688" spans="13:13">
      <c r="M33688" s="202"/>
    </row>
    <row r="33689" spans="13:13">
      <c r="M33689" s="202"/>
    </row>
    <row r="33690" spans="13:13">
      <c r="M33690" s="202"/>
    </row>
    <row r="33691" spans="13:13">
      <c r="M33691" s="202"/>
    </row>
    <row r="33692" spans="13:13">
      <c r="M33692" s="202"/>
    </row>
    <row r="33693" spans="13:13">
      <c r="M33693" s="202"/>
    </row>
    <row r="33694" spans="13:13">
      <c r="M33694" s="202"/>
    </row>
    <row r="33695" spans="13:13">
      <c r="M33695" s="202"/>
    </row>
    <row r="33696" spans="13:13">
      <c r="M33696" s="202"/>
    </row>
    <row r="33697" spans="13:13">
      <c r="M33697" s="202"/>
    </row>
    <row r="33698" spans="13:13">
      <c r="M33698" s="202"/>
    </row>
    <row r="33699" spans="13:13">
      <c r="M33699" s="202"/>
    </row>
    <row r="33700" spans="13:13">
      <c r="M33700" s="202"/>
    </row>
    <row r="33701" spans="13:13">
      <c r="M33701" s="202"/>
    </row>
    <row r="33702" spans="13:13">
      <c r="M33702" s="202"/>
    </row>
    <row r="33703" spans="13:13">
      <c r="M33703" s="202"/>
    </row>
    <row r="33704" spans="13:13">
      <c r="M33704" s="202"/>
    </row>
    <row r="33705" spans="13:13">
      <c r="M33705" s="202"/>
    </row>
    <row r="33706" spans="13:13">
      <c r="M33706" s="202"/>
    </row>
    <row r="33707" spans="13:13">
      <c r="M33707" s="202"/>
    </row>
    <row r="33708" spans="13:13">
      <c r="M33708" s="202"/>
    </row>
    <row r="33709" spans="13:13">
      <c r="M33709" s="202"/>
    </row>
    <row r="33710" spans="13:13">
      <c r="M33710" s="202"/>
    </row>
    <row r="33711" spans="13:13">
      <c r="M33711" s="202"/>
    </row>
    <row r="33712" spans="13:13">
      <c r="M33712" s="202"/>
    </row>
    <row r="33713" spans="13:13">
      <c r="M33713" s="202"/>
    </row>
    <row r="33714" spans="13:13">
      <c r="M33714" s="202"/>
    </row>
    <row r="33715" spans="13:13">
      <c r="M33715" s="202"/>
    </row>
    <row r="33716" spans="13:13">
      <c r="M33716" s="202"/>
    </row>
    <row r="33717" spans="13:13">
      <c r="M33717" s="202"/>
    </row>
    <row r="33718" spans="13:13">
      <c r="M33718" s="202"/>
    </row>
    <row r="33719" spans="13:13">
      <c r="M33719" s="202"/>
    </row>
    <row r="33720" spans="13:13">
      <c r="M33720" s="202"/>
    </row>
    <row r="33721" spans="13:13">
      <c r="M33721" s="202"/>
    </row>
    <row r="33722" spans="13:13">
      <c r="M33722" s="202"/>
    </row>
    <row r="33723" spans="13:13">
      <c r="M33723" s="202"/>
    </row>
    <row r="33724" spans="13:13">
      <c r="M33724" s="202"/>
    </row>
    <row r="33725" spans="13:13">
      <c r="M33725" s="202"/>
    </row>
    <row r="33726" spans="13:13">
      <c r="M33726" s="202"/>
    </row>
    <row r="33727" spans="13:13">
      <c r="M33727" s="202"/>
    </row>
    <row r="33728" spans="13:13">
      <c r="M33728" s="202"/>
    </row>
    <row r="33729" spans="13:13">
      <c r="M33729" s="202"/>
    </row>
    <row r="33730" spans="13:13">
      <c r="M33730" s="202"/>
    </row>
    <row r="33731" spans="13:13">
      <c r="M33731" s="202"/>
    </row>
    <row r="33732" spans="13:13">
      <c r="M33732" s="202"/>
    </row>
    <row r="33733" spans="13:13">
      <c r="M33733" s="202"/>
    </row>
    <row r="33734" spans="13:13">
      <c r="M33734" s="202"/>
    </row>
    <row r="33735" spans="13:13">
      <c r="M33735" s="202"/>
    </row>
    <row r="33736" spans="13:13">
      <c r="M33736" s="202"/>
    </row>
    <row r="33737" spans="13:13">
      <c r="M33737" s="202"/>
    </row>
    <row r="33738" spans="13:13">
      <c r="M33738" s="202"/>
    </row>
    <row r="33739" spans="13:13">
      <c r="M33739" s="202"/>
    </row>
    <row r="33740" spans="13:13">
      <c r="M33740" s="202"/>
    </row>
    <row r="33741" spans="13:13">
      <c r="M33741" s="202"/>
    </row>
    <row r="33742" spans="13:13">
      <c r="M33742" s="202"/>
    </row>
    <row r="33743" spans="13:13">
      <c r="M33743" s="202"/>
    </row>
    <row r="33744" spans="13:13">
      <c r="M33744" s="202"/>
    </row>
    <row r="33745" spans="13:13">
      <c r="M33745" s="202"/>
    </row>
    <row r="33746" spans="13:13">
      <c r="M33746" s="202"/>
    </row>
    <row r="33747" spans="13:13">
      <c r="M33747" s="202"/>
    </row>
    <row r="33748" spans="13:13">
      <c r="M33748" s="202"/>
    </row>
    <row r="33749" spans="13:13">
      <c r="M33749" s="202"/>
    </row>
    <row r="33750" spans="13:13">
      <c r="M33750" s="202"/>
    </row>
    <row r="33751" spans="13:13">
      <c r="M33751" s="202"/>
    </row>
    <row r="33752" spans="13:13">
      <c r="M33752" s="202"/>
    </row>
    <row r="33753" spans="13:13">
      <c r="M33753" s="202"/>
    </row>
    <row r="33754" spans="13:13">
      <c r="M33754" s="202"/>
    </row>
    <row r="33755" spans="13:13">
      <c r="M33755" s="202"/>
    </row>
    <row r="33756" spans="13:13">
      <c r="M33756" s="202"/>
    </row>
    <row r="33757" spans="13:13">
      <c r="M33757" s="202"/>
    </row>
    <row r="33758" spans="13:13">
      <c r="M33758" s="202"/>
    </row>
    <row r="33759" spans="13:13">
      <c r="M33759" s="202"/>
    </row>
    <row r="33760" spans="13:13">
      <c r="M33760" s="202"/>
    </row>
    <row r="33761" spans="13:13">
      <c r="M33761" s="202"/>
    </row>
    <row r="33762" spans="13:13">
      <c r="M33762" s="202"/>
    </row>
    <row r="33763" spans="13:13">
      <c r="M33763" s="202"/>
    </row>
    <row r="33764" spans="13:13">
      <c r="M33764" s="202"/>
    </row>
    <row r="33765" spans="13:13">
      <c r="M33765" s="202"/>
    </row>
    <row r="33766" spans="13:13">
      <c r="M33766" s="202"/>
    </row>
    <row r="33767" spans="13:13">
      <c r="M33767" s="202"/>
    </row>
    <row r="33768" spans="13:13">
      <c r="M33768" s="202"/>
    </row>
    <row r="33769" spans="13:13">
      <c r="M33769" s="202"/>
    </row>
    <row r="33770" spans="13:13">
      <c r="M33770" s="202"/>
    </row>
    <row r="33771" spans="13:13">
      <c r="M33771" s="202"/>
    </row>
    <row r="33772" spans="13:13">
      <c r="M33772" s="202"/>
    </row>
    <row r="33773" spans="13:13">
      <c r="M33773" s="202"/>
    </row>
    <row r="33774" spans="13:13">
      <c r="M33774" s="202"/>
    </row>
    <row r="33775" spans="13:13">
      <c r="M33775" s="202"/>
    </row>
    <row r="33776" spans="13:13">
      <c r="M33776" s="202"/>
    </row>
    <row r="33777" spans="13:13">
      <c r="M33777" s="202"/>
    </row>
    <row r="33778" spans="13:13">
      <c r="M33778" s="202"/>
    </row>
    <row r="33779" spans="13:13">
      <c r="M33779" s="202"/>
    </row>
    <row r="33780" spans="13:13">
      <c r="M33780" s="202"/>
    </row>
    <row r="33781" spans="13:13">
      <c r="M33781" s="202"/>
    </row>
    <row r="33782" spans="13:13">
      <c r="M33782" s="202"/>
    </row>
    <row r="33783" spans="13:13">
      <c r="M33783" s="202"/>
    </row>
    <row r="33784" spans="13:13">
      <c r="M33784" s="202"/>
    </row>
    <row r="33785" spans="13:13">
      <c r="M33785" s="202"/>
    </row>
    <row r="33786" spans="13:13">
      <c r="M33786" s="202"/>
    </row>
    <row r="33787" spans="13:13">
      <c r="M33787" s="202"/>
    </row>
    <row r="33788" spans="13:13">
      <c r="M33788" s="202"/>
    </row>
    <row r="33789" spans="13:13">
      <c r="M33789" s="202"/>
    </row>
    <row r="33790" spans="13:13">
      <c r="M33790" s="202"/>
    </row>
    <row r="33791" spans="13:13">
      <c r="M33791" s="202"/>
    </row>
    <row r="33792" spans="13:13">
      <c r="M33792" s="202"/>
    </row>
    <row r="33793" spans="13:13">
      <c r="M33793" s="202"/>
    </row>
    <row r="33794" spans="13:13">
      <c r="M33794" s="202"/>
    </row>
    <row r="33795" spans="13:13">
      <c r="M33795" s="202"/>
    </row>
    <row r="33796" spans="13:13">
      <c r="M33796" s="202"/>
    </row>
    <row r="33797" spans="13:13">
      <c r="M33797" s="202"/>
    </row>
    <row r="33798" spans="13:13">
      <c r="M33798" s="202"/>
    </row>
    <row r="33799" spans="13:13">
      <c r="M33799" s="202"/>
    </row>
    <row r="33800" spans="13:13">
      <c r="M33800" s="202"/>
    </row>
    <row r="33801" spans="13:13">
      <c r="M33801" s="202"/>
    </row>
    <row r="33802" spans="13:13">
      <c r="M33802" s="202"/>
    </row>
    <row r="33803" spans="13:13">
      <c r="M33803" s="202"/>
    </row>
    <row r="33804" spans="13:13">
      <c r="M33804" s="202"/>
    </row>
    <row r="33805" spans="13:13">
      <c r="M33805" s="202"/>
    </row>
    <row r="33806" spans="13:13">
      <c r="M33806" s="202"/>
    </row>
    <row r="33807" spans="13:13">
      <c r="M33807" s="202"/>
    </row>
    <row r="33808" spans="13:13">
      <c r="M33808" s="202"/>
    </row>
    <row r="33809" spans="13:13">
      <c r="M33809" s="202"/>
    </row>
    <row r="33810" spans="13:13">
      <c r="M33810" s="202"/>
    </row>
    <row r="33811" spans="13:13">
      <c r="M33811" s="202"/>
    </row>
    <row r="33812" spans="13:13">
      <c r="M33812" s="202"/>
    </row>
    <row r="33813" spans="13:13">
      <c r="M33813" s="202"/>
    </row>
    <row r="33814" spans="13:13">
      <c r="M33814" s="202"/>
    </row>
    <row r="33815" spans="13:13">
      <c r="M33815" s="202"/>
    </row>
    <row r="33816" spans="13:13">
      <c r="M33816" s="202"/>
    </row>
    <row r="33817" spans="13:13">
      <c r="M33817" s="202"/>
    </row>
    <row r="33818" spans="13:13">
      <c r="M33818" s="202"/>
    </row>
    <row r="33819" spans="13:13">
      <c r="M33819" s="202"/>
    </row>
    <row r="33820" spans="13:13">
      <c r="M33820" s="202"/>
    </row>
    <row r="33821" spans="13:13">
      <c r="M33821" s="202"/>
    </row>
    <row r="33822" spans="13:13">
      <c r="M33822" s="202"/>
    </row>
    <row r="33823" spans="13:13">
      <c r="M33823" s="202"/>
    </row>
    <row r="33824" spans="13:13">
      <c r="M33824" s="202"/>
    </row>
    <row r="33825" spans="13:13">
      <c r="M33825" s="202"/>
    </row>
    <row r="33826" spans="13:13">
      <c r="M33826" s="202"/>
    </row>
    <row r="33827" spans="13:13">
      <c r="M33827" s="202"/>
    </row>
    <row r="33828" spans="13:13">
      <c r="M33828" s="202"/>
    </row>
    <row r="33829" spans="13:13">
      <c r="M33829" s="202"/>
    </row>
    <row r="33830" spans="13:13">
      <c r="M33830" s="202"/>
    </row>
    <row r="33831" spans="13:13">
      <c r="M33831" s="202"/>
    </row>
    <row r="33832" spans="13:13">
      <c r="M33832" s="202"/>
    </row>
    <row r="33833" spans="13:13">
      <c r="M33833" s="202"/>
    </row>
    <row r="33834" spans="13:13">
      <c r="M33834" s="202"/>
    </row>
    <row r="33835" spans="13:13">
      <c r="M33835" s="202"/>
    </row>
    <row r="33836" spans="13:13">
      <c r="M33836" s="202"/>
    </row>
    <row r="33837" spans="13:13">
      <c r="M33837" s="202"/>
    </row>
    <row r="33838" spans="13:13">
      <c r="M33838" s="202"/>
    </row>
    <row r="33839" spans="13:13">
      <c r="M33839" s="202"/>
    </row>
    <row r="33840" spans="13:13">
      <c r="M33840" s="202"/>
    </row>
    <row r="33841" spans="13:13">
      <c r="M33841" s="202"/>
    </row>
    <row r="33842" spans="13:13">
      <c r="M33842" s="202"/>
    </row>
    <row r="33843" spans="13:13">
      <c r="M33843" s="202"/>
    </row>
    <row r="33844" spans="13:13">
      <c r="M33844" s="202"/>
    </row>
    <row r="33845" spans="13:13">
      <c r="M33845" s="202"/>
    </row>
    <row r="33846" spans="13:13">
      <c r="M33846" s="202"/>
    </row>
    <row r="33847" spans="13:13">
      <c r="M33847" s="202"/>
    </row>
    <row r="33848" spans="13:13">
      <c r="M33848" s="202"/>
    </row>
    <row r="33849" spans="13:13">
      <c r="M33849" s="202"/>
    </row>
    <row r="33850" spans="13:13">
      <c r="M33850" s="202"/>
    </row>
    <row r="33851" spans="13:13">
      <c r="M33851" s="202"/>
    </row>
    <row r="33852" spans="13:13">
      <c r="M33852" s="202"/>
    </row>
    <row r="33853" spans="13:13">
      <c r="M33853" s="202"/>
    </row>
    <row r="33854" spans="13:13">
      <c r="M33854" s="202"/>
    </row>
    <row r="33855" spans="13:13">
      <c r="M33855" s="202"/>
    </row>
    <row r="33856" spans="13:13">
      <c r="M33856" s="202"/>
    </row>
    <row r="33857" spans="13:13">
      <c r="M33857" s="202"/>
    </row>
    <row r="33858" spans="13:13">
      <c r="M33858" s="202"/>
    </row>
    <row r="33859" spans="13:13">
      <c r="M33859" s="202"/>
    </row>
    <row r="33860" spans="13:13">
      <c r="M33860" s="202"/>
    </row>
    <row r="33861" spans="13:13">
      <c r="M33861" s="202"/>
    </row>
    <row r="33862" spans="13:13">
      <c r="M33862" s="202"/>
    </row>
    <row r="33863" spans="13:13">
      <c r="M33863" s="202"/>
    </row>
    <row r="33864" spans="13:13">
      <c r="M33864" s="202"/>
    </row>
    <row r="33865" spans="13:13">
      <c r="M33865" s="202"/>
    </row>
    <row r="33866" spans="13:13">
      <c r="M33866" s="202"/>
    </row>
    <row r="33867" spans="13:13">
      <c r="M33867" s="202"/>
    </row>
    <row r="33868" spans="13:13">
      <c r="M33868" s="202"/>
    </row>
    <row r="33869" spans="13:13">
      <c r="M33869" s="202"/>
    </row>
    <row r="33870" spans="13:13">
      <c r="M33870" s="202"/>
    </row>
    <row r="33871" spans="13:13">
      <c r="M33871" s="202"/>
    </row>
    <row r="33872" spans="13:13">
      <c r="M33872" s="202"/>
    </row>
    <row r="33873" spans="13:13">
      <c r="M33873" s="202"/>
    </row>
    <row r="33874" spans="13:13">
      <c r="M33874" s="202"/>
    </row>
    <row r="33875" spans="13:13">
      <c r="M33875" s="202"/>
    </row>
    <row r="33876" spans="13:13">
      <c r="M33876" s="202"/>
    </row>
    <row r="33877" spans="13:13">
      <c r="M33877" s="202"/>
    </row>
    <row r="33878" spans="13:13">
      <c r="M33878" s="202"/>
    </row>
    <row r="33879" spans="13:13">
      <c r="M33879" s="202"/>
    </row>
    <row r="33880" spans="13:13">
      <c r="M33880" s="202"/>
    </row>
    <row r="33881" spans="13:13">
      <c r="M33881" s="202"/>
    </row>
    <row r="33882" spans="13:13">
      <c r="M33882" s="202"/>
    </row>
    <row r="33883" spans="13:13">
      <c r="M33883" s="202"/>
    </row>
    <row r="33884" spans="13:13">
      <c r="M33884" s="202"/>
    </row>
    <row r="33885" spans="13:13">
      <c r="M33885" s="202"/>
    </row>
    <row r="33886" spans="13:13">
      <c r="M33886" s="202"/>
    </row>
    <row r="33887" spans="13:13">
      <c r="M33887" s="202"/>
    </row>
    <row r="33888" spans="13:13">
      <c r="M33888" s="202"/>
    </row>
    <row r="33889" spans="13:13">
      <c r="M33889" s="202"/>
    </row>
    <row r="33890" spans="13:13">
      <c r="M33890" s="202"/>
    </row>
    <row r="33891" spans="13:13">
      <c r="M33891" s="202"/>
    </row>
    <row r="33892" spans="13:13">
      <c r="M33892" s="202"/>
    </row>
    <row r="33893" spans="13:13">
      <c r="M33893" s="202"/>
    </row>
    <row r="33894" spans="13:13">
      <c r="M33894" s="202"/>
    </row>
    <row r="33895" spans="13:13">
      <c r="M33895" s="202"/>
    </row>
    <row r="33896" spans="13:13">
      <c r="M33896" s="202"/>
    </row>
    <row r="33897" spans="13:13">
      <c r="M33897" s="202"/>
    </row>
    <row r="33898" spans="13:13">
      <c r="M33898" s="202"/>
    </row>
    <row r="33899" spans="13:13">
      <c r="M33899" s="202"/>
    </row>
    <row r="33900" spans="13:13">
      <c r="M33900" s="202"/>
    </row>
    <row r="33901" spans="13:13">
      <c r="M33901" s="202"/>
    </row>
    <row r="33902" spans="13:13">
      <c r="M33902" s="202"/>
    </row>
    <row r="33903" spans="13:13">
      <c r="M33903" s="202"/>
    </row>
    <row r="33904" spans="13:13">
      <c r="M33904" s="202"/>
    </row>
    <row r="33905" spans="13:13">
      <c r="M33905" s="202"/>
    </row>
    <row r="33906" spans="13:13">
      <c r="M33906" s="202"/>
    </row>
    <row r="33907" spans="13:13">
      <c r="M33907" s="202"/>
    </row>
    <row r="33908" spans="13:13">
      <c r="M33908" s="202"/>
    </row>
    <row r="33909" spans="13:13">
      <c r="M33909" s="202"/>
    </row>
    <row r="33910" spans="13:13">
      <c r="M33910" s="202"/>
    </row>
    <row r="33911" spans="13:13">
      <c r="M33911" s="202"/>
    </row>
    <row r="33912" spans="13:13">
      <c r="M33912" s="202"/>
    </row>
    <row r="33913" spans="13:13">
      <c r="M33913" s="202"/>
    </row>
    <row r="33914" spans="13:13">
      <c r="M33914" s="202"/>
    </row>
    <row r="33915" spans="13:13">
      <c r="M33915" s="202"/>
    </row>
    <row r="33916" spans="13:13">
      <c r="M33916" s="202"/>
    </row>
    <row r="33917" spans="13:13">
      <c r="M33917" s="202"/>
    </row>
    <row r="33918" spans="13:13">
      <c r="M33918" s="202"/>
    </row>
    <row r="33919" spans="13:13">
      <c r="M33919" s="202"/>
    </row>
    <row r="33920" spans="13:13">
      <c r="M33920" s="202"/>
    </row>
    <row r="33921" spans="13:13">
      <c r="M33921" s="202"/>
    </row>
    <row r="33922" spans="13:13">
      <c r="M33922" s="202"/>
    </row>
    <row r="33923" spans="13:13">
      <c r="M33923" s="202"/>
    </row>
    <row r="33924" spans="13:13">
      <c r="M33924" s="202"/>
    </row>
    <row r="33925" spans="13:13">
      <c r="M33925" s="202"/>
    </row>
    <row r="33926" spans="13:13">
      <c r="M33926" s="202"/>
    </row>
    <row r="33927" spans="13:13">
      <c r="M33927" s="202"/>
    </row>
    <row r="33928" spans="13:13">
      <c r="M33928" s="202"/>
    </row>
    <row r="33929" spans="13:13">
      <c r="M33929" s="202"/>
    </row>
    <row r="33930" spans="13:13">
      <c r="M33930" s="202"/>
    </row>
    <row r="33931" spans="13:13">
      <c r="M33931" s="202"/>
    </row>
    <row r="33932" spans="13:13">
      <c r="M33932" s="202"/>
    </row>
    <row r="33933" spans="13:13">
      <c r="M33933" s="202"/>
    </row>
    <row r="33934" spans="13:13">
      <c r="M33934" s="202"/>
    </row>
    <row r="33935" spans="13:13">
      <c r="M33935" s="202"/>
    </row>
    <row r="33936" spans="13:13">
      <c r="M33936" s="202"/>
    </row>
    <row r="33937" spans="13:13">
      <c r="M33937" s="202"/>
    </row>
    <row r="33938" spans="13:13">
      <c r="M33938" s="202"/>
    </row>
    <row r="33939" spans="13:13">
      <c r="M33939" s="202"/>
    </row>
    <row r="33940" spans="13:13">
      <c r="M33940" s="202"/>
    </row>
    <row r="33941" spans="13:13">
      <c r="M33941" s="202"/>
    </row>
    <row r="33942" spans="13:13">
      <c r="M33942" s="202"/>
    </row>
    <row r="33943" spans="13:13">
      <c r="M33943" s="202"/>
    </row>
    <row r="33944" spans="13:13">
      <c r="M33944" s="202"/>
    </row>
    <row r="33945" spans="13:13">
      <c r="M33945" s="202"/>
    </row>
    <row r="33946" spans="13:13">
      <c r="M33946" s="202"/>
    </row>
    <row r="33947" spans="13:13">
      <c r="M33947" s="202"/>
    </row>
    <row r="33948" spans="13:13">
      <c r="M33948" s="202"/>
    </row>
    <row r="33949" spans="13:13">
      <c r="M33949" s="202"/>
    </row>
    <row r="33950" spans="13:13">
      <c r="M33950" s="202"/>
    </row>
    <row r="33951" spans="13:13">
      <c r="M33951" s="202"/>
    </row>
    <row r="33952" spans="13:13">
      <c r="M33952" s="202"/>
    </row>
    <row r="33953" spans="13:13">
      <c r="M33953" s="202"/>
    </row>
    <row r="33954" spans="13:13">
      <c r="M33954" s="202"/>
    </row>
    <row r="33955" spans="13:13">
      <c r="M33955" s="202"/>
    </row>
    <row r="33956" spans="13:13">
      <c r="M33956" s="202"/>
    </row>
    <row r="33957" spans="13:13">
      <c r="M33957" s="202"/>
    </row>
    <row r="33958" spans="13:13">
      <c r="M33958" s="202"/>
    </row>
    <row r="33959" spans="13:13">
      <c r="M33959" s="202"/>
    </row>
    <row r="33960" spans="13:13">
      <c r="M33960" s="202"/>
    </row>
    <row r="33961" spans="13:13">
      <c r="M33961" s="202"/>
    </row>
    <row r="33962" spans="13:13">
      <c r="M33962" s="202"/>
    </row>
    <row r="33963" spans="13:13">
      <c r="M33963" s="202"/>
    </row>
    <row r="33964" spans="13:13">
      <c r="M33964" s="202"/>
    </row>
    <row r="33965" spans="13:13">
      <c r="M33965" s="202"/>
    </row>
    <row r="33966" spans="13:13">
      <c r="M33966" s="202"/>
    </row>
    <row r="33967" spans="13:13">
      <c r="M33967" s="202"/>
    </row>
    <row r="33968" spans="13:13">
      <c r="M33968" s="202"/>
    </row>
    <row r="33969" spans="13:13">
      <c r="M33969" s="202"/>
    </row>
    <row r="33970" spans="13:13">
      <c r="M33970" s="202"/>
    </row>
    <row r="33971" spans="13:13">
      <c r="M33971" s="202"/>
    </row>
    <row r="33972" spans="13:13">
      <c r="M33972" s="202"/>
    </row>
    <row r="33973" spans="13:13">
      <c r="M33973" s="202"/>
    </row>
    <row r="33974" spans="13:13">
      <c r="M33974" s="202"/>
    </row>
    <row r="33975" spans="13:13">
      <c r="M33975" s="202"/>
    </row>
    <row r="33976" spans="13:13">
      <c r="M33976" s="202"/>
    </row>
    <row r="33977" spans="13:13">
      <c r="M33977" s="202"/>
    </row>
    <row r="33978" spans="13:13">
      <c r="M33978" s="202"/>
    </row>
    <row r="33979" spans="13:13">
      <c r="M33979" s="202"/>
    </row>
    <row r="33980" spans="13:13">
      <c r="M33980" s="202"/>
    </row>
    <row r="33981" spans="13:13">
      <c r="M33981" s="202"/>
    </row>
    <row r="33982" spans="13:13">
      <c r="M33982" s="202"/>
    </row>
    <row r="33983" spans="13:13">
      <c r="M33983" s="202"/>
    </row>
    <row r="33984" spans="13:13">
      <c r="M33984" s="202"/>
    </row>
    <row r="33985" spans="13:13">
      <c r="M33985" s="202"/>
    </row>
    <row r="33986" spans="13:13">
      <c r="M33986" s="202"/>
    </row>
    <row r="33987" spans="13:13">
      <c r="M33987" s="202"/>
    </row>
    <row r="33988" spans="13:13">
      <c r="M33988" s="202"/>
    </row>
    <row r="33989" spans="13:13">
      <c r="M33989" s="202"/>
    </row>
    <row r="33990" spans="13:13">
      <c r="M33990" s="202"/>
    </row>
    <row r="33991" spans="13:13">
      <c r="M33991" s="202"/>
    </row>
    <row r="33992" spans="13:13">
      <c r="M33992" s="202"/>
    </row>
    <row r="33993" spans="13:13">
      <c r="M33993" s="202"/>
    </row>
    <row r="33994" spans="13:13">
      <c r="M33994" s="202"/>
    </row>
    <row r="33995" spans="13:13">
      <c r="M33995" s="202"/>
    </row>
    <row r="33996" spans="13:13">
      <c r="M33996" s="202"/>
    </row>
    <row r="33997" spans="13:13">
      <c r="M33997" s="202"/>
    </row>
    <row r="33998" spans="13:13">
      <c r="M33998" s="202"/>
    </row>
    <row r="33999" spans="13:13">
      <c r="M33999" s="202"/>
    </row>
    <row r="34000" spans="13:13">
      <c r="M34000" s="202"/>
    </row>
    <row r="34001" spans="13:13">
      <c r="M34001" s="202"/>
    </row>
    <row r="34002" spans="13:13">
      <c r="M34002" s="202"/>
    </row>
    <row r="34003" spans="13:13">
      <c r="M34003" s="202"/>
    </row>
    <row r="34004" spans="13:13">
      <c r="M34004" s="202"/>
    </row>
    <row r="34005" spans="13:13">
      <c r="M34005" s="202"/>
    </row>
    <row r="34006" spans="13:13">
      <c r="M34006" s="202"/>
    </row>
    <row r="34007" spans="13:13">
      <c r="M34007" s="202"/>
    </row>
    <row r="34008" spans="13:13">
      <c r="M34008" s="202"/>
    </row>
    <row r="34009" spans="13:13">
      <c r="M34009" s="202"/>
    </row>
    <row r="34010" spans="13:13">
      <c r="M34010" s="202"/>
    </row>
    <row r="34011" spans="13:13">
      <c r="M34011" s="202"/>
    </row>
    <row r="34012" spans="13:13">
      <c r="M34012" s="202"/>
    </row>
    <row r="34013" spans="13:13">
      <c r="M34013" s="202"/>
    </row>
    <row r="34014" spans="13:13">
      <c r="M34014" s="202"/>
    </row>
    <row r="34015" spans="13:13">
      <c r="M34015" s="202"/>
    </row>
    <row r="34016" spans="13:13">
      <c r="M34016" s="202"/>
    </row>
    <row r="34017" spans="13:13">
      <c r="M34017" s="202"/>
    </row>
    <row r="34018" spans="13:13">
      <c r="M34018" s="202"/>
    </row>
    <row r="34019" spans="13:13">
      <c r="M34019" s="202"/>
    </row>
    <row r="34020" spans="13:13">
      <c r="M34020" s="202"/>
    </row>
    <row r="34021" spans="13:13">
      <c r="M34021" s="202"/>
    </row>
    <row r="34022" spans="13:13">
      <c r="M34022" s="202"/>
    </row>
    <row r="34023" spans="13:13">
      <c r="M34023" s="202"/>
    </row>
    <row r="34024" spans="13:13">
      <c r="M34024" s="202"/>
    </row>
    <row r="34025" spans="13:13">
      <c r="M34025" s="202"/>
    </row>
    <row r="34026" spans="13:13">
      <c r="M34026" s="202"/>
    </row>
    <row r="34027" spans="13:13">
      <c r="M34027" s="202"/>
    </row>
    <row r="34028" spans="13:13">
      <c r="M34028" s="202"/>
    </row>
    <row r="34029" spans="13:13">
      <c r="M34029" s="202"/>
    </row>
    <row r="34030" spans="13:13">
      <c r="M34030" s="202"/>
    </row>
    <row r="34031" spans="13:13">
      <c r="M34031" s="202"/>
    </row>
    <row r="34032" spans="13:13">
      <c r="M34032" s="202"/>
    </row>
    <row r="34033" spans="13:13">
      <c r="M34033" s="202"/>
    </row>
    <row r="34034" spans="13:13">
      <c r="M34034" s="202"/>
    </row>
    <row r="34035" spans="13:13">
      <c r="M34035" s="202"/>
    </row>
    <row r="34036" spans="13:13">
      <c r="M34036" s="202"/>
    </row>
    <row r="34037" spans="13:13">
      <c r="M34037" s="202"/>
    </row>
    <row r="34038" spans="13:13">
      <c r="M34038" s="202"/>
    </row>
    <row r="34039" spans="13:13">
      <c r="M34039" s="202"/>
    </row>
    <row r="34040" spans="13:13">
      <c r="M34040" s="202"/>
    </row>
    <row r="34041" spans="13:13">
      <c r="M34041" s="202"/>
    </row>
    <row r="34042" spans="13:13">
      <c r="M34042" s="202"/>
    </row>
    <row r="34043" spans="13:13">
      <c r="M34043" s="202"/>
    </row>
    <row r="34044" spans="13:13">
      <c r="M34044" s="202"/>
    </row>
    <row r="34045" spans="13:13">
      <c r="M34045" s="202"/>
    </row>
    <row r="34046" spans="13:13">
      <c r="M34046" s="202"/>
    </row>
    <row r="34047" spans="13:13">
      <c r="M34047" s="202"/>
    </row>
    <row r="34048" spans="13:13">
      <c r="M34048" s="202"/>
    </row>
    <row r="34049" spans="13:13">
      <c r="M34049" s="202"/>
    </row>
    <row r="34050" spans="13:13">
      <c r="M34050" s="202"/>
    </row>
    <row r="34051" spans="13:13">
      <c r="M34051" s="202"/>
    </row>
    <row r="34052" spans="13:13">
      <c r="M34052" s="202"/>
    </row>
    <row r="34053" spans="13:13">
      <c r="M34053" s="202"/>
    </row>
    <row r="34054" spans="13:13">
      <c r="M34054" s="202"/>
    </row>
    <row r="34055" spans="13:13">
      <c r="M34055" s="202"/>
    </row>
    <row r="34056" spans="13:13">
      <c r="M34056" s="202"/>
    </row>
    <row r="34057" spans="13:13">
      <c r="M34057" s="202"/>
    </row>
    <row r="34058" spans="13:13">
      <c r="M34058" s="202"/>
    </row>
    <row r="34059" spans="13:13">
      <c r="M34059" s="202"/>
    </row>
    <row r="34060" spans="13:13">
      <c r="M34060" s="202"/>
    </row>
    <row r="34061" spans="13:13">
      <c r="M34061" s="202"/>
    </row>
    <row r="34062" spans="13:13">
      <c r="M34062" s="202"/>
    </row>
    <row r="34063" spans="13:13">
      <c r="M34063" s="202"/>
    </row>
    <row r="34064" spans="13:13">
      <c r="M34064" s="202"/>
    </row>
    <row r="34065" spans="13:13">
      <c r="M34065" s="202"/>
    </row>
    <row r="34066" spans="13:13">
      <c r="M34066" s="202"/>
    </row>
    <row r="34067" spans="13:13">
      <c r="M34067" s="202"/>
    </row>
    <row r="34068" spans="13:13">
      <c r="M34068" s="202"/>
    </row>
    <row r="34069" spans="13:13">
      <c r="M34069" s="202"/>
    </row>
    <row r="34070" spans="13:13">
      <c r="M34070" s="202"/>
    </row>
    <row r="34071" spans="13:13">
      <c r="M34071" s="202"/>
    </row>
    <row r="34072" spans="13:13">
      <c r="M34072" s="202"/>
    </row>
    <row r="34073" spans="13:13">
      <c r="M34073" s="202"/>
    </row>
    <row r="34074" spans="13:13">
      <c r="M34074" s="202"/>
    </row>
    <row r="34075" spans="13:13">
      <c r="M34075" s="202"/>
    </row>
    <row r="34076" spans="13:13">
      <c r="M34076" s="202"/>
    </row>
    <row r="34077" spans="13:13">
      <c r="M34077" s="202"/>
    </row>
    <row r="34078" spans="13:13">
      <c r="M34078" s="202"/>
    </row>
    <row r="34079" spans="13:13">
      <c r="M34079" s="202"/>
    </row>
    <row r="34080" spans="13:13">
      <c r="M34080" s="202"/>
    </row>
    <row r="34081" spans="13:13">
      <c r="M34081" s="202"/>
    </row>
    <row r="34082" spans="13:13">
      <c r="M34082" s="202"/>
    </row>
    <row r="34083" spans="13:13">
      <c r="M34083" s="202"/>
    </row>
    <row r="34084" spans="13:13">
      <c r="M34084" s="202"/>
    </row>
    <row r="34085" spans="13:13">
      <c r="M34085" s="202"/>
    </row>
    <row r="34086" spans="13:13">
      <c r="M34086" s="202"/>
    </row>
    <row r="34087" spans="13:13">
      <c r="M34087" s="202"/>
    </row>
    <row r="34088" spans="13:13">
      <c r="M34088" s="202"/>
    </row>
    <row r="34089" spans="13:13">
      <c r="M34089" s="202"/>
    </row>
    <row r="34090" spans="13:13">
      <c r="M34090" s="202"/>
    </row>
    <row r="34091" spans="13:13">
      <c r="M34091" s="202"/>
    </row>
    <row r="34092" spans="13:13">
      <c r="M34092" s="202"/>
    </row>
    <row r="34093" spans="13:13">
      <c r="M34093" s="202"/>
    </row>
    <row r="34094" spans="13:13">
      <c r="M34094" s="202"/>
    </row>
    <row r="34095" spans="13:13">
      <c r="M34095" s="202"/>
    </row>
    <row r="34096" spans="13:13">
      <c r="M34096" s="202"/>
    </row>
    <row r="34097" spans="13:13">
      <c r="M34097" s="202"/>
    </row>
    <row r="34098" spans="13:13">
      <c r="M34098" s="202"/>
    </row>
    <row r="34099" spans="13:13">
      <c r="M34099" s="202"/>
    </row>
    <row r="34100" spans="13:13">
      <c r="M34100" s="202"/>
    </row>
    <row r="34101" spans="13:13">
      <c r="M34101" s="202"/>
    </row>
    <row r="34102" spans="13:13">
      <c r="M34102" s="202"/>
    </row>
    <row r="34103" spans="13:13">
      <c r="M34103" s="202"/>
    </row>
    <row r="34104" spans="13:13">
      <c r="M34104" s="202"/>
    </row>
    <row r="34105" spans="13:13">
      <c r="M34105" s="202"/>
    </row>
    <row r="34106" spans="13:13">
      <c r="M34106" s="202"/>
    </row>
    <row r="34107" spans="13:13">
      <c r="M34107" s="202"/>
    </row>
    <row r="34108" spans="13:13">
      <c r="M34108" s="202"/>
    </row>
    <row r="34109" spans="13:13">
      <c r="M34109" s="202"/>
    </row>
    <row r="34110" spans="13:13">
      <c r="M34110" s="202"/>
    </row>
    <row r="34111" spans="13:13">
      <c r="M34111" s="202"/>
    </row>
    <row r="34112" spans="13:13">
      <c r="M34112" s="202"/>
    </row>
    <row r="34113" spans="13:13">
      <c r="M34113" s="202"/>
    </row>
    <row r="34114" spans="13:13">
      <c r="M34114" s="202"/>
    </row>
    <row r="34115" spans="13:13">
      <c r="M34115" s="202"/>
    </row>
    <row r="34116" spans="13:13">
      <c r="M34116" s="202"/>
    </row>
    <row r="34117" spans="13:13">
      <c r="M34117" s="202"/>
    </row>
    <row r="34118" spans="13:13">
      <c r="M34118" s="202"/>
    </row>
    <row r="34119" spans="13:13">
      <c r="M34119" s="202"/>
    </row>
    <row r="34120" spans="13:13">
      <c r="M34120" s="202"/>
    </row>
    <row r="34121" spans="13:13">
      <c r="M34121" s="202"/>
    </row>
    <row r="34122" spans="13:13">
      <c r="M34122" s="202"/>
    </row>
    <row r="34123" spans="13:13">
      <c r="M34123" s="202"/>
    </row>
    <row r="34124" spans="13:13">
      <c r="M34124" s="202"/>
    </row>
    <row r="34125" spans="13:13">
      <c r="M34125" s="202"/>
    </row>
    <row r="34126" spans="13:13">
      <c r="M34126" s="202"/>
    </row>
    <row r="34127" spans="13:13">
      <c r="M34127" s="202"/>
    </row>
    <row r="34128" spans="13:13">
      <c r="M34128" s="202"/>
    </row>
    <row r="34129" spans="13:13">
      <c r="M34129" s="202"/>
    </row>
    <row r="34130" spans="13:13">
      <c r="M34130" s="202"/>
    </row>
    <row r="34131" spans="13:13">
      <c r="M34131" s="202"/>
    </row>
    <row r="34132" spans="13:13">
      <c r="M34132" s="202"/>
    </row>
    <row r="34133" spans="13:13">
      <c r="M34133" s="202"/>
    </row>
    <row r="34134" spans="13:13">
      <c r="M34134" s="202"/>
    </row>
    <row r="34135" spans="13:13">
      <c r="M34135" s="202"/>
    </row>
    <row r="34136" spans="13:13">
      <c r="M34136" s="202"/>
    </row>
    <row r="34137" spans="13:13">
      <c r="M34137" s="202"/>
    </row>
    <row r="34138" spans="13:13">
      <c r="M34138" s="202"/>
    </row>
    <row r="34139" spans="13:13">
      <c r="M34139" s="202"/>
    </row>
    <row r="34140" spans="13:13">
      <c r="M34140" s="202"/>
    </row>
    <row r="34141" spans="13:13">
      <c r="M34141" s="202"/>
    </row>
    <row r="34142" spans="13:13">
      <c r="M34142" s="202"/>
    </row>
    <row r="34143" spans="13:13">
      <c r="M34143" s="202"/>
    </row>
    <row r="34144" spans="13:13">
      <c r="M34144" s="202"/>
    </row>
    <row r="34145" spans="13:13">
      <c r="M34145" s="202"/>
    </row>
    <row r="34146" spans="13:13">
      <c r="M34146" s="202"/>
    </row>
    <row r="34147" spans="13:13">
      <c r="M34147" s="202"/>
    </row>
    <row r="34148" spans="13:13">
      <c r="M34148" s="202"/>
    </row>
    <row r="34149" spans="13:13">
      <c r="M34149" s="202"/>
    </row>
    <row r="34150" spans="13:13">
      <c r="M34150" s="202"/>
    </row>
    <row r="34151" spans="13:13">
      <c r="M34151" s="202"/>
    </row>
    <row r="34152" spans="13:13">
      <c r="M34152" s="202"/>
    </row>
    <row r="34153" spans="13:13">
      <c r="M34153" s="202"/>
    </row>
    <row r="34154" spans="13:13">
      <c r="M34154" s="202"/>
    </row>
    <row r="34155" spans="13:13">
      <c r="M34155" s="202"/>
    </row>
    <row r="34156" spans="13:13">
      <c r="M34156" s="202"/>
    </row>
    <row r="34157" spans="13:13">
      <c r="M34157" s="202"/>
    </row>
    <row r="34158" spans="13:13">
      <c r="M34158" s="202"/>
    </row>
    <row r="34159" spans="13:13">
      <c r="M34159" s="202"/>
    </row>
    <row r="34160" spans="13:13">
      <c r="M34160" s="202"/>
    </row>
    <row r="34161" spans="13:13">
      <c r="M34161" s="202"/>
    </row>
    <row r="34162" spans="13:13">
      <c r="M34162" s="202"/>
    </row>
    <row r="34163" spans="13:13">
      <c r="M34163" s="202"/>
    </row>
    <row r="34164" spans="13:13">
      <c r="M34164" s="202"/>
    </row>
    <row r="34165" spans="13:13">
      <c r="M34165" s="202"/>
    </row>
    <row r="34166" spans="13:13">
      <c r="M34166" s="202"/>
    </row>
    <row r="34167" spans="13:13">
      <c r="M34167" s="202"/>
    </row>
    <row r="34168" spans="13:13">
      <c r="M34168" s="202"/>
    </row>
    <row r="34169" spans="13:13">
      <c r="M34169" s="202"/>
    </row>
    <row r="34170" spans="13:13">
      <c r="M34170" s="202"/>
    </row>
    <row r="34171" spans="13:13">
      <c r="M34171" s="202"/>
    </row>
    <row r="34172" spans="13:13">
      <c r="M34172" s="202"/>
    </row>
    <row r="34173" spans="13:13">
      <c r="M34173" s="202"/>
    </row>
    <row r="34174" spans="13:13">
      <c r="M34174" s="202"/>
    </row>
    <row r="34175" spans="13:13">
      <c r="M34175" s="202"/>
    </row>
    <row r="34176" spans="13:13">
      <c r="M34176" s="202"/>
    </row>
    <row r="34177" spans="13:13">
      <c r="M34177" s="202"/>
    </row>
    <row r="34178" spans="13:13">
      <c r="M34178" s="202"/>
    </row>
    <row r="34179" spans="13:13">
      <c r="M34179" s="202"/>
    </row>
    <row r="34180" spans="13:13">
      <c r="M34180" s="202"/>
    </row>
    <row r="34181" spans="13:13">
      <c r="M34181" s="202"/>
    </row>
    <row r="34182" spans="13:13">
      <c r="M34182" s="202"/>
    </row>
    <row r="34183" spans="13:13">
      <c r="M34183" s="202"/>
    </row>
    <row r="34184" spans="13:13">
      <c r="M34184" s="202"/>
    </row>
    <row r="34185" spans="13:13">
      <c r="M34185" s="202"/>
    </row>
    <row r="34186" spans="13:13">
      <c r="M34186" s="202"/>
    </row>
    <row r="34187" spans="13:13">
      <c r="M34187" s="202"/>
    </row>
    <row r="34188" spans="13:13">
      <c r="M34188" s="202"/>
    </row>
    <row r="34189" spans="13:13">
      <c r="M34189" s="202"/>
    </row>
    <row r="34190" spans="13:13">
      <c r="M34190" s="202"/>
    </row>
    <row r="34191" spans="13:13">
      <c r="M34191" s="202"/>
    </row>
    <row r="34192" spans="13:13">
      <c r="M34192" s="202"/>
    </row>
    <row r="34193" spans="13:13">
      <c r="M34193" s="202"/>
    </row>
    <row r="34194" spans="13:13">
      <c r="M34194" s="202"/>
    </row>
    <row r="34195" spans="13:13">
      <c r="M34195" s="202"/>
    </row>
    <row r="34196" spans="13:13">
      <c r="M34196" s="202"/>
    </row>
    <row r="34197" spans="13:13">
      <c r="M34197" s="202"/>
    </row>
    <row r="34198" spans="13:13">
      <c r="M34198" s="202"/>
    </row>
    <row r="34199" spans="13:13">
      <c r="M34199" s="202"/>
    </row>
    <row r="34200" spans="13:13">
      <c r="M34200" s="202"/>
    </row>
    <row r="34201" spans="13:13">
      <c r="M34201" s="202"/>
    </row>
    <row r="34202" spans="13:13">
      <c r="M34202" s="202"/>
    </row>
    <row r="34203" spans="13:13">
      <c r="M34203" s="202"/>
    </row>
    <row r="34204" spans="13:13">
      <c r="M34204" s="202"/>
    </row>
    <row r="34205" spans="13:13">
      <c r="M34205" s="202"/>
    </row>
    <row r="34206" spans="13:13">
      <c r="M34206" s="202"/>
    </row>
    <row r="34207" spans="13:13">
      <c r="M34207" s="202"/>
    </row>
    <row r="34208" spans="13:13">
      <c r="M34208" s="202"/>
    </row>
    <row r="34209" spans="13:13">
      <c r="M34209" s="202"/>
    </row>
    <row r="34210" spans="13:13">
      <c r="M34210" s="202"/>
    </row>
    <row r="34211" spans="13:13">
      <c r="M34211" s="202"/>
    </row>
    <row r="34212" spans="13:13">
      <c r="M34212" s="202"/>
    </row>
    <row r="34213" spans="13:13">
      <c r="M34213" s="202"/>
    </row>
    <row r="34214" spans="13:13">
      <c r="M34214" s="202"/>
    </row>
    <row r="34215" spans="13:13">
      <c r="M34215" s="202"/>
    </row>
    <row r="34216" spans="13:13">
      <c r="M34216" s="202"/>
    </row>
    <row r="34217" spans="13:13">
      <c r="M34217" s="202"/>
    </row>
    <row r="34218" spans="13:13">
      <c r="M34218" s="202"/>
    </row>
    <row r="34219" spans="13:13">
      <c r="M34219" s="202"/>
    </row>
    <row r="34220" spans="13:13">
      <c r="M34220" s="202"/>
    </row>
    <row r="34221" spans="13:13">
      <c r="M34221" s="202"/>
    </row>
    <row r="34222" spans="13:13">
      <c r="M34222" s="202"/>
    </row>
    <row r="34223" spans="13:13">
      <c r="M34223" s="202"/>
    </row>
    <row r="34224" spans="13:13">
      <c r="M34224" s="202"/>
    </row>
    <row r="34225" spans="13:13">
      <c r="M34225" s="202"/>
    </row>
    <row r="34226" spans="13:13">
      <c r="M34226" s="202"/>
    </row>
    <row r="34227" spans="13:13">
      <c r="M34227" s="202"/>
    </row>
    <row r="34228" spans="13:13">
      <c r="M34228" s="202"/>
    </row>
    <row r="34229" spans="13:13">
      <c r="M34229" s="202"/>
    </row>
    <row r="34230" spans="13:13">
      <c r="M34230" s="202"/>
    </row>
    <row r="34231" spans="13:13">
      <c r="M34231" s="202"/>
    </row>
    <row r="34232" spans="13:13">
      <c r="M34232" s="202"/>
    </row>
    <row r="34233" spans="13:13">
      <c r="M34233" s="202"/>
    </row>
    <row r="34234" spans="13:13">
      <c r="M34234" s="202"/>
    </row>
    <row r="34235" spans="13:13">
      <c r="M34235" s="202"/>
    </row>
    <row r="34236" spans="13:13">
      <c r="M34236" s="202"/>
    </row>
    <row r="34237" spans="13:13">
      <c r="M34237" s="202"/>
    </row>
    <row r="34238" spans="13:13">
      <c r="M34238" s="202"/>
    </row>
    <row r="34239" spans="13:13">
      <c r="M34239" s="202"/>
    </row>
    <row r="34240" spans="13:13">
      <c r="M34240" s="202"/>
    </row>
    <row r="34241" spans="13:13">
      <c r="M34241" s="202"/>
    </row>
    <row r="34242" spans="13:13">
      <c r="M34242" s="202"/>
    </row>
    <row r="34243" spans="13:13">
      <c r="M34243" s="202"/>
    </row>
    <row r="34244" spans="13:13">
      <c r="M34244" s="202"/>
    </row>
    <row r="34245" spans="13:13">
      <c r="M34245" s="202"/>
    </row>
    <row r="34246" spans="13:13">
      <c r="M34246" s="202"/>
    </row>
    <row r="34247" spans="13:13">
      <c r="M34247" s="202"/>
    </row>
    <row r="34248" spans="13:13">
      <c r="M34248" s="202"/>
    </row>
    <row r="34249" spans="13:13">
      <c r="M34249" s="202"/>
    </row>
    <row r="34250" spans="13:13">
      <c r="M34250" s="202"/>
    </row>
    <row r="34251" spans="13:13">
      <c r="M34251" s="202"/>
    </row>
    <row r="34252" spans="13:13">
      <c r="M34252" s="202"/>
    </row>
    <row r="34253" spans="13:13">
      <c r="M34253" s="202"/>
    </row>
    <row r="34254" spans="13:13">
      <c r="M34254" s="202"/>
    </row>
    <row r="34255" spans="13:13">
      <c r="M34255" s="202"/>
    </row>
    <row r="34256" spans="13:13">
      <c r="M34256" s="202"/>
    </row>
    <row r="34257" spans="13:13">
      <c r="M34257" s="202"/>
    </row>
    <row r="34258" spans="13:13">
      <c r="M34258" s="202"/>
    </row>
    <row r="34259" spans="13:13">
      <c r="M34259" s="202"/>
    </row>
    <row r="34260" spans="13:13">
      <c r="M34260" s="202"/>
    </row>
    <row r="34261" spans="13:13">
      <c r="M34261" s="202"/>
    </row>
    <row r="34262" spans="13:13">
      <c r="M34262" s="202"/>
    </row>
    <row r="34263" spans="13:13">
      <c r="M34263" s="202"/>
    </row>
    <row r="34264" spans="13:13">
      <c r="M34264" s="202"/>
    </row>
    <row r="34265" spans="13:13">
      <c r="M34265" s="202"/>
    </row>
    <row r="34266" spans="13:13">
      <c r="M34266" s="202"/>
    </row>
    <row r="34267" spans="13:13">
      <c r="M34267" s="202"/>
    </row>
    <row r="34268" spans="13:13">
      <c r="M34268" s="202"/>
    </row>
    <row r="34269" spans="13:13">
      <c r="M34269" s="202"/>
    </row>
    <row r="34270" spans="13:13">
      <c r="M34270" s="202"/>
    </row>
    <row r="34271" spans="13:13">
      <c r="M34271" s="202"/>
    </row>
    <row r="34272" spans="13:13">
      <c r="M34272" s="202"/>
    </row>
    <row r="34273" spans="13:13">
      <c r="M34273" s="202"/>
    </row>
    <row r="34274" spans="13:13">
      <c r="M34274" s="202"/>
    </row>
    <row r="34275" spans="13:13">
      <c r="M34275" s="202"/>
    </row>
    <row r="34276" spans="13:13">
      <c r="M34276" s="202"/>
    </row>
    <row r="34277" spans="13:13">
      <c r="M34277" s="202"/>
    </row>
    <row r="34278" spans="13:13">
      <c r="M34278" s="202"/>
    </row>
    <row r="34279" spans="13:13">
      <c r="M34279" s="202"/>
    </row>
    <row r="34280" spans="13:13">
      <c r="M34280" s="202"/>
    </row>
    <row r="34281" spans="13:13">
      <c r="M34281" s="202"/>
    </row>
    <row r="34282" spans="13:13">
      <c r="M34282" s="202"/>
    </row>
    <row r="34283" spans="13:13">
      <c r="M34283" s="202"/>
    </row>
    <row r="34284" spans="13:13">
      <c r="M34284" s="202"/>
    </row>
    <row r="34285" spans="13:13">
      <c r="M34285" s="202"/>
    </row>
    <row r="34286" spans="13:13">
      <c r="M34286" s="202"/>
    </row>
    <row r="34287" spans="13:13">
      <c r="M34287" s="202"/>
    </row>
    <row r="34288" spans="13:13">
      <c r="M34288" s="202"/>
    </row>
    <row r="34289" spans="13:13">
      <c r="M34289" s="202"/>
    </row>
    <row r="34290" spans="13:13">
      <c r="M34290" s="202"/>
    </row>
    <row r="34291" spans="13:13">
      <c r="M34291" s="202"/>
    </row>
    <row r="34292" spans="13:13">
      <c r="M34292" s="202"/>
    </row>
    <row r="34293" spans="13:13">
      <c r="M34293" s="202"/>
    </row>
    <row r="34294" spans="13:13">
      <c r="M34294" s="202"/>
    </row>
    <row r="34295" spans="13:13">
      <c r="M34295" s="202"/>
    </row>
    <row r="34296" spans="13:13">
      <c r="M34296" s="202"/>
    </row>
    <row r="34297" spans="13:13">
      <c r="M34297" s="202"/>
    </row>
    <row r="34298" spans="13:13">
      <c r="M34298" s="202"/>
    </row>
    <row r="34299" spans="13:13">
      <c r="M34299" s="202"/>
    </row>
    <row r="34300" spans="13:13">
      <c r="M34300" s="202"/>
    </row>
    <row r="34301" spans="13:13">
      <c r="M34301" s="202"/>
    </row>
    <row r="34302" spans="13:13">
      <c r="M34302" s="202"/>
    </row>
    <row r="34303" spans="13:13">
      <c r="M34303" s="202"/>
    </row>
    <row r="34304" spans="13:13">
      <c r="M34304" s="202"/>
    </row>
    <row r="34305" spans="13:13">
      <c r="M34305" s="202"/>
    </row>
    <row r="34306" spans="13:13">
      <c r="M34306" s="202"/>
    </row>
    <row r="34307" spans="13:13">
      <c r="M34307" s="202"/>
    </row>
    <row r="34308" spans="13:13">
      <c r="M34308" s="202"/>
    </row>
    <row r="34309" spans="13:13">
      <c r="M34309" s="202"/>
    </row>
    <row r="34310" spans="13:13">
      <c r="M34310" s="202"/>
    </row>
    <row r="34311" spans="13:13">
      <c r="M34311" s="202"/>
    </row>
    <row r="34312" spans="13:13">
      <c r="M34312" s="202"/>
    </row>
    <row r="34313" spans="13:13">
      <c r="M34313" s="202"/>
    </row>
    <row r="34314" spans="13:13">
      <c r="M34314" s="202"/>
    </row>
    <row r="34315" spans="13:13">
      <c r="M34315" s="202"/>
    </row>
    <row r="34316" spans="13:13">
      <c r="M34316" s="202"/>
    </row>
    <row r="34317" spans="13:13">
      <c r="M34317" s="202"/>
    </row>
    <row r="34318" spans="13:13">
      <c r="M34318" s="202"/>
    </row>
    <row r="34319" spans="13:13">
      <c r="M34319" s="202"/>
    </row>
    <row r="34320" spans="13:13">
      <c r="M34320" s="202"/>
    </row>
    <row r="34321" spans="13:13">
      <c r="M34321" s="202"/>
    </row>
    <row r="34322" spans="13:13">
      <c r="M34322" s="202"/>
    </row>
    <row r="34323" spans="13:13">
      <c r="M34323" s="202"/>
    </row>
    <row r="34324" spans="13:13">
      <c r="M34324" s="202"/>
    </row>
    <row r="34325" spans="13:13">
      <c r="M34325" s="202"/>
    </row>
    <row r="34326" spans="13:13">
      <c r="M34326" s="202"/>
    </row>
    <row r="34327" spans="13:13">
      <c r="M34327" s="202"/>
    </row>
    <row r="34328" spans="13:13">
      <c r="M34328" s="202"/>
    </row>
    <row r="34329" spans="13:13">
      <c r="M34329" s="202"/>
    </row>
    <row r="34330" spans="13:13">
      <c r="M34330" s="202"/>
    </row>
    <row r="34331" spans="13:13">
      <c r="M34331" s="202"/>
    </row>
    <row r="34332" spans="13:13">
      <c r="M34332" s="202"/>
    </row>
    <row r="34333" spans="13:13">
      <c r="M34333" s="202"/>
    </row>
    <row r="34334" spans="13:13">
      <c r="M34334" s="202"/>
    </row>
    <row r="34335" spans="13:13">
      <c r="M34335" s="202"/>
    </row>
    <row r="34336" spans="13:13">
      <c r="M34336" s="202"/>
    </row>
    <row r="34337" spans="13:13">
      <c r="M34337" s="202"/>
    </row>
    <row r="34338" spans="13:13">
      <c r="M34338" s="202"/>
    </row>
    <row r="34339" spans="13:13">
      <c r="M34339" s="202"/>
    </row>
    <row r="34340" spans="13:13">
      <c r="M34340" s="202"/>
    </row>
    <row r="34341" spans="13:13">
      <c r="M34341" s="202"/>
    </row>
    <row r="34342" spans="13:13">
      <c r="M34342" s="202"/>
    </row>
    <row r="34343" spans="13:13">
      <c r="M34343" s="202"/>
    </row>
    <row r="34344" spans="13:13">
      <c r="M34344" s="202"/>
    </row>
    <row r="34345" spans="13:13">
      <c r="M34345" s="202"/>
    </row>
    <row r="34346" spans="13:13">
      <c r="M34346" s="202"/>
    </row>
    <row r="34347" spans="13:13">
      <c r="M34347" s="202"/>
    </row>
    <row r="34348" spans="13:13">
      <c r="M34348" s="202"/>
    </row>
    <row r="34349" spans="13:13">
      <c r="M34349" s="202"/>
    </row>
    <row r="34350" spans="13:13">
      <c r="M34350" s="202"/>
    </row>
    <row r="34351" spans="13:13">
      <c r="M34351" s="202"/>
    </row>
    <row r="34352" spans="13:13">
      <c r="M34352" s="202"/>
    </row>
    <row r="34353" spans="13:13">
      <c r="M34353" s="202"/>
    </row>
    <row r="34354" spans="13:13">
      <c r="M34354" s="202"/>
    </row>
    <row r="34355" spans="13:13">
      <c r="M34355" s="202"/>
    </row>
    <row r="34356" spans="13:13">
      <c r="M34356" s="202"/>
    </row>
    <row r="34357" spans="13:13">
      <c r="M34357" s="202"/>
    </row>
    <row r="34358" spans="13:13">
      <c r="M34358" s="202"/>
    </row>
    <row r="34359" spans="13:13">
      <c r="M34359" s="202"/>
    </row>
    <row r="34360" spans="13:13">
      <c r="M34360" s="202"/>
    </row>
    <row r="34361" spans="13:13">
      <c r="M34361" s="202"/>
    </row>
    <row r="34362" spans="13:13">
      <c r="M34362" s="202"/>
    </row>
    <row r="34363" spans="13:13">
      <c r="M34363" s="202"/>
    </row>
    <row r="34364" spans="13:13">
      <c r="M34364" s="202"/>
    </row>
    <row r="34365" spans="13:13">
      <c r="M34365" s="202"/>
    </row>
    <row r="34366" spans="13:13">
      <c r="M34366" s="202"/>
    </row>
    <row r="34367" spans="13:13">
      <c r="M34367" s="202"/>
    </row>
    <row r="34368" spans="13:13">
      <c r="M34368" s="202"/>
    </row>
    <row r="34369" spans="13:13">
      <c r="M34369" s="202"/>
    </row>
    <row r="34370" spans="13:13">
      <c r="M34370" s="202"/>
    </row>
    <row r="34371" spans="13:13">
      <c r="M34371" s="202"/>
    </row>
    <row r="34372" spans="13:13">
      <c r="M34372" s="202"/>
    </row>
    <row r="34373" spans="13:13">
      <c r="M34373" s="202"/>
    </row>
    <row r="34374" spans="13:13">
      <c r="M34374" s="202"/>
    </row>
    <row r="34375" spans="13:13">
      <c r="M34375" s="202"/>
    </row>
    <row r="34376" spans="13:13">
      <c r="M34376" s="202"/>
    </row>
    <row r="34377" spans="13:13">
      <c r="M34377" s="202"/>
    </row>
    <row r="34378" spans="13:13">
      <c r="M34378" s="202"/>
    </row>
    <row r="34379" spans="13:13">
      <c r="M34379" s="202"/>
    </row>
    <row r="34380" spans="13:13">
      <c r="M34380" s="202"/>
    </row>
    <row r="34381" spans="13:13">
      <c r="M34381" s="202"/>
    </row>
    <row r="34382" spans="13:13">
      <c r="M34382" s="202"/>
    </row>
    <row r="34383" spans="13:13">
      <c r="M34383" s="202"/>
    </row>
    <row r="34384" spans="13:13">
      <c r="M34384" s="202"/>
    </row>
    <row r="34385" spans="13:13">
      <c r="M34385" s="202"/>
    </row>
    <row r="34386" spans="13:13">
      <c r="M34386" s="202"/>
    </row>
    <row r="34387" spans="13:13">
      <c r="M34387" s="202"/>
    </row>
    <row r="34388" spans="13:13">
      <c r="M34388" s="202"/>
    </row>
    <row r="34389" spans="13:13">
      <c r="M34389" s="202"/>
    </row>
    <row r="34390" spans="13:13">
      <c r="M34390" s="202"/>
    </row>
    <row r="34391" spans="13:13">
      <c r="M34391" s="202"/>
    </row>
    <row r="34392" spans="13:13">
      <c r="M34392" s="202"/>
    </row>
    <row r="34393" spans="13:13">
      <c r="M34393" s="202"/>
    </row>
    <row r="34394" spans="13:13">
      <c r="M34394" s="202"/>
    </row>
    <row r="34395" spans="13:13">
      <c r="M34395" s="202"/>
    </row>
    <row r="34396" spans="13:13">
      <c r="M34396" s="202"/>
    </row>
    <row r="34397" spans="13:13">
      <c r="M34397" s="202"/>
    </row>
    <row r="34398" spans="13:13">
      <c r="M34398" s="202"/>
    </row>
    <row r="34399" spans="13:13">
      <c r="M34399" s="202"/>
    </row>
    <row r="34400" spans="13:13">
      <c r="M34400" s="202"/>
    </row>
    <row r="34401" spans="13:13">
      <c r="M34401" s="202"/>
    </row>
    <row r="34402" spans="13:13">
      <c r="M34402" s="202"/>
    </row>
    <row r="34403" spans="13:13">
      <c r="M34403" s="202"/>
    </row>
    <row r="34404" spans="13:13">
      <c r="M34404" s="202"/>
    </row>
    <row r="34405" spans="13:13">
      <c r="M34405" s="202"/>
    </row>
    <row r="34406" spans="13:13">
      <c r="M34406" s="202"/>
    </row>
    <row r="34407" spans="13:13">
      <c r="M34407" s="202"/>
    </row>
    <row r="34408" spans="13:13">
      <c r="M34408" s="202"/>
    </row>
    <row r="34409" spans="13:13">
      <c r="M34409" s="202"/>
    </row>
    <row r="34410" spans="13:13">
      <c r="M34410" s="202"/>
    </row>
    <row r="34411" spans="13:13">
      <c r="M34411" s="202"/>
    </row>
    <row r="34412" spans="13:13">
      <c r="M34412" s="202"/>
    </row>
    <row r="34413" spans="13:13">
      <c r="M34413" s="202"/>
    </row>
    <row r="34414" spans="13:13">
      <c r="M34414" s="202"/>
    </row>
    <row r="34415" spans="13:13">
      <c r="M34415" s="202"/>
    </row>
    <row r="34416" spans="13:13">
      <c r="M34416" s="202"/>
    </row>
    <row r="34417" spans="13:13">
      <c r="M34417" s="202"/>
    </row>
    <row r="34418" spans="13:13">
      <c r="M34418" s="202"/>
    </row>
    <row r="34419" spans="13:13">
      <c r="M34419" s="202"/>
    </row>
    <row r="34420" spans="13:13">
      <c r="M34420" s="202"/>
    </row>
    <row r="34421" spans="13:13">
      <c r="M34421" s="202"/>
    </row>
    <row r="34422" spans="13:13">
      <c r="M34422" s="202"/>
    </row>
    <row r="34423" spans="13:13">
      <c r="M34423" s="202"/>
    </row>
    <row r="34424" spans="13:13">
      <c r="M34424" s="202"/>
    </row>
    <row r="34425" spans="13:13">
      <c r="M34425" s="202"/>
    </row>
    <row r="34426" spans="13:13">
      <c r="M34426" s="202"/>
    </row>
    <row r="34427" spans="13:13">
      <c r="M34427" s="202"/>
    </row>
    <row r="34428" spans="13:13">
      <c r="M34428" s="202"/>
    </row>
    <row r="34429" spans="13:13">
      <c r="M34429" s="202"/>
    </row>
    <row r="34430" spans="13:13">
      <c r="M34430" s="202"/>
    </row>
    <row r="34431" spans="13:13">
      <c r="M34431" s="202"/>
    </row>
    <row r="34432" spans="13:13">
      <c r="M34432" s="202"/>
    </row>
    <row r="34433" spans="13:13">
      <c r="M34433" s="202"/>
    </row>
    <row r="34434" spans="13:13">
      <c r="M34434" s="202"/>
    </row>
    <row r="34435" spans="13:13">
      <c r="M34435" s="202"/>
    </row>
    <row r="34436" spans="13:13">
      <c r="M34436" s="202"/>
    </row>
    <row r="34437" spans="13:13">
      <c r="M34437" s="202"/>
    </row>
    <row r="34438" spans="13:13">
      <c r="M34438" s="202"/>
    </row>
    <row r="34439" spans="13:13">
      <c r="M34439" s="202"/>
    </row>
    <row r="34440" spans="13:13">
      <c r="M34440" s="202"/>
    </row>
    <row r="34441" spans="13:13">
      <c r="M34441" s="202"/>
    </row>
    <row r="34442" spans="13:13">
      <c r="M34442" s="202"/>
    </row>
    <row r="34443" spans="13:13">
      <c r="M34443" s="202"/>
    </row>
    <row r="34444" spans="13:13">
      <c r="M34444" s="202"/>
    </row>
    <row r="34445" spans="13:13">
      <c r="M34445" s="202"/>
    </row>
    <row r="34446" spans="13:13">
      <c r="M34446" s="202"/>
    </row>
    <row r="34447" spans="13:13">
      <c r="M34447" s="202"/>
    </row>
    <row r="34448" spans="13:13">
      <c r="M34448" s="202"/>
    </row>
    <row r="34449" spans="13:13">
      <c r="M34449" s="202"/>
    </row>
    <row r="34450" spans="13:13">
      <c r="M34450" s="202"/>
    </row>
    <row r="34451" spans="13:13">
      <c r="M34451" s="202"/>
    </row>
    <row r="34452" spans="13:13">
      <c r="M34452" s="202"/>
    </row>
    <row r="34453" spans="13:13">
      <c r="M34453" s="202"/>
    </row>
    <row r="34454" spans="13:13">
      <c r="M34454" s="202"/>
    </row>
    <row r="34455" spans="13:13">
      <c r="M34455" s="202"/>
    </row>
    <row r="34456" spans="13:13">
      <c r="M34456" s="202"/>
    </row>
    <row r="34457" spans="13:13">
      <c r="M34457" s="202"/>
    </row>
    <row r="34458" spans="13:13">
      <c r="M34458" s="202"/>
    </row>
    <row r="34459" spans="13:13">
      <c r="M34459" s="202"/>
    </row>
    <row r="34460" spans="13:13">
      <c r="M34460" s="202"/>
    </row>
    <row r="34461" spans="13:13">
      <c r="M34461" s="202"/>
    </row>
    <row r="34462" spans="13:13">
      <c r="M34462" s="202"/>
    </row>
    <row r="34463" spans="13:13">
      <c r="M34463" s="202"/>
    </row>
    <row r="34464" spans="13:13">
      <c r="M34464" s="202"/>
    </row>
    <row r="34465" spans="13:13">
      <c r="M34465" s="202"/>
    </row>
    <row r="34466" spans="13:13">
      <c r="M34466" s="202"/>
    </row>
    <row r="34467" spans="13:13">
      <c r="M34467" s="202"/>
    </row>
    <row r="34468" spans="13:13">
      <c r="M34468" s="202"/>
    </row>
    <row r="34469" spans="13:13">
      <c r="M34469" s="202"/>
    </row>
    <row r="34470" spans="13:13">
      <c r="M34470" s="202"/>
    </row>
    <row r="34471" spans="13:13">
      <c r="M34471" s="202"/>
    </row>
    <row r="34472" spans="13:13">
      <c r="M34472" s="202"/>
    </row>
    <row r="34473" spans="13:13">
      <c r="M34473" s="202"/>
    </row>
    <row r="34474" spans="13:13">
      <c r="M34474" s="202"/>
    </row>
    <row r="34475" spans="13:13">
      <c r="M34475" s="202"/>
    </row>
    <row r="34476" spans="13:13">
      <c r="M34476" s="202"/>
    </row>
    <row r="34477" spans="13:13">
      <c r="M34477" s="202"/>
    </row>
    <row r="34478" spans="13:13">
      <c r="M34478" s="202"/>
    </row>
    <row r="34479" spans="13:13">
      <c r="M34479" s="202"/>
    </row>
    <row r="34480" spans="13:13">
      <c r="M34480" s="202"/>
    </row>
    <row r="34481" spans="13:13">
      <c r="M34481" s="202"/>
    </row>
    <row r="34482" spans="13:13">
      <c r="M34482" s="202"/>
    </row>
    <row r="34483" spans="13:13">
      <c r="M34483" s="202"/>
    </row>
    <row r="34484" spans="13:13">
      <c r="M34484" s="202"/>
    </row>
    <row r="34485" spans="13:13">
      <c r="M34485" s="202"/>
    </row>
    <row r="34486" spans="13:13">
      <c r="M34486" s="202"/>
    </row>
    <row r="34487" spans="13:13">
      <c r="M34487" s="202"/>
    </row>
    <row r="34488" spans="13:13">
      <c r="M34488" s="202"/>
    </row>
    <row r="34489" spans="13:13">
      <c r="M34489" s="202"/>
    </row>
    <row r="34490" spans="13:13">
      <c r="M34490" s="202"/>
    </row>
    <row r="34491" spans="13:13">
      <c r="M34491" s="202"/>
    </row>
    <row r="34492" spans="13:13">
      <c r="M34492" s="202"/>
    </row>
    <row r="34493" spans="13:13">
      <c r="M34493" s="202"/>
    </row>
    <row r="34494" spans="13:13">
      <c r="M34494" s="202"/>
    </row>
    <row r="34495" spans="13:13">
      <c r="M34495" s="202"/>
    </row>
    <row r="34496" spans="13:13">
      <c r="M34496" s="202"/>
    </row>
    <row r="34497" spans="13:13">
      <c r="M34497" s="202"/>
    </row>
    <row r="34498" spans="13:13">
      <c r="M34498" s="202"/>
    </row>
    <row r="34499" spans="13:13">
      <c r="M34499" s="202"/>
    </row>
    <row r="34500" spans="13:13">
      <c r="M34500" s="202"/>
    </row>
    <row r="34501" spans="13:13">
      <c r="M34501" s="202"/>
    </row>
    <row r="34502" spans="13:13">
      <c r="M34502" s="202"/>
    </row>
    <row r="34503" spans="13:13">
      <c r="M34503" s="202"/>
    </row>
    <row r="34504" spans="13:13">
      <c r="M34504" s="202"/>
    </row>
    <row r="34505" spans="13:13">
      <c r="M34505" s="202"/>
    </row>
    <row r="34506" spans="13:13">
      <c r="M34506" s="202"/>
    </row>
    <row r="34507" spans="13:13">
      <c r="M34507" s="202"/>
    </row>
    <row r="34508" spans="13:13">
      <c r="M34508" s="202"/>
    </row>
    <row r="34509" spans="13:13">
      <c r="M34509" s="202"/>
    </row>
    <row r="34510" spans="13:13">
      <c r="M34510" s="202"/>
    </row>
    <row r="34511" spans="13:13">
      <c r="M34511" s="202"/>
    </row>
    <row r="34512" spans="13:13">
      <c r="M34512" s="202"/>
    </row>
    <row r="34513" spans="13:13">
      <c r="M34513" s="202"/>
    </row>
    <row r="34514" spans="13:13">
      <c r="M34514" s="202"/>
    </row>
    <row r="34515" spans="13:13">
      <c r="M34515" s="202"/>
    </row>
    <row r="34516" spans="13:13">
      <c r="M34516" s="202"/>
    </row>
    <row r="34517" spans="13:13">
      <c r="M34517" s="202"/>
    </row>
    <row r="34518" spans="13:13">
      <c r="M34518" s="202"/>
    </row>
    <row r="34519" spans="13:13">
      <c r="M34519" s="202"/>
    </row>
    <row r="34520" spans="13:13">
      <c r="M34520" s="202"/>
    </row>
    <row r="34521" spans="13:13">
      <c r="M34521" s="202"/>
    </row>
    <row r="34522" spans="13:13">
      <c r="M34522" s="202"/>
    </row>
    <row r="34523" spans="13:13">
      <c r="M34523" s="202"/>
    </row>
    <row r="34524" spans="13:13">
      <c r="M34524" s="202"/>
    </row>
    <row r="34525" spans="13:13">
      <c r="M34525" s="202"/>
    </row>
    <row r="34526" spans="13:13">
      <c r="M34526" s="202"/>
    </row>
    <row r="34527" spans="13:13">
      <c r="M34527" s="202"/>
    </row>
    <row r="34528" spans="13:13">
      <c r="M34528" s="202"/>
    </row>
    <row r="34529" spans="13:13">
      <c r="M34529" s="202"/>
    </row>
    <row r="34530" spans="13:13">
      <c r="M34530" s="202"/>
    </row>
    <row r="34531" spans="13:13">
      <c r="M34531" s="202"/>
    </row>
    <row r="34532" spans="13:13">
      <c r="M34532" s="202"/>
    </row>
    <row r="34533" spans="13:13">
      <c r="M34533" s="202"/>
    </row>
    <row r="34534" spans="13:13">
      <c r="M34534" s="202"/>
    </row>
    <row r="34535" spans="13:13">
      <c r="M34535" s="202"/>
    </row>
    <row r="34536" spans="13:13">
      <c r="M34536" s="202"/>
    </row>
    <row r="34537" spans="13:13">
      <c r="M34537" s="202"/>
    </row>
    <row r="34538" spans="13:13">
      <c r="M34538" s="202"/>
    </row>
    <row r="34539" spans="13:13">
      <c r="M34539" s="202"/>
    </row>
    <row r="34540" spans="13:13">
      <c r="M34540" s="202"/>
    </row>
    <row r="34541" spans="13:13">
      <c r="M34541" s="202"/>
    </row>
    <row r="34542" spans="13:13">
      <c r="M34542" s="202"/>
    </row>
    <row r="34543" spans="13:13">
      <c r="M34543" s="202"/>
    </row>
    <row r="34544" spans="13:13">
      <c r="M34544" s="202"/>
    </row>
    <row r="34545" spans="13:13">
      <c r="M34545" s="202"/>
    </row>
    <row r="34546" spans="13:13">
      <c r="M34546" s="202"/>
    </row>
    <row r="34547" spans="13:13">
      <c r="M34547" s="202"/>
    </row>
    <row r="34548" spans="13:13">
      <c r="M34548" s="202"/>
    </row>
    <row r="34549" spans="13:13">
      <c r="M34549" s="202"/>
    </row>
    <row r="34550" spans="13:13">
      <c r="M34550" s="202"/>
    </row>
    <row r="34551" spans="13:13">
      <c r="M34551" s="202"/>
    </row>
    <row r="34552" spans="13:13">
      <c r="M34552" s="202"/>
    </row>
    <row r="34553" spans="13:13">
      <c r="M34553" s="202"/>
    </row>
    <row r="34554" spans="13:13">
      <c r="M34554" s="202"/>
    </row>
    <row r="34555" spans="13:13">
      <c r="M34555" s="202"/>
    </row>
    <row r="34556" spans="13:13">
      <c r="M34556" s="202"/>
    </row>
    <row r="34557" spans="13:13">
      <c r="M34557" s="202"/>
    </row>
    <row r="34558" spans="13:13">
      <c r="M34558" s="202"/>
    </row>
    <row r="34559" spans="13:13">
      <c r="M34559" s="202"/>
    </row>
    <row r="34560" spans="13:13">
      <c r="M34560" s="202"/>
    </row>
    <row r="34561" spans="13:13">
      <c r="M34561" s="202"/>
    </row>
    <row r="34562" spans="13:13">
      <c r="M34562" s="202"/>
    </row>
    <row r="34563" spans="13:13">
      <c r="M34563" s="202"/>
    </row>
    <row r="34564" spans="13:13">
      <c r="M34564" s="202"/>
    </row>
    <row r="34565" spans="13:13">
      <c r="M34565" s="202"/>
    </row>
    <row r="34566" spans="13:13">
      <c r="M34566" s="202"/>
    </row>
    <row r="34567" spans="13:13">
      <c r="M34567" s="202"/>
    </row>
    <row r="34568" spans="13:13">
      <c r="M34568" s="202"/>
    </row>
    <row r="34569" spans="13:13">
      <c r="M34569" s="202"/>
    </row>
    <row r="34570" spans="13:13">
      <c r="M34570" s="202"/>
    </row>
    <row r="34571" spans="13:13">
      <c r="M34571" s="202"/>
    </row>
    <row r="34572" spans="13:13">
      <c r="M34572" s="202"/>
    </row>
    <row r="34573" spans="13:13">
      <c r="M34573" s="202"/>
    </row>
    <row r="34574" spans="13:13">
      <c r="M34574" s="202"/>
    </row>
    <row r="34575" spans="13:13">
      <c r="M34575" s="202"/>
    </row>
    <row r="34576" spans="13:13">
      <c r="M34576" s="202"/>
    </row>
    <row r="34577" spans="13:13">
      <c r="M34577" s="202"/>
    </row>
    <row r="34578" spans="13:13">
      <c r="M34578" s="202"/>
    </row>
    <row r="34579" spans="13:13">
      <c r="M34579" s="202"/>
    </row>
    <row r="34580" spans="13:13">
      <c r="M34580" s="202"/>
    </row>
    <row r="34581" spans="13:13">
      <c r="M34581" s="202"/>
    </row>
    <row r="34582" spans="13:13">
      <c r="M34582" s="202"/>
    </row>
    <row r="34583" spans="13:13">
      <c r="M34583" s="202"/>
    </row>
    <row r="34584" spans="13:13">
      <c r="M34584" s="202"/>
    </row>
    <row r="34585" spans="13:13">
      <c r="M34585" s="202"/>
    </row>
    <row r="34586" spans="13:13">
      <c r="M34586" s="202"/>
    </row>
    <row r="34587" spans="13:13">
      <c r="M34587" s="202"/>
    </row>
    <row r="34588" spans="13:13">
      <c r="M34588" s="202"/>
    </row>
    <row r="34589" spans="13:13">
      <c r="M34589" s="202"/>
    </row>
    <row r="34590" spans="13:13">
      <c r="M34590" s="202"/>
    </row>
    <row r="34591" spans="13:13">
      <c r="M34591" s="202"/>
    </row>
    <row r="34592" spans="13:13">
      <c r="M34592" s="202"/>
    </row>
    <row r="34593" spans="13:13">
      <c r="M34593" s="202"/>
    </row>
    <row r="34594" spans="13:13">
      <c r="M34594" s="202"/>
    </row>
    <row r="34595" spans="13:13">
      <c r="M34595" s="202"/>
    </row>
    <row r="34596" spans="13:13">
      <c r="M34596" s="202"/>
    </row>
    <row r="34597" spans="13:13">
      <c r="M34597" s="202"/>
    </row>
    <row r="34598" spans="13:13">
      <c r="M34598" s="202"/>
    </row>
    <row r="34599" spans="13:13">
      <c r="M34599" s="202"/>
    </row>
    <row r="34600" spans="13:13">
      <c r="M34600" s="202"/>
    </row>
    <row r="34601" spans="13:13">
      <c r="M34601" s="202"/>
    </row>
    <row r="34602" spans="13:13">
      <c r="M34602" s="202"/>
    </row>
    <row r="34603" spans="13:13">
      <c r="M34603" s="202"/>
    </row>
    <row r="34604" spans="13:13">
      <c r="M34604" s="202"/>
    </row>
    <row r="34605" spans="13:13">
      <c r="M34605" s="202"/>
    </row>
    <row r="34606" spans="13:13">
      <c r="M34606" s="202"/>
    </row>
    <row r="34607" spans="13:13">
      <c r="M34607" s="202"/>
    </row>
    <row r="34608" spans="13:13">
      <c r="M34608" s="202"/>
    </row>
    <row r="34609" spans="13:13">
      <c r="M34609" s="202"/>
    </row>
    <row r="34610" spans="13:13">
      <c r="M34610" s="202"/>
    </row>
    <row r="34611" spans="13:13">
      <c r="M34611" s="202"/>
    </row>
    <row r="34612" spans="13:13">
      <c r="M34612" s="202"/>
    </row>
    <row r="34613" spans="13:13">
      <c r="M34613" s="202"/>
    </row>
    <row r="34614" spans="13:13">
      <c r="M34614" s="202"/>
    </row>
    <row r="34615" spans="13:13">
      <c r="M34615" s="202"/>
    </row>
    <row r="34616" spans="13:13">
      <c r="M34616" s="202"/>
    </row>
    <row r="34617" spans="13:13">
      <c r="M34617" s="202"/>
    </row>
    <row r="34618" spans="13:13">
      <c r="M34618" s="202"/>
    </row>
    <row r="34619" spans="13:13">
      <c r="M34619" s="202"/>
    </row>
    <row r="34620" spans="13:13">
      <c r="M34620" s="202"/>
    </row>
    <row r="34621" spans="13:13">
      <c r="M34621" s="202"/>
    </row>
    <row r="34622" spans="13:13">
      <c r="M34622" s="202"/>
    </row>
    <row r="34623" spans="13:13">
      <c r="M34623" s="202"/>
    </row>
    <row r="34624" spans="13:13">
      <c r="M34624" s="202"/>
    </row>
    <row r="34625" spans="13:13">
      <c r="M34625" s="202"/>
    </row>
    <row r="34626" spans="13:13">
      <c r="M34626" s="202"/>
    </row>
    <row r="34627" spans="13:13">
      <c r="M34627" s="202"/>
    </row>
    <row r="34628" spans="13:13">
      <c r="M34628" s="202"/>
    </row>
    <row r="34629" spans="13:13">
      <c r="M34629" s="202"/>
    </row>
    <row r="34630" spans="13:13">
      <c r="M34630" s="202"/>
    </row>
    <row r="34631" spans="13:13">
      <c r="M34631" s="202"/>
    </row>
    <row r="34632" spans="13:13">
      <c r="M34632" s="202"/>
    </row>
    <row r="34633" spans="13:13">
      <c r="M34633" s="202"/>
    </row>
    <row r="34634" spans="13:13">
      <c r="M34634" s="202"/>
    </row>
    <row r="34635" spans="13:13">
      <c r="M34635" s="202"/>
    </row>
    <row r="34636" spans="13:13">
      <c r="M34636" s="202"/>
    </row>
    <row r="34637" spans="13:13">
      <c r="M34637" s="202"/>
    </row>
    <row r="34638" spans="13:13">
      <c r="M34638" s="202"/>
    </row>
    <row r="34639" spans="13:13">
      <c r="M34639" s="202"/>
    </row>
    <row r="34640" spans="13:13">
      <c r="M34640" s="202"/>
    </row>
    <row r="34641" spans="13:13">
      <c r="M34641" s="202"/>
    </row>
    <row r="34642" spans="13:13">
      <c r="M34642" s="202"/>
    </row>
    <row r="34643" spans="13:13">
      <c r="M34643" s="202"/>
    </row>
    <row r="34644" spans="13:13">
      <c r="M34644" s="202"/>
    </row>
    <row r="34645" spans="13:13">
      <c r="M34645" s="202"/>
    </row>
    <row r="34646" spans="13:13">
      <c r="M34646" s="202"/>
    </row>
    <row r="34647" spans="13:13">
      <c r="M34647" s="202"/>
    </row>
    <row r="34648" spans="13:13">
      <c r="M34648" s="202"/>
    </row>
    <row r="34649" spans="13:13">
      <c r="M34649" s="202"/>
    </row>
    <row r="34650" spans="13:13">
      <c r="M34650" s="202"/>
    </row>
    <row r="34651" spans="13:13">
      <c r="M34651" s="202"/>
    </row>
    <row r="34652" spans="13:13">
      <c r="M34652" s="202"/>
    </row>
    <row r="34653" spans="13:13">
      <c r="M34653" s="202"/>
    </row>
    <row r="34654" spans="13:13">
      <c r="M34654" s="202"/>
    </row>
    <row r="34655" spans="13:13">
      <c r="M34655" s="202"/>
    </row>
    <row r="34656" spans="13:13">
      <c r="M34656" s="202"/>
    </row>
    <row r="34657" spans="13:13">
      <c r="M34657" s="202"/>
    </row>
    <row r="34658" spans="13:13">
      <c r="M34658" s="202"/>
    </row>
    <row r="34659" spans="13:13">
      <c r="M34659" s="202"/>
    </row>
    <row r="34660" spans="13:13">
      <c r="M34660" s="202"/>
    </row>
    <row r="34661" spans="13:13">
      <c r="M34661" s="202"/>
    </row>
    <row r="34662" spans="13:13">
      <c r="M34662" s="202"/>
    </row>
    <row r="34663" spans="13:13">
      <c r="M34663" s="202"/>
    </row>
    <row r="34664" spans="13:13">
      <c r="M34664" s="202"/>
    </row>
    <row r="34665" spans="13:13">
      <c r="M34665" s="202"/>
    </row>
    <row r="34666" spans="13:13">
      <c r="M34666" s="202"/>
    </row>
    <row r="34667" spans="13:13">
      <c r="M34667" s="202"/>
    </row>
    <row r="34668" spans="13:13">
      <c r="M34668" s="202"/>
    </row>
    <row r="34669" spans="13:13">
      <c r="M34669" s="202"/>
    </row>
    <row r="34670" spans="13:13">
      <c r="M34670" s="202"/>
    </row>
    <row r="34671" spans="13:13">
      <c r="M34671" s="202"/>
    </row>
    <row r="34672" spans="13:13">
      <c r="M34672" s="202"/>
    </row>
    <row r="34673" spans="13:13">
      <c r="M34673" s="202"/>
    </row>
    <row r="34674" spans="13:13">
      <c r="M34674" s="202"/>
    </row>
    <row r="34675" spans="13:13">
      <c r="M34675" s="202"/>
    </row>
    <row r="34676" spans="13:13">
      <c r="M34676" s="202"/>
    </row>
    <row r="34677" spans="13:13">
      <c r="M34677" s="202"/>
    </row>
    <row r="34678" spans="13:13">
      <c r="M34678" s="202"/>
    </row>
    <row r="34679" spans="13:13">
      <c r="M34679" s="202"/>
    </row>
    <row r="34680" spans="13:13">
      <c r="M34680" s="202"/>
    </row>
    <row r="34681" spans="13:13">
      <c r="M34681" s="202"/>
    </row>
    <row r="34682" spans="13:13">
      <c r="M34682" s="202"/>
    </row>
    <row r="34683" spans="13:13">
      <c r="M34683" s="202"/>
    </row>
    <row r="34684" spans="13:13">
      <c r="M34684" s="202"/>
    </row>
    <row r="34685" spans="13:13">
      <c r="M34685" s="202"/>
    </row>
    <row r="34686" spans="13:13">
      <c r="M34686" s="202"/>
    </row>
    <row r="34687" spans="13:13">
      <c r="M34687" s="202"/>
    </row>
    <row r="34688" spans="13:13">
      <c r="M34688" s="202"/>
    </row>
    <row r="34689" spans="13:13">
      <c r="M34689" s="202"/>
    </row>
    <row r="34690" spans="13:13">
      <c r="M34690" s="202"/>
    </row>
    <row r="34691" spans="13:13">
      <c r="M34691" s="202"/>
    </row>
    <row r="34692" spans="13:13">
      <c r="M34692" s="202"/>
    </row>
    <row r="34693" spans="13:13">
      <c r="M34693" s="202"/>
    </row>
    <row r="34694" spans="13:13">
      <c r="M34694" s="202"/>
    </row>
    <row r="34695" spans="13:13">
      <c r="M34695" s="202"/>
    </row>
    <row r="34696" spans="13:13">
      <c r="M34696" s="202"/>
    </row>
    <row r="34697" spans="13:13">
      <c r="M34697" s="202"/>
    </row>
    <row r="34698" spans="13:13">
      <c r="M34698" s="202"/>
    </row>
    <row r="34699" spans="13:13">
      <c r="M34699" s="202"/>
    </row>
    <row r="34700" spans="13:13">
      <c r="M34700" s="202"/>
    </row>
    <row r="34701" spans="13:13">
      <c r="M34701" s="202"/>
    </row>
    <row r="34702" spans="13:13">
      <c r="M34702" s="202"/>
    </row>
    <row r="34703" spans="13:13">
      <c r="M34703" s="202"/>
    </row>
    <row r="34704" spans="13:13">
      <c r="M34704" s="202"/>
    </row>
    <row r="34705" spans="13:13">
      <c r="M34705" s="202"/>
    </row>
    <row r="34706" spans="13:13">
      <c r="M34706" s="202"/>
    </row>
    <row r="34707" spans="13:13">
      <c r="M34707" s="202"/>
    </row>
    <row r="34708" spans="13:13">
      <c r="M34708" s="202"/>
    </row>
    <row r="34709" spans="13:13">
      <c r="M34709" s="202"/>
    </row>
    <row r="34710" spans="13:13">
      <c r="M34710" s="202"/>
    </row>
    <row r="34711" spans="13:13">
      <c r="M34711" s="202"/>
    </row>
    <row r="34712" spans="13:13">
      <c r="M34712" s="202"/>
    </row>
    <row r="34713" spans="13:13">
      <c r="M34713" s="202"/>
    </row>
    <row r="34714" spans="13:13">
      <c r="M34714" s="202"/>
    </row>
    <row r="34715" spans="13:13">
      <c r="M34715" s="202"/>
    </row>
    <row r="34716" spans="13:13">
      <c r="M34716" s="202"/>
    </row>
    <row r="34717" spans="13:13">
      <c r="M34717" s="202"/>
    </row>
    <row r="34718" spans="13:13">
      <c r="M34718" s="202"/>
    </row>
    <row r="34719" spans="13:13">
      <c r="M34719" s="202"/>
    </row>
    <row r="34720" spans="13:13">
      <c r="M34720" s="202"/>
    </row>
    <row r="34721" spans="13:13">
      <c r="M34721" s="202"/>
    </row>
    <row r="34722" spans="13:13">
      <c r="M34722" s="202"/>
    </row>
    <row r="34723" spans="13:13">
      <c r="M34723" s="202"/>
    </row>
    <row r="34724" spans="13:13">
      <c r="M34724" s="202"/>
    </row>
    <row r="34725" spans="13:13">
      <c r="M34725" s="202"/>
    </row>
    <row r="34726" spans="13:13">
      <c r="M34726" s="202"/>
    </row>
    <row r="34727" spans="13:13">
      <c r="M34727" s="202"/>
    </row>
    <row r="34728" spans="13:13">
      <c r="M34728" s="202"/>
    </row>
    <row r="34729" spans="13:13">
      <c r="M34729" s="202"/>
    </row>
    <row r="34730" spans="13:13">
      <c r="M34730" s="202"/>
    </row>
    <row r="34731" spans="13:13">
      <c r="M34731" s="202"/>
    </row>
    <row r="34732" spans="13:13">
      <c r="M34732" s="202"/>
    </row>
    <row r="34733" spans="13:13">
      <c r="M34733" s="202"/>
    </row>
    <row r="34734" spans="13:13">
      <c r="M34734" s="202"/>
    </row>
    <row r="34735" spans="13:13">
      <c r="M34735" s="202"/>
    </row>
    <row r="34736" spans="13:13">
      <c r="M34736" s="202"/>
    </row>
    <row r="34737" spans="13:13">
      <c r="M34737" s="202"/>
    </row>
    <row r="34738" spans="13:13">
      <c r="M34738" s="202"/>
    </row>
    <row r="34739" spans="13:13">
      <c r="M34739" s="202"/>
    </row>
    <row r="34740" spans="13:13">
      <c r="M34740" s="202"/>
    </row>
    <row r="34741" spans="13:13">
      <c r="M34741" s="202"/>
    </row>
    <row r="34742" spans="13:13">
      <c r="M34742" s="202"/>
    </row>
    <row r="34743" spans="13:13">
      <c r="M34743" s="202"/>
    </row>
    <row r="34744" spans="13:13">
      <c r="M34744" s="202"/>
    </row>
    <row r="34745" spans="13:13">
      <c r="M34745" s="202"/>
    </row>
    <row r="34746" spans="13:13">
      <c r="M34746" s="202"/>
    </row>
    <row r="34747" spans="13:13">
      <c r="M34747" s="202"/>
    </row>
    <row r="34748" spans="13:13">
      <c r="M34748" s="202"/>
    </row>
    <row r="34749" spans="13:13">
      <c r="M34749" s="202"/>
    </row>
    <row r="34750" spans="13:13">
      <c r="M34750" s="202"/>
    </row>
    <row r="34751" spans="13:13">
      <c r="M34751" s="202"/>
    </row>
    <row r="34752" spans="13:13">
      <c r="M34752" s="202"/>
    </row>
    <row r="34753" spans="13:13">
      <c r="M34753" s="202"/>
    </row>
    <row r="34754" spans="13:13">
      <c r="M34754" s="202"/>
    </row>
    <row r="34755" spans="13:13">
      <c r="M34755" s="202"/>
    </row>
    <row r="34756" spans="13:13">
      <c r="M34756" s="202"/>
    </row>
    <row r="34757" spans="13:13">
      <c r="M34757" s="202"/>
    </row>
    <row r="34758" spans="13:13">
      <c r="M34758" s="202"/>
    </row>
    <row r="34759" spans="13:13">
      <c r="M34759" s="202"/>
    </row>
    <row r="34760" spans="13:13">
      <c r="M34760" s="202"/>
    </row>
    <row r="34761" spans="13:13">
      <c r="M34761" s="202"/>
    </row>
    <row r="34762" spans="13:13">
      <c r="M34762" s="202"/>
    </row>
    <row r="34763" spans="13:13">
      <c r="M34763" s="202"/>
    </row>
    <row r="34764" spans="13:13">
      <c r="M34764" s="202"/>
    </row>
    <row r="34765" spans="13:13">
      <c r="M34765" s="202"/>
    </row>
    <row r="34766" spans="13:13">
      <c r="M34766" s="202"/>
    </row>
    <row r="34767" spans="13:13">
      <c r="M34767" s="202"/>
    </row>
    <row r="34768" spans="13:13">
      <c r="M34768" s="202"/>
    </row>
    <row r="34769" spans="13:13">
      <c r="M34769" s="202"/>
    </row>
    <row r="34770" spans="13:13">
      <c r="M34770" s="202"/>
    </row>
    <row r="34771" spans="13:13">
      <c r="M34771" s="202"/>
    </row>
    <row r="34772" spans="13:13">
      <c r="M34772" s="202"/>
    </row>
    <row r="34773" spans="13:13">
      <c r="M34773" s="202"/>
    </row>
    <row r="34774" spans="13:13">
      <c r="M34774" s="202"/>
    </row>
    <row r="34775" spans="13:13">
      <c r="M34775" s="202"/>
    </row>
    <row r="34776" spans="13:13">
      <c r="M34776" s="202"/>
    </row>
    <row r="34777" spans="13:13">
      <c r="M34777" s="202"/>
    </row>
    <row r="34778" spans="13:13">
      <c r="M34778" s="202"/>
    </row>
    <row r="34779" spans="13:13">
      <c r="M34779" s="202"/>
    </row>
    <row r="34780" spans="13:13">
      <c r="M34780" s="202"/>
    </row>
    <row r="34781" spans="13:13">
      <c r="M34781" s="202"/>
    </row>
    <row r="34782" spans="13:13">
      <c r="M34782" s="202"/>
    </row>
    <row r="34783" spans="13:13">
      <c r="M34783" s="202"/>
    </row>
    <row r="34784" spans="13:13">
      <c r="M34784" s="202"/>
    </row>
    <row r="34785" spans="13:13">
      <c r="M34785" s="202"/>
    </row>
    <row r="34786" spans="13:13">
      <c r="M34786" s="202"/>
    </row>
    <row r="34787" spans="13:13">
      <c r="M34787" s="202"/>
    </row>
    <row r="34788" spans="13:13">
      <c r="M34788" s="202"/>
    </row>
    <row r="34789" spans="13:13">
      <c r="M34789" s="202"/>
    </row>
    <row r="34790" spans="13:13">
      <c r="M34790" s="202"/>
    </row>
    <row r="34791" spans="13:13">
      <c r="M34791" s="202"/>
    </row>
    <row r="34792" spans="13:13">
      <c r="M34792" s="202"/>
    </row>
    <row r="34793" spans="13:13">
      <c r="M34793" s="202"/>
    </row>
    <row r="34794" spans="13:13">
      <c r="M34794" s="202"/>
    </row>
    <row r="34795" spans="13:13">
      <c r="M34795" s="202"/>
    </row>
    <row r="34796" spans="13:13">
      <c r="M34796" s="202"/>
    </row>
    <row r="34797" spans="13:13">
      <c r="M34797" s="202"/>
    </row>
    <row r="34798" spans="13:13">
      <c r="M34798" s="202"/>
    </row>
    <row r="34799" spans="13:13">
      <c r="M34799" s="202"/>
    </row>
    <row r="34800" spans="13:13">
      <c r="M34800" s="202"/>
    </row>
    <row r="34801" spans="13:13">
      <c r="M34801" s="202"/>
    </row>
    <row r="34802" spans="13:13">
      <c r="M34802" s="202"/>
    </row>
    <row r="34803" spans="13:13">
      <c r="M34803" s="202"/>
    </row>
    <row r="34804" spans="13:13">
      <c r="M34804" s="202"/>
    </row>
    <row r="34805" spans="13:13">
      <c r="M34805" s="202"/>
    </row>
    <row r="34806" spans="13:13">
      <c r="M34806" s="202"/>
    </row>
    <row r="34807" spans="13:13">
      <c r="M34807" s="202"/>
    </row>
    <row r="34808" spans="13:13">
      <c r="M34808" s="202"/>
    </row>
    <row r="34809" spans="13:13">
      <c r="M34809" s="202"/>
    </row>
    <row r="34810" spans="13:13">
      <c r="M34810" s="202"/>
    </row>
    <row r="34811" spans="13:13">
      <c r="M34811" s="202"/>
    </row>
    <row r="34812" spans="13:13">
      <c r="M34812" s="202"/>
    </row>
    <row r="34813" spans="13:13">
      <c r="M34813" s="202"/>
    </row>
    <row r="34814" spans="13:13">
      <c r="M34814" s="202"/>
    </row>
    <row r="34815" spans="13:13">
      <c r="M34815" s="202"/>
    </row>
    <row r="34816" spans="13:13">
      <c r="M34816" s="202"/>
    </row>
    <row r="34817" spans="13:13">
      <c r="M34817" s="202"/>
    </row>
    <row r="34818" spans="13:13">
      <c r="M34818" s="202"/>
    </row>
    <row r="34819" spans="13:13">
      <c r="M34819" s="202"/>
    </row>
    <row r="34820" spans="13:13">
      <c r="M34820" s="202"/>
    </row>
    <row r="34821" spans="13:13">
      <c r="M34821" s="202"/>
    </row>
    <row r="34822" spans="13:13">
      <c r="M34822" s="202"/>
    </row>
    <row r="34823" spans="13:13">
      <c r="M34823" s="202"/>
    </row>
    <row r="34824" spans="13:13">
      <c r="M34824" s="202"/>
    </row>
    <row r="34825" spans="13:13">
      <c r="M34825" s="202"/>
    </row>
    <row r="34826" spans="13:13">
      <c r="M34826" s="202"/>
    </row>
    <row r="34827" spans="13:13">
      <c r="M34827" s="202"/>
    </row>
    <row r="34828" spans="13:13">
      <c r="M34828" s="202"/>
    </row>
    <row r="34829" spans="13:13">
      <c r="M34829" s="202"/>
    </row>
    <row r="34830" spans="13:13">
      <c r="M34830" s="202"/>
    </row>
    <row r="34831" spans="13:13">
      <c r="M34831" s="202"/>
    </row>
    <row r="34832" spans="13:13">
      <c r="M34832" s="202"/>
    </row>
    <row r="34833" spans="13:13">
      <c r="M34833" s="202"/>
    </row>
    <row r="34834" spans="13:13">
      <c r="M34834" s="202"/>
    </row>
    <row r="34835" spans="13:13">
      <c r="M34835" s="202"/>
    </row>
    <row r="34836" spans="13:13">
      <c r="M34836" s="202"/>
    </row>
    <row r="34837" spans="13:13">
      <c r="M34837" s="202"/>
    </row>
    <row r="34838" spans="13:13">
      <c r="M34838" s="202"/>
    </row>
    <row r="34839" spans="13:13">
      <c r="M34839" s="202"/>
    </row>
    <row r="34840" spans="13:13">
      <c r="M34840" s="202"/>
    </row>
    <row r="34841" spans="13:13">
      <c r="M34841" s="202"/>
    </row>
    <row r="34842" spans="13:13">
      <c r="M34842" s="202"/>
    </row>
    <row r="34843" spans="13:13">
      <c r="M34843" s="202"/>
    </row>
    <row r="34844" spans="13:13">
      <c r="M34844" s="202"/>
    </row>
    <row r="34845" spans="13:13">
      <c r="M34845" s="202"/>
    </row>
    <row r="34846" spans="13:13">
      <c r="M34846" s="202"/>
    </row>
    <row r="34847" spans="13:13">
      <c r="M34847" s="202"/>
    </row>
    <row r="34848" spans="13:13">
      <c r="M34848" s="202"/>
    </row>
    <row r="34849" spans="13:13">
      <c r="M34849" s="202"/>
    </row>
    <row r="34850" spans="13:13">
      <c r="M34850" s="202"/>
    </row>
    <row r="34851" spans="13:13">
      <c r="M34851" s="202"/>
    </row>
    <row r="34852" spans="13:13">
      <c r="M34852" s="202"/>
    </row>
    <row r="34853" spans="13:13">
      <c r="M34853" s="202"/>
    </row>
    <row r="34854" spans="13:13">
      <c r="M34854" s="202"/>
    </row>
    <row r="34855" spans="13:13">
      <c r="M34855" s="202"/>
    </row>
    <row r="34856" spans="13:13">
      <c r="M34856" s="202"/>
    </row>
    <row r="34857" spans="13:13">
      <c r="M34857" s="202"/>
    </row>
    <row r="34858" spans="13:13">
      <c r="M34858" s="202"/>
    </row>
    <row r="34859" spans="13:13">
      <c r="M34859" s="202"/>
    </row>
    <row r="34860" spans="13:13">
      <c r="M34860" s="202"/>
    </row>
    <row r="34861" spans="13:13">
      <c r="M34861" s="202"/>
    </row>
    <row r="34862" spans="13:13">
      <c r="M34862" s="202"/>
    </row>
    <row r="34863" spans="13:13">
      <c r="M34863" s="202"/>
    </row>
    <row r="34864" spans="13:13">
      <c r="M34864" s="202"/>
    </row>
    <row r="34865" spans="13:13">
      <c r="M34865" s="202"/>
    </row>
    <row r="34866" spans="13:13">
      <c r="M34866" s="202"/>
    </row>
    <row r="34867" spans="13:13">
      <c r="M34867" s="202"/>
    </row>
    <row r="34868" spans="13:13">
      <c r="M34868" s="202"/>
    </row>
    <row r="34869" spans="13:13">
      <c r="M34869" s="202"/>
    </row>
    <row r="34870" spans="13:13">
      <c r="M34870" s="202"/>
    </row>
    <row r="34871" spans="13:13">
      <c r="M34871" s="202"/>
    </row>
    <row r="34872" spans="13:13">
      <c r="M34872" s="202"/>
    </row>
    <row r="34873" spans="13:13">
      <c r="M34873" s="202"/>
    </row>
    <row r="34874" spans="13:13">
      <c r="M34874" s="202"/>
    </row>
    <row r="34875" spans="13:13">
      <c r="M34875" s="202"/>
    </row>
    <row r="34876" spans="13:13">
      <c r="M34876" s="202"/>
    </row>
    <row r="34877" spans="13:13">
      <c r="M34877" s="202"/>
    </row>
    <row r="34878" spans="13:13">
      <c r="M34878" s="202"/>
    </row>
    <row r="34879" spans="13:13">
      <c r="M34879" s="202"/>
    </row>
    <row r="34880" spans="13:13">
      <c r="M34880" s="202"/>
    </row>
    <row r="34881" spans="13:13">
      <c r="M34881" s="202"/>
    </row>
    <row r="34882" spans="13:13">
      <c r="M34882" s="202"/>
    </row>
    <row r="34883" spans="13:13">
      <c r="M34883" s="202"/>
    </row>
    <row r="34884" spans="13:13">
      <c r="M34884" s="202"/>
    </row>
    <row r="34885" spans="13:13">
      <c r="M34885" s="202"/>
    </row>
    <row r="34886" spans="13:13">
      <c r="M34886" s="202"/>
    </row>
    <row r="34887" spans="13:13">
      <c r="M34887" s="202"/>
    </row>
    <row r="34888" spans="13:13">
      <c r="M34888" s="202"/>
    </row>
    <row r="34889" spans="13:13">
      <c r="M34889" s="202"/>
    </row>
    <row r="34890" spans="13:13">
      <c r="M34890" s="202"/>
    </row>
    <row r="34891" spans="13:13">
      <c r="M34891" s="202"/>
    </row>
    <row r="34892" spans="13:13">
      <c r="M34892" s="202"/>
    </row>
    <row r="34893" spans="13:13">
      <c r="M34893" s="202"/>
    </row>
    <row r="34894" spans="13:13">
      <c r="M34894" s="202"/>
    </row>
    <row r="34895" spans="13:13">
      <c r="M34895" s="202"/>
    </row>
    <row r="34896" spans="13:13">
      <c r="M34896" s="202"/>
    </row>
    <row r="34897" spans="13:13">
      <c r="M34897" s="202"/>
    </row>
    <row r="34898" spans="13:13">
      <c r="M34898" s="202"/>
    </row>
    <row r="34899" spans="13:13">
      <c r="M34899" s="202"/>
    </row>
    <row r="34900" spans="13:13">
      <c r="M34900" s="202"/>
    </row>
    <row r="34901" spans="13:13">
      <c r="M34901" s="202"/>
    </row>
    <row r="34902" spans="13:13">
      <c r="M34902" s="202"/>
    </row>
    <row r="34903" spans="13:13">
      <c r="M34903" s="202"/>
    </row>
    <row r="34904" spans="13:13">
      <c r="M34904" s="202"/>
    </row>
    <row r="34905" spans="13:13">
      <c r="M34905" s="202"/>
    </row>
    <row r="34906" spans="13:13">
      <c r="M34906" s="202"/>
    </row>
    <row r="34907" spans="13:13">
      <c r="M34907" s="202"/>
    </row>
    <row r="34908" spans="13:13">
      <c r="M34908" s="202"/>
    </row>
    <row r="34909" spans="13:13">
      <c r="M34909" s="202"/>
    </row>
    <row r="34910" spans="13:13">
      <c r="M34910" s="202"/>
    </row>
    <row r="34911" spans="13:13">
      <c r="M34911" s="202"/>
    </row>
    <row r="34912" spans="13:13">
      <c r="M34912" s="202"/>
    </row>
    <row r="34913" spans="13:13">
      <c r="M34913" s="202"/>
    </row>
    <row r="34914" spans="13:13">
      <c r="M34914" s="202"/>
    </row>
    <row r="34915" spans="13:13">
      <c r="M34915" s="202"/>
    </row>
    <row r="34916" spans="13:13">
      <c r="M34916" s="202"/>
    </row>
    <row r="34917" spans="13:13">
      <c r="M34917" s="202"/>
    </row>
    <row r="34918" spans="13:13">
      <c r="M34918" s="202"/>
    </row>
    <row r="34919" spans="13:13">
      <c r="M34919" s="202"/>
    </row>
    <row r="34920" spans="13:13">
      <c r="M34920" s="202"/>
    </row>
    <row r="34921" spans="13:13">
      <c r="M34921" s="202"/>
    </row>
    <row r="34922" spans="13:13">
      <c r="M34922" s="202"/>
    </row>
    <row r="34923" spans="13:13">
      <c r="M34923" s="202"/>
    </row>
    <row r="34924" spans="13:13">
      <c r="M34924" s="202"/>
    </row>
    <row r="34925" spans="13:13">
      <c r="M34925" s="202"/>
    </row>
    <row r="34926" spans="13:13">
      <c r="M34926" s="202"/>
    </row>
    <row r="34927" spans="13:13">
      <c r="M34927" s="202"/>
    </row>
    <row r="34928" spans="13:13">
      <c r="M34928" s="202"/>
    </row>
    <row r="34929" spans="13:13">
      <c r="M34929" s="202"/>
    </row>
    <row r="34930" spans="13:13">
      <c r="M34930" s="202"/>
    </row>
    <row r="34931" spans="13:13">
      <c r="M34931" s="202"/>
    </row>
    <row r="34932" spans="13:13">
      <c r="M34932" s="202"/>
    </row>
    <row r="34933" spans="13:13">
      <c r="M34933" s="202"/>
    </row>
    <row r="34934" spans="13:13">
      <c r="M34934" s="202"/>
    </row>
    <row r="34935" spans="13:13">
      <c r="M34935" s="202"/>
    </row>
    <row r="34936" spans="13:13">
      <c r="M34936" s="202"/>
    </row>
    <row r="34937" spans="13:13">
      <c r="M34937" s="202"/>
    </row>
    <row r="34938" spans="13:13">
      <c r="M34938" s="202"/>
    </row>
    <row r="34939" spans="13:13">
      <c r="M34939" s="202"/>
    </row>
    <row r="34940" spans="13:13">
      <c r="M34940" s="202"/>
    </row>
    <row r="34941" spans="13:13">
      <c r="M34941" s="202"/>
    </row>
    <row r="34942" spans="13:13">
      <c r="M34942" s="202"/>
    </row>
    <row r="34943" spans="13:13">
      <c r="M34943" s="202"/>
    </row>
    <row r="34944" spans="13:13">
      <c r="M34944" s="202"/>
    </row>
    <row r="34945" spans="13:13">
      <c r="M34945" s="202"/>
    </row>
    <row r="34946" spans="13:13">
      <c r="M34946" s="202"/>
    </row>
    <row r="34947" spans="13:13">
      <c r="M34947" s="202"/>
    </row>
    <row r="34948" spans="13:13">
      <c r="M34948" s="202"/>
    </row>
    <row r="34949" spans="13:13">
      <c r="M34949" s="202"/>
    </row>
    <row r="34950" spans="13:13">
      <c r="M34950" s="202"/>
    </row>
    <row r="34951" spans="13:13">
      <c r="M34951" s="202"/>
    </row>
    <row r="34952" spans="13:13">
      <c r="M34952" s="202"/>
    </row>
    <row r="34953" spans="13:13">
      <c r="M34953" s="202"/>
    </row>
    <row r="34954" spans="13:13">
      <c r="M34954" s="202"/>
    </row>
    <row r="34955" spans="13:13">
      <c r="M34955" s="202"/>
    </row>
    <row r="34956" spans="13:13">
      <c r="M34956" s="202"/>
    </row>
    <row r="34957" spans="13:13">
      <c r="M34957" s="202"/>
    </row>
    <row r="34958" spans="13:13">
      <c r="M34958" s="202"/>
    </row>
    <row r="34959" spans="13:13">
      <c r="M34959" s="202"/>
    </row>
    <row r="34960" spans="13:13">
      <c r="M34960" s="202"/>
    </row>
    <row r="34961" spans="13:13">
      <c r="M34961" s="202"/>
    </row>
    <row r="34962" spans="13:13">
      <c r="M34962" s="202"/>
    </row>
    <row r="34963" spans="13:13">
      <c r="M34963" s="202"/>
    </row>
    <row r="34964" spans="13:13">
      <c r="M34964" s="202"/>
    </row>
    <row r="34965" spans="13:13">
      <c r="M34965" s="202"/>
    </row>
    <row r="34966" spans="13:13">
      <c r="M34966" s="202"/>
    </row>
    <row r="34967" spans="13:13">
      <c r="M34967" s="202"/>
    </row>
    <row r="34968" spans="13:13">
      <c r="M34968" s="202"/>
    </row>
    <row r="34969" spans="13:13">
      <c r="M34969" s="202"/>
    </row>
    <row r="34970" spans="13:13">
      <c r="M34970" s="202"/>
    </row>
    <row r="34971" spans="13:13">
      <c r="M34971" s="202"/>
    </row>
    <row r="34972" spans="13:13">
      <c r="M34972" s="202"/>
    </row>
    <row r="34973" spans="13:13">
      <c r="M34973" s="202"/>
    </row>
    <row r="34974" spans="13:13">
      <c r="M34974" s="202"/>
    </row>
    <row r="34975" spans="13:13">
      <c r="M34975" s="202"/>
    </row>
    <row r="34976" spans="13:13">
      <c r="M34976" s="202"/>
    </row>
    <row r="34977" spans="13:13">
      <c r="M34977" s="202"/>
    </row>
    <row r="34978" spans="13:13">
      <c r="M34978" s="202"/>
    </row>
    <row r="34979" spans="13:13">
      <c r="M34979" s="202"/>
    </row>
    <row r="34980" spans="13:13">
      <c r="M34980" s="202"/>
    </row>
    <row r="34981" spans="13:13">
      <c r="M34981" s="202"/>
    </row>
    <row r="34982" spans="13:13">
      <c r="M34982" s="202"/>
    </row>
    <row r="34983" spans="13:13">
      <c r="M34983" s="202"/>
    </row>
    <row r="34984" spans="13:13">
      <c r="M34984" s="202"/>
    </row>
    <row r="34985" spans="13:13">
      <c r="M34985" s="202"/>
    </row>
    <row r="34986" spans="13:13">
      <c r="M34986" s="202"/>
    </row>
    <row r="34987" spans="13:13">
      <c r="M34987" s="202"/>
    </row>
    <row r="34988" spans="13:13">
      <c r="M34988" s="202"/>
    </row>
    <row r="34989" spans="13:13">
      <c r="M34989" s="202"/>
    </row>
    <row r="34990" spans="13:13">
      <c r="M34990" s="202"/>
    </row>
    <row r="34991" spans="13:13">
      <c r="M34991" s="202"/>
    </row>
    <row r="34992" spans="13:13">
      <c r="M34992" s="202"/>
    </row>
    <row r="34993" spans="13:13">
      <c r="M34993" s="202"/>
    </row>
    <row r="34994" spans="13:13">
      <c r="M34994" s="202"/>
    </row>
    <row r="34995" spans="13:13">
      <c r="M34995" s="202"/>
    </row>
    <row r="34996" spans="13:13">
      <c r="M34996" s="202"/>
    </row>
    <row r="34997" spans="13:13">
      <c r="M34997" s="202"/>
    </row>
    <row r="34998" spans="13:13">
      <c r="M34998" s="202"/>
    </row>
    <row r="34999" spans="13:13">
      <c r="M34999" s="202"/>
    </row>
    <row r="35000" spans="13:13">
      <c r="M35000" s="202"/>
    </row>
    <row r="35001" spans="13:13">
      <c r="M35001" s="202"/>
    </row>
    <row r="35002" spans="13:13">
      <c r="M35002" s="202"/>
    </row>
    <row r="35003" spans="13:13">
      <c r="M35003" s="202"/>
    </row>
    <row r="35004" spans="13:13">
      <c r="M35004" s="202"/>
    </row>
    <row r="35005" spans="13:13">
      <c r="M35005" s="202"/>
    </row>
    <row r="35006" spans="13:13">
      <c r="M35006" s="202"/>
    </row>
    <row r="35007" spans="13:13">
      <c r="M35007" s="202"/>
    </row>
    <row r="35008" spans="13:13">
      <c r="M35008" s="202"/>
    </row>
    <row r="35009" spans="13:13">
      <c r="M35009" s="202"/>
    </row>
    <row r="35010" spans="13:13">
      <c r="M35010" s="202"/>
    </row>
    <row r="35011" spans="13:13">
      <c r="M35011" s="202"/>
    </row>
    <row r="35012" spans="13:13">
      <c r="M35012" s="202"/>
    </row>
    <row r="35013" spans="13:13">
      <c r="M35013" s="202"/>
    </row>
    <row r="35014" spans="13:13">
      <c r="M35014" s="202"/>
    </row>
    <row r="35015" spans="13:13">
      <c r="M35015" s="202"/>
    </row>
    <row r="35016" spans="13:13">
      <c r="M35016" s="202"/>
    </row>
    <row r="35017" spans="13:13">
      <c r="M35017" s="202"/>
    </row>
    <row r="35018" spans="13:13">
      <c r="M35018" s="202"/>
    </row>
    <row r="35019" spans="13:13">
      <c r="M35019" s="202"/>
    </row>
    <row r="35020" spans="13:13">
      <c r="M35020" s="202"/>
    </row>
    <row r="35021" spans="13:13">
      <c r="M35021" s="202"/>
    </row>
    <row r="35022" spans="13:13">
      <c r="M35022" s="202"/>
    </row>
    <row r="35023" spans="13:13">
      <c r="M35023" s="202"/>
    </row>
    <row r="35024" spans="13:13">
      <c r="M35024" s="202"/>
    </row>
    <row r="35025" spans="13:13">
      <c r="M35025" s="202"/>
    </row>
    <row r="35026" spans="13:13">
      <c r="M35026" s="202"/>
    </row>
    <row r="35027" spans="13:13">
      <c r="M35027" s="202"/>
    </row>
    <row r="35028" spans="13:13">
      <c r="M35028" s="202"/>
    </row>
    <row r="35029" spans="13:13">
      <c r="M35029" s="202"/>
    </row>
    <row r="35030" spans="13:13">
      <c r="M35030" s="202"/>
    </row>
    <row r="35031" spans="13:13">
      <c r="M35031" s="202"/>
    </row>
    <row r="35032" spans="13:13">
      <c r="M35032" s="202"/>
    </row>
    <row r="35033" spans="13:13">
      <c r="M35033" s="202"/>
    </row>
    <row r="35034" spans="13:13">
      <c r="M35034" s="202"/>
    </row>
    <row r="35035" spans="13:13">
      <c r="M35035" s="202"/>
    </row>
    <row r="35036" spans="13:13">
      <c r="M35036" s="202"/>
    </row>
    <row r="35037" spans="13:13">
      <c r="M35037" s="202"/>
    </row>
    <row r="35038" spans="13:13">
      <c r="M35038" s="202"/>
    </row>
    <row r="35039" spans="13:13">
      <c r="M35039" s="202"/>
    </row>
    <row r="35040" spans="13:13">
      <c r="M35040" s="202"/>
    </row>
    <row r="35041" spans="13:13">
      <c r="M35041" s="202"/>
    </row>
    <row r="35042" spans="13:13">
      <c r="M35042" s="202"/>
    </row>
    <row r="35043" spans="13:13">
      <c r="M35043" s="202"/>
    </row>
    <row r="35044" spans="13:13">
      <c r="M35044" s="202"/>
    </row>
    <row r="35045" spans="13:13">
      <c r="M35045" s="202"/>
    </row>
    <row r="35046" spans="13:13">
      <c r="M35046" s="202"/>
    </row>
    <row r="35047" spans="13:13">
      <c r="M35047" s="202"/>
    </row>
    <row r="35048" spans="13:13">
      <c r="M35048" s="202"/>
    </row>
    <row r="35049" spans="13:13">
      <c r="M35049" s="202"/>
    </row>
    <row r="35050" spans="13:13">
      <c r="M35050" s="202"/>
    </row>
    <row r="35051" spans="13:13">
      <c r="M35051" s="202"/>
    </row>
    <row r="35052" spans="13:13">
      <c r="M35052" s="202"/>
    </row>
    <row r="35053" spans="13:13">
      <c r="M35053" s="202"/>
    </row>
    <row r="35054" spans="13:13">
      <c r="M35054" s="202"/>
    </row>
    <row r="35055" spans="13:13">
      <c r="M35055" s="202"/>
    </row>
    <row r="35056" spans="13:13">
      <c r="M35056" s="202"/>
    </row>
    <row r="35057" spans="13:13">
      <c r="M35057" s="202"/>
    </row>
    <row r="35058" spans="13:13">
      <c r="M35058" s="202"/>
    </row>
    <row r="35059" spans="13:13">
      <c r="M35059" s="202"/>
    </row>
    <row r="35060" spans="13:13">
      <c r="M35060" s="202"/>
    </row>
    <row r="35061" spans="13:13">
      <c r="M35061" s="202"/>
    </row>
    <row r="35062" spans="13:13">
      <c r="M35062" s="202"/>
    </row>
    <row r="35063" spans="13:13">
      <c r="M35063" s="202"/>
    </row>
    <row r="35064" spans="13:13">
      <c r="M35064" s="202"/>
    </row>
    <row r="35065" spans="13:13">
      <c r="M35065" s="202"/>
    </row>
    <row r="35066" spans="13:13">
      <c r="M35066" s="202"/>
    </row>
    <row r="35067" spans="13:13">
      <c r="M35067" s="202"/>
    </row>
    <row r="35068" spans="13:13">
      <c r="M35068" s="202"/>
    </row>
    <row r="35069" spans="13:13">
      <c r="M35069" s="202"/>
    </row>
    <row r="35070" spans="13:13">
      <c r="M35070" s="202"/>
    </row>
    <row r="35071" spans="13:13">
      <c r="M35071" s="202"/>
    </row>
    <row r="35072" spans="13:13">
      <c r="M35072" s="202"/>
    </row>
    <row r="35073" spans="13:13">
      <c r="M35073" s="202"/>
    </row>
    <row r="35074" spans="13:13">
      <c r="M35074" s="202"/>
    </row>
    <row r="35075" spans="13:13">
      <c r="M35075" s="202"/>
    </row>
    <row r="35076" spans="13:13">
      <c r="M35076" s="202"/>
    </row>
    <row r="35077" spans="13:13">
      <c r="M35077" s="202"/>
    </row>
    <row r="35078" spans="13:13">
      <c r="M35078" s="202"/>
    </row>
    <row r="35079" spans="13:13">
      <c r="M35079" s="202"/>
    </row>
    <row r="35080" spans="13:13">
      <c r="M35080" s="202"/>
    </row>
    <row r="35081" spans="13:13">
      <c r="M35081" s="202"/>
    </row>
    <row r="35082" spans="13:13">
      <c r="M35082" s="202"/>
    </row>
    <row r="35083" spans="13:13">
      <c r="M35083" s="202"/>
    </row>
    <row r="35084" spans="13:13">
      <c r="M35084" s="202"/>
    </row>
    <row r="35085" spans="13:13">
      <c r="M35085" s="202"/>
    </row>
    <row r="35086" spans="13:13">
      <c r="M35086" s="202"/>
    </row>
    <row r="35087" spans="13:13">
      <c r="M35087" s="202"/>
    </row>
    <row r="35088" spans="13:13">
      <c r="M35088" s="202"/>
    </row>
    <row r="35089" spans="13:13">
      <c r="M35089" s="202"/>
    </row>
    <row r="35090" spans="13:13">
      <c r="M35090" s="202"/>
    </row>
    <row r="35091" spans="13:13">
      <c r="M35091" s="202"/>
    </row>
    <row r="35092" spans="13:13">
      <c r="M35092" s="202"/>
    </row>
    <row r="35093" spans="13:13">
      <c r="M35093" s="202"/>
    </row>
    <row r="35094" spans="13:13">
      <c r="M35094" s="202"/>
    </row>
    <row r="35095" spans="13:13">
      <c r="M35095" s="202"/>
    </row>
    <row r="35096" spans="13:13">
      <c r="M35096" s="202"/>
    </row>
    <row r="35097" spans="13:13">
      <c r="M35097" s="202"/>
    </row>
    <row r="35098" spans="13:13">
      <c r="M35098" s="202"/>
    </row>
    <row r="35099" spans="13:13">
      <c r="M35099" s="202"/>
    </row>
    <row r="35100" spans="13:13">
      <c r="M35100" s="202"/>
    </row>
    <row r="35101" spans="13:13">
      <c r="M35101" s="202"/>
    </row>
    <row r="35102" spans="13:13">
      <c r="M35102" s="202"/>
    </row>
    <row r="35103" spans="13:13">
      <c r="M35103" s="202"/>
    </row>
    <row r="35104" spans="13:13">
      <c r="M35104" s="202"/>
    </row>
    <row r="35105" spans="13:13">
      <c r="M35105" s="202"/>
    </row>
    <row r="35106" spans="13:13">
      <c r="M35106" s="202"/>
    </row>
    <row r="35107" spans="13:13">
      <c r="M35107" s="202"/>
    </row>
    <row r="35108" spans="13:13">
      <c r="M35108" s="202"/>
    </row>
    <row r="35109" spans="13:13">
      <c r="M35109" s="202"/>
    </row>
    <row r="35110" spans="13:13">
      <c r="M35110" s="202"/>
    </row>
    <row r="35111" spans="13:13">
      <c r="M35111" s="202"/>
    </row>
    <row r="35112" spans="13:13">
      <c r="M35112" s="202"/>
    </row>
    <row r="35113" spans="13:13">
      <c r="M35113" s="202"/>
    </row>
    <row r="35114" spans="13:13">
      <c r="M35114" s="202"/>
    </row>
    <row r="35115" spans="13:13">
      <c r="M35115" s="202"/>
    </row>
    <row r="35116" spans="13:13">
      <c r="M35116" s="202"/>
    </row>
    <row r="35117" spans="13:13">
      <c r="M35117" s="202"/>
    </row>
    <row r="35118" spans="13:13">
      <c r="M35118" s="202"/>
    </row>
    <row r="35119" spans="13:13">
      <c r="M35119" s="202"/>
    </row>
    <row r="35120" spans="13:13">
      <c r="M35120" s="202"/>
    </row>
    <row r="35121" spans="13:13">
      <c r="M35121" s="202"/>
    </row>
    <row r="35122" spans="13:13">
      <c r="M35122" s="202"/>
    </row>
    <row r="35123" spans="13:13">
      <c r="M35123" s="202"/>
    </row>
    <row r="35124" spans="13:13">
      <c r="M35124" s="202"/>
    </row>
    <row r="35125" spans="13:13">
      <c r="M35125" s="202"/>
    </row>
    <row r="35126" spans="13:13">
      <c r="M35126" s="202"/>
    </row>
    <row r="35127" spans="13:13">
      <c r="M35127" s="202"/>
    </row>
    <row r="35128" spans="13:13">
      <c r="M35128" s="202"/>
    </row>
    <row r="35129" spans="13:13">
      <c r="M35129" s="202"/>
    </row>
    <row r="35130" spans="13:13">
      <c r="M35130" s="202"/>
    </row>
    <row r="35131" spans="13:13">
      <c r="M35131" s="202"/>
    </row>
    <row r="35132" spans="13:13">
      <c r="M35132" s="202"/>
    </row>
    <row r="35133" spans="13:13">
      <c r="M35133" s="202"/>
    </row>
    <row r="35134" spans="13:13">
      <c r="M35134" s="202"/>
    </row>
    <row r="35135" spans="13:13">
      <c r="M35135" s="202"/>
    </row>
    <row r="35136" spans="13:13">
      <c r="M35136" s="202"/>
    </row>
    <row r="35137" spans="13:13">
      <c r="M35137" s="202"/>
    </row>
    <row r="35138" spans="13:13">
      <c r="M35138" s="202"/>
    </row>
    <row r="35139" spans="13:13">
      <c r="M35139" s="202"/>
    </row>
    <row r="35140" spans="13:13">
      <c r="M35140" s="202"/>
    </row>
    <row r="35141" spans="13:13">
      <c r="M35141" s="202"/>
    </row>
    <row r="35142" spans="13:13">
      <c r="M35142" s="202"/>
    </row>
    <row r="35143" spans="13:13">
      <c r="M35143" s="202"/>
    </row>
    <row r="35144" spans="13:13">
      <c r="M35144" s="202"/>
    </row>
    <row r="35145" spans="13:13">
      <c r="M35145" s="202"/>
    </row>
    <row r="35146" spans="13:13">
      <c r="M35146" s="202"/>
    </row>
    <row r="35147" spans="13:13">
      <c r="M35147" s="202"/>
    </row>
    <row r="35148" spans="13:13">
      <c r="M35148" s="202"/>
    </row>
    <row r="35149" spans="13:13">
      <c r="M35149" s="202"/>
    </row>
    <row r="35150" spans="13:13">
      <c r="M35150" s="202"/>
    </row>
    <row r="35151" spans="13:13">
      <c r="M35151" s="202"/>
    </row>
    <row r="35152" spans="13:13">
      <c r="M35152" s="202"/>
    </row>
    <row r="35153" spans="13:13">
      <c r="M35153" s="202"/>
    </row>
    <row r="35154" spans="13:13">
      <c r="M35154" s="202"/>
    </row>
    <row r="35155" spans="13:13">
      <c r="M35155" s="202"/>
    </row>
    <row r="35156" spans="13:13">
      <c r="M35156" s="202"/>
    </row>
    <row r="35157" spans="13:13">
      <c r="M35157" s="202"/>
    </row>
    <row r="35158" spans="13:13">
      <c r="M35158" s="202"/>
    </row>
    <row r="35159" spans="13:13">
      <c r="M35159" s="202"/>
    </row>
    <row r="35160" spans="13:13">
      <c r="M35160" s="202"/>
    </row>
    <row r="35161" spans="13:13">
      <c r="M35161" s="202"/>
    </row>
    <row r="35162" spans="13:13">
      <c r="M35162" s="202"/>
    </row>
    <row r="35163" spans="13:13">
      <c r="M35163" s="202"/>
    </row>
    <row r="35164" spans="13:13">
      <c r="M35164" s="202"/>
    </row>
    <row r="35165" spans="13:13">
      <c r="M35165" s="202"/>
    </row>
    <row r="35166" spans="13:13">
      <c r="M35166" s="202"/>
    </row>
    <row r="35167" spans="13:13">
      <c r="M35167" s="202"/>
    </row>
    <row r="35168" spans="13:13">
      <c r="M35168" s="202"/>
    </row>
    <row r="35169" spans="13:13">
      <c r="M35169" s="202"/>
    </row>
    <row r="35170" spans="13:13">
      <c r="M35170" s="202"/>
    </row>
    <row r="35171" spans="13:13">
      <c r="M35171" s="202"/>
    </row>
    <row r="35172" spans="13:13">
      <c r="M35172" s="202"/>
    </row>
    <row r="35173" spans="13:13">
      <c r="M35173" s="202"/>
    </row>
    <row r="35174" spans="13:13">
      <c r="M35174" s="202"/>
    </row>
    <row r="35175" spans="13:13">
      <c r="M35175" s="202"/>
    </row>
    <row r="35176" spans="13:13">
      <c r="M35176" s="202"/>
    </row>
    <row r="35177" spans="13:13">
      <c r="M35177" s="202"/>
    </row>
    <row r="35178" spans="13:13">
      <c r="M35178" s="202"/>
    </row>
    <row r="35179" spans="13:13">
      <c r="M35179" s="202"/>
    </row>
    <row r="35180" spans="13:13">
      <c r="M35180" s="202"/>
    </row>
    <row r="35181" spans="13:13">
      <c r="M35181" s="202"/>
    </row>
    <row r="35182" spans="13:13">
      <c r="M35182" s="202"/>
    </row>
    <row r="35183" spans="13:13">
      <c r="M35183" s="202"/>
    </row>
    <row r="35184" spans="13:13">
      <c r="M35184" s="202"/>
    </row>
    <row r="35185" spans="13:13">
      <c r="M35185" s="202"/>
    </row>
    <row r="35186" spans="13:13">
      <c r="M35186" s="202"/>
    </row>
    <row r="35187" spans="13:13">
      <c r="M35187" s="202"/>
    </row>
    <row r="35188" spans="13:13">
      <c r="M35188" s="202"/>
    </row>
    <row r="35189" spans="13:13">
      <c r="M35189" s="202"/>
    </row>
    <row r="35190" spans="13:13">
      <c r="M35190" s="202"/>
    </row>
    <row r="35191" spans="13:13">
      <c r="M35191" s="202"/>
    </row>
    <row r="35192" spans="13:13">
      <c r="M35192" s="202"/>
    </row>
    <row r="35193" spans="13:13">
      <c r="M35193" s="202"/>
    </row>
    <row r="35194" spans="13:13">
      <c r="M35194" s="202"/>
    </row>
    <row r="35195" spans="13:13">
      <c r="M35195" s="202"/>
    </row>
    <row r="35196" spans="13:13">
      <c r="M35196" s="202"/>
    </row>
    <row r="35197" spans="13:13">
      <c r="M35197" s="202"/>
    </row>
    <row r="35198" spans="13:13">
      <c r="M35198" s="202"/>
    </row>
    <row r="35199" spans="13:13">
      <c r="M35199" s="202"/>
    </row>
    <row r="35200" spans="13:13">
      <c r="M35200" s="202"/>
    </row>
    <row r="35201" spans="13:13">
      <c r="M35201" s="202"/>
    </row>
    <row r="35202" spans="13:13">
      <c r="M35202" s="202"/>
    </row>
    <row r="35203" spans="13:13">
      <c r="M35203" s="202"/>
    </row>
    <row r="35204" spans="13:13">
      <c r="M35204" s="202"/>
    </row>
    <row r="35205" spans="13:13">
      <c r="M35205" s="202"/>
    </row>
    <row r="35206" spans="13:13">
      <c r="M35206" s="202"/>
    </row>
    <row r="35207" spans="13:13">
      <c r="M35207" s="202"/>
    </row>
    <row r="35208" spans="13:13">
      <c r="M35208" s="202"/>
    </row>
    <row r="35209" spans="13:13">
      <c r="M35209" s="202"/>
    </row>
    <row r="35210" spans="13:13">
      <c r="M35210" s="202"/>
    </row>
    <row r="35211" spans="13:13">
      <c r="M35211" s="202"/>
    </row>
    <row r="35212" spans="13:13">
      <c r="M35212" s="202"/>
    </row>
    <row r="35213" spans="13:13">
      <c r="M35213" s="202"/>
    </row>
    <row r="35214" spans="13:13">
      <c r="M35214" s="202"/>
    </row>
    <row r="35215" spans="13:13">
      <c r="M35215" s="202"/>
    </row>
    <row r="35216" spans="13:13">
      <c r="M35216" s="202"/>
    </row>
    <row r="35217" spans="13:13">
      <c r="M35217" s="202"/>
    </row>
    <row r="35218" spans="13:13">
      <c r="M35218" s="202"/>
    </row>
    <row r="35219" spans="13:13">
      <c r="M35219" s="202"/>
    </row>
    <row r="35220" spans="13:13">
      <c r="M35220" s="202"/>
    </row>
    <row r="35221" spans="13:13">
      <c r="M35221" s="202"/>
    </row>
    <row r="35222" spans="13:13">
      <c r="M35222" s="202"/>
    </row>
    <row r="35223" spans="13:13">
      <c r="M35223" s="202"/>
    </row>
    <row r="35224" spans="13:13">
      <c r="M35224" s="202"/>
    </row>
    <row r="35225" spans="13:13">
      <c r="M35225" s="202"/>
    </row>
    <row r="35226" spans="13:13">
      <c r="M35226" s="202"/>
    </row>
    <row r="35227" spans="13:13">
      <c r="M35227" s="202"/>
    </row>
    <row r="35228" spans="13:13">
      <c r="M35228" s="202"/>
    </row>
    <row r="35229" spans="13:13">
      <c r="M35229" s="202"/>
    </row>
    <row r="35230" spans="13:13">
      <c r="M35230" s="202"/>
    </row>
    <row r="35231" spans="13:13">
      <c r="M35231" s="202"/>
    </row>
    <row r="35232" spans="13:13">
      <c r="M35232" s="202"/>
    </row>
    <row r="35233" spans="13:13">
      <c r="M35233" s="202"/>
    </row>
    <row r="35234" spans="13:13">
      <c r="M35234" s="202"/>
    </row>
    <row r="35235" spans="13:13">
      <c r="M35235" s="202"/>
    </row>
    <row r="35236" spans="13:13">
      <c r="M35236" s="202"/>
    </row>
    <row r="35237" spans="13:13">
      <c r="M35237" s="202"/>
    </row>
    <row r="35238" spans="13:13">
      <c r="M35238" s="202"/>
    </row>
    <row r="35239" spans="13:13">
      <c r="M35239" s="202"/>
    </row>
    <row r="35240" spans="13:13">
      <c r="M35240" s="202"/>
    </row>
    <row r="35241" spans="13:13">
      <c r="M35241" s="202"/>
    </row>
    <row r="35242" spans="13:13">
      <c r="M35242" s="202"/>
    </row>
    <row r="35243" spans="13:13">
      <c r="M35243" s="202"/>
    </row>
    <row r="35244" spans="13:13">
      <c r="M35244" s="202"/>
    </row>
    <row r="35245" spans="13:13">
      <c r="M35245" s="202"/>
    </row>
    <row r="35246" spans="13:13">
      <c r="M35246" s="202"/>
    </row>
    <row r="35247" spans="13:13">
      <c r="M35247" s="202"/>
    </row>
    <row r="35248" spans="13:13">
      <c r="M35248" s="202"/>
    </row>
    <row r="35249" spans="13:13">
      <c r="M35249" s="202"/>
    </row>
    <row r="35250" spans="13:13">
      <c r="M35250" s="202"/>
    </row>
    <row r="35251" spans="13:13">
      <c r="M35251" s="202"/>
    </row>
    <row r="35252" spans="13:13">
      <c r="M35252" s="202"/>
    </row>
    <row r="35253" spans="13:13">
      <c r="M35253" s="202"/>
    </row>
    <row r="35254" spans="13:13">
      <c r="M35254" s="202"/>
    </row>
    <row r="35255" spans="13:13">
      <c r="M35255" s="202"/>
    </row>
    <row r="35256" spans="13:13">
      <c r="M35256" s="202"/>
    </row>
    <row r="35257" spans="13:13">
      <c r="M35257" s="202"/>
    </row>
    <row r="35258" spans="13:13">
      <c r="M35258" s="202"/>
    </row>
    <row r="35259" spans="13:13">
      <c r="M35259" s="202"/>
    </row>
    <row r="35260" spans="13:13">
      <c r="M35260" s="202"/>
    </row>
    <row r="35261" spans="13:13">
      <c r="M35261" s="202"/>
    </row>
    <row r="35262" spans="13:13">
      <c r="M35262" s="202"/>
    </row>
    <row r="35263" spans="13:13">
      <c r="M35263" s="202"/>
    </row>
    <row r="35264" spans="13:13">
      <c r="M35264" s="202"/>
    </row>
    <row r="35265" spans="13:13">
      <c r="M35265" s="202"/>
    </row>
    <row r="35266" spans="13:13">
      <c r="M35266" s="202"/>
    </row>
    <row r="35267" spans="13:13">
      <c r="M35267" s="202"/>
    </row>
    <row r="35268" spans="13:13">
      <c r="M35268" s="202"/>
    </row>
    <row r="35269" spans="13:13">
      <c r="M35269" s="202"/>
    </row>
    <row r="35270" spans="13:13">
      <c r="M35270" s="202"/>
    </row>
    <row r="35271" spans="13:13">
      <c r="M35271" s="202"/>
    </row>
    <row r="35272" spans="13:13">
      <c r="M35272" s="202"/>
    </row>
    <row r="35273" spans="13:13">
      <c r="M35273" s="202"/>
    </row>
    <row r="35274" spans="13:13">
      <c r="M35274" s="202"/>
    </row>
    <row r="35275" spans="13:13">
      <c r="M35275" s="202"/>
    </row>
    <row r="35276" spans="13:13">
      <c r="M35276" s="202"/>
    </row>
    <row r="35277" spans="13:13">
      <c r="M35277" s="202"/>
    </row>
    <row r="35278" spans="13:13">
      <c r="M35278" s="202"/>
    </row>
    <row r="35279" spans="13:13">
      <c r="M35279" s="202"/>
    </row>
    <row r="35280" spans="13:13">
      <c r="M35280" s="202"/>
    </row>
    <row r="35281" spans="13:13">
      <c r="M35281" s="202"/>
    </row>
    <row r="35282" spans="13:13">
      <c r="M35282" s="202"/>
    </row>
    <row r="35283" spans="13:13">
      <c r="M35283" s="202"/>
    </row>
    <row r="35284" spans="13:13">
      <c r="M35284" s="202"/>
    </row>
    <row r="35285" spans="13:13">
      <c r="M35285" s="202"/>
    </row>
    <row r="35286" spans="13:13">
      <c r="M35286" s="202"/>
    </row>
    <row r="35287" spans="13:13">
      <c r="M35287" s="202"/>
    </row>
    <row r="35288" spans="13:13">
      <c r="M35288" s="202"/>
    </row>
    <row r="35289" spans="13:13">
      <c r="M35289" s="202"/>
    </row>
    <row r="35290" spans="13:13">
      <c r="M35290" s="202"/>
    </row>
    <row r="35291" spans="13:13">
      <c r="M35291" s="202"/>
    </row>
    <row r="35292" spans="13:13">
      <c r="M35292" s="202"/>
    </row>
    <row r="35293" spans="13:13">
      <c r="M35293" s="202"/>
    </row>
    <row r="35294" spans="13:13">
      <c r="M35294" s="202"/>
    </row>
    <row r="35295" spans="13:13">
      <c r="M35295" s="202"/>
    </row>
    <row r="35296" spans="13:13">
      <c r="M35296" s="202"/>
    </row>
    <row r="35297" spans="13:13">
      <c r="M35297" s="202"/>
    </row>
    <row r="35298" spans="13:13">
      <c r="M35298" s="202"/>
    </row>
    <row r="35299" spans="13:13">
      <c r="M35299" s="202"/>
    </row>
    <row r="35300" spans="13:13">
      <c r="M35300" s="202"/>
    </row>
    <row r="35301" spans="13:13">
      <c r="M35301" s="202"/>
    </row>
    <row r="35302" spans="13:13">
      <c r="M35302" s="202"/>
    </row>
    <row r="35303" spans="13:13">
      <c r="M35303" s="202"/>
    </row>
    <row r="35304" spans="13:13">
      <c r="M35304" s="202"/>
    </row>
    <row r="35305" spans="13:13">
      <c r="M35305" s="202"/>
    </row>
    <row r="35306" spans="13:13">
      <c r="M35306" s="202"/>
    </row>
    <row r="35307" spans="13:13">
      <c r="M35307" s="202"/>
    </row>
    <row r="35308" spans="13:13">
      <c r="M35308" s="202"/>
    </row>
    <row r="35309" spans="13:13">
      <c r="M35309" s="202"/>
    </row>
    <row r="35310" spans="13:13">
      <c r="M35310" s="202"/>
    </row>
    <row r="35311" spans="13:13">
      <c r="M35311" s="202"/>
    </row>
    <row r="35312" spans="13:13">
      <c r="M35312" s="202"/>
    </row>
    <row r="35313" spans="13:13">
      <c r="M35313" s="202"/>
    </row>
    <row r="35314" spans="13:13">
      <c r="M35314" s="202"/>
    </row>
    <row r="35315" spans="13:13">
      <c r="M35315" s="202"/>
    </row>
    <row r="35316" spans="13:13">
      <c r="M35316" s="202"/>
    </row>
    <row r="35317" spans="13:13">
      <c r="M35317" s="202"/>
    </row>
    <row r="35318" spans="13:13">
      <c r="M35318" s="202"/>
    </row>
    <row r="35319" spans="13:13">
      <c r="M35319" s="202"/>
    </row>
    <row r="35320" spans="13:13">
      <c r="M35320" s="202"/>
    </row>
    <row r="35321" spans="13:13">
      <c r="M35321" s="202"/>
    </row>
    <row r="35322" spans="13:13">
      <c r="M35322" s="202"/>
    </row>
    <row r="35323" spans="13:13">
      <c r="M35323" s="202"/>
    </row>
    <row r="35324" spans="13:13">
      <c r="M35324" s="202"/>
    </row>
    <row r="35325" spans="13:13">
      <c r="M35325" s="202"/>
    </row>
    <row r="35326" spans="13:13">
      <c r="M35326" s="202"/>
    </row>
    <row r="35327" spans="13:13">
      <c r="M35327" s="202"/>
    </row>
    <row r="35328" spans="13:13">
      <c r="M35328" s="202"/>
    </row>
    <row r="35329" spans="13:13">
      <c r="M35329" s="202"/>
    </row>
    <row r="35330" spans="13:13">
      <c r="M35330" s="202"/>
    </row>
    <row r="35331" spans="13:13">
      <c r="M35331" s="202"/>
    </row>
    <row r="35332" spans="13:13">
      <c r="M35332" s="202"/>
    </row>
    <row r="35333" spans="13:13">
      <c r="M35333" s="202"/>
    </row>
    <row r="35334" spans="13:13">
      <c r="M35334" s="202"/>
    </row>
    <row r="35335" spans="13:13">
      <c r="M35335" s="202"/>
    </row>
    <row r="35336" spans="13:13">
      <c r="M35336" s="202"/>
    </row>
    <row r="35337" spans="13:13">
      <c r="M35337" s="202"/>
    </row>
    <row r="35338" spans="13:13">
      <c r="M35338" s="202"/>
    </row>
    <row r="35339" spans="13:13">
      <c r="M35339" s="202"/>
    </row>
    <row r="35340" spans="13:13">
      <c r="M35340" s="202"/>
    </row>
    <row r="35341" spans="13:13">
      <c r="M35341" s="202"/>
    </row>
    <row r="35342" spans="13:13">
      <c r="M35342" s="202"/>
    </row>
    <row r="35343" spans="13:13">
      <c r="M35343" s="202"/>
    </row>
    <row r="35344" spans="13:13">
      <c r="M35344" s="202"/>
    </row>
    <row r="35345" spans="13:13">
      <c r="M35345" s="202"/>
    </row>
    <row r="35346" spans="13:13">
      <c r="M35346" s="202"/>
    </row>
    <row r="35347" spans="13:13">
      <c r="M35347" s="202"/>
    </row>
    <row r="35348" spans="13:13">
      <c r="M35348" s="202"/>
    </row>
    <row r="35349" spans="13:13">
      <c r="M35349" s="202"/>
    </row>
    <row r="35350" spans="13:13">
      <c r="M35350" s="202"/>
    </row>
    <row r="35351" spans="13:13">
      <c r="M35351" s="202"/>
    </row>
    <row r="35352" spans="13:13">
      <c r="M35352" s="202"/>
    </row>
    <row r="35353" spans="13:13">
      <c r="M35353" s="202"/>
    </row>
    <row r="35354" spans="13:13">
      <c r="M35354" s="202"/>
    </row>
    <row r="35355" spans="13:13">
      <c r="M35355" s="202"/>
    </row>
    <row r="35356" spans="13:13">
      <c r="M35356" s="202"/>
    </row>
    <row r="35357" spans="13:13">
      <c r="M35357" s="202"/>
    </row>
    <row r="35358" spans="13:13">
      <c r="M35358" s="202"/>
    </row>
    <row r="35359" spans="13:13">
      <c r="M35359" s="202"/>
    </row>
    <row r="35360" spans="13:13">
      <c r="M35360" s="202"/>
    </row>
    <row r="35361" spans="13:13">
      <c r="M35361" s="202"/>
    </row>
    <row r="35362" spans="13:13">
      <c r="M35362" s="202"/>
    </row>
    <row r="35363" spans="13:13">
      <c r="M35363" s="202"/>
    </row>
    <row r="35364" spans="13:13">
      <c r="M35364" s="202"/>
    </row>
    <row r="35365" spans="13:13">
      <c r="M35365" s="202"/>
    </row>
    <row r="35366" spans="13:13">
      <c r="M35366" s="202"/>
    </row>
    <row r="35367" spans="13:13">
      <c r="M35367" s="202"/>
    </row>
    <row r="35368" spans="13:13">
      <c r="M35368" s="202"/>
    </row>
    <row r="35369" spans="13:13">
      <c r="M35369" s="202"/>
    </row>
    <row r="35370" spans="13:13">
      <c r="M35370" s="202"/>
    </row>
    <row r="35371" spans="13:13">
      <c r="M35371" s="202"/>
    </row>
    <row r="35372" spans="13:13">
      <c r="M35372" s="202"/>
    </row>
    <row r="35373" spans="13:13">
      <c r="M35373" s="202"/>
    </row>
    <row r="35374" spans="13:13">
      <c r="M35374" s="202"/>
    </row>
    <row r="35375" spans="13:13">
      <c r="M35375" s="202"/>
    </row>
    <row r="35376" spans="13:13">
      <c r="M35376" s="202"/>
    </row>
    <row r="35377" spans="13:13">
      <c r="M35377" s="202"/>
    </row>
    <row r="35378" spans="13:13">
      <c r="M35378" s="202"/>
    </row>
    <row r="35379" spans="13:13">
      <c r="M35379" s="202"/>
    </row>
    <row r="35380" spans="13:13">
      <c r="M35380" s="202"/>
    </row>
    <row r="35381" spans="13:13">
      <c r="M35381" s="202"/>
    </row>
    <row r="35382" spans="13:13">
      <c r="M35382" s="202"/>
    </row>
    <row r="35383" spans="13:13">
      <c r="M35383" s="202"/>
    </row>
    <row r="35384" spans="13:13">
      <c r="M35384" s="202"/>
    </row>
    <row r="35385" spans="13:13">
      <c r="M35385" s="202"/>
    </row>
    <row r="35386" spans="13:13">
      <c r="M35386" s="202"/>
    </row>
    <row r="35387" spans="13:13">
      <c r="M35387" s="202"/>
    </row>
    <row r="35388" spans="13:13">
      <c r="M35388" s="202"/>
    </row>
    <row r="35389" spans="13:13">
      <c r="M35389" s="202"/>
    </row>
    <row r="35390" spans="13:13">
      <c r="M35390" s="202"/>
    </row>
    <row r="35391" spans="13:13">
      <c r="M35391" s="202"/>
    </row>
    <row r="35392" spans="13:13">
      <c r="M35392" s="202"/>
    </row>
    <row r="35393" spans="13:13">
      <c r="M35393" s="202"/>
    </row>
    <row r="35394" spans="13:13">
      <c r="M35394" s="202"/>
    </row>
    <row r="35395" spans="13:13">
      <c r="M35395" s="202"/>
    </row>
    <row r="35396" spans="13:13">
      <c r="M35396" s="202"/>
    </row>
    <row r="35397" spans="13:13">
      <c r="M35397" s="202"/>
    </row>
    <row r="35398" spans="13:13">
      <c r="M35398" s="202"/>
    </row>
    <row r="35399" spans="13:13">
      <c r="M35399" s="202"/>
    </row>
    <row r="35400" spans="13:13">
      <c r="M35400" s="202"/>
    </row>
    <row r="35401" spans="13:13">
      <c r="M35401" s="202"/>
    </row>
    <row r="35402" spans="13:13">
      <c r="M35402" s="202"/>
    </row>
    <row r="35403" spans="13:13">
      <c r="M35403" s="202"/>
    </row>
    <row r="35404" spans="13:13">
      <c r="M35404" s="202"/>
    </row>
    <row r="35405" spans="13:13">
      <c r="M35405" s="202"/>
    </row>
    <row r="35406" spans="13:13">
      <c r="M35406" s="202"/>
    </row>
    <row r="35407" spans="13:13">
      <c r="M35407" s="202"/>
    </row>
    <row r="35408" spans="13:13">
      <c r="M35408" s="202"/>
    </row>
    <row r="35409" spans="13:13">
      <c r="M35409" s="202"/>
    </row>
    <row r="35410" spans="13:13">
      <c r="M35410" s="202"/>
    </row>
    <row r="35411" spans="13:13">
      <c r="M35411" s="202"/>
    </row>
    <row r="35412" spans="13:13">
      <c r="M35412" s="202"/>
    </row>
    <row r="35413" spans="13:13">
      <c r="M35413" s="202"/>
    </row>
    <row r="35414" spans="13:13">
      <c r="M35414" s="202"/>
    </row>
    <row r="35415" spans="13:13">
      <c r="M35415" s="202"/>
    </row>
    <row r="35416" spans="13:13">
      <c r="M35416" s="202"/>
    </row>
    <row r="35417" spans="13:13">
      <c r="M35417" s="202"/>
    </row>
    <row r="35418" spans="13:13">
      <c r="M35418" s="202"/>
    </row>
    <row r="35419" spans="13:13">
      <c r="M35419" s="202"/>
    </row>
    <row r="35420" spans="13:13">
      <c r="M35420" s="202"/>
    </row>
    <row r="35421" spans="13:13">
      <c r="M35421" s="202"/>
    </row>
    <row r="35422" spans="13:13">
      <c r="M35422" s="202"/>
    </row>
    <row r="35423" spans="13:13">
      <c r="M35423" s="202"/>
    </row>
    <row r="35424" spans="13:13">
      <c r="M35424" s="202"/>
    </row>
    <row r="35425" spans="13:13">
      <c r="M35425" s="202"/>
    </row>
    <row r="35426" spans="13:13">
      <c r="M35426" s="202"/>
    </row>
    <row r="35427" spans="13:13">
      <c r="M35427" s="202"/>
    </row>
    <row r="35428" spans="13:13">
      <c r="M35428" s="202"/>
    </row>
    <row r="35429" spans="13:13">
      <c r="M35429" s="202"/>
    </row>
    <row r="35430" spans="13:13">
      <c r="M35430" s="202"/>
    </row>
    <row r="35431" spans="13:13">
      <c r="M35431" s="202"/>
    </row>
    <row r="35432" spans="13:13">
      <c r="M35432" s="202"/>
    </row>
    <row r="35433" spans="13:13">
      <c r="M35433" s="202"/>
    </row>
    <row r="35434" spans="13:13">
      <c r="M35434" s="202"/>
    </row>
    <row r="35435" spans="13:13">
      <c r="M35435" s="202"/>
    </row>
    <row r="35436" spans="13:13">
      <c r="M35436" s="202"/>
    </row>
    <row r="35437" spans="13:13">
      <c r="M35437" s="202"/>
    </row>
    <row r="35438" spans="13:13">
      <c r="M35438" s="202"/>
    </row>
    <row r="35439" spans="13:13">
      <c r="M35439" s="202"/>
    </row>
    <row r="35440" spans="13:13">
      <c r="M35440" s="202"/>
    </row>
    <row r="35441" spans="13:13">
      <c r="M35441" s="202"/>
    </row>
    <row r="35442" spans="13:13">
      <c r="M35442" s="202"/>
    </row>
    <row r="35443" spans="13:13">
      <c r="M35443" s="202"/>
    </row>
    <row r="35444" spans="13:13">
      <c r="M35444" s="202"/>
    </row>
    <row r="35445" spans="13:13">
      <c r="M35445" s="202"/>
    </row>
    <row r="35446" spans="13:13">
      <c r="M35446" s="202"/>
    </row>
    <row r="35447" spans="13:13">
      <c r="M35447" s="202"/>
    </row>
    <row r="35448" spans="13:13">
      <c r="M35448" s="202"/>
    </row>
    <row r="35449" spans="13:13">
      <c r="M35449" s="202"/>
    </row>
    <row r="35450" spans="13:13">
      <c r="M35450" s="202"/>
    </row>
    <row r="35451" spans="13:13">
      <c r="M35451" s="202"/>
    </row>
    <row r="35452" spans="13:13">
      <c r="M35452" s="202"/>
    </row>
    <row r="35453" spans="13:13">
      <c r="M35453" s="202"/>
    </row>
    <row r="35454" spans="13:13">
      <c r="M35454" s="202"/>
    </row>
    <row r="35455" spans="13:13">
      <c r="M35455" s="202"/>
    </row>
    <row r="35456" spans="13:13">
      <c r="M35456" s="202"/>
    </row>
    <row r="35457" spans="13:13">
      <c r="M35457" s="202"/>
    </row>
    <row r="35458" spans="13:13">
      <c r="M35458" s="202"/>
    </row>
    <row r="35459" spans="13:13">
      <c r="M35459" s="202"/>
    </row>
    <row r="35460" spans="13:13">
      <c r="M35460" s="202"/>
    </row>
    <row r="35461" spans="13:13">
      <c r="M35461" s="202"/>
    </row>
    <row r="35462" spans="13:13">
      <c r="M35462" s="202"/>
    </row>
    <row r="35463" spans="13:13">
      <c r="M35463" s="202"/>
    </row>
    <row r="35464" spans="13:13">
      <c r="M35464" s="202"/>
    </row>
    <row r="35465" spans="13:13">
      <c r="M35465" s="202"/>
    </row>
    <row r="35466" spans="13:13">
      <c r="M35466" s="202"/>
    </row>
    <row r="35467" spans="13:13">
      <c r="M35467" s="202"/>
    </row>
    <row r="35468" spans="13:13">
      <c r="M35468" s="202"/>
    </row>
    <row r="35469" spans="13:13">
      <c r="M35469" s="202"/>
    </row>
    <row r="35470" spans="13:13">
      <c r="M35470" s="202"/>
    </row>
    <row r="35471" spans="13:13">
      <c r="M35471" s="202"/>
    </row>
    <row r="35472" spans="13:13">
      <c r="M35472" s="202"/>
    </row>
    <row r="35473" spans="13:13">
      <c r="M35473" s="202"/>
    </row>
    <row r="35474" spans="13:13">
      <c r="M35474" s="202"/>
    </row>
    <row r="35475" spans="13:13">
      <c r="M35475" s="202"/>
    </row>
    <row r="35476" spans="13:13">
      <c r="M35476" s="202"/>
    </row>
    <row r="35477" spans="13:13">
      <c r="M35477" s="202"/>
    </row>
    <row r="35478" spans="13:13">
      <c r="M35478" s="202"/>
    </row>
    <row r="35479" spans="13:13">
      <c r="M35479" s="202"/>
    </row>
    <row r="35480" spans="13:13">
      <c r="M35480" s="202"/>
    </row>
    <row r="35481" spans="13:13">
      <c r="M35481" s="202"/>
    </row>
    <row r="35482" spans="13:13">
      <c r="M35482" s="202"/>
    </row>
    <row r="35483" spans="13:13">
      <c r="M35483" s="202"/>
    </row>
    <row r="35484" spans="13:13">
      <c r="M35484" s="202"/>
    </row>
    <row r="35485" spans="13:13">
      <c r="M35485" s="202"/>
    </row>
    <row r="35486" spans="13:13">
      <c r="M35486" s="202"/>
    </row>
    <row r="35487" spans="13:13">
      <c r="M35487" s="202"/>
    </row>
    <row r="35488" spans="13:13">
      <c r="M35488" s="202"/>
    </row>
    <row r="35489" spans="13:13">
      <c r="M35489" s="202"/>
    </row>
    <row r="35490" spans="13:13">
      <c r="M35490" s="202"/>
    </row>
    <row r="35491" spans="13:13">
      <c r="M35491" s="202"/>
    </row>
    <row r="35492" spans="13:13">
      <c r="M35492" s="202"/>
    </row>
    <row r="35493" spans="13:13">
      <c r="M35493" s="202"/>
    </row>
    <row r="35494" spans="13:13">
      <c r="M35494" s="202"/>
    </row>
    <row r="35495" spans="13:13">
      <c r="M35495" s="202"/>
    </row>
    <row r="35496" spans="13:13">
      <c r="M35496" s="202"/>
    </row>
    <row r="35497" spans="13:13">
      <c r="M35497" s="202"/>
    </row>
    <row r="35498" spans="13:13">
      <c r="M35498" s="202"/>
    </row>
    <row r="35499" spans="13:13">
      <c r="M35499" s="202"/>
    </row>
    <row r="35500" spans="13:13">
      <c r="M35500" s="202"/>
    </row>
    <row r="35501" spans="13:13">
      <c r="M35501" s="202"/>
    </row>
    <row r="35502" spans="13:13">
      <c r="M35502" s="202"/>
    </row>
    <row r="35503" spans="13:13">
      <c r="M35503" s="202"/>
    </row>
    <row r="35504" spans="13:13">
      <c r="M35504" s="202"/>
    </row>
    <row r="35505" spans="13:13">
      <c r="M35505" s="202"/>
    </row>
    <row r="35506" spans="13:13">
      <c r="M35506" s="202"/>
    </row>
    <row r="35507" spans="13:13">
      <c r="M35507" s="202"/>
    </row>
    <row r="35508" spans="13:13">
      <c r="M35508" s="202"/>
    </row>
    <row r="35509" spans="13:13">
      <c r="M35509" s="202"/>
    </row>
    <row r="35510" spans="13:13">
      <c r="M35510" s="202"/>
    </row>
    <row r="35511" spans="13:13">
      <c r="M35511" s="202"/>
    </row>
    <row r="35512" spans="13:13">
      <c r="M35512" s="202"/>
    </row>
    <row r="35513" spans="13:13">
      <c r="M35513" s="202"/>
    </row>
    <row r="35514" spans="13:13">
      <c r="M35514" s="202"/>
    </row>
    <row r="35515" spans="13:13">
      <c r="M35515" s="202"/>
    </row>
    <row r="35516" spans="13:13">
      <c r="M35516" s="202"/>
    </row>
    <row r="35517" spans="13:13">
      <c r="M35517" s="202"/>
    </row>
    <row r="35518" spans="13:13">
      <c r="M35518" s="202"/>
    </row>
    <row r="35519" spans="13:13">
      <c r="M35519" s="202"/>
    </row>
    <row r="35520" spans="13:13">
      <c r="M35520" s="202"/>
    </row>
    <row r="35521" spans="13:13">
      <c r="M35521" s="202"/>
    </row>
    <row r="35522" spans="13:13">
      <c r="M35522" s="202"/>
    </row>
    <row r="35523" spans="13:13">
      <c r="M35523" s="202"/>
    </row>
    <row r="35524" spans="13:13">
      <c r="M35524" s="202"/>
    </row>
    <row r="35525" spans="13:13">
      <c r="M35525" s="202"/>
    </row>
    <row r="35526" spans="13:13">
      <c r="M35526" s="202"/>
    </row>
    <row r="35527" spans="13:13">
      <c r="M35527" s="202"/>
    </row>
    <row r="35528" spans="13:13">
      <c r="M35528" s="202"/>
    </row>
    <row r="35529" spans="13:13">
      <c r="M35529" s="202"/>
    </row>
    <row r="35530" spans="13:13">
      <c r="M35530" s="202"/>
    </row>
    <row r="35531" spans="13:13">
      <c r="M35531" s="202"/>
    </row>
    <row r="35532" spans="13:13">
      <c r="M35532" s="202"/>
    </row>
    <row r="35533" spans="13:13">
      <c r="M35533" s="202"/>
    </row>
    <row r="35534" spans="13:13">
      <c r="M35534" s="202"/>
    </row>
    <row r="35535" spans="13:13">
      <c r="M35535" s="202"/>
    </row>
    <row r="35536" spans="13:13">
      <c r="M35536" s="202"/>
    </row>
    <row r="35537" spans="13:13">
      <c r="M35537" s="202"/>
    </row>
    <row r="35538" spans="13:13">
      <c r="M35538" s="202"/>
    </row>
    <row r="35539" spans="13:13">
      <c r="M35539" s="202"/>
    </row>
    <row r="35540" spans="13:13">
      <c r="M35540" s="202"/>
    </row>
    <row r="35541" spans="13:13">
      <c r="M35541" s="202"/>
    </row>
    <row r="35542" spans="13:13">
      <c r="M35542" s="202"/>
    </row>
    <row r="35543" spans="13:13">
      <c r="M35543" s="202"/>
    </row>
    <row r="35544" spans="13:13">
      <c r="M35544" s="202"/>
    </row>
    <row r="35545" spans="13:13">
      <c r="M35545" s="202"/>
    </row>
    <row r="35546" spans="13:13">
      <c r="M35546" s="202"/>
    </row>
    <row r="35547" spans="13:13">
      <c r="M35547" s="202"/>
    </row>
    <row r="35548" spans="13:13">
      <c r="M35548" s="202"/>
    </row>
    <row r="35549" spans="13:13">
      <c r="M35549" s="202"/>
    </row>
    <row r="35550" spans="13:13">
      <c r="M35550" s="202"/>
    </row>
    <row r="35551" spans="13:13">
      <c r="M35551" s="202"/>
    </row>
    <row r="35552" spans="13:13">
      <c r="M35552" s="202"/>
    </row>
    <row r="35553" spans="13:13">
      <c r="M35553" s="202"/>
    </row>
    <row r="35554" spans="13:13">
      <c r="M35554" s="202"/>
    </row>
    <row r="35555" spans="13:13">
      <c r="M35555" s="202"/>
    </row>
    <row r="35556" spans="13:13">
      <c r="M35556" s="202"/>
    </row>
    <row r="35557" spans="13:13">
      <c r="M35557" s="202"/>
    </row>
    <row r="35558" spans="13:13">
      <c r="M35558" s="202"/>
    </row>
    <row r="35559" spans="13:13">
      <c r="M35559" s="202"/>
    </row>
    <row r="35560" spans="13:13">
      <c r="M35560" s="202"/>
    </row>
    <row r="35561" spans="13:13">
      <c r="M35561" s="202"/>
    </row>
    <row r="35562" spans="13:13">
      <c r="M35562" s="202"/>
    </row>
    <row r="35563" spans="13:13">
      <c r="M35563" s="202"/>
    </row>
    <row r="35564" spans="13:13">
      <c r="M35564" s="202"/>
    </row>
    <row r="35565" spans="13:13">
      <c r="M35565" s="202"/>
    </row>
    <row r="35566" spans="13:13">
      <c r="M35566" s="202"/>
    </row>
    <row r="35567" spans="13:13">
      <c r="M35567" s="202"/>
    </row>
    <row r="35568" spans="13:13">
      <c r="M35568" s="202"/>
    </row>
    <row r="35569" spans="13:13">
      <c r="M35569" s="202"/>
    </row>
    <row r="35570" spans="13:13">
      <c r="M35570" s="202"/>
    </row>
    <row r="35571" spans="13:13">
      <c r="M35571" s="202"/>
    </row>
    <row r="35572" spans="13:13">
      <c r="M35572" s="202"/>
    </row>
    <row r="35573" spans="13:13">
      <c r="M35573" s="202"/>
    </row>
    <row r="35574" spans="13:13">
      <c r="M35574" s="202"/>
    </row>
    <row r="35575" spans="13:13">
      <c r="M35575" s="202"/>
    </row>
    <row r="35576" spans="13:13">
      <c r="M35576" s="202"/>
    </row>
    <row r="35577" spans="13:13">
      <c r="M35577" s="202"/>
    </row>
    <row r="35578" spans="13:13">
      <c r="M35578" s="202"/>
    </row>
    <row r="35579" spans="13:13">
      <c r="M35579" s="202"/>
    </row>
    <row r="35580" spans="13:13">
      <c r="M35580" s="202"/>
    </row>
    <row r="35581" spans="13:13">
      <c r="M35581" s="202"/>
    </row>
    <row r="35582" spans="13:13">
      <c r="M35582" s="202"/>
    </row>
    <row r="35583" spans="13:13">
      <c r="M35583" s="202"/>
    </row>
    <row r="35584" spans="13:13">
      <c r="M35584" s="202"/>
    </row>
    <row r="35585" spans="13:13">
      <c r="M35585" s="202"/>
    </row>
    <row r="35586" spans="13:13">
      <c r="M35586" s="202"/>
    </row>
    <row r="35587" spans="13:13">
      <c r="M35587" s="202"/>
    </row>
    <row r="35588" spans="13:13">
      <c r="M35588" s="202"/>
    </row>
    <row r="35589" spans="13:13">
      <c r="M35589" s="202"/>
    </row>
    <row r="35590" spans="13:13">
      <c r="M35590" s="202"/>
    </row>
    <row r="35591" spans="13:13">
      <c r="M35591" s="202"/>
    </row>
    <row r="35592" spans="13:13">
      <c r="M35592" s="202"/>
    </row>
    <row r="35593" spans="13:13">
      <c r="M35593" s="202"/>
    </row>
    <row r="35594" spans="13:13">
      <c r="M35594" s="202"/>
    </row>
    <row r="35595" spans="13:13">
      <c r="M35595" s="202"/>
    </row>
    <row r="35596" spans="13:13">
      <c r="M35596" s="202"/>
    </row>
    <row r="35597" spans="13:13">
      <c r="M35597" s="202"/>
    </row>
    <row r="35598" spans="13:13">
      <c r="M35598" s="202"/>
    </row>
    <row r="35599" spans="13:13">
      <c r="M35599" s="202"/>
    </row>
    <row r="35600" spans="13:13">
      <c r="M35600" s="202"/>
    </row>
    <row r="35601" spans="13:13">
      <c r="M35601" s="202"/>
    </row>
    <row r="35602" spans="13:13">
      <c r="M35602" s="202"/>
    </row>
    <row r="35603" spans="13:13">
      <c r="M35603" s="202"/>
    </row>
    <row r="35604" spans="13:13">
      <c r="M35604" s="202"/>
    </row>
    <row r="35605" spans="13:13">
      <c r="M35605" s="202"/>
    </row>
    <row r="35606" spans="13:13">
      <c r="M35606" s="202"/>
    </row>
    <row r="35607" spans="13:13">
      <c r="M35607" s="202"/>
    </row>
    <row r="35608" spans="13:13">
      <c r="M35608" s="202"/>
    </row>
    <row r="35609" spans="13:13">
      <c r="M35609" s="202"/>
    </row>
    <row r="35610" spans="13:13">
      <c r="M35610" s="202"/>
    </row>
    <row r="35611" spans="13:13">
      <c r="M35611" s="202"/>
    </row>
    <row r="35612" spans="13:13">
      <c r="M35612" s="202"/>
    </row>
    <row r="35613" spans="13:13">
      <c r="M35613" s="202"/>
    </row>
    <row r="35614" spans="13:13">
      <c r="M35614" s="202"/>
    </row>
    <row r="35615" spans="13:13">
      <c r="M35615" s="202"/>
    </row>
    <row r="35616" spans="13:13">
      <c r="M35616" s="202"/>
    </row>
    <row r="35617" spans="13:13">
      <c r="M35617" s="202"/>
    </row>
    <row r="35618" spans="13:13">
      <c r="M35618" s="202"/>
    </row>
    <row r="35619" spans="13:13">
      <c r="M35619" s="202"/>
    </row>
    <row r="35620" spans="13:13">
      <c r="M35620" s="202"/>
    </row>
    <row r="35621" spans="13:13">
      <c r="M35621" s="202"/>
    </row>
    <row r="35622" spans="13:13">
      <c r="M35622" s="202"/>
    </row>
    <row r="35623" spans="13:13">
      <c r="M35623" s="202"/>
    </row>
    <row r="35624" spans="13:13">
      <c r="M35624" s="202"/>
    </row>
    <row r="35625" spans="13:13">
      <c r="M35625" s="202"/>
    </row>
    <row r="35626" spans="13:13">
      <c r="M35626" s="202"/>
    </row>
    <row r="35627" spans="13:13">
      <c r="M35627" s="202"/>
    </row>
    <row r="35628" spans="13:13">
      <c r="M35628" s="202"/>
    </row>
    <row r="35629" spans="13:13">
      <c r="M35629" s="202"/>
    </row>
    <row r="35630" spans="13:13">
      <c r="M35630" s="202"/>
    </row>
    <row r="35631" spans="13:13">
      <c r="M35631" s="202"/>
    </row>
    <row r="35632" spans="13:13">
      <c r="M35632" s="202"/>
    </row>
    <row r="35633" spans="13:13">
      <c r="M35633" s="202"/>
    </row>
    <row r="35634" spans="13:13">
      <c r="M35634" s="202"/>
    </row>
    <row r="35635" spans="13:13">
      <c r="M35635" s="202"/>
    </row>
    <row r="35636" spans="13:13">
      <c r="M35636" s="202"/>
    </row>
    <row r="35637" spans="13:13">
      <c r="M35637" s="202"/>
    </row>
    <row r="35638" spans="13:13">
      <c r="M35638" s="202"/>
    </row>
    <row r="35639" spans="13:13">
      <c r="M35639" s="202"/>
    </row>
    <row r="35640" spans="13:13">
      <c r="M35640" s="202"/>
    </row>
    <row r="35641" spans="13:13">
      <c r="M35641" s="202"/>
    </row>
    <row r="35642" spans="13:13">
      <c r="M35642" s="202"/>
    </row>
    <row r="35643" spans="13:13">
      <c r="M35643" s="202"/>
    </row>
    <row r="35644" spans="13:13">
      <c r="M35644" s="202"/>
    </row>
    <row r="35645" spans="13:13">
      <c r="M35645" s="202"/>
    </row>
    <row r="35646" spans="13:13">
      <c r="M35646" s="202"/>
    </row>
    <row r="35647" spans="13:13">
      <c r="M35647" s="202"/>
    </row>
    <row r="35648" spans="13:13">
      <c r="M35648" s="202"/>
    </row>
    <row r="35649" spans="13:13">
      <c r="M35649" s="202"/>
    </row>
    <row r="35650" spans="13:13">
      <c r="M35650" s="202"/>
    </row>
    <row r="35651" spans="13:13">
      <c r="M35651" s="202"/>
    </row>
    <row r="35652" spans="13:13">
      <c r="M35652" s="202"/>
    </row>
    <row r="35653" spans="13:13">
      <c r="M35653" s="202"/>
    </row>
    <row r="35654" spans="13:13">
      <c r="M35654" s="202"/>
    </row>
    <row r="35655" spans="13:13">
      <c r="M35655" s="202"/>
    </row>
    <row r="35656" spans="13:13">
      <c r="M35656" s="202"/>
    </row>
    <row r="35657" spans="13:13">
      <c r="M35657" s="202"/>
    </row>
    <row r="35658" spans="13:13">
      <c r="M35658" s="202"/>
    </row>
    <row r="35659" spans="13:13">
      <c r="M35659" s="202"/>
    </row>
    <row r="35660" spans="13:13">
      <c r="M35660" s="202"/>
    </row>
    <row r="35661" spans="13:13">
      <c r="M35661" s="202"/>
    </row>
    <row r="35662" spans="13:13">
      <c r="M35662" s="202"/>
    </row>
    <row r="35663" spans="13:13">
      <c r="M35663" s="202"/>
    </row>
    <row r="35664" spans="13:13">
      <c r="M35664" s="202"/>
    </row>
    <row r="35665" spans="13:13">
      <c r="M35665" s="202"/>
    </row>
    <row r="35666" spans="13:13">
      <c r="M35666" s="202"/>
    </row>
    <row r="35667" spans="13:13">
      <c r="M35667" s="202"/>
    </row>
    <row r="35668" spans="13:13">
      <c r="M35668" s="202"/>
    </row>
    <row r="35669" spans="13:13">
      <c r="M35669" s="202"/>
    </row>
    <row r="35670" spans="13:13">
      <c r="M35670" s="202"/>
    </row>
    <row r="35671" spans="13:13">
      <c r="M35671" s="202"/>
    </row>
    <row r="35672" spans="13:13">
      <c r="M35672" s="202"/>
    </row>
    <row r="35673" spans="13:13">
      <c r="M35673" s="202"/>
    </row>
    <row r="35674" spans="13:13">
      <c r="M35674" s="202"/>
    </row>
    <row r="35675" spans="13:13">
      <c r="M35675" s="202"/>
    </row>
    <row r="35676" spans="13:13">
      <c r="M35676" s="202"/>
    </row>
    <row r="35677" spans="13:13">
      <c r="M35677" s="202"/>
    </row>
    <row r="35678" spans="13:13">
      <c r="M35678" s="202"/>
    </row>
    <row r="35679" spans="13:13">
      <c r="M35679" s="202"/>
    </row>
    <row r="35680" spans="13:13">
      <c r="M35680" s="202"/>
    </row>
    <row r="35681" spans="13:13">
      <c r="M35681" s="202"/>
    </row>
    <row r="35682" spans="13:13">
      <c r="M35682" s="202"/>
    </row>
    <row r="35683" spans="13:13">
      <c r="M35683" s="202"/>
    </row>
    <row r="35684" spans="13:13">
      <c r="M35684" s="202"/>
    </row>
    <row r="35685" spans="13:13">
      <c r="M35685" s="202"/>
    </row>
    <row r="35686" spans="13:13">
      <c r="M35686" s="202"/>
    </row>
    <row r="35687" spans="13:13">
      <c r="M35687" s="202"/>
    </row>
    <row r="35688" spans="13:13">
      <c r="M35688" s="202"/>
    </row>
    <row r="35689" spans="13:13">
      <c r="M35689" s="202"/>
    </row>
    <row r="35690" spans="13:13">
      <c r="M35690" s="202"/>
    </row>
    <row r="35691" spans="13:13">
      <c r="M35691" s="202"/>
    </row>
    <row r="35692" spans="13:13">
      <c r="M35692" s="202"/>
    </row>
    <row r="35693" spans="13:13">
      <c r="M35693" s="202"/>
    </row>
    <row r="35694" spans="13:13">
      <c r="M35694" s="202"/>
    </row>
    <row r="35695" spans="13:13">
      <c r="M35695" s="202"/>
    </row>
    <row r="35696" spans="13:13">
      <c r="M35696" s="202"/>
    </row>
    <row r="35697" spans="13:13">
      <c r="M35697" s="202"/>
    </row>
    <row r="35698" spans="13:13">
      <c r="M35698" s="202"/>
    </row>
    <row r="35699" spans="13:13">
      <c r="M35699" s="202"/>
    </row>
    <row r="35700" spans="13:13">
      <c r="M35700" s="202"/>
    </row>
    <row r="35701" spans="13:13">
      <c r="M35701" s="202"/>
    </row>
    <row r="35702" spans="13:13">
      <c r="M35702" s="202"/>
    </row>
    <row r="35703" spans="13:13">
      <c r="M35703" s="202"/>
    </row>
    <row r="35704" spans="13:13">
      <c r="M35704" s="202"/>
    </row>
    <row r="35705" spans="13:13">
      <c r="M35705" s="202"/>
    </row>
    <row r="35706" spans="13:13">
      <c r="M35706" s="202"/>
    </row>
    <row r="35707" spans="13:13">
      <c r="M35707" s="202"/>
    </row>
    <row r="35708" spans="13:13">
      <c r="M35708" s="202"/>
    </row>
    <row r="35709" spans="13:13">
      <c r="M35709" s="202"/>
    </row>
    <row r="35710" spans="13:13">
      <c r="M35710" s="202"/>
    </row>
    <row r="35711" spans="13:13">
      <c r="M35711" s="202"/>
    </row>
    <row r="35712" spans="13:13">
      <c r="M35712" s="202"/>
    </row>
    <row r="35713" spans="13:13">
      <c r="M35713" s="202"/>
    </row>
    <row r="35714" spans="13:13">
      <c r="M35714" s="202"/>
    </row>
    <row r="35715" spans="13:13">
      <c r="M35715" s="202"/>
    </row>
    <row r="35716" spans="13:13">
      <c r="M35716" s="202"/>
    </row>
    <row r="35717" spans="13:13">
      <c r="M35717" s="202"/>
    </row>
    <row r="35718" spans="13:13">
      <c r="M35718" s="202"/>
    </row>
    <row r="35719" spans="13:13">
      <c r="M35719" s="202"/>
    </row>
    <row r="35720" spans="13:13">
      <c r="M35720" s="202"/>
    </row>
    <row r="35721" spans="13:13">
      <c r="M35721" s="202"/>
    </row>
    <row r="35722" spans="13:13">
      <c r="M35722" s="202"/>
    </row>
    <row r="35723" spans="13:13">
      <c r="M35723" s="202"/>
    </row>
    <row r="35724" spans="13:13">
      <c r="M35724" s="202"/>
    </row>
    <row r="35725" spans="13:13">
      <c r="M35725" s="202"/>
    </row>
    <row r="35726" spans="13:13">
      <c r="M35726" s="202"/>
    </row>
    <row r="35727" spans="13:13">
      <c r="M35727" s="202"/>
    </row>
    <row r="35728" spans="13:13">
      <c r="M35728" s="202"/>
    </row>
    <row r="35729" spans="13:13">
      <c r="M35729" s="202"/>
    </row>
    <row r="35730" spans="13:13">
      <c r="M35730" s="202"/>
    </row>
    <row r="35731" spans="13:13">
      <c r="M35731" s="202"/>
    </row>
    <row r="35732" spans="13:13">
      <c r="M35732" s="202"/>
    </row>
    <row r="35733" spans="13:13">
      <c r="M35733" s="202"/>
    </row>
    <row r="35734" spans="13:13">
      <c r="M35734" s="202"/>
    </row>
    <row r="35735" spans="13:13">
      <c r="M35735" s="202"/>
    </row>
    <row r="35736" spans="13:13">
      <c r="M35736" s="202"/>
    </row>
    <row r="35737" spans="13:13">
      <c r="M35737" s="202"/>
    </row>
    <row r="35738" spans="13:13">
      <c r="M35738" s="202"/>
    </row>
    <row r="35739" spans="13:13">
      <c r="M35739" s="202"/>
    </row>
    <row r="35740" spans="13:13">
      <c r="M35740" s="202"/>
    </row>
    <row r="35741" spans="13:13">
      <c r="M35741" s="202"/>
    </row>
    <row r="35742" spans="13:13">
      <c r="M35742" s="202"/>
    </row>
    <row r="35743" spans="13:13">
      <c r="M35743" s="202"/>
    </row>
    <row r="35744" spans="13:13">
      <c r="M35744" s="202"/>
    </row>
    <row r="35745" spans="13:13">
      <c r="M35745" s="202"/>
    </row>
    <row r="35746" spans="13:13">
      <c r="M35746" s="202"/>
    </row>
    <row r="35747" spans="13:13">
      <c r="M35747" s="202"/>
    </row>
    <row r="35748" spans="13:13">
      <c r="M35748" s="202"/>
    </row>
    <row r="35749" spans="13:13">
      <c r="M35749" s="202"/>
    </row>
    <row r="35750" spans="13:13">
      <c r="M35750" s="202"/>
    </row>
    <row r="35751" spans="13:13">
      <c r="M35751" s="202"/>
    </row>
    <row r="35752" spans="13:13">
      <c r="M35752" s="202"/>
    </row>
    <row r="35753" spans="13:13">
      <c r="M35753" s="202"/>
    </row>
    <row r="35754" spans="13:13">
      <c r="M35754" s="202"/>
    </row>
    <row r="35755" spans="13:13">
      <c r="M35755" s="202"/>
    </row>
    <row r="35756" spans="13:13">
      <c r="M35756" s="202"/>
    </row>
    <row r="35757" spans="13:13">
      <c r="M35757" s="202"/>
    </row>
    <row r="35758" spans="13:13">
      <c r="M35758" s="202"/>
    </row>
    <row r="35759" spans="13:13">
      <c r="M35759" s="202"/>
    </row>
    <row r="35760" spans="13:13">
      <c r="M35760" s="202"/>
    </row>
    <row r="35761" spans="13:13">
      <c r="M35761" s="202"/>
    </row>
    <row r="35762" spans="13:13">
      <c r="M35762" s="202"/>
    </row>
    <row r="35763" spans="13:13">
      <c r="M35763" s="202"/>
    </row>
    <row r="35764" spans="13:13">
      <c r="M35764" s="202"/>
    </row>
    <row r="35765" spans="13:13">
      <c r="M35765" s="202"/>
    </row>
    <row r="35766" spans="13:13">
      <c r="M35766" s="202"/>
    </row>
    <row r="35767" spans="13:13">
      <c r="M35767" s="202"/>
    </row>
    <row r="35768" spans="13:13">
      <c r="M35768" s="202"/>
    </row>
    <row r="35769" spans="13:13">
      <c r="M35769" s="202"/>
    </row>
    <row r="35770" spans="13:13">
      <c r="M35770" s="202"/>
    </row>
    <row r="35771" spans="13:13">
      <c r="M35771" s="202"/>
    </row>
    <row r="35772" spans="13:13">
      <c r="M35772" s="202"/>
    </row>
    <row r="35773" spans="13:13">
      <c r="M35773" s="202"/>
    </row>
    <row r="35774" spans="13:13">
      <c r="M35774" s="202"/>
    </row>
    <row r="35775" spans="13:13">
      <c r="M35775" s="202"/>
    </row>
    <row r="35776" spans="13:13">
      <c r="M35776" s="202"/>
    </row>
    <row r="35777" spans="13:13">
      <c r="M35777" s="202"/>
    </row>
    <row r="35778" spans="13:13">
      <c r="M35778" s="202"/>
    </row>
    <row r="35779" spans="13:13">
      <c r="M35779" s="202"/>
    </row>
    <row r="35780" spans="13:13">
      <c r="M35780" s="202"/>
    </row>
    <row r="35781" spans="13:13">
      <c r="M35781" s="202"/>
    </row>
    <row r="35782" spans="13:13">
      <c r="M35782" s="202"/>
    </row>
    <row r="35783" spans="13:13">
      <c r="M35783" s="202"/>
    </row>
    <row r="35784" spans="13:13">
      <c r="M35784" s="202"/>
    </row>
    <row r="35785" spans="13:13">
      <c r="M35785" s="202"/>
    </row>
    <row r="35786" spans="13:13">
      <c r="M35786" s="202"/>
    </row>
    <row r="35787" spans="13:13">
      <c r="M35787" s="202"/>
    </row>
    <row r="35788" spans="13:13">
      <c r="M35788" s="202"/>
    </row>
    <row r="35789" spans="13:13">
      <c r="M35789" s="202"/>
    </row>
    <row r="35790" spans="13:13">
      <c r="M35790" s="202"/>
    </row>
    <row r="35791" spans="13:13">
      <c r="M35791" s="202"/>
    </row>
    <row r="35792" spans="13:13">
      <c r="M35792" s="202"/>
    </row>
    <row r="35793" spans="13:13">
      <c r="M35793" s="202"/>
    </row>
    <row r="35794" spans="13:13">
      <c r="M35794" s="202"/>
    </row>
    <row r="35795" spans="13:13">
      <c r="M35795" s="202"/>
    </row>
    <row r="35796" spans="13:13">
      <c r="M35796" s="202"/>
    </row>
    <row r="35797" spans="13:13">
      <c r="M35797" s="202"/>
    </row>
    <row r="35798" spans="13:13">
      <c r="M35798" s="202"/>
    </row>
    <row r="35799" spans="13:13">
      <c r="M35799" s="202"/>
    </row>
    <row r="35800" spans="13:13">
      <c r="M35800" s="202"/>
    </row>
    <row r="35801" spans="13:13">
      <c r="M35801" s="202"/>
    </row>
    <row r="35802" spans="13:13">
      <c r="M35802" s="202"/>
    </row>
    <row r="35803" spans="13:13">
      <c r="M35803" s="202"/>
    </row>
    <row r="35804" spans="13:13">
      <c r="M35804" s="202"/>
    </row>
    <row r="35805" spans="13:13">
      <c r="M35805" s="202"/>
    </row>
    <row r="35806" spans="13:13">
      <c r="M35806" s="202"/>
    </row>
    <row r="35807" spans="13:13">
      <c r="M35807" s="202"/>
    </row>
    <row r="35808" spans="13:13">
      <c r="M35808" s="202"/>
    </row>
    <row r="35809" spans="13:13">
      <c r="M35809" s="202"/>
    </row>
    <row r="35810" spans="13:13">
      <c r="M35810" s="202"/>
    </row>
    <row r="35811" spans="13:13">
      <c r="M35811" s="202"/>
    </row>
    <row r="35812" spans="13:13">
      <c r="M35812" s="202"/>
    </row>
    <row r="35813" spans="13:13">
      <c r="M35813" s="202"/>
    </row>
    <row r="35814" spans="13:13">
      <c r="M35814" s="202"/>
    </row>
    <row r="35815" spans="13:13">
      <c r="M35815" s="202"/>
    </row>
    <row r="35816" spans="13:13">
      <c r="M35816" s="202"/>
    </row>
    <row r="35817" spans="13:13">
      <c r="M35817" s="202"/>
    </row>
    <row r="35818" spans="13:13">
      <c r="M35818" s="202"/>
    </row>
    <row r="35819" spans="13:13">
      <c r="M35819" s="202"/>
    </row>
    <row r="35820" spans="13:13">
      <c r="M35820" s="202"/>
    </row>
    <row r="35821" spans="13:13">
      <c r="M35821" s="202"/>
    </row>
    <row r="35822" spans="13:13">
      <c r="M35822" s="202"/>
    </row>
    <row r="35823" spans="13:13">
      <c r="M35823" s="202"/>
    </row>
    <row r="35824" spans="13:13">
      <c r="M35824" s="202"/>
    </row>
    <row r="35825" spans="13:13">
      <c r="M35825" s="202"/>
    </row>
    <row r="35826" spans="13:13">
      <c r="M35826" s="202"/>
    </row>
    <row r="35827" spans="13:13">
      <c r="M35827" s="202"/>
    </row>
    <row r="35828" spans="13:13">
      <c r="M35828" s="202"/>
    </row>
    <row r="35829" spans="13:13">
      <c r="M35829" s="202"/>
    </row>
    <row r="35830" spans="13:13">
      <c r="M35830" s="202"/>
    </row>
    <row r="35831" spans="13:13">
      <c r="M35831" s="202"/>
    </row>
    <row r="35832" spans="13:13">
      <c r="M35832" s="202"/>
    </row>
    <row r="35833" spans="13:13">
      <c r="M35833" s="202"/>
    </row>
    <row r="35834" spans="13:13">
      <c r="M35834" s="202"/>
    </row>
    <row r="35835" spans="13:13">
      <c r="M35835" s="202"/>
    </row>
    <row r="35836" spans="13:13">
      <c r="M35836" s="202"/>
    </row>
    <row r="35837" spans="13:13">
      <c r="M35837" s="202"/>
    </row>
    <row r="35838" spans="13:13">
      <c r="M35838" s="202"/>
    </row>
    <row r="35839" spans="13:13">
      <c r="M35839" s="202"/>
    </row>
    <row r="35840" spans="13:13">
      <c r="M35840" s="202"/>
    </row>
    <row r="35841" spans="13:13">
      <c r="M35841" s="202"/>
    </row>
    <row r="35842" spans="13:13">
      <c r="M35842" s="202"/>
    </row>
    <row r="35843" spans="13:13">
      <c r="M35843" s="202"/>
    </row>
    <row r="35844" spans="13:13">
      <c r="M35844" s="202"/>
    </row>
    <row r="35845" spans="13:13">
      <c r="M35845" s="202"/>
    </row>
    <row r="35846" spans="13:13">
      <c r="M35846" s="202"/>
    </row>
    <row r="35847" spans="13:13">
      <c r="M35847" s="202"/>
    </row>
    <row r="35848" spans="13:13">
      <c r="M35848" s="202"/>
    </row>
    <row r="35849" spans="13:13">
      <c r="M35849" s="202"/>
    </row>
    <row r="35850" spans="13:13">
      <c r="M35850" s="202"/>
    </row>
    <row r="35851" spans="13:13">
      <c r="M35851" s="202"/>
    </row>
    <row r="35852" spans="13:13">
      <c r="M35852" s="202"/>
    </row>
    <row r="35853" spans="13:13">
      <c r="M35853" s="202"/>
    </row>
    <row r="35854" spans="13:13">
      <c r="M35854" s="202"/>
    </row>
    <row r="35855" spans="13:13">
      <c r="M35855" s="202"/>
    </row>
    <row r="35856" spans="13:13">
      <c r="M35856" s="202"/>
    </row>
    <row r="35857" spans="13:13">
      <c r="M35857" s="202"/>
    </row>
    <row r="35858" spans="13:13">
      <c r="M35858" s="202"/>
    </row>
    <row r="35859" spans="13:13">
      <c r="M35859" s="202"/>
    </row>
    <row r="35860" spans="13:13">
      <c r="M35860" s="202"/>
    </row>
    <row r="35861" spans="13:13">
      <c r="M35861" s="202"/>
    </row>
    <row r="35862" spans="13:13">
      <c r="M35862" s="202"/>
    </row>
    <row r="35863" spans="13:13">
      <c r="M35863" s="202"/>
    </row>
    <row r="35864" spans="13:13">
      <c r="M35864" s="202"/>
    </row>
    <row r="35865" spans="13:13">
      <c r="M35865" s="202"/>
    </row>
    <row r="35866" spans="13:13">
      <c r="M35866" s="202"/>
    </row>
    <row r="35867" spans="13:13">
      <c r="M35867" s="202"/>
    </row>
    <row r="35868" spans="13:13">
      <c r="M35868" s="202"/>
    </row>
    <row r="35869" spans="13:13">
      <c r="M35869" s="202"/>
    </row>
    <row r="35870" spans="13:13">
      <c r="M35870" s="202"/>
    </row>
    <row r="35871" spans="13:13">
      <c r="M35871" s="202"/>
    </row>
    <row r="35872" spans="13:13">
      <c r="M35872" s="202"/>
    </row>
    <row r="35873" spans="13:13">
      <c r="M35873" s="202"/>
    </row>
    <row r="35874" spans="13:13">
      <c r="M35874" s="202"/>
    </row>
    <row r="35875" spans="13:13">
      <c r="M35875" s="202"/>
    </row>
    <row r="35876" spans="13:13">
      <c r="M35876" s="202"/>
    </row>
    <row r="35877" spans="13:13">
      <c r="M35877" s="202"/>
    </row>
    <row r="35878" spans="13:13">
      <c r="M35878" s="202"/>
    </row>
    <row r="35879" spans="13:13">
      <c r="M35879" s="202"/>
    </row>
    <row r="35880" spans="13:13">
      <c r="M35880" s="202"/>
    </row>
    <row r="35881" spans="13:13">
      <c r="M35881" s="202"/>
    </row>
    <row r="35882" spans="13:13">
      <c r="M35882" s="202"/>
    </row>
    <row r="35883" spans="13:13">
      <c r="M35883" s="202"/>
    </row>
    <row r="35884" spans="13:13">
      <c r="M35884" s="202"/>
    </row>
    <row r="35885" spans="13:13">
      <c r="M35885" s="202"/>
    </row>
    <row r="35886" spans="13:13">
      <c r="M35886" s="202"/>
    </row>
    <row r="35887" spans="13:13">
      <c r="M35887" s="202"/>
    </row>
    <row r="35888" spans="13:13">
      <c r="M35888" s="202"/>
    </row>
    <row r="35889" spans="13:13">
      <c r="M35889" s="202"/>
    </row>
    <row r="35890" spans="13:13">
      <c r="M35890" s="202"/>
    </row>
    <row r="35891" spans="13:13">
      <c r="M35891" s="202"/>
    </row>
    <row r="35892" spans="13:13">
      <c r="M35892" s="202"/>
    </row>
    <row r="35893" spans="13:13">
      <c r="M35893" s="202"/>
    </row>
    <row r="35894" spans="13:13">
      <c r="M35894" s="202"/>
    </row>
    <row r="35895" spans="13:13">
      <c r="M35895" s="202"/>
    </row>
    <row r="35896" spans="13:13">
      <c r="M35896" s="202"/>
    </row>
    <row r="35897" spans="13:13">
      <c r="M35897" s="202"/>
    </row>
    <row r="35898" spans="13:13">
      <c r="M35898" s="202"/>
    </row>
    <row r="35899" spans="13:13">
      <c r="M35899" s="202"/>
    </row>
    <row r="35900" spans="13:13">
      <c r="M35900" s="202"/>
    </row>
    <row r="35901" spans="13:13">
      <c r="M35901" s="202"/>
    </row>
    <row r="35902" spans="13:13">
      <c r="M35902" s="202"/>
    </row>
    <row r="35903" spans="13:13">
      <c r="M35903" s="202"/>
    </row>
    <row r="35904" spans="13:13">
      <c r="M35904" s="202"/>
    </row>
    <row r="35905" spans="13:13">
      <c r="M35905" s="202"/>
    </row>
    <row r="35906" spans="13:13">
      <c r="M35906" s="202"/>
    </row>
    <row r="35907" spans="13:13">
      <c r="M35907" s="202"/>
    </row>
    <row r="35908" spans="13:13">
      <c r="M35908" s="202"/>
    </row>
    <row r="35909" spans="13:13">
      <c r="M35909" s="202"/>
    </row>
    <row r="35910" spans="13:13">
      <c r="M35910" s="202"/>
    </row>
    <row r="35911" spans="13:13">
      <c r="M35911" s="202"/>
    </row>
    <row r="35912" spans="13:13">
      <c r="M35912" s="202"/>
    </row>
    <row r="35913" spans="13:13">
      <c r="M35913" s="202"/>
    </row>
    <row r="35914" spans="13:13">
      <c r="M35914" s="202"/>
    </row>
    <row r="35915" spans="13:13">
      <c r="M35915" s="202"/>
    </row>
    <row r="35916" spans="13:13">
      <c r="M35916" s="202"/>
    </row>
    <row r="35917" spans="13:13">
      <c r="M35917" s="202"/>
    </row>
    <row r="35918" spans="13:13">
      <c r="M35918" s="202"/>
    </row>
    <row r="35919" spans="13:13">
      <c r="M35919" s="202"/>
    </row>
    <row r="35920" spans="13:13">
      <c r="M35920" s="202"/>
    </row>
    <row r="35921" spans="13:13">
      <c r="M35921" s="202"/>
    </row>
    <row r="35922" spans="13:13">
      <c r="M35922" s="202"/>
    </row>
    <row r="35923" spans="13:13">
      <c r="M35923" s="202"/>
    </row>
    <row r="35924" spans="13:13">
      <c r="M35924" s="202"/>
    </row>
    <row r="35925" spans="13:13">
      <c r="M35925" s="202"/>
    </row>
    <row r="35926" spans="13:13">
      <c r="M35926" s="202"/>
    </row>
    <row r="35927" spans="13:13">
      <c r="M35927" s="202"/>
    </row>
    <row r="35928" spans="13:13">
      <c r="M35928" s="202"/>
    </row>
    <row r="35929" spans="13:13">
      <c r="M35929" s="202"/>
    </row>
    <row r="35930" spans="13:13">
      <c r="M35930" s="202"/>
    </row>
    <row r="35931" spans="13:13">
      <c r="M35931" s="202"/>
    </row>
    <row r="35932" spans="13:13">
      <c r="M35932" s="202"/>
    </row>
    <row r="35933" spans="13:13">
      <c r="M35933" s="202"/>
    </row>
    <row r="35934" spans="13:13">
      <c r="M35934" s="202"/>
    </row>
    <row r="35935" spans="13:13">
      <c r="M35935" s="202"/>
    </row>
    <row r="35936" spans="13:13">
      <c r="M35936" s="202"/>
    </row>
    <row r="35937" spans="13:13">
      <c r="M35937" s="202"/>
    </row>
    <row r="35938" spans="13:13">
      <c r="M35938" s="202"/>
    </row>
    <row r="35939" spans="13:13">
      <c r="M35939" s="202"/>
    </row>
    <row r="35940" spans="13:13">
      <c r="M35940" s="202"/>
    </row>
    <row r="35941" spans="13:13">
      <c r="M35941" s="202"/>
    </row>
    <row r="35942" spans="13:13">
      <c r="M35942" s="202"/>
    </row>
    <row r="35943" spans="13:13">
      <c r="M35943" s="202"/>
    </row>
    <row r="35944" spans="13:13">
      <c r="M35944" s="202"/>
    </row>
    <row r="35945" spans="13:13">
      <c r="M35945" s="202"/>
    </row>
    <row r="35946" spans="13:13">
      <c r="M35946" s="202"/>
    </row>
    <row r="35947" spans="13:13">
      <c r="M35947" s="202"/>
    </row>
    <row r="35948" spans="13:13">
      <c r="M35948" s="202"/>
    </row>
    <row r="35949" spans="13:13">
      <c r="M35949" s="202"/>
    </row>
    <row r="35950" spans="13:13">
      <c r="M35950" s="202"/>
    </row>
    <row r="35951" spans="13:13">
      <c r="M35951" s="202"/>
    </row>
    <row r="35952" spans="13:13">
      <c r="M35952" s="202"/>
    </row>
    <row r="35953" spans="13:13">
      <c r="M35953" s="202"/>
    </row>
    <row r="35954" spans="13:13">
      <c r="M35954" s="202"/>
    </row>
    <row r="35955" spans="13:13">
      <c r="M35955" s="202"/>
    </row>
    <row r="35956" spans="13:13">
      <c r="M35956" s="202"/>
    </row>
    <row r="35957" spans="13:13">
      <c r="M35957" s="202"/>
    </row>
    <row r="35958" spans="13:13">
      <c r="M35958" s="202"/>
    </row>
    <row r="35959" spans="13:13">
      <c r="M35959" s="202"/>
    </row>
    <row r="35960" spans="13:13">
      <c r="M35960" s="202"/>
    </row>
    <row r="35961" spans="13:13">
      <c r="M35961" s="202"/>
    </row>
    <row r="35962" spans="13:13">
      <c r="M35962" s="202"/>
    </row>
    <row r="35963" spans="13:13">
      <c r="M35963" s="202"/>
    </row>
    <row r="35964" spans="13:13">
      <c r="M35964" s="202"/>
    </row>
    <row r="35965" spans="13:13">
      <c r="M35965" s="202"/>
    </row>
    <row r="35966" spans="13:13">
      <c r="M35966" s="202"/>
    </row>
    <row r="35967" spans="13:13">
      <c r="M35967" s="202"/>
    </row>
    <row r="35968" spans="13:13">
      <c r="M35968" s="202"/>
    </row>
    <row r="35969" spans="13:13">
      <c r="M35969" s="202"/>
    </row>
    <row r="35970" spans="13:13">
      <c r="M35970" s="202"/>
    </row>
    <row r="35971" spans="13:13">
      <c r="M35971" s="202"/>
    </row>
    <row r="35972" spans="13:13">
      <c r="M35972" s="202"/>
    </row>
    <row r="35973" spans="13:13">
      <c r="M35973" s="202"/>
    </row>
    <row r="35974" spans="13:13">
      <c r="M35974" s="202"/>
    </row>
    <row r="35975" spans="13:13">
      <c r="M35975" s="202"/>
    </row>
    <row r="35976" spans="13:13">
      <c r="M35976" s="202"/>
    </row>
    <row r="35977" spans="13:13">
      <c r="M35977" s="202"/>
    </row>
    <row r="35978" spans="13:13">
      <c r="M35978" s="202"/>
    </row>
    <row r="35979" spans="13:13">
      <c r="M35979" s="202"/>
    </row>
    <row r="35980" spans="13:13">
      <c r="M35980" s="202"/>
    </row>
    <row r="35981" spans="13:13">
      <c r="M35981" s="202"/>
    </row>
    <row r="35982" spans="13:13">
      <c r="M35982" s="202"/>
    </row>
    <row r="35983" spans="13:13">
      <c r="M35983" s="202"/>
    </row>
    <row r="35984" spans="13:13">
      <c r="M35984" s="202"/>
    </row>
    <row r="35985" spans="13:13">
      <c r="M35985" s="202"/>
    </row>
    <row r="35986" spans="13:13">
      <c r="M35986" s="202"/>
    </row>
    <row r="35987" spans="13:13">
      <c r="M35987" s="202"/>
    </row>
    <row r="35988" spans="13:13">
      <c r="M35988" s="202"/>
    </row>
    <row r="35989" spans="13:13">
      <c r="M35989" s="202"/>
    </row>
    <row r="35990" spans="13:13">
      <c r="M35990" s="202"/>
    </row>
    <row r="35991" spans="13:13">
      <c r="M35991" s="202"/>
    </row>
    <row r="35992" spans="13:13">
      <c r="M35992" s="202"/>
    </row>
    <row r="35993" spans="13:13">
      <c r="M35993" s="202"/>
    </row>
    <row r="35994" spans="13:13">
      <c r="M35994" s="202"/>
    </row>
    <row r="35995" spans="13:13">
      <c r="M35995" s="202"/>
    </row>
    <row r="35996" spans="13:13">
      <c r="M35996" s="202"/>
    </row>
    <row r="35997" spans="13:13">
      <c r="M35997" s="202"/>
    </row>
    <row r="35998" spans="13:13">
      <c r="M35998" s="202"/>
    </row>
    <row r="35999" spans="13:13">
      <c r="M35999" s="202"/>
    </row>
    <row r="36000" spans="13:13">
      <c r="M36000" s="202"/>
    </row>
    <row r="36001" spans="13:13">
      <c r="M36001" s="202"/>
    </row>
    <row r="36002" spans="13:13">
      <c r="M36002" s="202"/>
    </row>
    <row r="36003" spans="13:13">
      <c r="M36003" s="202"/>
    </row>
    <row r="36004" spans="13:13">
      <c r="M36004" s="202"/>
    </row>
    <row r="36005" spans="13:13">
      <c r="M36005" s="202"/>
    </row>
    <row r="36006" spans="13:13">
      <c r="M36006" s="202"/>
    </row>
    <row r="36007" spans="13:13">
      <c r="M36007" s="202"/>
    </row>
    <row r="36008" spans="13:13">
      <c r="M36008" s="202"/>
    </row>
    <row r="36009" spans="13:13">
      <c r="M36009" s="202"/>
    </row>
    <row r="36010" spans="13:13">
      <c r="M36010" s="202"/>
    </row>
    <row r="36011" spans="13:13">
      <c r="M36011" s="202"/>
    </row>
    <row r="36012" spans="13:13">
      <c r="M36012" s="202"/>
    </row>
    <row r="36013" spans="13:13">
      <c r="M36013" s="202"/>
    </row>
    <row r="36014" spans="13:13">
      <c r="M36014" s="202"/>
    </row>
    <row r="36015" spans="13:13">
      <c r="M36015" s="202"/>
    </row>
    <row r="36016" spans="13:13">
      <c r="M36016" s="202"/>
    </row>
    <row r="36017" spans="13:13">
      <c r="M36017" s="202"/>
    </row>
    <row r="36018" spans="13:13">
      <c r="M36018" s="202"/>
    </row>
    <row r="36019" spans="13:13">
      <c r="M36019" s="202"/>
    </row>
    <row r="36020" spans="13:13">
      <c r="M36020" s="202"/>
    </row>
    <row r="36021" spans="13:13">
      <c r="M36021" s="202"/>
    </row>
    <row r="36022" spans="13:13">
      <c r="M36022" s="202"/>
    </row>
    <row r="36023" spans="13:13">
      <c r="M36023" s="202"/>
    </row>
    <row r="36024" spans="13:13">
      <c r="M36024" s="202"/>
    </row>
    <row r="36025" spans="13:13">
      <c r="M36025" s="202"/>
    </row>
    <row r="36026" spans="13:13">
      <c r="M36026" s="202"/>
    </row>
    <row r="36027" spans="13:13">
      <c r="M36027" s="202"/>
    </row>
    <row r="36028" spans="13:13">
      <c r="M36028" s="202"/>
    </row>
    <row r="36029" spans="13:13">
      <c r="M36029" s="202"/>
    </row>
    <row r="36030" spans="13:13">
      <c r="M36030" s="202"/>
    </row>
    <row r="36031" spans="13:13">
      <c r="M36031" s="202"/>
    </row>
    <row r="36032" spans="13:13">
      <c r="M36032" s="202"/>
    </row>
    <row r="36033" spans="13:13">
      <c r="M36033" s="202"/>
    </row>
    <row r="36034" spans="13:13">
      <c r="M36034" s="202"/>
    </row>
    <row r="36035" spans="13:13">
      <c r="M36035" s="202"/>
    </row>
    <row r="36036" spans="13:13">
      <c r="M36036" s="202"/>
    </row>
    <row r="36037" spans="13:13">
      <c r="M36037" s="202"/>
    </row>
    <row r="36038" spans="13:13">
      <c r="M36038" s="202"/>
    </row>
    <row r="36039" spans="13:13">
      <c r="M36039" s="202"/>
    </row>
    <row r="36040" spans="13:13">
      <c r="M36040" s="202"/>
    </row>
    <row r="36041" spans="13:13">
      <c r="M36041" s="202"/>
    </row>
    <row r="36042" spans="13:13">
      <c r="M36042" s="202"/>
    </row>
    <row r="36043" spans="13:13">
      <c r="M36043" s="202"/>
    </row>
    <row r="36044" spans="13:13">
      <c r="M36044" s="202"/>
    </row>
    <row r="36045" spans="13:13">
      <c r="M36045" s="202"/>
    </row>
    <row r="36046" spans="13:13">
      <c r="M36046" s="202"/>
    </row>
    <row r="36047" spans="13:13">
      <c r="M36047" s="202"/>
    </row>
    <row r="36048" spans="13:13">
      <c r="M36048" s="202"/>
    </row>
    <row r="36049" spans="13:13">
      <c r="M36049" s="202"/>
    </row>
    <row r="36050" spans="13:13">
      <c r="M36050" s="202"/>
    </row>
    <row r="36051" spans="13:13">
      <c r="M36051" s="202"/>
    </row>
    <row r="36052" spans="13:13">
      <c r="M36052" s="202"/>
    </row>
    <row r="36053" spans="13:13">
      <c r="M36053" s="202"/>
    </row>
    <row r="36054" spans="13:13">
      <c r="M36054" s="202"/>
    </row>
    <row r="36055" spans="13:13">
      <c r="M36055" s="202"/>
    </row>
    <row r="36056" spans="13:13">
      <c r="M36056" s="202"/>
    </row>
    <row r="36057" spans="13:13">
      <c r="M36057" s="202"/>
    </row>
    <row r="36058" spans="13:13">
      <c r="M36058" s="202"/>
    </row>
    <row r="36059" spans="13:13">
      <c r="M36059" s="202"/>
    </row>
    <row r="36060" spans="13:13">
      <c r="M36060" s="202"/>
    </row>
    <row r="36061" spans="13:13">
      <c r="M36061" s="202"/>
    </row>
    <row r="36062" spans="13:13">
      <c r="M36062" s="202"/>
    </row>
    <row r="36063" spans="13:13">
      <c r="M36063" s="202"/>
    </row>
    <row r="36064" spans="13:13">
      <c r="M36064" s="202"/>
    </row>
    <row r="36065" spans="13:13">
      <c r="M36065" s="202"/>
    </row>
    <row r="36066" spans="13:13">
      <c r="M36066" s="202"/>
    </row>
    <row r="36067" spans="13:13">
      <c r="M36067" s="202"/>
    </row>
    <row r="36068" spans="13:13">
      <c r="M36068" s="202"/>
    </row>
    <row r="36069" spans="13:13">
      <c r="M36069" s="202"/>
    </row>
    <row r="36070" spans="13:13">
      <c r="M36070" s="202"/>
    </row>
    <row r="36071" spans="13:13">
      <c r="M36071" s="202"/>
    </row>
    <row r="36072" spans="13:13">
      <c r="M36072" s="202"/>
    </row>
    <row r="36073" spans="13:13">
      <c r="M36073" s="202"/>
    </row>
    <row r="36074" spans="13:13">
      <c r="M36074" s="202"/>
    </row>
    <row r="36075" spans="13:13">
      <c r="M36075" s="202"/>
    </row>
    <row r="36076" spans="13:13">
      <c r="M36076" s="202"/>
    </row>
    <row r="36077" spans="13:13">
      <c r="M36077" s="202"/>
    </row>
    <row r="36078" spans="13:13">
      <c r="M36078" s="202"/>
    </row>
    <row r="36079" spans="13:13">
      <c r="M36079" s="202"/>
    </row>
    <row r="36080" spans="13:13">
      <c r="M36080" s="202"/>
    </row>
    <row r="36081" spans="13:13">
      <c r="M36081" s="202"/>
    </row>
    <row r="36082" spans="13:13">
      <c r="M36082" s="202"/>
    </row>
    <row r="36083" spans="13:13">
      <c r="M36083" s="202"/>
    </row>
    <row r="36084" spans="13:13">
      <c r="M36084" s="202"/>
    </row>
    <row r="36085" spans="13:13">
      <c r="M36085" s="202"/>
    </row>
    <row r="36086" spans="13:13">
      <c r="M36086" s="202"/>
    </row>
    <row r="36087" spans="13:13">
      <c r="M36087" s="202"/>
    </row>
    <row r="36088" spans="13:13">
      <c r="M36088" s="202"/>
    </row>
    <row r="36089" spans="13:13">
      <c r="M36089" s="202"/>
    </row>
    <row r="36090" spans="13:13">
      <c r="M36090" s="202"/>
    </row>
    <row r="36091" spans="13:13">
      <c r="M36091" s="202"/>
    </row>
    <row r="36092" spans="13:13">
      <c r="M36092" s="202"/>
    </row>
    <row r="36093" spans="13:13">
      <c r="M36093" s="202"/>
    </row>
    <row r="36094" spans="13:13">
      <c r="M36094" s="202"/>
    </row>
    <row r="36095" spans="13:13">
      <c r="M36095" s="202"/>
    </row>
    <row r="36096" spans="13:13">
      <c r="M36096" s="202"/>
    </row>
    <row r="36097" spans="13:13">
      <c r="M36097" s="202"/>
    </row>
    <row r="36098" spans="13:13">
      <c r="M36098" s="202"/>
    </row>
    <row r="36099" spans="13:13">
      <c r="M36099" s="202"/>
    </row>
    <row r="36100" spans="13:13">
      <c r="M36100" s="202"/>
    </row>
    <row r="36101" spans="13:13">
      <c r="M36101" s="202"/>
    </row>
    <row r="36102" spans="13:13">
      <c r="M36102" s="202"/>
    </row>
    <row r="36103" spans="13:13">
      <c r="M36103" s="202"/>
    </row>
    <row r="36104" spans="13:13">
      <c r="M36104" s="202"/>
    </row>
    <row r="36105" spans="13:13">
      <c r="M36105" s="202"/>
    </row>
    <row r="36106" spans="13:13">
      <c r="M36106" s="202"/>
    </row>
    <row r="36107" spans="13:13">
      <c r="M36107" s="202"/>
    </row>
    <row r="36108" spans="13:13">
      <c r="M36108" s="202"/>
    </row>
    <row r="36109" spans="13:13">
      <c r="M36109" s="202"/>
    </row>
    <row r="36110" spans="13:13">
      <c r="M36110" s="202"/>
    </row>
    <row r="36111" spans="13:13">
      <c r="M36111" s="202"/>
    </row>
    <row r="36112" spans="13:13">
      <c r="M36112" s="202"/>
    </row>
    <row r="36113" spans="13:13">
      <c r="M36113" s="202"/>
    </row>
    <row r="36114" spans="13:13">
      <c r="M36114" s="202"/>
    </row>
    <row r="36115" spans="13:13">
      <c r="M36115" s="202"/>
    </row>
    <row r="36116" spans="13:13">
      <c r="M36116" s="202"/>
    </row>
    <row r="36117" spans="13:13">
      <c r="M36117" s="202"/>
    </row>
    <row r="36118" spans="13:13">
      <c r="M36118" s="202"/>
    </row>
    <row r="36119" spans="13:13">
      <c r="M36119" s="202"/>
    </row>
    <row r="36120" spans="13:13">
      <c r="M36120" s="202"/>
    </row>
    <row r="36121" spans="13:13">
      <c r="M36121" s="202"/>
    </row>
    <row r="36122" spans="13:13">
      <c r="M36122" s="202"/>
    </row>
    <row r="36123" spans="13:13">
      <c r="M36123" s="202"/>
    </row>
    <row r="36124" spans="13:13">
      <c r="M36124" s="202"/>
    </row>
    <row r="36125" spans="13:13">
      <c r="M36125" s="202"/>
    </row>
    <row r="36126" spans="13:13">
      <c r="M36126" s="202"/>
    </row>
    <row r="36127" spans="13:13">
      <c r="M36127" s="202"/>
    </row>
    <row r="36128" spans="13:13">
      <c r="M36128" s="202"/>
    </row>
    <row r="36129" spans="13:13">
      <c r="M36129" s="202"/>
    </row>
    <row r="36130" spans="13:13">
      <c r="M36130" s="202"/>
    </row>
    <row r="36131" spans="13:13">
      <c r="M36131" s="202"/>
    </row>
    <row r="36132" spans="13:13">
      <c r="M36132" s="202"/>
    </row>
    <row r="36133" spans="13:13">
      <c r="M36133" s="202"/>
    </row>
    <row r="36134" spans="13:13">
      <c r="M36134" s="202"/>
    </row>
    <row r="36135" spans="13:13">
      <c r="M36135" s="202"/>
    </row>
    <row r="36136" spans="13:13">
      <c r="M36136" s="202"/>
    </row>
    <row r="36137" spans="13:13">
      <c r="M36137" s="202"/>
    </row>
    <row r="36138" spans="13:13">
      <c r="M36138" s="202"/>
    </row>
    <row r="36139" spans="13:13">
      <c r="M36139" s="202"/>
    </row>
    <row r="36140" spans="13:13">
      <c r="M36140" s="202"/>
    </row>
    <row r="36141" spans="13:13">
      <c r="M36141" s="202"/>
    </row>
    <row r="36142" spans="13:13">
      <c r="M36142" s="202"/>
    </row>
    <row r="36143" spans="13:13">
      <c r="M36143" s="202"/>
    </row>
    <row r="36144" spans="13:13">
      <c r="M36144" s="202"/>
    </row>
    <row r="36145" spans="13:13">
      <c r="M36145" s="202"/>
    </row>
    <row r="36146" spans="13:13">
      <c r="M36146" s="202"/>
    </row>
    <row r="36147" spans="13:13">
      <c r="M36147" s="202"/>
    </row>
    <row r="36148" spans="13:13">
      <c r="M36148" s="202"/>
    </row>
    <row r="36149" spans="13:13">
      <c r="M36149" s="202"/>
    </row>
    <row r="36150" spans="13:13">
      <c r="M36150" s="202"/>
    </row>
    <row r="36151" spans="13:13">
      <c r="M36151" s="202"/>
    </row>
    <row r="36152" spans="13:13">
      <c r="M36152" s="202"/>
    </row>
    <row r="36153" spans="13:13">
      <c r="M36153" s="202"/>
    </row>
    <row r="36154" spans="13:13">
      <c r="M36154" s="202"/>
    </row>
    <row r="36155" spans="13:13">
      <c r="M36155" s="202"/>
    </row>
    <row r="36156" spans="13:13">
      <c r="M36156" s="202"/>
    </row>
    <row r="36157" spans="13:13">
      <c r="M36157" s="202"/>
    </row>
    <row r="36158" spans="13:13">
      <c r="M36158" s="202"/>
    </row>
    <row r="36159" spans="13:13">
      <c r="M36159" s="202"/>
    </row>
    <row r="36160" spans="13:13">
      <c r="M36160" s="202"/>
    </row>
    <row r="36161" spans="13:13">
      <c r="M36161" s="202"/>
    </row>
    <row r="36162" spans="13:13">
      <c r="M36162" s="202"/>
    </row>
    <row r="36163" spans="13:13">
      <c r="M36163" s="202"/>
    </row>
    <row r="36164" spans="13:13">
      <c r="M36164" s="202"/>
    </row>
    <row r="36165" spans="13:13">
      <c r="M36165" s="202"/>
    </row>
    <row r="36166" spans="13:13">
      <c r="M36166" s="202"/>
    </row>
    <row r="36167" spans="13:13">
      <c r="M36167" s="202"/>
    </row>
    <row r="36168" spans="13:13">
      <c r="M36168" s="202"/>
    </row>
    <row r="36169" spans="13:13">
      <c r="M36169" s="202"/>
    </row>
    <row r="36170" spans="13:13">
      <c r="M36170" s="202"/>
    </row>
    <row r="36171" spans="13:13">
      <c r="M36171" s="202"/>
    </row>
    <row r="36172" spans="13:13">
      <c r="M36172" s="202"/>
    </row>
    <row r="36173" spans="13:13">
      <c r="M36173" s="202"/>
    </row>
    <row r="36174" spans="13:13">
      <c r="M36174" s="202"/>
    </row>
    <row r="36175" spans="13:13">
      <c r="M36175" s="202"/>
    </row>
    <row r="36176" spans="13:13">
      <c r="M36176" s="202"/>
    </row>
    <row r="36177" spans="13:13">
      <c r="M36177" s="202"/>
    </row>
    <row r="36178" spans="13:13">
      <c r="M36178" s="202"/>
    </row>
    <row r="36179" spans="13:13">
      <c r="M36179" s="202"/>
    </row>
    <row r="36180" spans="13:13">
      <c r="M36180" s="202"/>
    </row>
    <row r="36181" spans="13:13">
      <c r="M36181" s="202"/>
    </row>
    <row r="36182" spans="13:13">
      <c r="M36182" s="202"/>
    </row>
    <row r="36183" spans="13:13">
      <c r="M36183" s="202"/>
    </row>
    <row r="36184" spans="13:13">
      <c r="M36184" s="202"/>
    </row>
    <row r="36185" spans="13:13">
      <c r="M36185" s="202"/>
    </row>
    <row r="36186" spans="13:13">
      <c r="M36186" s="202"/>
    </row>
    <row r="36187" spans="13:13">
      <c r="M36187" s="202"/>
    </row>
    <row r="36188" spans="13:13">
      <c r="M36188" s="202"/>
    </row>
    <row r="36189" spans="13:13">
      <c r="M36189" s="202"/>
    </row>
    <row r="36190" spans="13:13">
      <c r="M36190" s="202"/>
    </row>
    <row r="36191" spans="13:13">
      <c r="M36191" s="202"/>
    </row>
    <row r="36192" spans="13:13">
      <c r="M36192" s="202"/>
    </row>
    <row r="36193" spans="13:13">
      <c r="M36193" s="202"/>
    </row>
    <row r="36194" spans="13:13">
      <c r="M36194" s="202"/>
    </row>
    <row r="36195" spans="13:13">
      <c r="M36195" s="202"/>
    </row>
    <row r="36196" spans="13:13">
      <c r="M36196" s="202"/>
    </row>
    <row r="36197" spans="13:13">
      <c r="M36197" s="202"/>
    </row>
    <row r="36198" spans="13:13">
      <c r="M36198" s="202"/>
    </row>
    <row r="36199" spans="13:13">
      <c r="M36199" s="202"/>
    </row>
    <row r="36200" spans="13:13">
      <c r="M36200" s="202"/>
    </row>
    <row r="36201" spans="13:13">
      <c r="M36201" s="202"/>
    </row>
    <row r="36202" spans="13:13">
      <c r="M36202" s="202"/>
    </row>
    <row r="36203" spans="13:13">
      <c r="M36203" s="202"/>
    </row>
    <row r="36204" spans="13:13">
      <c r="M36204" s="202"/>
    </row>
    <row r="36205" spans="13:13">
      <c r="M36205" s="202"/>
    </row>
    <row r="36206" spans="13:13">
      <c r="M36206" s="202"/>
    </row>
    <row r="36207" spans="13:13">
      <c r="M36207" s="202"/>
    </row>
    <row r="36208" spans="13:13">
      <c r="M36208" s="202"/>
    </row>
    <row r="36209" spans="13:13">
      <c r="M36209" s="202"/>
    </row>
    <row r="36210" spans="13:13">
      <c r="M36210" s="202"/>
    </row>
    <row r="36211" spans="13:13">
      <c r="M36211" s="202"/>
    </row>
    <row r="36212" spans="13:13">
      <c r="M36212" s="202"/>
    </row>
    <row r="36213" spans="13:13">
      <c r="M36213" s="202"/>
    </row>
    <row r="36214" spans="13:13">
      <c r="M36214" s="202"/>
    </row>
    <row r="36215" spans="13:13">
      <c r="M36215" s="202"/>
    </row>
    <row r="36216" spans="13:13">
      <c r="M36216" s="202"/>
    </row>
    <row r="36217" spans="13:13">
      <c r="M36217" s="202"/>
    </row>
    <row r="36218" spans="13:13">
      <c r="M36218" s="202"/>
    </row>
    <row r="36219" spans="13:13">
      <c r="M36219" s="202"/>
    </row>
    <row r="36220" spans="13:13">
      <c r="M36220" s="202"/>
    </row>
    <row r="36221" spans="13:13">
      <c r="M36221" s="202"/>
    </row>
    <row r="36222" spans="13:13">
      <c r="M36222" s="202"/>
    </row>
    <row r="36223" spans="13:13">
      <c r="M36223" s="202"/>
    </row>
    <row r="36224" spans="13:13">
      <c r="M36224" s="202"/>
    </row>
    <row r="36225" spans="13:13">
      <c r="M36225" s="202"/>
    </row>
    <row r="36226" spans="13:13">
      <c r="M36226" s="202"/>
    </row>
    <row r="36227" spans="13:13">
      <c r="M36227" s="202"/>
    </row>
    <row r="36228" spans="13:13">
      <c r="M36228" s="202"/>
    </row>
    <row r="36229" spans="13:13">
      <c r="M36229" s="202"/>
    </row>
    <row r="36230" spans="13:13">
      <c r="M36230" s="202"/>
    </row>
    <row r="36231" spans="13:13">
      <c r="M36231" s="202"/>
    </row>
    <row r="36232" spans="13:13">
      <c r="M36232" s="202"/>
    </row>
    <row r="36233" spans="13:13">
      <c r="M36233" s="202"/>
    </row>
    <row r="36234" spans="13:13">
      <c r="M36234" s="202"/>
    </row>
    <row r="36235" spans="13:13">
      <c r="M36235" s="202"/>
    </row>
    <row r="36236" spans="13:13">
      <c r="M36236" s="202"/>
    </row>
    <row r="36237" spans="13:13">
      <c r="M36237" s="202"/>
    </row>
    <row r="36238" spans="13:13">
      <c r="M36238" s="202"/>
    </row>
    <row r="36239" spans="13:13">
      <c r="M36239" s="202"/>
    </row>
    <row r="36240" spans="13:13">
      <c r="M36240" s="202"/>
    </row>
    <row r="36241" spans="13:13">
      <c r="M36241" s="202"/>
    </row>
    <row r="36242" spans="13:13">
      <c r="M36242" s="202"/>
    </row>
    <row r="36243" spans="13:13">
      <c r="M36243" s="202"/>
    </row>
    <row r="36244" spans="13:13">
      <c r="M36244" s="202"/>
    </row>
    <row r="36245" spans="13:13">
      <c r="M36245" s="202"/>
    </row>
    <row r="36246" spans="13:13">
      <c r="M36246" s="202"/>
    </row>
    <row r="36247" spans="13:13">
      <c r="M36247" s="202"/>
    </row>
    <row r="36248" spans="13:13">
      <c r="M36248" s="202"/>
    </row>
    <row r="36249" spans="13:13">
      <c r="M36249" s="202"/>
    </row>
    <row r="36250" spans="13:13">
      <c r="M36250" s="202"/>
    </row>
    <row r="36251" spans="13:13">
      <c r="M36251" s="202"/>
    </row>
    <row r="36252" spans="13:13">
      <c r="M36252" s="202"/>
    </row>
    <row r="36253" spans="13:13">
      <c r="M36253" s="202"/>
    </row>
    <row r="36254" spans="13:13">
      <c r="M36254" s="202"/>
    </row>
    <row r="36255" spans="13:13">
      <c r="M36255" s="202"/>
    </row>
    <row r="36256" spans="13:13">
      <c r="M36256" s="202"/>
    </row>
    <row r="36257" spans="13:13">
      <c r="M36257" s="202"/>
    </row>
    <row r="36258" spans="13:13">
      <c r="M36258" s="202"/>
    </row>
    <row r="36259" spans="13:13">
      <c r="M36259" s="202"/>
    </row>
    <row r="36260" spans="13:13">
      <c r="M36260" s="202"/>
    </row>
    <row r="36261" spans="13:13">
      <c r="M36261" s="202"/>
    </row>
    <row r="36262" spans="13:13">
      <c r="M36262" s="202"/>
    </row>
    <row r="36263" spans="13:13">
      <c r="M36263" s="202"/>
    </row>
    <row r="36264" spans="13:13">
      <c r="M36264" s="202"/>
    </row>
    <row r="36265" spans="13:13">
      <c r="M36265" s="202"/>
    </row>
    <row r="36266" spans="13:13">
      <c r="M36266" s="202"/>
    </row>
    <row r="36267" spans="13:13">
      <c r="M36267" s="202"/>
    </row>
    <row r="36268" spans="13:13">
      <c r="M36268" s="202"/>
    </row>
    <row r="36269" spans="13:13">
      <c r="M36269" s="202"/>
    </row>
    <row r="36270" spans="13:13">
      <c r="M36270" s="202"/>
    </row>
    <row r="36271" spans="13:13">
      <c r="M36271" s="202"/>
    </row>
    <row r="36272" spans="13:13">
      <c r="M36272" s="202"/>
    </row>
    <row r="36273" spans="13:13">
      <c r="M36273" s="202"/>
    </row>
    <row r="36274" spans="13:13">
      <c r="M36274" s="202"/>
    </row>
    <row r="36275" spans="13:13">
      <c r="M36275" s="202"/>
    </row>
    <row r="36276" spans="13:13">
      <c r="M36276" s="202"/>
    </row>
    <row r="36277" spans="13:13">
      <c r="M36277" s="202"/>
    </row>
    <row r="36278" spans="13:13">
      <c r="M36278" s="202"/>
    </row>
    <row r="36279" spans="13:13">
      <c r="M36279" s="202"/>
    </row>
    <row r="36280" spans="13:13">
      <c r="M36280" s="202"/>
    </row>
    <row r="36281" spans="13:13">
      <c r="M36281" s="202"/>
    </row>
    <row r="36282" spans="13:13">
      <c r="M36282" s="202"/>
    </row>
    <row r="36283" spans="13:13">
      <c r="M36283" s="202"/>
    </row>
    <row r="36284" spans="13:13">
      <c r="M36284" s="202"/>
    </row>
    <row r="36285" spans="13:13">
      <c r="M36285" s="202"/>
    </row>
    <row r="36286" spans="13:13">
      <c r="M36286" s="202"/>
    </row>
    <row r="36287" spans="13:13">
      <c r="M36287" s="202"/>
    </row>
    <row r="36288" spans="13:13">
      <c r="M36288" s="202"/>
    </row>
    <row r="36289" spans="13:13">
      <c r="M36289" s="202"/>
    </row>
    <row r="36290" spans="13:13">
      <c r="M36290" s="202"/>
    </row>
    <row r="36291" spans="13:13">
      <c r="M36291" s="202"/>
    </row>
    <row r="36292" spans="13:13">
      <c r="M36292" s="202"/>
    </row>
    <row r="36293" spans="13:13">
      <c r="M36293" s="202"/>
    </row>
    <row r="36294" spans="13:13">
      <c r="M36294" s="202"/>
    </row>
    <row r="36295" spans="13:13">
      <c r="M36295" s="202"/>
    </row>
    <row r="36296" spans="13:13">
      <c r="M36296" s="202"/>
    </row>
    <row r="36297" spans="13:13">
      <c r="M36297" s="202"/>
    </row>
    <row r="36298" spans="13:13">
      <c r="M36298" s="202"/>
    </row>
    <row r="36299" spans="13:13">
      <c r="M36299" s="202"/>
    </row>
    <row r="36300" spans="13:13">
      <c r="M36300" s="202"/>
    </row>
    <row r="36301" spans="13:13">
      <c r="M36301" s="202"/>
    </row>
    <row r="36302" spans="13:13">
      <c r="M36302" s="202"/>
    </row>
    <row r="36303" spans="13:13">
      <c r="M36303" s="202"/>
    </row>
    <row r="36304" spans="13:13">
      <c r="M36304" s="202"/>
    </row>
    <row r="36305" spans="13:13">
      <c r="M36305" s="202"/>
    </row>
    <row r="36306" spans="13:13">
      <c r="M36306" s="202"/>
    </row>
    <row r="36307" spans="13:13">
      <c r="M36307" s="202"/>
    </row>
    <row r="36308" spans="13:13">
      <c r="M36308" s="202"/>
    </row>
    <row r="36309" spans="13:13">
      <c r="M36309" s="202"/>
    </row>
    <row r="36310" spans="13:13">
      <c r="M36310" s="202"/>
    </row>
    <row r="36311" spans="13:13">
      <c r="M36311" s="202"/>
    </row>
    <row r="36312" spans="13:13">
      <c r="M36312" s="202"/>
    </row>
    <row r="36313" spans="13:13">
      <c r="M36313" s="202"/>
    </row>
    <row r="36314" spans="13:13">
      <c r="M36314" s="202"/>
    </row>
    <row r="36315" spans="13:13">
      <c r="M36315" s="202"/>
    </row>
    <row r="36316" spans="13:13">
      <c r="M36316" s="202"/>
    </row>
    <row r="36317" spans="13:13">
      <c r="M36317" s="202"/>
    </row>
    <row r="36318" spans="13:13">
      <c r="M36318" s="202"/>
    </row>
    <row r="36319" spans="13:13">
      <c r="M36319" s="202"/>
    </row>
    <row r="36320" spans="13:13">
      <c r="M36320" s="202"/>
    </row>
    <row r="36321" spans="13:13">
      <c r="M36321" s="202"/>
    </row>
    <row r="36322" spans="13:13">
      <c r="M36322" s="202"/>
    </row>
    <row r="36323" spans="13:13">
      <c r="M36323" s="202"/>
    </row>
    <row r="36324" spans="13:13">
      <c r="M36324" s="202"/>
    </row>
    <row r="36325" spans="13:13">
      <c r="M36325" s="202"/>
    </row>
    <row r="36326" spans="13:13">
      <c r="M36326" s="202"/>
    </row>
    <row r="36327" spans="13:13">
      <c r="M36327" s="202"/>
    </row>
    <row r="36328" spans="13:13">
      <c r="M36328" s="202"/>
    </row>
    <row r="36329" spans="13:13">
      <c r="M36329" s="202"/>
    </row>
    <row r="36330" spans="13:13">
      <c r="M36330" s="202"/>
    </row>
    <row r="36331" spans="13:13">
      <c r="M36331" s="202"/>
    </row>
    <row r="36332" spans="13:13">
      <c r="M36332" s="202"/>
    </row>
    <row r="36333" spans="13:13">
      <c r="M36333" s="202"/>
    </row>
    <row r="36334" spans="13:13">
      <c r="M36334" s="202"/>
    </row>
    <row r="36335" spans="13:13">
      <c r="M36335" s="202"/>
    </row>
    <row r="36336" spans="13:13">
      <c r="M36336" s="202"/>
    </row>
    <row r="36337" spans="13:13">
      <c r="M36337" s="202"/>
    </row>
    <row r="36338" spans="13:13">
      <c r="M36338" s="202"/>
    </row>
    <row r="36339" spans="13:13">
      <c r="M36339" s="202"/>
    </row>
    <row r="36340" spans="13:13">
      <c r="M36340" s="202"/>
    </row>
    <row r="36341" spans="13:13">
      <c r="M36341" s="202"/>
    </row>
    <row r="36342" spans="13:13">
      <c r="M36342" s="202"/>
    </row>
    <row r="36343" spans="13:13">
      <c r="M36343" s="202"/>
    </row>
    <row r="36344" spans="13:13">
      <c r="M36344" s="202"/>
    </row>
    <row r="36345" spans="13:13">
      <c r="M36345" s="202"/>
    </row>
    <row r="36346" spans="13:13">
      <c r="M36346" s="202"/>
    </row>
    <row r="36347" spans="13:13">
      <c r="M36347" s="202"/>
    </row>
    <row r="36348" spans="13:13">
      <c r="M36348" s="202"/>
    </row>
    <row r="36349" spans="13:13">
      <c r="M36349" s="202"/>
    </row>
    <row r="36350" spans="13:13">
      <c r="M36350" s="202"/>
    </row>
    <row r="36351" spans="13:13">
      <c r="M36351" s="202"/>
    </row>
    <row r="36352" spans="13:13">
      <c r="M36352" s="202"/>
    </row>
    <row r="36353" spans="13:13">
      <c r="M36353" s="202"/>
    </row>
    <row r="36354" spans="13:13">
      <c r="M36354" s="202"/>
    </row>
    <row r="36355" spans="13:13">
      <c r="M36355" s="202"/>
    </row>
    <row r="36356" spans="13:13">
      <c r="M36356" s="202"/>
    </row>
    <row r="36357" spans="13:13">
      <c r="M36357" s="202"/>
    </row>
    <row r="36358" spans="13:13">
      <c r="M36358" s="202"/>
    </row>
    <row r="36359" spans="13:13">
      <c r="M36359" s="202"/>
    </row>
    <row r="36360" spans="13:13">
      <c r="M36360" s="202"/>
    </row>
    <row r="36361" spans="13:13">
      <c r="M36361" s="202"/>
    </row>
    <row r="36362" spans="13:13">
      <c r="M36362" s="202"/>
    </row>
    <row r="36363" spans="13:13">
      <c r="M36363" s="202"/>
    </row>
    <row r="36364" spans="13:13">
      <c r="M36364" s="202"/>
    </row>
    <row r="36365" spans="13:13">
      <c r="M36365" s="202"/>
    </row>
    <row r="36366" spans="13:13">
      <c r="M36366" s="202"/>
    </row>
    <row r="36367" spans="13:13">
      <c r="M36367" s="202"/>
    </row>
    <row r="36368" spans="13:13">
      <c r="M36368" s="202"/>
    </row>
    <row r="36369" spans="13:13">
      <c r="M36369" s="202"/>
    </row>
    <row r="36370" spans="13:13">
      <c r="M36370" s="202"/>
    </row>
    <row r="36371" spans="13:13">
      <c r="M36371" s="202"/>
    </row>
    <row r="36372" spans="13:13">
      <c r="M36372" s="202"/>
    </row>
    <row r="36373" spans="13:13">
      <c r="M36373" s="202"/>
    </row>
    <row r="36374" spans="13:13">
      <c r="M36374" s="202"/>
    </row>
    <row r="36375" spans="13:13">
      <c r="M36375" s="202"/>
    </row>
    <row r="36376" spans="13:13">
      <c r="M36376" s="202"/>
    </row>
    <row r="36377" spans="13:13">
      <c r="M36377" s="202"/>
    </row>
    <row r="36378" spans="13:13">
      <c r="M36378" s="202"/>
    </row>
    <row r="36379" spans="13:13">
      <c r="M36379" s="202"/>
    </row>
    <row r="36380" spans="13:13">
      <c r="M36380" s="202"/>
    </row>
    <row r="36381" spans="13:13">
      <c r="M36381" s="202"/>
    </row>
    <row r="36382" spans="13:13">
      <c r="M36382" s="202"/>
    </row>
    <row r="36383" spans="13:13">
      <c r="M36383" s="202"/>
    </row>
    <row r="36384" spans="13:13">
      <c r="M36384" s="202"/>
    </row>
    <row r="36385" spans="13:13">
      <c r="M36385" s="202"/>
    </row>
    <row r="36386" spans="13:13">
      <c r="M36386" s="202"/>
    </row>
    <row r="36387" spans="13:13">
      <c r="M36387" s="202"/>
    </row>
    <row r="36388" spans="13:13">
      <c r="M36388" s="202"/>
    </row>
    <row r="36389" spans="13:13">
      <c r="M36389" s="202"/>
    </row>
    <row r="36390" spans="13:13">
      <c r="M36390" s="202"/>
    </row>
    <row r="36391" spans="13:13">
      <c r="M36391" s="202"/>
    </row>
    <row r="36392" spans="13:13">
      <c r="M36392" s="202"/>
    </row>
    <row r="36393" spans="13:13">
      <c r="M36393" s="202"/>
    </row>
    <row r="36394" spans="13:13">
      <c r="M36394" s="202"/>
    </row>
    <row r="36395" spans="13:13">
      <c r="M36395" s="202"/>
    </row>
    <row r="36396" spans="13:13">
      <c r="M36396" s="202"/>
    </row>
    <row r="36397" spans="13:13">
      <c r="M36397" s="202"/>
    </row>
    <row r="36398" spans="13:13">
      <c r="M36398" s="202"/>
    </row>
    <row r="36399" spans="13:13">
      <c r="M36399" s="202"/>
    </row>
    <row r="36400" spans="13:13">
      <c r="M36400" s="202"/>
    </row>
    <row r="36401" spans="13:13">
      <c r="M36401" s="202"/>
    </row>
    <row r="36402" spans="13:13">
      <c r="M36402" s="202"/>
    </row>
    <row r="36403" spans="13:13">
      <c r="M36403" s="202"/>
    </row>
    <row r="36404" spans="13:13">
      <c r="M36404" s="202"/>
    </row>
    <row r="36405" spans="13:13">
      <c r="M36405" s="202"/>
    </row>
    <row r="36406" spans="13:13">
      <c r="M36406" s="202"/>
    </row>
    <row r="36407" spans="13:13">
      <c r="M36407" s="202"/>
    </row>
    <row r="36408" spans="13:13">
      <c r="M36408" s="202"/>
    </row>
    <row r="36409" spans="13:13">
      <c r="M36409" s="202"/>
    </row>
    <row r="36410" spans="13:13">
      <c r="M36410" s="202"/>
    </row>
    <row r="36411" spans="13:13">
      <c r="M36411" s="202"/>
    </row>
    <row r="36412" spans="13:13">
      <c r="M36412" s="202"/>
    </row>
    <row r="36413" spans="13:13">
      <c r="M36413" s="202"/>
    </row>
    <row r="36414" spans="13:13">
      <c r="M36414" s="202"/>
    </row>
    <row r="36415" spans="13:13">
      <c r="M36415" s="202"/>
    </row>
    <row r="36416" spans="13:13">
      <c r="M36416" s="202"/>
    </row>
    <row r="36417" spans="13:13">
      <c r="M36417" s="202"/>
    </row>
    <row r="36418" spans="13:13">
      <c r="M36418" s="202"/>
    </row>
    <row r="36419" spans="13:13">
      <c r="M36419" s="202"/>
    </row>
    <row r="36420" spans="13:13">
      <c r="M36420" s="202"/>
    </row>
    <row r="36421" spans="13:13">
      <c r="M36421" s="202"/>
    </row>
    <row r="36422" spans="13:13">
      <c r="M36422" s="202"/>
    </row>
    <row r="36423" spans="13:13">
      <c r="M36423" s="202"/>
    </row>
    <row r="36424" spans="13:13">
      <c r="M36424" s="202"/>
    </row>
    <row r="36425" spans="13:13">
      <c r="M36425" s="202"/>
    </row>
    <row r="36426" spans="13:13">
      <c r="M36426" s="202"/>
    </row>
    <row r="36427" spans="13:13">
      <c r="M36427" s="202"/>
    </row>
    <row r="36428" spans="13:13">
      <c r="M36428" s="202"/>
    </row>
    <row r="36429" spans="13:13">
      <c r="M36429" s="202"/>
    </row>
    <row r="36430" spans="13:13">
      <c r="M36430" s="202"/>
    </row>
    <row r="36431" spans="13:13">
      <c r="M36431" s="202"/>
    </row>
    <row r="36432" spans="13:13">
      <c r="M36432" s="202"/>
    </row>
    <row r="36433" spans="13:13">
      <c r="M36433" s="202"/>
    </row>
    <row r="36434" spans="13:13">
      <c r="M36434" s="202"/>
    </row>
    <row r="36435" spans="13:13">
      <c r="M36435" s="202"/>
    </row>
    <row r="36436" spans="13:13">
      <c r="M36436" s="202"/>
    </row>
    <row r="36437" spans="13:13">
      <c r="M36437" s="202"/>
    </row>
    <row r="36438" spans="13:13">
      <c r="M36438" s="202"/>
    </row>
    <row r="36439" spans="13:13">
      <c r="M36439" s="202"/>
    </row>
    <row r="36440" spans="13:13">
      <c r="M36440" s="202"/>
    </row>
    <row r="36441" spans="13:13">
      <c r="M36441" s="202"/>
    </row>
    <row r="36442" spans="13:13">
      <c r="M36442" s="202"/>
    </row>
    <row r="36443" spans="13:13">
      <c r="M36443" s="202"/>
    </row>
    <row r="36444" spans="13:13">
      <c r="M36444" s="202"/>
    </row>
    <row r="36445" spans="13:13">
      <c r="M36445" s="202"/>
    </row>
    <row r="36446" spans="13:13">
      <c r="M36446" s="202"/>
    </row>
    <row r="36447" spans="13:13">
      <c r="M36447" s="202"/>
    </row>
    <row r="36448" spans="13:13">
      <c r="M36448" s="202"/>
    </row>
    <row r="36449" spans="13:13">
      <c r="M36449" s="202"/>
    </row>
    <row r="36450" spans="13:13">
      <c r="M36450" s="202"/>
    </row>
    <row r="36451" spans="13:13">
      <c r="M36451" s="202"/>
    </row>
    <row r="36452" spans="13:13">
      <c r="M36452" s="202"/>
    </row>
    <row r="36453" spans="13:13">
      <c r="M36453" s="202"/>
    </row>
    <row r="36454" spans="13:13">
      <c r="M36454" s="202"/>
    </row>
    <row r="36455" spans="13:13">
      <c r="M36455" s="202"/>
    </row>
    <row r="36456" spans="13:13">
      <c r="M36456" s="202"/>
    </row>
    <row r="36457" spans="13:13">
      <c r="M36457" s="202"/>
    </row>
    <row r="36458" spans="13:13">
      <c r="M36458" s="202"/>
    </row>
    <row r="36459" spans="13:13">
      <c r="M36459" s="202"/>
    </row>
    <row r="36460" spans="13:13">
      <c r="M36460" s="202"/>
    </row>
    <row r="36461" spans="13:13">
      <c r="M36461" s="202"/>
    </row>
    <row r="36462" spans="13:13">
      <c r="M36462" s="202"/>
    </row>
    <row r="36463" spans="13:13">
      <c r="M36463" s="202"/>
    </row>
    <row r="36464" spans="13:13">
      <c r="M36464" s="202"/>
    </row>
    <row r="36465" spans="13:13">
      <c r="M36465" s="202"/>
    </row>
    <row r="36466" spans="13:13">
      <c r="M36466" s="202"/>
    </row>
    <row r="36467" spans="13:13">
      <c r="M36467" s="202"/>
    </row>
    <row r="36468" spans="13:13">
      <c r="M36468" s="202"/>
    </row>
    <row r="36469" spans="13:13">
      <c r="M36469" s="202"/>
    </row>
    <row r="36470" spans="13:13">
      <c r="M36470" s="202"/>
    </row>
    <row r="36471" spans="13:13">
      <c r="M36471" s="202"/>
    </row>
    <row r="36472" spans="13:13">
      <c r="M36472" s="202"/>
    </row>
    <row r="36473" spans="13:13">
      <c r="M36473" s="202"/>
    </row>
    <row r="36474" spans="13:13">
      <c r="M36474" s="202"/>
    </row>
    <row r="36475" spans="13:13">
      <c r="M36475" s="202"/>
    </row>
    <row r="36476" spans="13:13">
      <c r="M36476" s="202"/>
    </row>
    <row r="36477" spans="13:13">
      <c r="M36477" s="202"/>
    </row>
    <row r="36478" spans="13:13">
      <c r="M36478" s="202"/>
    </row>
    <row r="36479" spans="13:13">
      <c r="M36479" s="202"/>
    </row>
    <row r="36480" spans="13:13">
      <c r="M36480" s="202"/>
    </row>
    <row r="36481" spans="13:13">
      <c r="M36481" s="202"/>
    </row>
    <row r="36482" spans="13:13">
      <c r="M36482" s="202"/>
    </row>
    <row r="36483" spans="13:13">
      <c r="M36483" s="202"/>
    </row>
    <row r="36484" spans="13:13">
      <c r="M36484" s="202"/>
    </row>
    <row r="36485" spans="13:13">
      <c r="M36485" s="202"/>
    </row>
    <row r="36486" spans="13:13">
      <c r="M36486" s="202"/>
    </row>
    <row r="36487" spans="13:13">
      <c r="M36487" s="202"/>
    </row>
    <row r="36488" spans="13:13">
      <c r="M36488" s="202"/>
    </row>
    <row r="36489" spans="13:13">
      <c r="M36489" s="202"/>
    </row>
    <row r="36490" spans="13:13">
      <c r="M36490" s="202"/>
    </row>
    <row r="36491" spans="13:13">
      <c r="M36491" s="202"/>
    </row>
    <row r="36492" spans="13:13">
      <c r="M36492" s="202"/>
    </row>
    <row r="36493" spans="13:13">
      <c r="M36493" s="202"/>
    </row>
    <row r="36494" spans="13:13">
      <c r="M36494" s="202"/>
    </row>
    <row r="36495" spans="13:13">
      <c r="M36495" s="202"/>
    </row>
    <row r="36496" spans="13:13">
      <c r="M36496" s="202"/>
    </row>
    <row r="36497" spans="13:13">
      <c r="M36497" s="202"/>
    </row>
    <row r="36498" spans="13:13">
      <c r="M36498" s="202"/>
    </row>
    <row r="36499" spans="13:13">
      <c r="M36499" s="202"/>
    </row>
    <row r="36500" spans="13:13">
      <c r="M36500" s="202"/>
    </row>
    <row r="36501" spans="13:13">
      <c r="M36501" s="202"/>
    </row>
    <row r="36502" spans="13:13">
      <c r="M36502" s="202"/>
    </row>
    <row r="36503" spans="13:13">
      <c r="M36503" s="202"/>
    </row>
    <row r="36504" spans="13:13">
      <c r="M36504" s="202"/>
    </row>
    <row r="36505" spans="13:13">
      <c r="M36505" s="202"/>
    </row>
    <row r="36506" spans="13:13">
      <c r="M36506" s="202"/>
    </row>
    <row r="36507" spans="13:13">
      <c r="M36507" s="202"/>
    </row>
    <row r="36508" spans="13:13">
      <c r="M36508" s="202"/>
    </row>
    <row r="36509" spans="13:13">
      <c r="M36509" s="202"/>
    </row>
    <row r="36510" spans="13:13">
      <c r="M36510" s="202"/>
    </row>
    <row r="36511" spans="13:13">
      <c r="M36511" s="202"/>
    </row>
    <row r="36512" spans="13:13">
      <c r="M36512" s="202"/>
    </row>
    <row r="36513" spans="13:13">
      <c r="M36513" s="202"/>
    </row>
    <row r="36514" spans="13:13">
      <c r="M36514" s="202"/>
    </row>
    <row r="36515" spans="13:13">
      <c r="M36515" s="202"/>
    </row>
    <row r="36516" spans="13:13">
      <c r="M36516" s="202"/>
    </row>
    <row r="36517" spans="13:13">
      <c r="M36517" s="202"/>
    </row>
    <row r="36518" spans="13:13">
      <c r="M36518" s="202"/>
    </row>
    <row r="36519" spans="13:13">
      <c r="M36519" s="202"/>
    </row>
    <row r="36520" spans="13:13">
      <c r="M36520" s="202"/>
    </row>
    <row r="36521" spans="13:13">
      <c r="M36521" s="202"/>
    </row>
    <row r="36522" spans="13:13">
      <c r="M36522" s="202"/>
    </row>
    <row r="36523" spans="13:13">
      <c r="M36523" s="202"/>
    </row>
    <row r="36524" spans="13:13">
      <c r="M36524" s="202"/>
    </row>
    <row r="36525" spans="13:13">
      <c r="M36525" s="202"/>
    </row>
    <row r="36526" spans="13:13">
      <c r="M36526" s="202"/>
    </row>
    <row r="36527" spans="13:13">
      <c r="M36527" s="202"/>
    </row>
    <row r="36528" spans="13:13">
      <c r="M36528" s="202"/>
    </row>
    <row r="36529" spans="13:13">
      <c r="M36529" s="202"/>
    </row>
    <row r="36530" spans="13:13">
      <c r="M36530" s="202"/>
    </row>
    <row r="36531" spans="13:13">
      <c r="M36531" s="202"/>
    </row>
    <row r="36532" spans="13:13">
      <c r="M36532" s="202"/>
    </row>
    <row r="36533" spans="13:13">
      <c r="M36533" s="202"/>
    </row>
    <row r="36534" spans="13:13">
      <c r="M36534" s="202"/>
    </row>
    <row r="36535" spans="13:13">
      <c r="M36535" s="202"/>
    </row>
    <row r="36536" spans="13:13">
      <c r="M36536" s="202"/>
    </row>
    <row r="36537" spans="13:13">
      <c r="M36537" s="202"/>
    </row>
    <row r="36538" spans="13:13">
      <c r="M36538" s="202"/>
    </row>
    <row r="36539" spans="13:13">
      <c r="M36539" s="202"/>
    </row>
    <row r="36540" spans="13:13">
      <c r="M36540" s="202"/>
    </row>
    <row r="36541" spans="13:13">
      <c r="M36541" s="202"/>
    </row>
    <row r="36542" spans="13:13">
      <c r="M36542" s="202"/>
    </row>
    <row r="36543" spans="13:13">
      <c r="M36543" s="202"/>
    </row>
    <row r="36544" spans="13:13">
      <c r="M36544" s="202"/>
    </row>
    <row r="36545" spans="13:13">
      <c r="M36545" s="202"/>
    </row>
    <row r="36546" spans="13:13">
      <c r="M36546" s="202"/>
    </row>
    <row r="36547" spans="13:13">
      <c r="M36547" s="202"/>
    </row>
    <row r="36548" spans="13:13">
      <c r="M36548" s="202"/>
    </row>
    <row r="36549" spans="13:13">
      <c r="M36549" s="202"/>
    </row>
    <row r="36550" spans="13:13">
      <c r="M36550" s="202"/>
    </row>
    <row r="36551" spans="13:13">
      <c r="M36551" s="202"/>
    </row>
    <row r="36552" spans="13:13">
      <c r="M36552" s="202"/>
    </row>
    <row r="36553" spans="13:13">
      <c r="M36553" s="202"/>
    </row>
    <row r="36554" spans="13:13">
      <c r="M36554" s="202"/>
    </row>
    <row r="36555" spans="13:13">
      <c r="M36555" s="202"/>
    </row>
    <row r="36556" spans="13:13">
      <c r="M36556" s="202"/>
    </row>
    <row r="36557" spans="13:13">
      <c r="M36557" s="202"/>
    </row>
    <row r="36558" spans="13:13">
      <c r="M36558" s="202"/>
    </row>
    <row r="36559" spans="13:13">
      <c r="M36559" s="202"/>
    </row>
    <row r="36560" spans="13:13">
      <c r="M36560" s="202"/>
    </row>
    <row r="36561" spans="13:13">
      <c r="M36561" s="202"/>
    </row>
    <row r="36562" spans="13:13">
      <c r="M36562" s="202"/>
    </row>
    <row r="36563" spans="13:13">
      <c r="M36563" s="202"/>
    </row>
    <row r="36564" spans="13:13">
      <c r="M36564" s="202"/>
    </row>
    <row r="36565" spans="13:13">
      <c r="M36565" s="202"/>
    </row>
    <row r="36566" spans="13:13">
      <c r="M36566" s="202"/>
    </row>
    <row r="36567" spans="13:13">
      <c r="M36567" s="202"/>
    </row>
    <row r="36568" spans="13:13">
      <c r="M36568" s="202"/>
    </row>
    <row r="36569" spans="13:13">
      <c r="M36569" s="202"/>
    </row>
    <row r="36570" spans="13:13">
      <c r="M36570" s="202"/>
    </row>
    <row r="36571" spans="13:13">
      <c r="M36571" s="202"/>
    </row>
    <row r="36572" spans="13:13">
      <c r="M36572" s="202"/>
    </row>
    <row r="36573" spans="13:13">
      <c r="M36573" s="202"/>
    </row>
    <row r="36574" spans="13:13">
      <c r="M36574" s="202"/>
    </row>
    <row r="36575" spans="13:13">
      <c r="M36575" s="202"/>
    </row>
    <row r="36576" spans="13:13">
      <c r="M36576" s="202"/>
    </row>
    <row r="36577" spans="13:13">
      <c r="M36577" s="202"/>
    </row>
    <row r="36578" spans="13:13">
      <c r="M36578" s="202"/>
    </row>
    <row r="36579" spans="13:13">
      <c r="M36579" s="202"/>
    </row>
    <row r="36580" spans="13:13">
      <c r="M36580" s="202"/>
    </row>
    <row r="36581" spans="13:13">
      <c r="M36581" s="202"/>
    </row>
    <row r="36582" spans="13:13">
      <c r="M36582" s="202"/>
    </row>
    <row r="36583" spans="13:13">
      <c r="M36583" s="202"/>
    </row>
    <row r="36584" spans="13:13">
      <c r="M36584" s="202"/>
    </row>
    <row r="36585" spans="13:13">
      <c r="M36585" s="202"/>
    </row>
    <row r="36586" spans="13:13">
      <c r="M36586" s="202"/>
    </row>
    <row r="36587" spans="13:13">
      <c r="M36587" s="202"/>
    </row>
    <row r="36588" spans="13:13">
      <c r="M36588" s="202"/>
    </row>
    <row r="36589" spans="13:13">
      <c r="M36589" s="202"/>
    </row>
    <row r="36590" spans="13:13">
      <c r="M36590" s="202"/>
    </row>
    <row r="36591" spans="13:13">
      <c r="M36591" s="202"/>
    </row>
    <row r="36592" spans="13:13">
      <c r="M36592" s="202"/>
    </row>
    <row r="36593" spans="13:13">
      <c r="M36593" s="202"/>
    </row>
    <row r="36594" spans="13:13">
      <c r="M36594" s="202"/>
    </row>
    <row r="36595" spans="13:13">
      <c r="M36595" s="202"/>
    </row>
    <row r="36596" spans="13:13">
      <c r="M36596" s="202"/>
    </row>
    <row r="36597" spans="13:13">
      <c r="M36597" s="202"/>
    </row>
    <row r="36598" spans="13:13">
      <c r="M36598" s="202"/>
    </row>
    <row r="36599" spans="13:13">
      <c r="M36599" s="202"/>
    </row>
    <row r="36600" spans="13:13">
      <c r="M36600" s="202"/>
    </row>
    <row r="36601" spans="13:13">
      <c r="M36601" s="202"/>
    </row>
    <row r="36602" spans="13:13">
      <c r="M36602" s="202"/>
    </row>
    <row r="36603" spans="13:13">
      <c r="M36603" s="202"/>
    </row>
    <row r="36604" spans="13:13">
      <c r="M36604" s="202"/>
    </row>
    <row r="36605" spans="13:13">
      <c r="M36605" s="202"/>
    </row>
    <row r="36606" spans="13:13">
      <c r="M36606" s="202"/>
    </row>
    <row r="36607" spans="13:13">
      <c r="M36607" s="202"/>
    </row>
    <row r="36608" spans="13:13">
      <c r="M36608" s="202"/>
    </row>
    <row r="36609" spans="13:13">
      <c r="M36609" s="202"/>
    </row>
    <row r="36610" spans="13:13">
      <c r="M36610" s="202"/>
    </row>
    <row r="36611" spans="13:13">
      <c r="M36611" s="202"/>
    </row>
    <row r="36612" spans="13:13">
      <c r="M36612" s="202"/>
    </row>
    <row r="36613" spans="13:13">
      <c r="M36613" s="202"/>
    </row>
    <row r="36614" spans="13:13">
      <c r="M36614" s="202"/>
    </row>
    <row r="36615" spans="13:13">
      <c r="M36615" s="202"/>
    </row>
    <row r="36616" spans="13:13">
      <c r="M36616" s="202"/>
    </row>
    <row r="36617" spans="13:13">
      <c r="M36617" s="202"/>
    </row>
    <row r="36618" spans="13:13">
      <c r="M36618" s="202"/>
    </row>
    <row r="36619" spans="13:13">
      <c r="M36619" s="202"/>
    </row>
    <row r="36620" spans="13:13">
      <c r="M36620" s="202"/>
    </row>
    <row r="36621" spans="13:13">
      <c r="M36621" s="202"/>
    </row>
    <row r="36622" spans="13:13">
      <c r="M36622" s="202"/>
    </row>
    <row r="36623" spans="13:13">
      <c r="M36623" s="202"/>
    </row>
    <row r="36624" spans="13:13">
      <c r="M36624" s="202"/>
    </row>
    <row r="36625" spans="13:13">
      <c r="M36625" s="202"/>
    </row>
    <row r="36626" spans="13:13">
      <c r="M36626" s="202"/>
    </row>
    <row r="36627" spans="13:13">
      <c r="M36627" s="202"/>
    </row>
    <row r="36628" spans="13:13">
      <c r="M36628" s="202"/>
    </row>
    <row r="36629" spans="13:13">
      <c r="M36629" s="202"/>
    </row>
    <row r="36630" spans="13:13">
      <c r="M36630" s="202"/>
    </row>
    <row r="36631" spans="13:13">
      <c r="M36631" s="202"/>
    </row>
    <row r="36632" spans="13:13">
      <c r="M36632" s="202"/>
    </row>
    <row r="36633" spans="13:13">
      <c r="M36633" s="202"/>
    </row>
    <row r="36634" spans="13:13">
      <c r="M36634" s="202"/>
    </row>
    <row r="36635" spans="13:13">
      <c r="M36635" s="202"/>
    </row>
    <row r="36636" spans="13:13">
      <c r="M36636" s="202"/>
    </row>
    <row r="36637" spans="13:13">
      <c r="M36637" s="202"/>
    </row>
    <row r="36638" spans="13:13">
      <c r="M36638" s="202"/>
    </row>
    <row r="36639" spans="13:13">
      <c r="M36639" s="202"/>
    </row>
    <row r="36640" spans="13:13">
      <c r="M36640" s="202"/>
    </row>
    <row r="36641" spans="13:13">
      <c r="M36641" s="202"/>
    </row>
    <row r="36642" spans="13:13">
      <c r="M36642" s="202"/>
    </row>
    <row r="36643" spans="13:13">
      <c r="M36643" s="202"/>
    </row>
    <row r="36644" spans="13:13">
      <c r="M36644" s="202"/>
    </row>
    <row r="36645" spans="13:13">
      <c r="M36645" s="202"/>
    </row>
    <row r="36646" spans="13:13">
      <c r="M36646" s="202"/>
    </row>
    <row r="36647" spans="13:13">
      <c r="M36647" s="202"/>
    </row>
    <row r="36648" spans="13:13">
      <c r="M36648" s="202"/>
    </row>
    <row r="36649" spans="13:13">
      <c r="M36649" s="202"/>
    </row>
    <row r="36650" spans="13:13">
      <c r="M36650" s="202"/>
    </row>
    <row r="36651" spans="13:13">
      <c r="M36651" s="202"/>
    </row>
    <row r="36652" spans="13:13">
      <c r="M36652" s="202"/>
    </row>
    <row r="36653" spans="13:13">
      <c r="M36653" s="202"/>
    </row>
    <row r="36654" spans="13:13">
      <c r="M36654" s="202"/>
    </row>
    <row r="36655" spans="13:13">
      <c r="M36655" s="202"/>
    </row>
    <row r="36656" spans="13:13">
      <c r="M36656" s="202"/>
    </row>
    <row r="36657" spans="13:13">
      <c r="M36657" s="202"/>
    </row>
    <row r="36658" spans="13:13">
      <c r="M36658" s="202"/>
    </row>
    <row r="36659" spans="13:13">
      <c r="M36659" s="202"/>
    </row>
    <row r="36660" spans="13:13">
      <c r="M36660" s="202"/>
    </row>
    <row r="36661" spans="13:13">
      <c r="M36661" s="202"/>
    </row>
    <row r="36662" spans="13:13">
      <c r="M36662" s="202"/>
    </row>
    <row r="36663" spans="13:13">
      <c r="M36663" s="202"/>
    </row>
    <row r="36664" spans="13:13">
      <c r="M36664" s="202"/>
    </row>
    <row r="36665" spans="13:13">
      <c r="M36665" s="202"/>
    </row>
    <row r="36666" spans="13:13">
      <c r="M36666" s="202"/>
    </row>
    <row r="36667" spans="13:13">
      <c r="M36667" s="202"/>
    </row>
    <row r="36668" spans="13:13">
      <c r="M36668" s="202"/>
    </row>
    <row r="36669" spans="13:13">
      <c r="M36669" s="202"/>
    </row>
    <row r="36670" spans="13:13">
      <c r="M36670" s="202"/>
    </row>
    <row r="36671" spans="13:13">
      <c r="M36671" s="202"/>
    </row>
    <row r="36672" spans="13:13">
      <c r="M36672" s="202"/>
    </row>
    <row r="36673" spans="13:13">
      <c r="M36673" s="202"/>
    </row>
    <row r="36674" spans="13:13">
      <c r="M36674" s="202"/>
    </row>
    <row r="36675" spans="13:13">
      <c r="M36675" s="202"/>
    </row>
    <row r="36676" spans="13:13">
      <c r="M36676" s="202"/>
    </row>
    <row r="36677" spans="13:13">
      <c r="M36677" s="202"/>
    </row>
    <row r="36678" spans="13:13">
      <c r="M36678" s="202"/>
    </row>
    <row r="36679" spans="13:13">
      <c r="M36679" s="202"/>
    </row>
    <row r="36680" spans="13:13">
      <c r="M36680" s="202"/>
    </row>
    <row r="36681" spans="13:13">
      <c r="M36681" s="202"/>
    </row>
    <row r="36682" spans="13:13">
      <c r="M36682" s="202"/>
    </row>
    <row r="36683" spans="13:13">
      <c r="M36683" s="202"/>
    </row>
    <row r="36684" spans="13:13">
      <c r="M36684" s="202"/>
    </row>
    <row r="36685" spans="13:13">
      <c r="M36685" s="202"/>
    </row>
    <row r="36686" spans="13:13">
      <c r="M36686" s="202"/>
    </row>
    <row r="36687" spans="13:13">
      <c r="M36687" s="202"/>
    </row>
    <row r="36688" spans="13:13">
      <c r="M36688" s="202"/>
    </row>
    <row r="36689" spans="13:13">
      <c r="M36689" s="202"/>
    </row>
    <row r="36690" spans="13:13">
      <c r="M36690" s="202"/>
    </row>
    <row r="36691" spans="13:13">
      <c r="M36691" s="202"/>
    </row>
    <row r="36692" spans="13:13">
      <c r="M36692" s="202"/>
    </row>
    <row r="36693" spans="13:13">
      <c r="M36693" s="202"/>
    </row>
    <row r="36694" spans="13:13">
      <c r="M36694" s="202"/>
    </row>
    <row r="36695" spans="13:13">
      <c r="M36695" s="202"/>
    </row>
    <row r="36696" spans="13:13">
      <c r="M36696" s="202"/>
    </row>
    <row r="36697" spans="13:13">
      <c r="M36697" s="202"/>
    </row>
    <row r="36698" spans="13:13">
      <c r="M36698" s="202"/>
    </row>
    <row r="36699" spans="13:13">
      <c r="M36699" s="202"/>
    </row>
    <row r="36700" spans="13:13">
      <c r="M36700" s="202"/>
    </row>
    <row r="36701" spans="13:13">
      <c r="M36701" s="202"/>
    </row>
    <row r="36702" spans="13:13">
      <c r="M36702" s="202"/>
    </row>
    <row r="36703" spans="13:13">
      <c r="M36703" s="202"/>
    </row>
    <row r="36704" spans="13:13">
      <c r="M36704" s="202"/>
    </row>
    <row r="36705" spans="13:13">
      <c r="M36705" s="202"/>
    </row>
    <row r="36706" spans="13:13">
      <c r="M36706" s="202"/>
    </row>
    <row r="36707" spans="13:13">
      <c r="M36707" s="202"/>
    </row>
    <row r="36708" spans="13:13">
      <c r="M36708" s="202"/>
    </row>
    <row r="36709" spans="13:13">
      <c r="M36709" s="202"/>
    </row>
    <row r="36710" spans="13:13">
      <c r="M36710" s="202"/>
    </row>
    <row r="36711" spans="13:13">
      <c r="M36711" s="202"/>
    </row>
    <row r="36712" spans="13:13">
      <c r="M36712" s="202"/>
    </row>
    <row r="36713" spans="13:13">
      <c r="M36713" s="202"/>
    </row>
    <row r="36714" spans="13:13">
      <c r="M36714" s="202"/>
    </row>
    <row r="36715" spans="13:13">
      <c r="M36715" s="202"/>
    </row>
    <row r="36716" spans="13:13">
      <c r="M36716" s="202"/>
    </row>
    <row r="36717" spans="13:13">
      <c r="M36717" s="202"/>
    </row>
    <row r="36718" spans="13:13">
      <c r="M36718" s="202"/>
    </row>
    <row r="36719" spans="13:13">
      <c r="M36719" s="202"/>
    </row>
    <row r="36720" spans="13:13">
      <c r="M36720" s="202"/>
    </row>
    <row r="36721" spans="13:13">
      <c r="M36721" s="202"/>
    </row>
    <row r="36722" spans="13:13">
      <c r="M36722" s="202"/>
    </row>
    <row r="36723" spans="13:13">
      <c r="M36723" s="202"/>
    </row>
    <row r="36724" spans="13:13">
      <c r="M36724" s="202"/>
    </row>
    <row r="36725" spans="13:13">
      <c r="M36725" s="202"/>
    </row>
    <row r="36726" spans="13:13">
      <c r="M36726" s="202"/>
    </row>
    <row r="36727" spans="13:13">
      <c r="M36727" s="202"/>
    </row>
    <row r="36728" spans="13:13">
      <c r="M36728" s="202"/>
    </row>
    <row r="36729" spans="13:13">
      <c r="M36729" s="202"/>
    </row>
    <row r="36730" spans="13:13">
      <c r="M36730" s="202"/>
    </row>
    <row r="36731" spans="13:13">
      <c r="M36731" s="202"/>
    </row>
    <row r="36732" spans="13:13">
      <c r="M36732" s="202"/>
    </row>
    <row r="36733" spans="13:13">
      <c r="M36733" s="202"/>
    </row>
    <row r="36734" spans="13:13">
      <c r="M36734" s="202"/>
    </row>
    <row r="36735" spans="13:13">
      <c r="M36735" s="202"/>
    </row>
    <row r="36736" spans="13:13">
      <c r="M36736" s="202"/>
    </row>
    <row r="36737" spans="13:13">
      <c r="M36737" s="202"/>
    </row>
    <row r="36738" spans="13:13">
      <c r="M36738" s="202"/>
    </row>
    <row r="36739" spans="13:13">
      <c r="M36739" s="202"/>
    </row>
    <row r="36740" spans="13:13">
      <c r="M36740" s="202"/>
    </row>
    <row r="36741" spans="13:13">
      <c r="M36741" s="202"/>
    </row>
    <row r="36742" spans="13:13">
      <c r="M36742" s="202"/>
    </row>
    <row r="36743" spans="13:13">
      <c r="M36743" s="202"/>
    </row>
    <row r="36744" spans="13:13">
      <c r="M36744" s="202"/>
    </row>
    <row r="36745" spans="13:13">
      <c r="M36745" s="202"/>
    </row>
    <row r="36746" spans="13:13">
      <c r="M36746" s="202"/>
    </row>
    <row r="36747" spans="13:13">
      <c r="M36747" s="202"/>
    </row>
    <row r="36748" spans="13:13">
      <c r="M36748" s="202"/>
    </row>
    <row r="36749" spans="13:13">
      <c r="M36749" s="202"/>
    </row>
    <row r="36750" spans="13:13">
      <c r="M36750" s="202"/>
    </row>
    <row r="36751" spans="13:13">
      <c r="M36751" s="202"/>
    </row>
    <row r="36752" spans="13:13">
      <c r="M36752" s="202"/>
    </row>
    <row r="36753" spans="13:13">
      <c r="M36753" s="202"/>
    </row>
    <row r="36754" spans="13:13">
      <c r="M36754" s="202"/>
    </row>
    <row r="36755" spans="13:13">
      <c r="M36755" s="202"/>
    </row>
    <row r="36756" spans="13:13">
      <c r="M36756" s="202"/>
    </row>
    <row r="36757" spans="13:13">
      <c r="M36757" s="202"/>
    </row>
    <row r="36758" spans="13:13">
      <c r="M36758" s="202"/>
    </row>
    <row r="36759" spans="13:13">
      <c r="M36759" s="202"/>
    </row>
    <row r="36760" spans="13:13">
      <c r="M36760" s="202"/>
    </row>
    <row r="36761" spans="13:13">
      <c r="M36761" s="202"/>
    </row>
    <row r="36762" spans="13:13">
      <c r="M36762" s="202"/>
    </row>
    <row r="36763" spans="13:13">
      <c r="M36763" s="202"/>
    </row>
    <row r="36764" spans="13:13">
      <c r="M36764" s="202"/>
    </row>
    <row r="36765" spans="13:13">
      <c r="M36765" s="202"/>
    </row>
    <row r="36766" spans="13:13">
      <c r="M36766" s="202"/>
    </row>
    <row r="36767" spans="13:13">
      <c r="M36767" s="202"/>
    </row>
    <row r="36768" spans="13:13">
      <c r="M36768" s="202"/>
    </row>
    <row r="36769" spans="13:13">
      <c r="M36769" s="202"/>
    </row>
    <row r="36770" spans="13:13">
      <c r="M36770" s="202"/>
    </row>
    <row r="36771" spans="13:13">
      <c r="M36771" s="202"/>
    </row>
    <row r="36772" spans="13:13">
      <c r="M36772" s="202"/>
    </row>
    <row r="36773" spans="13:13">
      <c r="M36773" s="202"/>
    </row>
    <row r="36774" spans="13:13">
      <c r="M36774" s="202"/>
    </row>
    <row r="36775" spans="13:13">
      <c r="M36775" s="202"/>
    </row>
    <row r="36776" spans="13:13">
      <c r="M36776" s="202"/>
    </row>
    <row r="36777" spans="13:13">
      <c r="M36777" s="202"/>
    </row>
    <row r="36778" spans="13:13">
      <c r="M36778" s="202"/>
    </row>
    <row r="36779" spans="13:13">
      <c r="M36779" s="202"/>
    </row>
    <row r="36780" spans="13:13">
      <c r="M36780" s="202"/>
    </row>
    <row r="36781" spans="13:13">
      <c r="M36781" s="202"/>
    </row>
    <row r="36782" spans="13:13">
      <c r="M36782" s="202"/>
    </row>
    <row r="36783" spans="13:13">
      <c r="M36783" s="202"/>
    </row>
    <row r="36784" spans="13:13">
      <c r="M36784" s="202"/>
    </row>
    <row r="36785" spans="13:13">
      <c r="M36785" s="202"/>
    </row>
    <row r="36786" spans="13:13">
      <c r="M36786" s="202"/>
    </row>
    <row r="36787" spans="13:13">
      <c r="M36787" s="202"/>
    </row>
    <row r="36788" spans="13:13">
      <c r="M36788" s="202"/>
    </row>
    <row r="36789" spans="13:13">
      <c r="M36789" s="202"/>
    </row>
    <row r="36790" spans="13:13">
      <c r="M36790" s="202"/>
    </row>
    <row r="36791" spans="13:13">
      <c r="M36791" s="202"/>
    </row>
    <row r="36792" spans="13:13">
      <c r="M36792" s="202"/>
    </row>
    <row r="36793" spans="13:13">
      <c r="M36793" s="202"/>
    </row>
    <row r="36794" spans="13:13">
      <c r="M36794" s="202"/>
    </row>
    <row r="36795" spans="13:13">
      <c r="M36795" s="202"/>
    </row>
    <row r="36796" spans="13:13">
      <c r="M36796" s="202"/>
    </row>
    <row r="36797" spans="13:13">
      <c r="M36797" s="202"/>
    </row>
    <row r="36798" spans="13:13">
      <c r="M36798" s="202"/>
    </row>
    <row r="36799" spans="13:13">
      <c r="M36799" s="202"/>
    </row>
    <row r="36800" spans="13:13">
      <c r="M36800" s="202"/>
    </row>
    <row r="36801" spans="13:13">
      <c r="M36801" s="202"/>
    </row>
    <row r="36802" spans="13:13">
      <c r="M36802" s="202"/>
    </row>
    <row r="36803" spans="13:13">
      <c r="M36803" s="202"/>
    </row>
    <row r="36804" spans="13:13">
      <c r="M36804" s="202"/>
    </row>
    <row r="36805" spans="13:13">
      <c r="M36805" s="202"/>
    </row>
    <row r="36806" spans="13:13">
      <c r="M36806" s="202"/>
    </row>
    <row r="36807" spans="13:13">
      <c r="M36807" s="202"/>
    </row>
    <row r="36808" spans="13:13">
      <c r="M36808" s="202"/>
    </row>
    <row r="36809" spans="13:13">
      <c r="M36809" s="202"/>
    </row>
    <row r="36810" spans="13:13">
      <c r="M36810" s="202"/>
    </row>
    <row r="36811" spans="13:13">
      <c r="M36811" s="202"/>
    </row>
    <row r="36812" spans="13:13">
      <c r="M36812" s="202"/>
    </row>
    <row r="36813" spans="13:13">
      <c r="M36813" s="202"/>
    </row>
    <row r="36814" spans="13:13">
      <c r="M36814" s="202"/>
    </row>
    <row r="36815" spans="13:13">
      <c r="M36815" s="202"/>
    </row>
    <row r="36816" spans="13:13">
      <c r="M36816" s="202"/>
    </row>
    <row r="36817" spans="13:13">
      <c r="M36817" s="202"/>
    </row>
    <row r="36818" spans="13:13">
      <c r="M36818" s="202"/>
    </row>
    <row r="36819" spans="13:13">
      <c r="M36819" s="202"/>
    </row>
    <row r="36820" spans="13:13">
      <c r="M36820" s="202"/>
    </row>
    <row r="36821" spans="13:13">
      <c r="M36821" s="202"/>
    </row>
    <row r="36822" spans="13:13">
      <c r="M36822" s="202"/>
    </row>
    <row r="36823" spans="13:13">
      <c r="M36823" s="202"/>
    </row>
    <row r="36824" spans="13:13">
      <c r="M36824" s="202"/>
    </row>
    <row r="36825" spans="13:13">
      <c r="M36825" s="202"/>
    </row>
    <row r="36826" spans="13:13">
      <c r="M36826" s="202"/>
    </row>
    <row r="36827" spans="13:13">
      <c r="M36827" s="202"/>
    </row>
    <row r="36828" spans="13:13">
      <c r="M36828" s="202"/>
    </row>
    <row r="36829" spans="13:13">
      <c r="M36829" s="202"/>
    </row>
    <row r="36830" spans="13:13">
      <c r="M36830" s="202"/>
    </row>
    <row r="36831" spans="13:13">
      <c r="M36831" s="202"/>
    </row>
    <row r="36832" spans="13:13">
      <c r="M36832" s="202"/>
    </row>
    <row r="36833" spans="13:13">
      <c r="M36833" s="202"/>
    </row>
    <row r="36834" spans="13:13">
      <c r="M36834" s="202"/>
    </row>
    <row r="36835" spans="13:13">
      <c r="M36835" s="202"/>
    </row>
    <row r="36836" spans="13:13">
      <c r="M36836" s="202"/>
    </row>
    <row r="36837" spans="13:13">
      <c r="M36837" s="202"/>
    </row>
    <row r="36838" spans="13:13">
      <c r="M36838" s="202"/>
    </row>
    <row r="36839" spans="13:13">
      <c r="M36839" s="202"/>
    </row>
    <row r="36840" spans="13:13">
      <c r="M36840" s="202"/>
    </row>
    <row r="36841" spans="13:13">
      <c r="M36841" s="202"/>
    </row>
    <row r="36842" spans="13:13">
      <c r="M36842" s="202"/>
    </row>
    <row r="36843" spans="13:13">
      <c r="M36843" s="202"/>
    </row>
    <row r="36844" spans="13:13">
      <c r="M36844" s="202"/>
    </row>
    <row r="36845" spans="13:13">
      <c r="M36845" s="202"/>
    </row>
    <row r="36846" spans="13:13">
      <c r="M36846" s="202"/>
    </row>
    <row r="36847" spans="13:13">
      <c r="M36847" s="202"/>
    </row>
    <row r="36848" spans="13:13">
      <c r="M36848" s="202"/>
    </row>
    <row r="36849" spans="13:13">
      <c r="M36849" s="202"/>
    </row>
    <row r="36850" spans="13:13">
      <c r="M36850" s="202"/>
    </row>
    <row r="36851" spans="13:13">
      <c r="M36851" s="202"/>
    </row>
    <row r="36852" spans="13:13">
      <c r="M36852" s="202"/>
    </row>
    <row r="36853" spans="13:13">
      <c r="M36853" s="202"/>
    </row>
    <row r="36854" spans="13:13">
      <c r="M36854" s="202"/>
    </row>
    <row r="36855" spans="13:13">
      <c r="M36855" s="202"/>
    </row>
    <row r="36856" spans="13:13">
      <c r="M36856" s="202"/>
    </row>
    <row r="36857" spans="13:13">
      <c r="M36857" s="202"/>
    </row>
    <row r="36858" spans="13:13">
      <c r="M36858" s="202"/>
    </row>
    <row r="36859" spans="13:13">
      <c r="M36859" s="202"/>
    </row>
    <row r="36860" spans="13:13">
      <c r="M36860" s="202"/>
    </row>
    <row r="36861" spans="13:13">
      <c r="M36861" s="202"/>
    </row>
    <row r="36862" spans="13:13">
      <c r="M36862" s="202"/>
    </row>
    <row r="36863" spans="13:13">
      <c r="M36863" s="202"/>
    </row>
    <row r="36864" spans="13:13">
      <c r="M36864" s="202"/>
    </row>
    <row r="36865" spans="13:13">
      <c r="M36865" s="202"/>
    </row>
    <row r="36866" spans="13:13">
      <c r="M36866" s="202"/>
    </row>
    <row r="36867" spans="13:13">
      <c r="M36867" s="202"/>
    </row>
    <row r="36868" spans="13:13">
      <c r="M36868" s="202"/>
    </row>
    <row r="36869" spans="13:13">
      <c r="M36869" s="202"/>
    </row>
    <row r="36870" spans="13:13">
      <c r="M36870" s="202"/>
    </row>
    <row r="36871" spans="13:13">
      <c r="M36871" s="202"/>
    </row>
    <row r="36872" spans="13:13">
      <c r="M36872" s="202"/>
    </row>
    <row r="36873" spans="13:13">
      <c r="M36873" s="202"/>
    </row>
    <row r="36874" spans="13:13">
      <c r="M36874" s="202"/>
    </row>
    <row r="36875" spans="13:13">
      <c r="M36875" s="202"/>
    </row>
    <row r="36876" spans="13:13">
      <c r="M36876" s="202"/>
    </row>
    <row r="36877" spans="13:13">
      <c r="M36877" s="202"/>
    </row>
    <row r="36878" spans="13:13">
      <c r="M36878" s="202"/>
    </row>
    <row r="36879" spans="13:13">
      <c r="M36879" s="202"/>
    </row>
    <row r="36880" spans="13:13">
      <c r="M36880" s="202"/>
    </row>
    <row r="36881" spans="13:13">
      <c r="M36881" s="202"/>
    </row>
    <row r="36882" spans="13:13">
      <c r="M36882" s="202"/>
    </row>
    <row r="36883" spans="13:13">
      <c r="M36883" s="202"/>
    </row>
    <row r="36884" spans="13:13">
      <c r="M36884" s="202"/>
    </row>
    <row r="36885" spans="13:13">
      <c r="M36885" s="202"/>
    </row>
    <row r="36886" spans="13:13">
      <c r="M36886" s="202"/>
    </row>
    <row r="36887" spans="13:13">
      <c r="M36887" s="202"/>
    </row>
    <row r="36888" spans="13:13">
      <c r="M36888" s="202"/>
    </row>
    <row r="36889" spans="13:13">
      <c r="M36889" s="202"/>
    </row>
    <row r="36890" spans="13:13">
      <c r="M36890" s="202"/>
    </row>
    <row r="36891" spans="13:13">
      <c r="M36891" s="202"/>
    </row>
    <row r="36892" spans="13:13">
      <c r="M36892" s="202"/>
    </row>
    <row r="36893" spans="13:13">
      <c r="M36893" s="202"/>
    </row>
    <row r="36894" spans="13:13">
      <c r="M36894" s="202"/>
    </row>
    <row r="36895" spans="13:13">
      <c r="M36895" s="202"/>
    </row>
    <row r="36896" spans="13:13">
      <c r="M36896" s="202"/>
    </row>
    <row r="36897" spans="13:13">
      <c r="M36897" s="202"/>
    </row>
    <row r="36898" spans="13:13">
      <c r="M36898" s="202"/>
    </row>
    <row r="36899" spans="13:13">
      <c r="M36899" s="202"/>
    </row>
    <row r="36900" spans="13:13">
      <c r="M36900" s="202"/>
    </row>
    <row r="36901" spans="13:13">
      <c r="M36901" s="202"/>
    </row>
    <row r="36902" spans="13:13">
      <c r="M36902" s="202"/>
    </row>
    <row r="36903" spans="13:13">
      <c r="M36903" s="202"/>
    </row>
    <row r="36904" spans="13:13">
      <c r="M36904" s="202"/>
    </row>
    <row r="36905" spans="13:13">
      <c r="M36905" s="202"/>
    </row>
    <row r="36906" spans="13:13">
      <c r="M36906" s="202"/>
    </row>
    <row r="36907" spans="13:13">
      <c r="M36907" s="202"/>
    </row>
    <row r="36908" spans="13:13">
      <c r="M36908" s="202"/>
    </row>
    <row r="36909" spans="13:13">
      <c r="M36909" s="202"/>
    </row>
    <row r="36910" spans="13:13">
      <c r="M36910" s="202"/>
    </row>
    <row r="36911" spans="13:13">
      <c r="M36911" s="202"/>
    </row>
    <row r="36912" spans="13:13">
      <c r="M36912" s="202"/>
    </row>
    <row r="36913" spans="13:13">
      <c r="M36913" s="202"/>
    </row>
    <row r="36914" spans="13:13">
      <c r="M36914" s="202"/>
    </row>
    <row r="36915" spans="13:13">
      <c r="M36915" s="202"/>
    </row>
    <row r="36916" spans="13:13">
      <c r="M36916" s="202"/>
    </row>
    <row r="36917" spans="13:13">
      <c r="M36917" s="202"/>
    </row>
    <row r="36918" spans="13:13">
      <c r="M36918" s="202"/>
    </row>
    <row r="36919" spans="13:13">
      <c r="M36919" s="202"/>
    </row>
    <row r="36920" spans="13:13">
      <c r="M36920" s="202"/>
    </row>
    <row r="36921" spans="13:13">
      <c r="M36921" s="202"/>
    </row>
    <row r="36922" spans="13:13">
      <c r="M36922" s="202"/>
    </row>
    <row r="36923" spans="13:13">
      <c r="M36923" s="202"/>
    </row>
    <row r="36924" spans="13:13">
      <c r="M36924" s="202"/>
    </row>
    <row r="36925" spans="13:13">
      <c r="M36925" s="202"/>
    </row>
    <row r="36926" spans="13:13">
      <c r="M36926" s="202"/>
    </row>
    <row r="36927" spans="13:13">
      <c r="M36927" s="202"/>
    </row>
    <row r="36928" spans="13:13">
      <c r="M36928" s="202"/>
    </row>
    <row r="36929" spans="13:13">
      <c r="M36929" s="202"/>
    </row>
    <row r="36930" spans="13:13">
      <c r="M36930" s="202"/>
    </row>
    <row r="36931" spans="13:13">
      <c r="M36931" s="202"/>
    </row>
    <row r="36932" spans="13:13">
      <c r="M36932" s="202"/>
    </row>
    <row r="36933" spans="13:13">
      <c r="M36933" s="202"/>
    </row>
    <row r="36934" spans="13:13">
      <c r="M36934" s="202"/>
    </row>
    <row r="36935" spans="13:13">
      <c r="M36935" s="202"/>
    </row>
    <row r="36936" spans="13:13">
      <c r="M36936" s="202"/>
    </row>
    <row r="36937" spans="13:13">
      <c r="M36937" s="202"/>
    </row>
    <row r="36938" spans="13:13">
      <c r="M36938" s="202"/>
    </row>
    <row r="36939" spans="13:13">
      <c r="M36939" s="202"/>
    </row>
    <row r="36940" spans="13:13">
      <c r="M36940" s="202"/>
    </row>
    <row r="36941" spans="13:13">
      <c r="M36941" s="202"/>
    </row>
    <row r="36942" spans="13:13">
      <c r="M36942" s="202"/>
    </row>
    <row r="36943" spans="13:13">
      <c r="M36943" s="202"/>
    </row>
    <row r="36944" spans="13:13">
      <c r="M36944" s="202"/>
    </row>
    <row r="36945" spans="13:13">
      <c r="M36945" s="202"/>
    </row>
    <row r="36946" spans="13:13">
      <c r="M36946" s="202"/>
    </row>
    <row r="36947" spans="13:13">
      <c r="M36947" s="202"/>
    </row>
    <row r="36948" spans="13:13">
      <c r="M36948" s="202"/>
    </row>
    <row r="36949" spans="13:13">
      <c r="M36949" s="202"/>
    </row>
    <row r="36950" spans="13:13">
      <c r="M36950" s="202"/>
    </row>
    <row r="36951" spans="13:13">
      <c r="M36951" s="202"/>
    </row>
    <row r="36952" spans="13:13">
      <c r="M36952" s="202"/>
    </row>
    <row r="36953" spans="13:13">
      <c r="M36953" s="202"/>
    </row>
    <row r="36954" spans="13:13">
      <c r="M36954" s="202"/>
    </row>
    <row r="36955" spans="13:13">
      <c r="M36955" s="202"/>
    </row>
    <row r="36956" spans="13:13">
      <c r="M36956" s="202"/>
    </row>
    <row r="36957" spans="13:13">
      <c r="M36957" s="202"/>
    </row>
    <row r="36958" spans="13:13">
      <c r="M36958" s="202"/>
    </row>
    <row r="36959" spans="13:13">
      <c r="M36959" s="202"/>
    </row>
    <row r="36960" spans="13:13">
      <c r="M36960" s="202"/>
    </row>
    <row r="36961" spans="13:13">
      <c r="M36961" s="202"/>
    </row>
    <row r="36962" spans="13:13">
      <c r="M36962" s="202"/>
    </row>
    <row r="36963" spans="13:13">
      <c r="M36963" s="202"/>
    </row>
    <row r="36964" spans="13:13">
      <c r="M36964" s="202"/>
    </row>
    <row r="36965" spans="13:13">
      <c r="M36965" s="202"/>
    </row>
    <row r="36966" spans="13:13">
      <c r="M36966" s="202"/>
    </row>
    <row r="36967" spans="13:13">
      <c r="M36967" s="202"/>
    </row>
    <row r="36968" spans="13:13">
      <c r="M36968" s="202"/>
    </row>
    <row r="36969" spans="13:13">
      <c r="M36969" s="202"/>
    </row>
    <row r="36970" spans="13:13">
      <c r="M36970" s="202"/>
    </row>
    <row r="36971" spans="13:13">
      <c r="M36971" s="202"/>
    </row>
    <row r="36972" spans="13:13">
      <c r="M36972" s="202"/>
    </row>
    <row r="36973" spans="13:13">
      <c r="M36973" s="202"/>
    </row>
    <row r="36974" spans="13:13">
      <c r="M36974" s="202"/>
    </row>
    <row r="36975" spans="13:13">
      <c r="M36975" s="202"/>
    </row>
    <row r="36976" spans="13:13">
      <c r="M36976" s="202"/>
    </row>
    <row r="36977" spans="13:13">
      <c r="M36977" s="202"/>
    </row>
    <row r="36978" spans="13:13">
      <c r="M36978" s="202"/>
    </row>
    <row r="36979" spans="13:13">
      <c r="M36979" s="202"/>
    </row>
    <row r="36980" spans="13:13">
      <c r="M36980" s="202"/>
    </row>
    <row r="36981" spans="13:13">
      <c r="M36981" s="202"/>
    </row>
    <row r="36982" spans="13:13">
      <c r="M36982" s="202"/>
    </row>
    <row r="36983" spans="13:13">
      <c r="M36983" s="202"/>
    </row>
    <row r="36984" spans="13:13">
      <c r="M36984" s="202"/>
    </row>
    <row r="36985" spans="13:13">
      <c r="M36985" s="202"/>
    </row>
    <row r="36986" spans="13:13">
      <c r="M36986" s="202"/>
    </row>
    <row r="36987" spans="13:13">
      <c r="M36987" s="202"/>
    </row>
    <row r="36988" spans="13:13">
      <c r="M36988" s="202"/>
    </row>
    <row r="36989" spans="13:13">
      <c r="M36989" s="202"/>
    </row>
    <row r="36990" spans="13:13">
      <c r="M36990" s="202"/>
    </row>
    <row r="36991" spans="13:13">
      <c r="M36991" s="202"/>
    </row>
    <row r="36992" spans="13:13">
      <c r="M36992" s="202"/>
    </row>
    <row r="36993" spans="13:13">
      <c r="M36993" s="202"/>
    </row>
    <row r="36994" spans="13:13">
      <c r="M36994" s="202"/>
    </row>
    <row r="36995" spans="13:13">
      <c r="M36995" s="202"/>
    </row>
    <row r="36996" spans="13:13">
      <c r="M36996" s="202"/>
    </row>
    <row r="36997" spans="13:13">
      <c r="M36997" s="202"/>
    </row>
    <row r="36998" spans="13:13">
      <c r="M36998" s="202"/>
    </row>
    <row r="36999" spans="13:13">
      <c r="M36999" s="202"/>
    </row>
    <row r="37000" spans="13:13">
      <c r="M37000" s="202"/>
    </row>
    <row r="37001" spans="13:13">
      <c r="M37001" s="202"/>
    </row>
    <row r="37002" spans="13:13">
      <c r="M37002" s="202"/>
    </row>
    <row r="37003" spans="13:13">
      <c r="M37003" s="202"/>
    </row>
    <row r="37004" spans="13:13">
      <c r="M37004" s="202"/>
    </row>
    <row r="37005" spans="13:13">
      <c r="M37005" s="202"/>
    </row>
    <row r="37006" spans="13:13">
      <c r="M37006" s="202"/>
    </row>
    <row r="37007" spans="13:13">
      <c r="M37007" s="202"/>
    </row>
    <row r="37008" spans="13:13">
      <c r="M37008" s="202"/>
    </row>
    <row r="37009" spans="13:13">
      <c r="M37009" s="202"/>
    </row>
    <row r="37010" spans="13:13">
      <c r="M37010" s="202"/>
    </row>
    <row r="37011" spans="13:13">
      <c r="M37011" s="202"/>
    </row>
    <row r="37012" spans="13:13">
      <c r="M37012" s="202"/>
    </row>
    <row r="37013" spans="13:13">
      <c r="M37013" s="202"/>
    </row>
    <row r="37014" spans="13:13">
      <c r="M37014" s="202"/>
    </row>
    <row r="37015" spans="13:13">
      <c r="M37015" s="202"/>
    </row>
    <row r="37016" spans="13:13">
      <c r="M37016" s="202"/>
    </row>
    <row r="37017" spans="13:13">
      <c r="M37017" s="202"/>
    </row>
    <row r="37018" spans="13:13">
      <c r="M37018" s="202"/>
    </row>
    <row r="37019" spans="13:13">
      <c r="M37019" s="202"/>
    </row>
    <row r="37020" spans="13:13">
      <c r="M37020" s="202"/>
    </row>
    <row r="37021" spans="13:13">
      <c r="M37021" s="202"/>
    </row>
    <row r="37022" spans="13:13">
      <c r="M37022" s="202"/>
    </row>
    <row r="37023" spans="13:13">
      <c r="M37023" s="202"/>
    </row>
    <row r="37024" spans="13:13">
      <c r="M37024" s="202"/>
    </row>
    <row r="37025" spans="13:13">
      <c r="M37025" s="202"/>
    </row>
    <row r="37026" spans="13:13">
      <c r="M37026" s="202"/>
    </row>
    <row r="37027" spans="13:13">
      <c r="M37027" s="202"/>
    </row>
    <row r="37028" spans="13:13">
      <c r="M37028" s="202"/>
    </row>
    <row r="37029" spans="13:13">
      <c r="M37029" s="202"/>
    </row>
    <row r="37030" spans="13:13">
      <c r="M37030" s="202"/>
    </row>
    <row r="37031" spans="13:13">
      <c r="M37031" s="202"/>
    </row>
    <row r="37032" spans="13:13">
      <c r="M37032" s="202"/>
    </row>
    <row r="37033" spans="13:13">
      <c r="M37033" s="202"/>
    </row>
    <row r="37034" spans="13:13">
      <c r="M37034" s="202"/>
    </row>
    <row r="37035" spans="13:13">
      <c r="M37035" s="202"/>
    </row>
    <row r="37036" spans="13:13">
      <c r="M37036" s="202"/>
    </row>
    <row r="37037" spans="13:13">
      <c r="M37037" s="202"/>
    </row>
    <row r="37038" spans="13:13">
      <c r="M37038" s="202"/>
    </row>
    <row r="37039" spans="13:13">
      <c r="M37039" s="202"/>
    </row>
    <row r="37040" spans="13:13">
      <c r="M37040" s="202"/>
    </row>
    <row r="37041" spans="13:13">
      <c r="M37041" s="202"/>
    </row>
    <row r="37042" spans="13:13">
      <c r="M37042" s="202"/>
    </row>
    <row r="37043" spans="13:13">
      <c r="M37043" s="202"/>
    </row>
    <row r="37044" spans="13:13">
      <c r="M37044" s="202"/>
    </row>
    <row r="37045" spans="13:13">
      <c r="M37045" s="202"/>
    </row>
    <row r="37046" spans="13:13">
      <c r="M37046" s="202"/>
    </row>
    <row r="37047" spans="13:13">
      <c r="M37047" s="202"/>
    </row>
    <row r="37048" spans="13:13">
      <c r="M37048" s="202"/>
    </row>
    <row r="37049" spans="13:13">
      <c r="M37049" s="202"/>
    </row>
    <row r="37050" spans="13:13">
      <c r="M37050" s="202"/>
    </row>
    <row r="37051" spans="13:13">
      <c r="M37051" s="202"/>
    </row>
    <row r="37052" spans="13:13">
      <c r="M37052" s="202"/>
    </row>
    <row r="37053" spans="13:13">
      <c r="M37053" s="202"/>
    </row>
    <row r="37054" spans="13:13">
      <c r="M37054" s="202"/>
    </row>
    <row r="37055" spans="13:13">
      <c r="M37055" s="202"/>
    </row>
    <row r="37056" spans="13:13">
      <c r="M37056" s="202"/>
    </row>
    <row r="37057" spans="13:13">
      <c r="M37057" s="202"/>
    </row>
    <row r="37058" spans="13:13">
      <c r="M37058" s="202"/>
    </row>
    <row r="37059" spans="13:13">
      <c r="M37059" s="202"/>
    </row>
    <row r="37060" spans="13:13">
      <c r="M37060" s="202"/>
    </row>
    <row r="37061" spans="13:13">
      <c r="M37061" s="202"/>
    </row>
    <row r="37062" spans="13:13">
      <c r="M37062" s="202"/>
    </row>
    <row r="37063" spans="13:13">
      <c r="M37063" s="202"/>
    </row>
    <row r="37064" spans="13:13">
      <c r="M37064" s="202"/>
    </row>
    <row r="37065" spans="13:13">
      <c r="M37065" s="202"/>
    </row>
    <row r="37066" spans="13:13">
      <c r="M37066" s="202"/>
    </row>
    <row r="37067" spans="13:13">
      <c r="M37067" s="202"/>
    </row>
    <row r="37068" spans="13:13">
      <c r="M37068" s="202"/>
    </row>
    <row r="37069" spans="13:13">
      <c r="M37069" s="202"/>
    </row>
    <row r="37070" spans="13:13">
      <c r="M37070" s="202"/>
    </row>
    <row r="37071" spans="13:13">
      <c r="M37071" s="202"/>
    </row>
    <row r="37072" spans="13:13">
      <c r="M37072" s="202"/>
    </row>
    <row r="37073" spans="13:13">
      <c r="M37073" s="202"/>
    </row>
    <row r="37074" spans="13:13">
      <c r="M37074" s="202"/>
    </row>
    <row r="37075" spans="13:13">
      <c r="M37075" s="202"/>
    </row>
    <row r="37076" spans="13:13">
      <c r="M37076" s="202"/>
    </row>
    <row r="37077" spans="13:13">
      <c r="M37077" s="202"/>
    </row>
    <row r="37078" spans="13:13">
      <c r="M37078" s="202"/>
    </row>
    <row r="37079" spans="13:13">
      <c r="M37079" s="202"/>
    </row>
    <row r="37080" spans="13:13">
      <c r="M37080" s="202"/>
    </row>
    <row r="37081" spans="13:13">
      <c r="M37081" s="202"/>
    </row>
    <row r="37082" spans="13:13">
      <c r="M37082" s="202"/>
    </row>
    <row r="37083" spans="13:13">
      <c r="M37083" s="202"/>
    </row>
    <row r="37084" spans="13:13">
      <c r="M37084" s="202"/>
    </row>
    <row r="37085" spans="13:13">
      <c r="M37085" s="202"/>
    </row>
    <row r="37086" spans="13:13">
      <c r="M37086" s="202"/>
    </row>
    <row r="37087" spans="13:13">
      <c r="M37087" s="202"/>
    </row>
    <row r="37088" spans="13:13">
      <c r="M37088" s="202"/>
    </row>
    <row r="37089" spans="13:13">
      <c r="M37089" s="202"/>
    </row>
    <row r="37090" spans="13:13">
      <c r="M37090" s="202"/>
    </row>
    <row r="37091" spans="13:13">
      <c r="M37091" s="202"/>
    </row>
    <row r="37092" spans="13:13">
      <c r="M37092" s="202"/>
    </row>
    <row r="37093" spans="13:13">
      <c r="M37093" s="202"/>
    </row>
    <row r="37094" spans="13:13">
      <c r="M37094" s="202"/>
    </row>
    <row r="37095" spans="13:13">
      <c r="M37095" s="202"/>
    </row>
    <row r="37096" spans="13:13">
      <c r="M37096" s="202"/>
    </row>
    <row r="37097" spans="13:13">
      <c r="M37097" s="202"/>
    </row>
    <row r="37098" spans="13:13">
      <c r="M37098" s="202"/>
    </row>
    <row r="37099" spans="13:13">
      <c r="M37099" s="202"/>
    </row>
    <row r="37100" spans="13:13">
      <c r="M37100" s="202"/>
    </row>
    <row r="37101" spans="13:13">
      <c r="M37101" s="202"/>
    </row>
    <row r="37102" spans="13:13">
      <c r="M37102" s="202"/>
    </row>
    <row r="37103" spans="13:13">
      <c r="M37103" s="202"/>
    </row>
    <row r="37104" spans="13:13">
      <c r="M37104" s="202"/>
    </row>
    <row r="37105" spans="13:13">
      <c r="M37105" s="202"/>
    </row>
    <row r="37106" spans="13:13">
      <c r="M37106" s="202"/>
    </row>
    <row r="37107" spans="13:13">
      <c r="M37107" s="202"/>
    </row>
    <row r="37108" spans="13:13">
      <c r="M37108" s="202"/>
    </row>
    <row r="37109" spans="13:13">
      <c r="M37109" s="202"/>
    </row>
    <row r="37110" spans="13:13">
      <c r="M37110" s="202"/>
    </row>
    <row r="37111" spans="13:13">
      <c r="M37111" s="202"/>
    </row>
    <row r="37112" spans="13:13">
      <c r="M37112" s="202"/>
    </row>
    <row r="37113" spans="13:13">
      <c r="M37113" s="202"/>
    </row>
    <row r="37114" spans="13:13">
      <c r="M37114" s="202"/>
    </row>
    <row r="37115" spans="13:13">
      <c r="M37115" s="202"/>
    </row>
    <row r="37116" spans="13:13">
      <c r="M37116" s="202"/>
    </row>
    <row r="37117" spans="13:13">
      <c r="M37117" s="202"/>
    </row>
    <row r="37118" spans="13:13">
      <c r="M37118" s="202"/>
    </row>
    <row r="37119" spans="13:13">
      <c r="M37119" s="202"/>
    </row>
    <row r="37120" spans="13:13">
      <c r="M37120" s="202"/>
    </row>
    <row r="37121" spans="13:13">
      <c r="M37121" s="202"/>
    </row>
    <row r="37122" spans="13:13">
      <c r="M37122" s="202"/>
    </row>
    <row r="37123" spans="13:13">
      <c r="M37123" s="202"/>
    </row>
    <row r="37124" spans="13:13">
      <c r="M37124" s="202"/>
    </row>
    <row r="37125" spans="13:13">
      <c r="M37125" s="202"/>
    </row>
    <row r="37126" spans="13:13">
      <c r="M37126" s="202"/>
    </row>
    <row r="37127" spans="13:13">
      <c r="M37127" s="202"/>
    </row>
    <row r="37128" spans="13:13">
      <c r="M37128" s="202"/>
    </row>
    <row r="37129" spans="13:13">
      <c r="M37129" s="202"/>
    </row>
    <row r="37130" spans="13:13">
      <c r="M37130" s="202"/>
    </row>
    <row r="37131" spans="13:13">
      <c r="M37131" s="202"/>
    </row>
    <row r="37132" spans="13:13">
      <c r="M37132" s="202"/>
    </row>
    <row r="37133" spans="13:13">
      <c r="M37133" s="202"/>
    </row>
    <row r="37134" spans="13:13">
      <c r="M37134" s="202"/>
    </row>
    <row r="37135" spans="13:13">
      <c r="M37135" s="202"/>
    </row>
    <row r="37136" spans="13:13">
      <c r="M37136" s="202"/>
    </row>
    <row r="37137" spans="13:13">
      <c r="M37137" s="202"/>
    </row>
    <row r="37138" spans="13:13">
      <c r="M37138" s="202"/>
    </row>
    <row r="37139" spans="13:13">
      <c r="M37139" s="202"/>
    </row>
    <row r="37140" spans="13:13">
      <c r="M37140" s="202"/>
    </row>
    <row r="37141" spans="13:13">
      <c r="M37141" s="202"/>
    </row>
    <row r="37142" spans="13:13">
      <c r="M37142" s="202"/>
    </row>
    <row r="37143" spans="13:13">
      <c r="M37143" s="202"/>
    </row>
    <row r="37144" spans="13:13">
      <c r="M37144" s="202"/>
    </row>
    <row r="37145" spans="13:13">
      <c r="M37145" s="202"/>
    </row>
    <row r="37146" spans="13:13">
      <c r="M37146" s="202"/>
    </row>
    <row r="37147" spans="13:13">
      <c r="M37147" s="202"/>
    </row>
    <row r="37148" spans="13:13">
      <c r="M37148" s="202"/>
    </row>
    <row r="37149" spans="13:13">
      <c r="M37149" s="202"/>
    </row>
    <row r="37150" spans="13:13">
      <c r="M37150" s="202"/>
    </row>
    <row r="37151" spans="13:13">
      <c r="M37151" s="202"/>
    </row>
    <row r="37152" spans="13:13">
      <c r="M37152" s="202"/>
    </row>
    <row r="37153" spans="13:13">
      <c r="M37153" s="202"/>
    </row>
    <row r="37154" spans="13:13">
      <c r="M37154" s="202"/>
    </row>
    <row r="37155" spans="13:13">
      <c r="M37155" s="202"/>
    </row>
    <row r="37156" spans="13:13">
      <c r="M37156" s="202"/>
    </row>
    <row r="37157" spans="13:13">
      <c r="M37157" s="202"/>
    </row>
    <row r="37158" spans="13:13">
      <c r="M37158" s="202"/>
    </row>
    <row r="37159" spans="13:13">
      <c r="M37159" s="202"/>
    </row>
    <row r="37160" spans="13:13">
      <c r="M37160" s="202"/>
    </row>
    <row r="37161" spans="13:13">
      <c r="M37161" s="202"/>
    </row>
    <row r="37162" spans="13:13">
      <c r="M37162" s="202"/>
    </row>
    <row r="37163" spans="13:13">
      <c r="M37163" s="202"/>
    </row>
    <row r="37164" spans="13:13">
      <c r="M37164" s="202"/>
    </row>
    <row r="37165" spans="13:13">
      <c r="M37165" s="202"/>
    </row>
    <row r="37166" spans="13:13">
      <c r="M37166" s="202"/>
    </row>
    <row r="37167" spans="13:13">
      <c r="M37167" s="202"/>
    </row>
    <row r="37168" spans="13:13">
      <c r="M37168" s="202"/>
    </row>
    <row r="37169" spans="13:13">
      <c r="M37169" s="202"/>
    </row>
    <row r="37170" spans="13:13">
      <c r="M37170" s="202"/>
    </row>
    <row r="37171" spans="13:13">
      <c r="M37171" s="202"/>
    </row>
    <row r="37172" spans="13:13">
      <c r="M37172" s="202"/>
    </row>
    <row r="37173" spans="13:13">
      <c r="M37173" s="202"/>
    </row>
    <row r="37174" spans="13:13">
      <c r="M37174" s="202"/>
    </row>
    <row r="37175" spans="13:13">
      <c r="M37175" s="202"/>
    </row>
    <row r="37176" spans="13:13">
      <c r="M37176" s="202"/>
    </row>
    <row r="37177" spans="13:13">
      <c r="M37177" s="202"/>
    </row>
    <row r="37178" spans="13:13">
      <c r="M37178" s="202"/>
    </row>
    <row r="37179" spans="13:13">
      <c r="M37179" s="202"/>
    </row>
    <row r="37180" spans="13:13">
      <c r="M37180" s="202"/>
    </row>
    <row r="37181" spans="13:13">
      <c r="M37181" s="202"/>
    </row>
    <row r="37182" spans="13:13">
      <c r="M37182" s="202"/>
    </row>
    <row r="37183" spans="13:13">
      <c r="M37183" s="202"/>
    </row>
    <row r="37184" spans="13:13">
      <c r="M37184" s="202"/>
    </row>
    <row r="37185" spans="13:13">
      <c r="M37185" s="202"/>
    </row>
    <row r="37186" spans="13:13">
      <c r="M37186" s="202"/>
    </row>
    <row r="37187" spans="13:13">
      <c r="M37187" s="202"/>
    </row>
    <row r="37188" spans="13:13">
      <c r="M37188" s="202"/>
    </row>
    <row r="37189" spans="13:13">
      <c r="M37189" s="202"/>
    </row>
    <row r="37190" spans="13:13">
      <c r="M37190" s="202"/>
    </row>
    <row r="37191" spans="13:13">
      <c r="M37191" s="202"/>
    </row>
    <row r="37192" spans="13:13">
      <c r="M37192" s="202"/>
    </row>
    <row r="37193" spans="13:13">
      <c r="M37193" s="202"/>
    </row>
    <row r="37194" spans="13:13">
      <c r="M37194" s="202"/>
    </row>
    <row r="37195" spans="13:13">
      <c r="M37195" s="202"/>
    </row>
    <row r="37196" spans="13:13">
      <c r="M37196" s="202"/>
    </row>
    <row r="37197" spans="13:13">
      <c r="M37197" s="202"/>
    </row>
    <row r="37198" spans="13:13">
      <c r="M37198" s="202"/>
    </row>
    <row r="37199" spans="13:13">
      <c r="M37199" s="202"/>
    </row>
    <row r="37200" spans="13:13">
      <c r="M37200" s="202"/>
    </row>
    <row r="37201" spans="13:13">
      <c r="M37201" s="202"/>
    </row>
    <row r="37202" spans="13:13">
      <c r="M37202" s="202"/>
    </row>
    <row r="37203" spans="13:13">
      <c r="M37203" s="202"/>
    </row>
    <row r="37204" spans="13:13">
      <c r="M37204" s="202"/>
    </row>
    <row r="37205" spans="13:13">
      <c r="M37205" s="202"/>
    </row>
    <row r="37206" spans="13:13">
      <c r="M37206" s="202"/>
    </row>
    <row r="37207" spans="13:13">
      <c r="M37207" s="202"/>
    </row>
    <row r="37208" spans="13:13">
      <c r="M37208" s="202"/>
    </row>
    <row r="37209" spans="13:13">
      <c r="M37209" s="202"/>
    </row>
    <row r="37210" spans="13:13">
      <c r="M37210" s="202"/>
    </row>
    <row r="37211" spans="13:13">
      <c r="M37211" s="202"/>
    </row>
    <row r="37212" spans="13:13">
      <c r="M37212" s="202"/>
    </row>
    <row r="37213" spans="13:13">
      <c r="M37213" s="202"/>
    </row>
    <row r="37214" spans="13:13">
      <c r="M37214" s="202"/>
    </row>
    <row r="37215" spans="13:13">
      <c r="M37215" s="202"/>
    </row>
    <row r="37216" spans="13:13">
      <c r="M37216" s="202"/>
    </row>
    <row r="37217" spans="13:13">
      <c r="M37217" s="202"/>
    </row>
    <row r="37218" spans="13:13">
      <c r="M37218" s="202"/>
    </row>
    <row r="37219" spans="13:13">
      <c r="M37219" s="202"/>
    </row>
    <row r="37220" spans="13:13">
      <c r="M37220" s="202"/>
    </row>
    <row r="37221" spans="13:13">
      <c r="M37221" s="202"/>
    </row>
    <row r="37222" spans="13:13">
      <c r="M37222" s="202"/>
    </row>
    <row r="37223" spans="13:13">
      <c r="M37223" s="202"/>
    </row>
    <row r="37224" spans="13:13">
      <c r="M37224" s="202"/>
    </row>
    <row r="37225" spans="13:13">
      <c r="M37225" s="202"/>
    </row>
    <row r="37226" spans="13:13">
      <c r="M37226" s="202"/>
    </row>
    <row r="37227" spans="13:13">
      <c r="M37227" s="202"/>
    </row>
    <row r="37228" spans="13:13">
      <c r="M37228" s="202"/>
    </row>
    <row r="37229" spans="13:13">
      <c r="M37229" s="202"/>
    </row>
    <row r="37230" spans="13:13">
      <c r="M37230" s="202"/>
    </row>
    <row r="37231" spans="13:13">
      <c r="M37231" s="202"/>
    </row>
    <row r="37232" spans="13:13">
      <c r="M37232" s="202"/>
    </row>
    <row r="37233" spans="13:13">
      <c r="M37233" s="202"/>
    </row>
    <row r="37234" spans="13:13">
      <c r="M37234" s="202"/>
    </row>
    <row r="37235" spans="13:13">
      <c r="M37235" s="202"/>
    </row>
    <row r="37236" spans="13:13">
      <c r="M37236" s="202"/>
    </row>
    <row r="37237" spans="13:13">
      <c r="M37237" s="202"/>
    </row>
    <row r="37238" spans="13:13">
      <c r="M37238" s="202"/>
    </row>
    <row r="37239" spans="13:13">
      <c r="M37239" s="202"/>
    </row>
    <row r="37240" spans="13:13">
      <c r="M37240" s="202"/>
    </row>
    <row r="37241" spans="13:13">
      <c r="M37241" s="202"/>
    </row>
    <row r="37242" spans="13:13">
      <c r="M37242" s="202"/>
    </row>
    <row r="37243" spans="13:13">
      <c r="M37243" s="202"/>
    </row>
    <row r="37244" spans="13:13">
      <c r="M37244" s="202"/>
    </row>
    <row r="37245" spans="13:13">
      <c r="M37245" s="202"/>
    </row>
    <row r="37246" spans="13:13">
      <c r="M37246" s="202"/>
    </row>
    <row r="37247" spans="13:13">
      <c r="M37247" s="202"/>
    </row>
    <row r="37248" spans="13:13">
      <c r="M37248" s="202"/>
    </row>
    <row r="37249" spans="13:13">
      <c r="M37249" s="202"/>
    </row>
    <row r="37250" spans="13:13">
      <c r="M37250" s="202"/>
    </row>
    <row r="37251" spans="13:13">
      <c r="M37251" s="202"/>
    </row>
    <row r="37252" spans="13:13">
      <c r="M37252" s="202"/>
    </row>
    <row r="37253" spans="13:13">
      <c r="M37253" s="202"/>
    </row>
    <row r="37254" spans="13:13">
      <c r="M37254" s="202"/>
    </row>
    <row r="37255" spans="13:13">
      <c r="M37255" s="202"/>
    </row>
    <row r="37256" spans="13:13">
      <c r="M37256" s="202"/>
    </row>
    <row r="37257" spans="13:13">
      <c r="M37257" s="202"/>
    </row>
    <row r="37258" spans="13:13">
      <c r="M37258" s="202"/>
    </row>
    <row r="37259" spans="13:13">
      <c r="M37259" s="202"/>
    </row>
    <row r="37260" spans="13:13">
      <c r="M37260" s="202"/>
    </row>
    <row r="37261" spans="13:13">
      <c r="M37261" s="202"/>
    </row>
    <row r="37262" spans="13:13">
      <c r="M37262" s="202"/>
    </row>
    <row r="37263" spans="13:13">
      <c r="M37263" s="202"/>
    </row>
    <row r="37264" spans="13:13">
      <c r="M37264" s="202"/>
    </row>
    <row r="37265" spans="13:13">
      <c r="M37265" s="202"/>
    </row>
    <row r="37266" spans="13:13">
      <c r="M37266" s="202"/>
    </row>
    <row r="37267" spans="13:13">
      <c r="M37267" s="202"/>
    </row>
    <row r="37268" spans="13:13">
      <c r="M37268" s="202"/>
    </row>
    <row r="37269" spans="13:13">
      <c r="M37269" s="202"/>
    </row>
    <row r="37270" spans="13:13">
      <c r="M37270" s="202"/>
    </row>
    <row r="37271" spans="13:13">
      <c r="M37271" s="202"/>
    </row>
    <row r="37272" spans="13:13">
      <c r="M37272" s="202"/>
    </row>
    <row r="37273" spans="13:13">
      <c r="M37273" s="202"/>
    </row>
    <row r="37274" spans="13:13">
      <c r="M37274" s="202"/>
    </row>
    <row r="37275" spans="13:13">
      <c r="M37275" s="202"/>
    </row>
    <row r="37276" spans="13:13">
      <c r="M37276" s="202"/>
    </row>
    <row r="37277" spans="13:13">
      <c r="M37277" s="202"/>
    </row>
    <row r="37278" spans="13:13">
      <c r="M37278" s="202"/>
    </row>
    <row r="37279" spans="13:13">
      <c r="M37279" s="202"/>
    </row>
    <row r="37280" spans="13:13">
      <c r="M37280" s="202"/>
    </row>
    <row r="37281" spans="13:13">
      <c r="M37281" s="202"/>
    </row>
    <row r="37282" spans="13:13">
      <c r="M37282" s="202"/>
    </row>
    <row r="37283" spans="13:13">
      <c r="M37283" s="202"/>
    </row>
    <row r="37284" spans="13:13">
      <c r="M37284" s="202"/>
    </row>
    <row r="37285" spans="13:13">
      <c r="M37285" s="202"/>
    </row>
    <row r="37286" spans="13:13">
      <c r="M37286" s="202"/>
    </row>
    <row r="37287" spans="13:13">
      <c r="M37287" s="202"/>
    </row>
    <row r="37288" spans="13:13">
      <c r="M37288" s="202"/>
    </row>
    <row r="37289" spans="13:13">
      <c r="M37289" s="202"/>
    </row>
    <row r="37290" spans="13:13">
      <c r="M37290" s="202"/>
    </row>
    <row r="37291" spans="13:13">
      <c r="M37291" s="202"/>
    </row>
    <row r="37292" spans="13:13">
      <c r="M37292" s="202"/>
    </row>
    <row r="37293" spans="13:13">
      <c r="M37293" s="202"/>
    </row>
    <row r="37294" spans="13:13">
      <c r="M37294" s="202"/>
    </row>
    <row r="37295" spans="13:13">
      <c r="M37295" s="202"/>
    </row>
    <row r="37296" spans="13:13">
      <c r="M37296" s="202"/>
    </row>
    <row r="37297" spans="13:13">
      <c r="M37297" s="202"/>
    </row>
    <row r="37298" spans="13:13">
      <c r="M37298" s="202"/>
    </row>
    <row r="37299" spans="13:13">
      <c r="M37299" s="202"/>
    </row>
    <row r="37300" spans="13:13">
      <c r="M37300" s="202"/>
    </row>
    <row r="37301" spans="13:13">
      <c r="M37301" s="202"/>
    </row>
    <row r="37302" spans="13:13">
      <c r="M37302" s="202"/>
    </row>
    <row r="37303" spans="13:13">
      <c r="M37303" s="202"/>
    </row>
    <row r="37304" spans="13:13">
      <c r="M37304" s="202"/>
    </row>
    <row r="37305" spans="13:13">
      <c r="M37305" s="202"/>
    </row>
    <row r="37306" spans="13:13">
      <c r="M37306" s="202"/>
    </row>
    <row r="37307" spans="13:13">
      <c r="M37307" s="202"/>
    </row>
    <row r="37308" spans="13:13">
      <c r="M37308" s="202"/>
    </row>
    <row r="37309" spans="13:13">
      <c r="M37309" s="202"/>
    </row>
    <row r="37310" spans="13:13">
      <c r="M37310" s="202"/>
    </row>
    <row r="37311" spans="13:13">
      <c r="M37311" s="202"/>
    </row>
    <row r="37312" spans="13:13">
      <c r="M37312" s="202"/>
    </row>
    <row r="37313" spans="13:13">
      <c r="M37313" s="202"/>
    </row>
    <row r="37314" spans="13:13">
      <c r="M37314" s="202"/>
    </row>
    <row r="37315" spans="13:13">
      <c r="M37315" s="202"/>
    </row>
    <row r="37316" spans="13:13">
      <c r="M37316" s="202"/>
    </row>
    <row r="37317" spans="13:13">
      <c r="M37317" s="202"/>
    </row>
    <row r="37318" spans="13:13">
      <c r="M37318" s="202"/>
    </row>
    <row r="37319" spans="13:13">
      <c r="M37319" s="202"/>
    </row>
    <row r="37320" spans="13:13">
      <c r="M37320" s="202"/>
    </row>
    <row r="37321" spans="13:13">
      <c r="M37321" s="202"/>
    </row>
    <row r="37322" spans="13:13">
      <c r="M37322" s="202"/>
    </row>
    <row r="37323" spans="13:13">
      <c r="M37323" s="202"/>
    </row>
    <row r="37324" spans="13:13">
      <c r="M37324" s="202"/>
    </row>
    <row r="37325" spans="13:13">
      <c r="M37325" s="202"/>
    </row>
    <row r="37326" spans="13:13">
      <c r="M37326" s="202"/>
    </row>
    <row r="37327" spans="13:13">
      <c r="M37327" s="202"/>
    </row>
    <row r="37328" spans="13:13">
      <c r="M37328" s="202"/>
    </row>
    <row r="37329" spans="13:13">
      <c r="M37329" s="202"/>
    </row>
    <row r="37330" spans="13:13">
      <c r="M37330" s="202"/>
    </row>
    <row r="37331" spans="13:13">
      <c r="M37331" s="202"/>
    </row>
    <row r="37332" spans="13:13">
      <c r="M37332" s="202"/>
    </row>
    <row r="37333" spans="13:13">
      <c r="M37333" s="202"/>
    </row>
    <row r="37334" spans="13:13">
      <c r="M37334" s="202"/>
    </row>
    <row r="37335" spans="13:13">
      <c r="M37335" s="202"/>
    </row>
    <row r="37336" spans="13:13">
      <c r="M37336" s="202"/>
    </row>
    <row r="37337" spans="13:13">
      <c r="M37337" s="202"/>
    </row>
    <row r="37338" spans="13:13">
      <c r="M37338" s="202"/>
    </row>
    <row r="37339" spans="13:13">
      <c r="M37339" s="202"/>
    </row>
    <row r="37340" spans="13:13">
      <c r="M37340" s="202"/>
    </row>
    <row r="37341" spans="13:13">
      <c r="M37341" s="202"/>
    </row>
    <row r="37342" spans="13:13">
      <c r="M37342" s="202"/>
    </row>
    <row r="37343" spans="13:13">
      <c r="M37343" s="202"/>
    </row>
    <row r="37344" spans="13:13">
      <c r="M37344" s="202"/>
    </row>
    <row r="37345" spans="13:13">
      <c r="M37345" s="202"/>
    </row>
    <row r="37346" spans="13:13">
      <c r="M37346" s="202"/>
    </row>
    <row r="37347" spans="13:13">
      <c r="M37347" s="202"/>
    </row>
    <row r="37348" spans="13:13">
      <c r="M37348" s="202"/>
    </row>
    <row r="37349" spans="13:13">
      <c r="M37349" s="202"/>
    </row>
    <row r="37350" spans="13:13">
      <c r="M37350" s="202"/>
    </row>
    <row r="37351" spans="13:13">
      <c r="M37351" s="202"/>
    </row>
    <row r="37352" spans="13:13">
      <c r="M37352" s="202"/>
    </row>
    <row r="37353" spans="13:13">
      <c r="M37353" s="202"/>
    </row>
    <row r="37354" spans="13:13">
      <c r="M37354" s="202"/>
    </row>
    <row r="37355" spans="13:13">
      <c r="M37355" s="202"/>
    </row>
    <row r="37356" spans="13:13">
      <c r="M37356" s="202"/>
    </row>
    <row r="37357" spans="13:13">
      <c r="M37357" s="202"/>
    </row>
    <row r="37358" spans="13:13">
      <c r="M37358" s="202"/>
    </row>
    <row r="37359" spans="13:13">
      <c r="M37359" s="202"/>
    </row>
    <row r="37360" spans="13:13">
      <c r="M37360" s="202"/>
    </row>
    <row r="37361" spans="13:13">
      <c r="M37361" s="202"/>
    </row>
    <row r="37362" spans="13:13">
      <c r="M37362" s="202"/>
    </row>
    <row r="37363" spans="13:13">
      <c r="M37363" s="202"/>
    </row>
    <row r="37364" spans="13:13">
      <c r="M37364" s="202"/>
    </row>
    <row r="37365" spans="13:13">
      <c r="M37365" s="202"/>
    </row>
    <row r="37366" spans="13:13">
      <c r="M37366" s="202"/>
    </row>
    <row r="37367" spans="13:13">
      <c r="M37367" s="202"/>
    </row>
    <row r="37368" spans="13:13">
      <c r="M37368" s="202"/>
    </row>
    <row r="37369" spans="13:13">
      <c r="M37369" s="202"/>
    </row>
    <row r="37370" spans="13:13">
      <c r="M37370" s="202"/>
    </row>
    <row r="37371" spans="13:13">
      <c r="M37371" s="202"/>
    </row>
    <row r="37372" spans="13:13">
      <c r="M37372" s="202"/>
    </row>
    <row r="37373" spans="13:13">
      <c r="M37373" s="202"/>
    </row>
    <row r="37374" spans="13:13">
      <c r="M37374" s="202"/>
    </row>
    <row r="37375" spans="13:13">
      <c r="M37375" s="202"/>
    </row>
    <row r="37376" spans="13:13">
      <c r="M37376" s="202"/>
    </row>
    <row r="37377" spans="13:13">
      <c r="M37377" s="202"/>
    </row>
    <row r="37378" spans="13:13">
      <c r="M37378" s="202"/>
    </row>
    <row r="37379" spans="13:13">
      <c r="M37379" s="202"/>
    </row>
    <row r="37380" spans="13:13">
      <c r="M37380" s="202"/>
    </row>
    <row r="37381" spans="13:13">
      <c r="M37381" s="202"/>
    </row>
    <row r="37382" spans="13:13">
      <c r="M37382" s="202"/>
    </row>
    <row r="37383" spans="13:13">
      <c r="M37383" s="202"/>
    </row>
    <row r="37384" spans="13:13">
      <c r="M37384" s="202"/>
    </row>
    <row r="37385" spans="13:13">
      <c r="M37385" s="202"/>
    </row>
    <row r="37386" spans="13:13">
      <c r="M37386" s="202"/>
    </row>
    <row r="37387" spans="13:13">
      <c r="M37387" s="202"/>
    </row>
    <row r="37388" spans="13:13">
      <c r="M37388" s="202"/>
    </row>
    <row r="37389" spans="13:13">
      <c r="M37389" s="202"/>
    </row>
    <row r="37390" spans="13:13">
      <c r="M37390" s="202"/>
    </row>
    <row r="37391" spans="13:13">
      <c r="M37391" s="202"/>
    </row>
    <row r="37392" spans="13:13">
      <c r="M37392" s="202"/>
    </row>
    <row r="37393" spans="13:13">
      <c r="M37393" s="202"/>
    </row>
    <row r="37394" spans="13:13">
      <c r="M37394" s="202"/>
    </row>
    <row r="37395" spans="13:13">
      <c r="M37395" s="202"/>
    </row>
    <row r="37396" spans="13:13">
      <c r="M37396" s="202"/>
    </row>
    <row r="37397" spans="13:13">
      <c r="M37397" s="202"/>
    </row>
    <row r="37398" spans="13:13">
      <c r="M37398" s="202"/>
    </row>
    <row r="37399" spans="13:13">
      <c r="M37399" s="202"/>
    </row>
    <row r="37400" spans="13:13">
      <c r="M37400" s="202"/>
    </row>
    <row r="37401" spans="13:13">
      <c r="M37401" s="202"/>
    </row>
    <row r="37402" spans="13:13">
      <c r="M37402" s="202"/>
    </row>
    <row r="37403" spans="13:13">
      <c r="M37403" s="202"/>
    </row>
    <row r="37404" spans="13:13">
      <c r="M37404" s="202"/>
    </row>
    <row r="37405" spans="13:13">
      <c r="M37405" s="202"/>
    </row>
    <row r="37406" spans="13:13">
      <c r="M37406" s="202"/>
    </row>
    <row r="37407" spans="13:13">
      <c r="M37407" s="202"/>
    </row>
    <row r="37408" spans="13:13">
      <c r="M37408" s="202"/>
    </row>
    <row r="37409" spans="13:13">
      <c r="M37409" s="202"/>
    </row>
    <row r="37410" spans="13:13">
      <c r="M37410" s="202"/>
    </row>
    <row r="37411" spans="13:13">
      <c r="M37411" s="202"/>
    </row>
    <row r="37412" spans="13:13">
      <c r="M37412" s="202"/>
    </row>
    <row r="37413" spans="13:13">
      <c r="M37413" s="202"/>
    </row>
    <row r="37414" spans="13:13">
      <c r="M37414" s="202"/>
    </row>
    <row r="37415" spans="13:13">
      <c r="M37415" s="202"/>
    </row>
    <row r="37416" spans="13:13">
      <c r="M37416" s="202"/>
    </row>
    <row r="37417" spans="13:13">
      <c r="M37417" s="202"/>
    </row>
    <row r="37418" spans="13:13">
      <c r="M37418" s="202"/>
    </row>
    <row r="37419" spans="13:13">
      <c r="M37419" s="202"/>
    </row>
    <row r="37420" spans="13:13">
      <c r="M37420" s="202"/>
    </row>
    <row r="37421" spans="13:13">
      <c r="M37421" s="202"/>
    </row>
    <row r="37422" spans="13:13">
      <c r="M37422" s="202"/>
    </row>
    <row r="37423" spans="13:13">
      <c r="M37423" s="202"/>
    </row>
    <row r="37424" spans="13:13">
      <c r="M37424" s="202"/>
    </row>
    <row r="37425" spans="13:13">
      <c r="M37425" s="202"/>
    </row>
    <row r="37426" spans="13:13">
      <c r="M37426" s="202"/>
    </row>
    <row r="37427" spans="13:13">
      <c r="M37427" s="202"/>
    </row>
    <row r="37428" spans="13:13">
      <c r="M37428" s="202"/>
    </row>
    <row r="37429" spans="13:13">
      <c r="M37429" s="202"/>
    </row>
    <row r="37430" spans="13:13">
      <c r="M37430" s="202"/>
    </row>
    <row r="37431" spans="13:13">
      <c r="M37431" s="202"/>
    </row>
    <row r="37432" spans="13:13">
      <c r="M37432" s="202"/>
    </row>
    <row r="37433" spans="13:13">
      <c r="M37433" s="202"/>
    </row>
    <row r="37434" spans="13:13">
      <c r="M37434" s="202"/>
    </row>
    <row r="37435" spans="13:13">
      <c r="M37435" s="202"/>
    </row>
    <row r="37436" spans="13:13">
      <c r="M37436" s="202"/>
    </row>
    <row r="37437" spans="13:13">
      <c r="M37437" s="202"/>
    </row>
    <row r="37438" spans="13:13">
      <c r="M37438" s="202"/>
    </row>
    <row r="37439" spans="13:13">
      <c r="M37439" s="202"/>
    </row>
    <row r="37440" spans="13:13">
      <c r="M37440" s="202"/>
    </row>
    <row r="37441" spans="13:13">
      <c r="M37441" s="202"/>
    </row>
    <row r="37442" spans="13:13">
      <c r="M37442" s="202"/>
    </row>
    <row r="37443" spans="13:13">
      <c r="M37443" s="202"/>
    </row>
    <row r="37444" spans="13:13">
      <c r="M37444" s="202"/>
    </row>
    <row r="37445" spans="13:13">
      <c r="M37445" s="202"/>
    </row>
    <row r="37446" spans="13:13">
      <c r="M37446" s="202"/>
    </row>
    <row r="37447" spans="13:13">
      <c r="M37447" s="202"/>
    </row>
    <row r="37448" spans="13:13">
      <c r="M37448" s="202"/>
    </row>
    <row r="37449" spans="13:13">
      <c r="M37449" s="202"/>
    </row>
    <row r="37450" spans="13:13">
      <c r="M37450" s="202"/>
    </row>
    <row r="37451" spans="13:13">
      <c r="M37451" s="202"/>
    </row>
    <row r="37452" spans="13:13">
      <c r="M37452" s="202"/>
    </row>
    <row r="37453" spans="13:13">
      <c r="M37453" s="202"/>
    </row>
    <row r="37454" spans="13:13">
      <c r="M37454" s="202"/>
    </row>
    <row r="37455" spans="13:13">
      <c r="M37455" s="202"/>
    </row>
    <row r="37456" spans="13:13">
      <c r="M37456" s="202"/>
    </row>
    <row r="37457" spans="13:13">
      <c r="M37457" s="202"/>
    </row>
    <row r="37458" spans="13:13">
      <c r="M37458" s="202"/>
    </row>
    <row r="37459" spans="13:13">
      <c r="M37459" s="202"/>
    </row>
    <row r="37460" spans="13:13">
      <c r="M37460" s="202"/>
    </row>
    <row r="37461" spans="13:13">
      <c r="M37461" s="202"/>
    </row>
    <row r="37462" spans="13:13">
      <c r="M37462" s="202"/>
    </row>
    <row r="37463" spans="13:13">
      <c r="M37463" s="202"/>
    </row>
    <row r="37464" spans="13:13">
      <c r="M37464" s="202"/>
    </row>
    <row r="37465" spans="13:13">
      <c r="M37465" s="202"/>
    </row>
    <row r="37466" spans="13:13">
      <c r="M37466" s="202"/>
    </row>
    <row r="37467" spans="13:13">
      <c r="M37467" s="202"/>
    </row>
    <row r="37468" spans="13:13">
      <c r="M37468" s="202"/>
    </row>
    <row r="37469" spans="13:13">
      <c r="M37469" s="202"/>
    </row>
    <row r="37470" spans="13:13">
      <c r="M37470" s="202"/>
    </row>
    <row r="37471" spans="13:13">
      <c r="M37471" s="202"/>
    </row>
    <row r="37472" spans="13:13">
      <c r="M37472" s="202"/>
    </row>
    <row r="37473" spans="13:13">
      <c r="M37473" s="202"/>
    </row>
    <row r="37474" spans="13:13">
      <c r="M37474" s="202"/>
    </row>
    <row r="37475" spans="13:13">
      <c r="M37475" s="202"/>
    </row>
    <row r="37476" spans="13:13">
      <c r="M37476" s="202"/>
    </row>
    <row r="37477" spans="13:13">
      <c r="M37477" s="202"/>
    </row>
    <row r="37478" spans="13:13">
      <c r="M37478" s="202"/>
    </row>
    <row r="37479" spans="13:13">
      <c r="M37479" s="202"/>
    </row>
    <row r="37480" spans="13:13">
      <c r="M37480" s="202"/>
    </row>
    <row r="37481" spans="13:13">
      <c r="M37481" s="202"/>
    </row>
    <row r="37482" spans="13:13">
      <c r="M37482" s="202"/>
    </row>
    <row r="37483" spans="13:13">
      <c r="M37483" s="202"/>
    </row>
    <row r="37484" spans="13:13">
      <c r="M37484" s="202"/>
    </row>
    <row r="37485" spans="13:13">
      <c r="M37485" s="202"/>
    </row>
    <row r="37486" spans="13:13">
      <c r="M37486" s="202"/>
    </row>
    <row r="37487" spans="13:13">
      <c r="M37487" s="202"/>
    </row>
    <row r="37488" spans="13:13">
      <c r="M37488" s="202"/>
    </row>
    <row r="37489" spans="13:13">
      <c r="M37489" s="202"/>
    </row>
    <row r="37490" spans="13:13">
      <c r="M37490" s="202"/>
    </row>
    <row r="37491" spans="13:13">
      <c r="M37491" s="202"/>
    </row>
    <row r="37492" spans="13:13">
      <c r="M37492" s="202"/>
    </row>
    <row r="37493" spans="13:13">
      <c r="M37493" s="202"/>
    </row>
    <row r="37494" spans="13:13">
      <c r="M37494" s="202"/>
    </row>
    <row r="37495" spans="13:13">
      <c r="M37495" s="202"/>
    </row>
    <row r="37496" spans="13:13">
      <c r="M37496" s="202"/>
    </row>
    <row r="37497" spans="13:13">
      <c r="M37497" s="202"/>
    </row>
    <row r="37498" spans="13:13">
      <c r="M37498" s="202"/>
    </row>
    <row r="37499" spans="13:13">
      <c r="M37499" s="202"/>
    </row>
    <row r="37500" spans="13:13">
      <c r="M37500" s="202"/>
    </row>
    <row r="37501" spans="13:13">
      <c r="M37501" s="202"/>
    </row>
    <row r="37502" spans="13:13">
      <c r="M37502" s="202"/>
    </row>
    <row r="37503" spans="13:13">
      <c r="M37503" s="202"/>
    </row>
    <row r="37504" spans="13:13">
      <c r="M37504" s="202"/>
    </row>
    <row r="37505" spans="13:13">
      <c r="M37505" s="202"/>
    </row>
    <row r="37506" spans="13:13">
      <c r="M37506" s="202"/>
    </row>
    <row r="37507" spans="13:13">
      <c r="M37507" s="202"/>
    </row>
    <row r="37508" spans="13:13">
      <c r="M37508" s="202"/>
    </row>
    <row r="37509" spans="13:13">
      <c r="M37509" s="202"/>
    </row>
    <row r="37510" spans="13:13">
      <c r="M37510" s="202"/>
    </row>
    <row r="37511" spans="13:13">
      <c r="M37511" s="202"/>
    </row>
    <row r="37512" spans="13:13">
      <c r="M37512" s="202"/>
    </row>
    <row r="37513" spans="13:13">
      <c r="M37513" s="202"/>
    </row>
    <row r="37514" spans="13:13">
      <c r="M37514" s="202"/>
    </row>
    <row r="37515" spans="13:13">
      <c r="M37515" s="202"/>
    </row>
    <row r="37516" spans="13:13">
      <c r="M37516" s="202"/>
    </row>
    <row r="37517" spans="13:13">
      <c r="M37517" s="202"/>
    </row>
    <row r="37518" spans="13:13">
      <c r="M37518" s="202"/>
    </row>
    <row r="37519" spans="13:13">
      <c r="M37519" s="202"/>
    </row>
    <row r="37520" spans="13:13">
      <c r="M37520" s="202"/>
    </row>
    <row r="37521" spans="13:13">
      <c r="M37521" s="202"/>
    </row>
    <row r="37522" spans="13:13">
      <c r="M37522" s="202"/>
    </row>
    <row r="37523" spans="13:13">
      <c r="M37523" s="202"/>
    </row>
    <row r="37524" spans="13:13">
      <c r="M37524" s="202"/>
    </row>
    <row r="37525" spans="13:13">
      <c r="M37525" s="202"/>
    </row>
    <row r="37526" spans="13:13">
      <c r="M37526" s="202"/>
    </row>
    <row r="37527" spans="13:13">
      <c r="M37527" s="202"/>
    </row>
    <row r="37528" spans="13:13">
      <c r="M37528" s="202"/>
    </row>
    <row r="37529" spans="13:13">
      <c r="M37529" s="202"/>
    </row>
    <row r="37530" spans="13:13">
      <c r="M37530" s="202"/>
    </row>
    <row r="37531" spans="13:13">
      <c r="M37531" s="202"/>
    </row>
    <row r="37532" spans="13:13">
      <c r="M37532" s="202"/>
    </row>
    <row r="37533" spans="13:13">
      <c r="M37533" s="202"/>
    </row>
    <row r="37534" spans="13:13">
      <c r="M37534" s="202"/>
    </row>
    <row r="37535" spans="13:13">
      <c r="M37535" s="202"/>
    </row>
    <row r="37536" spans="13:13">
      <c r="M37536" s="202"/>
    </row>
    <row r="37537" spans="13:13">
      <c r="M37537" s="202"/>
    </row>
    <row r="37538" spans="13:13">
      <c r="M37538" s="202"/>
    </row>
    <row r="37539" spans="13:13">
      <c r="M37539" s="202"/>
    </row>
    <row r="37540" spans="13:13">
      <c r="M37540" s="202"/>
    </row>
    <row r="37541" spans="13:13">
      <c r="M37541" s="202"/>
    </row>
    <row r="37542" spans="13:13">
      <c r="M37542" s="202"/>
    </row>
    <row r="37543" spans="13:13">
      <c r="M37543" s="202"/>
    </row>
    <row r="37544" spans="13:13">
      <c r="M37544" s="202"/>
    </row>
    <row r="37545" spans="13:13">
      <c r="M37545" s="202"/>
    </row>
    <row r="37546" spans="13:13">
      <c r="M37546" s="202"/>
    </row>
    <row r="37547" spans="13:13">
      <c r="M37547" s="202"/>
    </row>
    <row r="37548" spans="13:13">
      <c r="M37548" s="202"/>
    </row>
    <row r="37549" spans="13:13">
      <c r="M37549" s="202"/>
    </row>
    <row r="37550" spans="13:13">
      <c r="M37550" s="202"/>
    </row>
    <row r="37551" spans="13:13">
      <c r="M37551" s="202"/>
    </row>
    <row r="37552" spans="13:13">
      <c r="M37552" s="202"/>
    </row>
    <row r="37553" spans="13:13">
      <c r="M37553" s="202"/>
    </row>
    <row r="37554" spans="13:13">
      <c r="M37554" s="202"/>
    </row>
    <row r="37555" spans="13:13">
      <c r="M37555" s="202"/>
    </row>
    <row r="37556" spans="13:13">
      <c r="M37556" s="202"/>
    </row>
    <row r="37557" spans="13:13">
      <c r="M37557" s="202"/>
    </row>
    <row r="37558" spans="13:13">
      <c r="M37558" s="202"/>
    </row>
    <row r="37559" spans="13:13">
      <c r="M37559" s="202"/>
    </row>
    <row r="37560" spans="13:13">
      <c r="M37560" s="202"/>
    </row>
    <row r="37561" spans="13:13">
      <c r="M37561" s="202"/>
    </row>
    <row r="37562" spans="13:13">
      <c r="M37562" s="202"/>
    </row>
    <row r="37563" spans="13:13">
      <c r="M37563" s="202"/>
    </row>
    <row r="37564" spans="13:13">
      <c r="M37564" s="202"/>
    </row>
    <row r="37565" spans="13:13">
      <c r="M37565" s="202"/>
    </row>
    <row r="37566" spans="13:13">
      <c r="M37566" s="202"/>
    </row>
    <row r="37567" spans="13:13">
      <c r="M37567" s="202"/>
    </row>
    <row r="37568" spans="13:13">
      <c r="M37568" s="202"/>
    </row>
    <row r="37569" spans="13:13">
      <c r="M37569" s="202"/>
    </row>
    <row r="37570" spans="13:13">
      <c r="M37570" s="202"/>
    </row>
    <row r="37571" spans="13:13">
      <c r="M37571" s="202"/>
    </row>
    <row r="37572" spans="13:13">
      <c r="M37572" s="202"/>
    </row>
    <row r="37573" spans="13:13">
      <c r="M37573" s="202"/>
    </row>
    <row r="37574" spans="13:13">
      <c r="M37574" s="202"/>
    </row>
    <row r="37575" spans="13:13">
      <c r="M37575" s="202"/>
    </row>
    <row r="37576" spans="13:13">
      <c r="M37576" s="202"/>
    </row>
    <row r="37577" spans="13:13">
      <c r="M37577" s="202"/>
    </row>
    <row r="37578" spans="13:13">
      <c r="M37578" s="202"/>
    </row>
    <row r="37579" spans="13:13">
      <c r="M37579" s="202"/>
    </row>
    <row r="37580" spans="13:13">
      <c r="M37580" s="202"/>
    </row>
    <row r="37581" spans="13:13">
      <c r="M37581" s="202"/>
    </row>
    <row r="37582" spans="13:13">
      <c r="M37582" s="202"/>
    </row>
    <row r="37583" spans="13:13">
      <c r="M37583" s="202"/>
    </row>
    <row r="37584" spans="13:13">
      <c r="M37584" s="202"/>
    </row>
    <row r="37585" spans="13:13">
      <c r="M37585" s="202"/>
    </row>
    <row r="37586" spans="13:13">
      <c r="M37586" s="202"/>
    </row>
    <row r="37587" spans="13:13">
      <c r="M37587" s="202"/>
    </row>
    <row r="37588" spans="13:13">
      <c r="M37588" s="202"/>
    </row>
    <row r="37589" spans="13:13">
      <c r="M37589" s="202"/>
    </row>
    <row r="37590" spans="13:13">
      <c r="M37590" s="202"/>
    </row>
    <row r="37591" spans="13:13">
      <c r="M37591" s="202"/>
    </row>
    <row r="37592" spans="13:13">
      <c r="M37592" s="202"/>
    </row>
    <row r="37593" spans="13:13">
      <c r="M37593" s="202"/>
    </row>
    <row r="37594" spans="13:13">
      <c r="M37594" s="202"/>
    </row>
    <row r="37595" spans="13:13">
      <c r="M37595" s="202"/>
    </row>
    <row r="37596" spans="13:13">
      <c r="M37596" s="202"/>
    </row>
    <row r="37597" spans="13:13">
      <c r="M37597" s="202"/>
    </row>
    <row r="37598" spans="13:13">
      <c r="M37598" s="202"/>
    </row>
    <row r="37599" spans="13:13">
      <c r="M37599" s="202"/>
    </row>
    <row r="37600" spans="13:13">
      <c r="M37600" s="202"/>
    </row>
    <row r="37601" spans="13:13">
      <c r="M37601" s="202"/>
    </row>
    <row r="37602" spans="13:13">
      <c r="M37602" s="202"/>
    </row>
    <row r="37603" spans="13:13">
      <c r="M37603" s="202"/>
    </row>
    <row r="37604" spans="13:13">
      <c r="M37604" s="202"/>
    </row>
    <row r="37605" spans="13:13">
      <c r="M37605" s="202"/>
    </row>
    <row r="37606" spans="13:13">
      <c r="M37606" s="202"/>
    </row>
    <row r="37607" spans="13:13">
      <c r="M37607" s="202"/>
    </row>
    <row r="37608" spans="13:13">
      <c r="M37608" s="202"/>
    </row>
    <row r="37609" spans="13:13">
      <c r="M37609" s="202"/>
    </row>
    <row r="37610" spans="13:13">
      <c r="M37610" s="202"/>
    </row>
    <row r="37611" spans="13:13">
      <c r="M37611" s="202"/>
    </row>
    <row r="37612" spans="13:13">
      <c r="M37612" s="202"/>
    </row>
    <row r="37613" spans="13:13">
      <c r="M37613" s="202"/>
    </row>
    <row r="37614" spans="13:13">
      <c r="M37614" s="202"/>
    </row>
    <row r="37615" spans="13:13">
      <c r="M37615" s="202"/>
    </row>
    <row r="37616" spans="13:13">
      <c r="M37616" s="202"/>
    </row>
    <row r="37617" spans="13:13">
      <c r="M37617" s="202"/>
    </row>
    <row r="37618" spans="13:13">
      <c r="M37618" s="202"/>
    </row>
    <row r="37619" spans="13:13">
      <c r="M37619" s="202"/>
    </row>
    <row r="37620" spans="13:13">
      <c r="M37620" s="202"/>
    </row>
    <row r="37621" spans="13:13">
      <c r="M37621" s="202"/>
    </row>
    <row r="37622" spans="13:13">
      <c r="M37622" s="202"/>
    </row>
    <row r="37623" spans="13:13">
      <c r="M37623" s="202"/>
    </row>
    <row r="37624" spans="13:13">
      <c r="M37624" s="202"/>
    </row>
    <row r="37625" spans="13:13">
      <c r="M37625" s="202"/>
    </row>
    <row r="37626" spans="13:13">
      <c r="M37626" s="202"/>
    </row>
    <row r="37627" spans="13:13">
      <c r="M37627" s="202"/>
    </row>
    <row r="37628" spans="13:13">
      <c r="M37628" s="202"/>
    </row>
    <row r="37629" spans="13:13">
      <c r="M37629" s="202"/>
    </row>
    <row r="37630" spans="13:13">
      <c r="M37630" s="202"/>
    </row>
    <row r="37631" spans="13:13">
      <c r="M37631" s="202"/>
    </row>
    <row r="37632" spans="13:13">
      <c r="M37632" s="202"/>
    </row>
    <row r="37633" spans="13:13">
      <c r="M37633" s="202"/>
    </row>
    <row r="37634" spans="13:13">
      <c r="M37634" s="202"/>
    </row>
    <row r="37635" spans="13:13">
      <c r="M37635" s="202"/>
    </row>
    <row r="37636" spans="13:13">
      <c r="M37636" s="202"/>
    </row>
    <row r="37637" spans="13:13">
      <c r="M37637" s="202"/>
    </row>
    <row r="37638" spans="13:13">
      <c r="M37638" s="202"/>
    </row>
    <row r="37639" spans="13:13">
      <c r="M37639" s="202"/>
    </row>
    <row r="37640" spans="13:13">
      <c r="M37640" s="202"/>
    </row>
    <row r="37641" spans="13:13">
      <c r="M37641" s="202"/>
    </row>
    <row r="37642" spans="13:13">
      <c r="M37642" s="202"/>
    </row>
    <row r="37643" spans="13:13">
      <c r="M37643" s="202"/>
    </row>
    <row r="37644" spans="13:13">
      <c r="M37644" s="202"/>
    </row>
    <row r="37645" spans="13:13">
      <c r="M37645" s="202"/>
    </row>
    <row r="37646" spans="13:13">
      <c r="M37646" s="202"/>
    </row>
    <row r="37647" spans="13:13">
      <c r="M37647" s="202"/>
    </row>
    <row r="37648" spans="13:13">
      <c r="M37648" s="202"/>
    </row>
    <row r="37649" spans="13:13">
      <c r="M37649" s="202"/>
    </row>
    <row r="37650" spans="13:13">
      <c r="M37650" s="202"/>
    </row>
    <row r="37651" spans="13:13">
      <c r="M37651" s="202"/>
    </row>
    <row r="37652" spans="13:13">
      <c r="M37652" s="202"/>
    </row>
    <row r="37653" spans="13:13">
      <c r="M37653" s="202"/>
    </row>
    <row r="37654" spans="13:13">
      <c r="M37654" s="202"/>
    </row>
    <row r="37655" spans="13:13">
      <c r="M37655" s="202"/>
    </row>
    <row r="37656" spans="13:13">
      <c r="M37656" s="202"/>
    </row>
    <row r="37657" spans="13:13">
      <c r="M37657" s="202"/>
    </row>
    <row r="37658" spans="13:13">
      <c r="M37658" s="202"/>
    </row>
    <row r="37659" spans="13:13">
      <c r="M37659" s="202"/>
    </row>
    <row r="37660" spans="13:13">
      <c r="M37660" s="202"/>
    </row>
    <row r="37661" spans="13:13">
      <c r="M37661" s="202"/>
    </row>
    <row r="37662" spans="13:13">
      <c r="M37662" s="202"/>
    </row>
    <row r="37663" spans="13:13">
      <c r="M37663" s="202"/>
    </row>
    <row r="37664" spans="13:13">
      <c r="M37664" s="202"/>
    </row>
    <row r="37665" spans="13:13">
      <c r="M37665" s="202"/>
    </row>
    <row r="37666" spans="13:13">
      <c r="M37666" s="202"/>
    </row>
    <row r="37667" spans="13:13">
      <c r="M37667" s="202"/>
    </row>
    <row r="37668" spans="13:13">
      <c r="M37668" s="202"/>
    </row>
    <row r="37669" spans="13:13">
      <c r="M37669" s="202"/>
    </row>
    <row r="37670" spans="13:13">
      <c r="M37670" s="202"/>
    </row>
    <row r="37671" spans="13:13">
      <c r="M37671" s="202"/>
    </row>
    <row r="37672" spans="13:13">
      <c r="M37672" s="202"/>
    </row>
    <row r="37673" spans="13:13">
      <c r="M37673" s="202"/>
    </row>
    <row r="37674" spans="13:13">
      <c r="M37674" s="202"/>
    </row>
    <row r="37675" spans="13:13">
      <c r="M37675" s="202"/>
    </row>
    <row r="37676" spans="13:13">
      <c r="M37676" s="202"/>
    </row>
    <row r="37677" spans="13:13">
      <c r="M37677" s="202"/>
    </row>
    <row r="37678" spans="13:13">
      <c r="M37678" s="202"/>
    </row>
    <row r="37679" spans="13:13">
      <c r="M37679" s="202"/>
    </row>
    <row r="37680" spans="13:13">
      <c r="M37680" s="202"/>
    </row>
    <row r="37681" spans="13:13">
      <c r="M37681" s="202"/>
    </row>
    <row r="37682" spans="13:13">
      <c r="M37682" s="202"/>
    </row>
    <row r="37683" spans="13:13">
      <c r="M37683" s="202"/>
    </row>
    <row r="37684" spans="13:13">
      <c r="M37684" s="202"/>
    </row>
    <row r="37685" spans="13:13">
      <c r="M37685" s="202"/>
    </row>
    <row r="37686" spans="13:13">
      <c r="M37686" s="202"/>
    </row>
    <row r="37687" spans="13:13">
      <c r="M37687" s="202"/>
    </row>
    <row r="37688" spans="13:13">
      <c r="M37688" s="202"/>
    </row>
    <row r="37689" spans="13:13">
      <c r="M37689" s="202"/>
    </row>
    <row r="37690" spans="13:13">
      <c r="M37690" s="202"/>
    </row>
    <row r="37691" spans="13:13">
      <c r="M37691" s="202"/>
    </row>
    <row r="37692" spans="13:13">
      <c r="M37692" s="202"/>
    </row>
    <row r="37693" spans="13:13">
      <c r="M37693" s="202"/>
    </row>
    <row r="37694" spans="13:13">
      <c r="M37694" s="202"/>
    </row>
    <row r="37695" spans="13:13">
      <c r="M37695" s="202"/>
    </row>
    <row r="37696" spans="13:13">
      <c r="M37696" s="202"/>
    </row>
    <row r="37697" spans="13:13">
      <c r="M37697" s="202"/>
    </row>
    <row r="37698" spans="13:13">
      <c r="M37698" s="202"/>
    </row>
    <row r="37699" spans="13:13">
      <c r="M37699" s="202"/>
    </row>
    <row r="37700" spans="13:13">
      <c r="M37700" s="202"/>
    </row>
    <row r="37701" spans="13:13">
      <c r="M37701" s="202"/>
    </row>
    <row r="37702" spans="13:13">
      <c r="M37702" s="202"/>
    </row>
    <row r="37703" spans="13:13">
      <c r="M37703" s="202"/>
    </row>
    <row r="37704" spans="13:13">
      <c r="M37704" s="202"/>
    </row>
    <row r="37705" spans="13:13">
      <c r="M37705" s="202"/>
    </row>
    <row r="37706" spans="13:13">
      <c r="M37706" s="202"/>
    </row>
    <row r="37707" spans="13:13">
      <c r="M37707" s="202"/>
    </row>
    <row r="37708" spans="13:13">
      <c r="M37708" s="202"/>
    </row>
    <row r="37709" spans="13:13">
      <c r="M37709" s="202"/>
    </row>
    <row r="37710" spans="13:13">
      <c r="M37710" s="202"/>
    </row>
    <row r="37711" spans="13:13">
      <c r="M37711" s="202"/>
    </row>
    <row r="37712" spans="13:13">
      <c r="M37712" s="202"/>
    </row>
    <row r="37713" spans="13:13">
      <c r="M37713" s="202"/>
    </row>
    <row r="37714" spans="13:13">
      <c r="M37714" s="202"/>
    </row>
    <row r="37715" spans="13:13">
      <c r="M37715" s="202"/>
    </row>
    <row r="37716" spans="13:13">
      <c r="M37716" s="202"/>
    </row>
    <row r="37717" spans="13:13">
      <c r="M37717" s="202"/>
    </row>
    <row r="37718" spans="13:13">
      <c r="M37718" s="202"/>
    </row>
    <row r="37719" spans="13:13">
      <c r="M37719" s="202"/>
    </row>
    <row r="37720" spans="13:13">
      <c r="M37720" s="202"/>
    </row>
    <row r="37721" spans="13:13">
      <c r="M37721" s="202"/>
    </row>
    <row r="37722" spans="13:13">
      <c r="M37722" s="202"/>
    </row>
    <row r="37723" spans="13:13">
      <c r="M37723" s="202"/>
    </row>
    <row r="37724" spans="13:13">
      <c r="M37724" s="202"/>
    </row>
    <row r="37725" spans="13:13">
      <c r="M37725" s="202"/>
    </row>
    <row r="37726" spans="13:13">
      <c r="M37726" s="202"/>
    </row>
    <row r="37727" spans="13:13">
      <c r="M37727" s="202"/>
    </row>
    <row r="37728" spans="13:13">
      <c r="M37728" s="202"/>
    </row>
    <row r="37729" spans="13:13">
      <c r="M37729" s="202"/>
    </row>
    <row r="37730" spans="13:13">
      <c r="M37730" s="202"/>
    </row>
    <row r="37731" spans="13:13">
      <c r="M37731" s="202"/>
    </row>
    <row r="37732" spans="13:13">
      <c r="M37732" s="202"/>
    </row>
    <row r="37733" spans="13:13">
      <c r="M37733" s="202"/>
    </row>
    <row r="37734" spans="13:13">
      <c r="M37734" s="202"/>
    </row>
    <row r="37735" spans="13:13">
      <c r="M37735" s="202"/>
    </row>
    <row r="37736" spans="13:13">
      <c r="M37736" s="202"/>
    </row>
    <row r="37737" spans="13:13">
      <c r="M37737" s="202"/>
    </row>
    <row r="37738" spans="13:13">
      <c r="M37738" s="202"/>
    </row>
    <row r="37739" spans="13:13">
      <c r="M37739" s="202"/>
    </row>
    <row r="37740" spans="13:13">
      <c r="M37740" s="202"/>
    </row>
    <row r="37741" spans="13:13">
      <c r="M37741" s="202"/>
    </row>
    <row r="37742" spans="13:13">
      <c r="M37742" s="202"/>
    </row>
    <row r="37743" spans="13:13">
      <c r="M37743" s="202"/>
    </row>
    <row r="37744" spans="13:13">
      <c r="M37744" s="202"/>
    </row>
    <row r="37745" spans="13:13">
      <c r="M37745" s="202"/>
    </row>
    <row r="37746" spans="13:13">
      <c r="M37746" s="202"/>
    </row>
    <row r="37747" spans="13:13">
      <c r="M37747" s="202"/>
    </row>
    <row r="37748" spans="13:13">
      <c r="M37748" s="202"/>
    </row>
    <row r="37749" spans="13:13">
      <c r="M37749" s="202"/>
    </row>
    <row r="37750" spans="13:13">
      <c r="M37750" s="202"/>
    </row>
    <row r="37751" spans="13:13">
      <c r="M37751" s="202"/>
    </row>
    <row r="37752" spans="13:13">
      <c r="M37752" s="202"/>
    </row>
    <row r="37753" spans="13:13">
      <c r="M37753" s="202"/>
    </row>
    <row r="37754" spans="13:13">
      <c r="M37754" s="202"/>
    </row>
    <row r="37755" spans="13:13">
      <c r="M37755" s="202"/>
    </row>
    <row r="37756" spans="13:13">
      <c r="M37756" s="202"/>
    </row>
    <row r="37757" spans="13:13">
      <c r="M37757" s="202"/>
    </row>
    <row r="37758" spans="13:13">
      <c r="M37758" s="202"/>
    </row>
    <row r="37759" spans="13:13">
      <c r="M37759" s="202"/>
    </row>
    <row r="37760" spans="13:13">
      <c r="M37760" s="202"/>
    </row>
    <row r="37761" spans="13:13">
      <c r="M37761" s="202"/>
    </row>
    <row r="37762" spans="13:13">
      <c r="M37762" s="202"/>
    </row>
    <row r="37763" spans="13:13">
      <c r="M37763" s="202"/>
    </row>
    <row r="37764" spans="13:13">
      <c r="M37764" s="202"/>
    </row>
    <row r="37765" spans="13:13">
      <c r="M37765" s="202"/>
    </row>
    <row r="37766" spans="13:13">
      <c r="M37766" s="202"/>
    </row>
    <row r="37767" spans="13:13">
      <c r="M37767" s="202"/>
    </row>
    <row r="37768" spans="13:13">
      <c r="M37768" s="202"/>
    </row>
    <row r="37769" spans="13:13">
      <c r="M37769" s="202"/>
    </row>
    <row r="37770" spans="13:13">
      <c r="M37770" s="202"/>
    </row>
    <row r="37771" spans="13:13">
      <c r="M37771" s="202"/>
    </row>
    <row r="37772" spans="13:13">
      <c r="M37772" s="202"/>
    </row>
    <row r="37773" spans="13:13">
      <c r="M37773" s="202"/>
    </row>
    <row r="37774" spans="13:13">
      <c r="M37774" s="202"/>
    </row>
    <row r="37775" spans="13:13">
      <c r="M37775" s="202"/>
    </row>
    <row r="37776" spans="13:13">
      <c r="M37776" s="202"/>
    </row>
    <row r="37777" spans="13:13">
      <c r="M37777" s="202"/>
    </row>
    <row r="37778" spans="13:13">
      <c r="M37778" s="202"/>
    </row>
    <row r="37779" spans="13:13">
      <c r="M37779" s="202"/>
    </row>
    <row r="37780" spans="13:13">
      <c r="M37780" s="202"/>
    </row>
    <row r="37781" spans="13:13">
      <c r="M37781" s="202"/>
    </row>
    <row r="37782" spans="13:13">
      <c r="M37782" s="202"/>
    </row>
    <row r="37783" spans="13:13">
      <c r="M37783" s="202"/>
    </row>
    <row r="37784" spans="13:13">
      <c r="M37784" s="202"/>
    </row>
    <row r="37785" spans="13:13">
      <c r="M37785" s="202"/>
    </row>
    <row r="37786" spans="13:13">
      <c r="M37786" s="202"/>
    </row>
    <row r="37787" spans="13:13">
      <c r="M37787" s="202"/>
    </row>
    <row r="37788" spans="13:13">
      <c r="M37788" s="202"/>
    </row>
    <row r="37789" spans="13:13">
      <c r="M37789" s="202"/>
    </row>
    <row r="37790" spans="13:13">
      <c r="M37790" s="202"/>
    </row>
    <row r="37791" spans="13:13">
      <c r="M37791" s="202"/>
    </row>
    <row r="37792" spans="13:13">
      <c r="M37792" s="202"/>
    </row>
    <row r="37793" spans="13:13">
      <c r="M37793" s="202"/>
    </row>
    <row r="37794" spans="13:13">
      <c r="M37794" s="202"/>
    </row>
    <row r="37795" spans="13:13">
      <c r="M37795" s="202"/>
    </row>
    <row r="37796" spans="13:13">
      <c r="M37796" s="202"/>
    </row>
    <row r="37797" spans="13:13">
      <c r="M37797" s="202"/>
    </row>
    <row r="37798" spans="13:13">
      <c r="M37798" s="202"/>
    </row>
    <row r="37799" spans="13:13">
      <c r="M37799" s="202"/>
    </row>
    <row r="37800" spans="13:13">
      <c r="M37800" s="202"/>
    </row>
    <row r="37801" spans="13:13">
      <c r="M37801" s="202"/>
    </row>
    <row r="37802" spans="13:13">
      <c r="M37802" s="202"/>
    </row>
    <row r="37803" spans="13:13">
      <c r="M37803" s="202"/>
    </row>
    <row r="37804" spans="13:13">
      <c r="M37804" s="202"/>
    </row>
    <row r="37805" spans="13:13">
      <c r="M37805" s="202"/>
    </row>
    <row r="37806" spans="13:13">
      <c r="M37806" s="202"/>
    </row>
    <row r="37807" spans="13:13">
      <c r="M37807" s="202"/>
    </row>
    <row r="37808" spans="13:13">
      <c r="M37808" s="202"/>
    </row>
    <row r="37809" spans="13:13">
      <c r="M37809" s="202"/>
    </row>
    <row r="37810" spans="13:13">
      <c r="M37810" s="202"/>
    </row>
    <row r="37811" spans="13:13">
      <c r="M37811" s="202"/>
    </row>
    <row r="37812" spans="13:13">
      <c r="M37812" s="202"/>
    </row>
    <row r="37813" spans="13:13">
      <c r="M37813" s="202"/>
    </row>
    <row r="37814" spans="13:13">
      <c r="M37814" s="202"/>
    </row>
    <row r="37815" spans="13:13">
      <c r="M37815" s="202"/>
    </row>
    <row r="37816" spans="13:13">
      <c r="M37816" s="202"/>
    </row>
    <row r="37817" spans="13:13">
      <c r="M37817" s="202"/>
    </row>
    <row r="37818" spans="13:13">
      <c r="M37818" s="202"/>
    </row>
    <row r="37819" spans="13:13">
      <c r="M37819" s="202"/>
    </row>
    <row r="37820" spans="13:13">
      <c r="M37820" s="202"/>
    </row>
    <row r="37821" spans="13:13">
      <c r="M37821" s="202"/>
    </row>
    <row r="37822" spans="13:13">
      <c r="M37822" s="202"/>
    </row>
    <row r="37823" spans="13:13">
      <c r="M37823" s="202"/>
    </row>
    <row r="37824" spans="13:13">
      <c r="M37824" s="202"/>
    </row>
    <row r="37825" spans="13:13">
      <c r="M37825" s="202"/>
    </row>
    <row r="37826" spans="13:13">
      <c r="M37826" s="202"/>
    </row>
    <row r="37827" spans="13:13">
      <c r="M37827" s="202"/>
    </row>
    <row r="37828" spans="13:13">
      <c r="M37828" s="202"/>
    </row>
    <row r="37829" spans="13:13">
      <c r="M37829" s="202"/>
    </row>
    <row r="37830" spans="13:13">
      <c r="M37830" s="202"/>
    </row>
    <row r="37831" spans="13:13">
      <c r="M37831" s="202"/>
    </row>
    <row r="37832" spans="13:13">
      <c r="M37832" s="202"/>
    </row>
    <row r="37833" spans="13:13">
      <c r="M37833" s="202"/>
    </row>
    <row r="37834" spans="13:13">
      <c r="M37834" s="202"/>
    </row>
    <row r="37835" spans="13:13">
      <c r="M37835" s="202"/>
    </row>
    <row r="37836" spans="13:13">
      <c r="M37836" s="202"/>
    </row>
    <row r="37837" spans="13:13">
      <c r="M37837" s="202"/>
    </row>
    <row r="37838" spans="13:13">
      <c r="M37838" s="202"/>
    </row>
    <row r="37839" spans="13:13">
      <c r="M37839" s="202"/>
    </row>
    <row r="37840" spans="13:13">
      <c r="M37840" s="202"/>
    </row>
    <row r="37841" spans="13:13">
      <c r="M37841" s="202"/>
    </row>
    <row r="37842" spans="13:13">
      <c r="M37842" s="202"/>
    </row>
    <row r="37843" spans="13:13">
      <c r="M37843" s="202"/>
    </row>
    <row r="37844" spans="13:13">
      <c r="M37844" s="202"/>
    </row>
    <row r="37845" spans="13:13">
      <c r="M37845" s="202"/>
    </row>
    <row r="37846" spans="13:13">
      <c r="M37846" s="202"/>
    </row>
    <row r="37847" spans="13:13">
      <c r="M37847" s="202"/>
    </row>
    <row r="37848" spans="13:13">
      <c r="M37848" s="202"/>
    </row>
    <row r="37849" spans="13:13">
      <c r="M37849" s="202"/>
    </row>
    <row r="37850" spans="13:13">
      <c r="M37850" s="202"/>
    </row>
    <row r="37851" spans="13:13">
      <c r="M37851" s="202"/>
    </row>
    <row r="37852" spans="13:13">
      <c r="M37852" s="202"/>
    </row>
    <row r="37853" spans="13:13">
      <c r="M37853" s="202"/>
    </row>
    <row r="37854" spans="13:13">
      <c r="M37854" s="202"/>
    </row>
    <row r="37855" spans="13:13">
      <c r="M37855" s="202"/>
    </row>
    <row r="37856" spans="13:13">
      <c r="M37856" s="202"/>
    </row>
    <row r="37857" spans="13:13">
      <c r="M37857" s="202"/>
    </row>
    <row r="37858" spans="13:13">
      <c r="M37858" s="202"/>
    </row>
    <row r="37859" spans="13:13">
      <c r="M37859" s="202"/>
    </row>
    <row r="37860" spans="13:13">
      <c r="M37860" s="202"/>
    </row>
    <row r="37861" spans="13:13">
      <c r="M37861" s="202"/>
    </row>
    <row r="37862" spans="13:13">
      <c r="M37862" s="202"/>
    </row>
    <row r="37863" spans="13:13">
      <c r="M37863" s="202"/>
    </row>
    <row r="37864" spans="13:13">
      <c r="M37864" s="202"/>
    </row>
    <row r="37865" spans="13:13">
      <c r="M37865" s="202"/>
    </row>
    <row r="37866" spans="13:13">
      <c r="M37866" s="202"/>
    </row>
    <row r="37867" spans="13:13">
      <c r="M37867" s="202"/>
    </row>
    <row r="37868" spans="13:13">
      <c r="M37868" s="202"/>
    </row>
    <row r="37869" spans="13:13">
      <c r="M37869" s="202"/>
    </row>
    <row r="37870" spans="13:13">
      <c r="M37870" s="202"/>
    </row>
    <row r="37871" spans="13:13">
      <c r="M37871" s="202"/>
    </row>
    <row r="37872" spans="13:13">
      <c r="M37872" s="202"/>
    </row>
    <row r="37873" spans="13:13">
      <c r="M37873" s="202"/>
    </row>
    <row r="37874" spans="13:13">
      <c r="M37874" s="202"/>
    </row>
    <row r="37875" spans="13:13">
      <c r="M37875" s="202"/>
    </row>
    <row r="37876" spans="13:13">
      <c r="M37876" s="202"/>
    </row>
    <row r="37877" spans="13:13">
      <c r="M37877" s="202"/>
    </row>
    <row r="37878" spans="13:13">
      <c r="M37878" s="202"/>
    </row>
    <row r="37879" spans="13:13">
      <c r="M37879" s="202"/>
    </row>
    <row r="37880" spans="13:13">
      <c r="M37880" s="202"/>
    </row>
    <row r="37881" spans="13:13">
      <c r="M37881" s="202"/>
    </row>
    <row r="37882" spans="13:13">
      <c r="M37882" s="202"/>
    </row>
    <row r="37883" spans="13:13">
      <c r="M37883" s="202"/>
    </row>
    <row r="37884" spans="13:13">
      <c r="M37884" s="202"/>
    </row>
    <row r="37885" spans="13:13">
      <c r="M37885" s="202"/>
    </row>
    <row r="37886" spans="13:13">
      <c r="M37886" s="202"/>
    </row>
    <row r="37887" spans="13:13">
      <c r="M37887" s="202"/>
    </row>
    <row r="37888" spans="13:13">
      <c r="M37888" s="202"/>
    </row>
    <row r="37889" spans="13:13">
      <c r="M37889" s="202"/>
    </row>
    <row r="37890" spans="13:13">
      <c r="M37890" s="202"/>
    </row>
    <row r="37891" spans="13:13">
      <c r="M37891" s="202"/>
    </row>
    <row r="37892" spans="13:13">
      <c r="M37892" s="202"/>
    </row>
    <row r="37893" spans="13:13">
      <c r="M37893" s="202"/>
    </row>
    <row r="37894" spans="13:13">
      <c r="M37894" s="202"/>
    </row>
    <row r="37895" spans="13:13">
      <c r="M37895" s="202"/>
    </row>
    <row r="37896" spans="13:13">
      <c r="M37896" s="202"/>
    </row>
    <row r="37897" spans="13:13">
      <c r="M37897" s="202"/>
    </row>
    <row r="37898" spans="13:13">
      <c r="M37898" s="202"/>
    </row>
    <row r="37899" spans="13:13">
      <c r="M37899" s="202"/>
    </row>
    <row r="37900" spans="13:13">
      <c r="M37900" s="202"/>
    </row>
    <row r="37901" spans="13:13">
      <c r="M37901" s="202"/>
    </row>
    <row r="37902" spans="13:13">
      <c r="M37902" s="202"/>
    </row>
    <row r="37903" spans="13:13">
      <c r="M37903" s="202"/>
    </row>
    <row r="37904" spans="13:13">
      <c r="M37904" s="202"/>
    </row>
    <row r="37905" spans="13:13">
      <c r="M37905" s="202"/>
    </row>
    <row r="37906" spans="13:13">
      <c r="M37906" s="202"/>
    </row>
    <row r="37907" spans="13:13">
      <c r="M37907" s="202"/>
    </row>
    <row r="37908" spans="13:13">
      <c r="M37908" s="202"/>
    </row>
    <row r="37909" spans="13:13">
      <c r="M37909" s="202"/>
    </row>
    <row r="37910" spans="13:13">
      <c r="M37910" s="202"/>
    </row>
    <row r="37911" spans="13:13">
      <c r="M37911" s="202"/>
    </row>
    <row r="37912" spans="13:13">
      <c r="M37912" s="202"/>
    </row>
    <row r="37913" spans="13:13">
      <c r="M37913" s="202"/>
    </row>
    <row r="37914" spans="13:13">
      <c r="M37914" s="202"/>
    </row>
    <row r="37915" spans="13:13">
      <c r="M37915" s="202"/>
    </row>
    <row r="37916" spans="13:13">
      <c r="M37916" s="202"/>
    </row>
    <row r="37917" spans="13:13">
      <c r="M37917" s="202"/>
    </row>
    <row r="37918" spans="13:13">
      <c r="M37918" s="202"/>
    </row>
    <row r="37919" spans="13:13">
      <c r="M37919" s="202"/>
    </row>
    <row r="37920" spans="13:13">
      <c r="M37920" s="202"/>
    </row>
    <row r="37921" spans="13:13">
      <c r="M37921" s="202"/>
    </row>
    <row r="37922" spans="13:13">
      <c r="M37922" s="202"/>
    </row>
    <row r="37923" spans="13:13">
      <c r="M37923" s="202"/>
    </row>
    <row r="37924" spans="13:13">
      <c r="M37924" s="202"/>
    </row>
    <row r="37925" spans="13:13">
      <c r="M37925" s="202"/>
    </row>
    <row r="37926" spans="13:13">
      <c r="M37926" s="202"/>
    </row>
    <row r="37927" spans="13:13">
      <c r="M37927" s="202"/>
    </row>
    <row r="37928" spans="13:13">
      <c r="M37928" s="202"/>
    </row>
    <row r="37929" spans="13:13">
      <c r="M37929" s="202"/>
    </row>
    <row r="37930" spans="13:13">
      <c r="M37930" s="202"/>
    </row>
    <row r="37931" spans="13:13">
      <c r="M37931" s="202"/>
    </row>
    <row r="37932" spans="13:13">
      <c r="M37932" s="202"/>
    </row>
    <row r="37933" spans="13:13">
      <c r="M37933" s="202"/>
    </row>
    <row r="37934" spans="13:13">
      <c r="M37934" s="202"/>
    </row>
    <row r="37935" spans="13:13">
      <c r="M37935" s="202"/>
    </row>
    <row r="37936" spans="13:13">
      <c r="M37936" s="202"/>
    </row>
    <row r="37937" spans="13:13">
      <c r="M37937" s="202"/>
    </row>
    <row r="37938" spans="13:13">
      <c r="M37938" s="202"/>
    </row>
    <row r="37939" spans="13:13">
      <c r="M37939" s="202"/>
    </row>
    <row r="37940" spans="13:13">
      <c r="M37940" s="202"/>
    </row>
    <row r="37941" spans="13:13">
      <c r="M37941" s="202"/>
    </row>
    <row r="37942" spans="13:13">
      <c r="M37942" s="202"/>
    </row>
    <row r="37943" spans="13:13">
      <c r="M37943" s="202"/>
    </row>
    <row r="37944" spans="13:13">
      <c r="M37944" s="202"/>
    </row>
    <row r="37945" spans="13:13">
      <c r="M37945" s="202"/>
    </row>
    <row r="37946" spans="13:13">
      <c r="M37946" s="202"/>
    </row>
    <row r="37947" spans="13:13">
      <c r="M37947" s="202"/>
    </row>
    <row r="37948" spans="13:13">
      <c r="M37948" s="202"/>
    </row>
    <row r="37949" spans="13:13">
      <c r="M37949" s="202"/>
    </row>
    <row r="37950" spans="13:13">
      <c r="M37950" s="202"/>
    </row>
    <row r="37951" spans="13:13">
      <c r="M37951" s="202"/>
    </row>
    <row r="37952" spans="13:13">
      <c r="M37952" s="202"/>
    </row>
    <row r="37953" spans="13:13">
      <c r="M37953" s="202"/>
    </row>
    <row r="37954" spans="13:13">
      <c r="M37954" s="202"/>
    </row>
    <row r="37955" spans="13:13">
      <c r="M37955" s="202"/>
    </row>
    <row r="37956" spans="13:13">
      <c r="M37956" s="202"/>
    </row>
    <row r="37957" spans="13:13">
      <c r="M37957" s="202"/>
    </row>
    <row r="37958" spans="13:13">
      <c r="M37958" s="202"/>
    </row>
    <row r="37959" spans="13:13">
      <c r="M37959" s="202"/>
    </row>
    <row r="37960" spans="13:13">
      <c r="M37960" s="202"/>
    </row>
    <row r="37961" spans="13:13">
      <c r="M37961" s="202"/>
    </row>
    <row r="37962" spans="13:13">
      <c r="M37962" s="202"/>
    </row>
    <row r="37963" spans="13:13">
      <c r="M37963" s="202"/>
    </row>
    <row r="37964" spans="13:13">
      <c r="M37964" s="202"/>
    </row>
    <row r="37965" spans="13:13">
      <c r="M37965" s="202"/>
    </row>
    <row r="37966" spans="13:13">
      <c r="M37966" s="202"/>
    </row>
    <row r="37967" spans="13:13">
      <c r="M37967" s="202"/>
    </row>
    <row r="37968" spans="13:13">
      <c r="M37968" s="202"/>
    </row>
    <row r="37969" spans="13:13">
      <c r="M37969" s="202"/>
    </row>
    <row r="37970" spans="13:13">
      <c r="M37970" s="202"/>
    </row>
    <row r="37971" spans="13:13">
      <c r="M37971" s="202"/>
    </row>
    <row r="37972" spans="13:13">
      <c r="M37972" s="202"/>
    </row>
    <row r="37973" spans="13:13">
      <c r="M37973" s="202"/>
    </row>
    <row r="37974" spans="13:13">
      <c r="M37974" s="202"/>
    </row>
    <row r="37975" spans="13:13">
      <c r="M37975" s="202"/>
    </row>
    <row r="37976" spans="13:13">
      <c r="M37976" s="202"/>
    </row>
    <row r="37977" spans="13:13">
      <c r="M37977" s="202"/>
    </row>
    <row r="37978" spans="13:13">
      <c r="M37978" s="202"/>
    </row>
    <row r="37979" spans="13:13">
      <c r="M37979" s="202"/>
    </row>
    <row r="37980" spans="13:13">
      <c r="M37980" s="202"/>
    </row>
    <row r="37981" spans="13:13">
      <c r="M37981" s="202"/>
    </row>
    <row r="37982" spans="13:13">
      <c r="M37982" s="202"/>
    </row>
    <row r="37983" spans="13:13">
      <c r="M37983" s="202"/>
    </row>
    <row r="37984" spans="13:13">
      <c r="M37984" s="202"/>
    </row>
    <row r="37985" spans="13:13">
      <c r="M37985" s="202"/>
    </row>
    <row r="37986" spans="13:13">
      <c r="M37986" s="202"/>
    </row>
    <row r="37987" spans="13:13">
      <c r="M37987" s="202"/>
    </row>
    <row r="37988" spans="13:13">
      <c r="M37988" s="202"/>
    </row>
    <row r="37989" spans="13:13">
      <c r="M37989" s="202"/>
    </row>
    <row r="37990" spans="13:13">
      <c r="M37990" s="202"/>
    </row>
    <row r="37991" spans="13:13">
      <c r="M37991" s="202"/>
    </row>
    <row r="37992" spans="13:13">
      <c r="M37992" s="202"/>
    </row>
    <row r="37993" spans="13:13">
      <c r="M37993" s="202"/>
    </row>
    <row r="37994" spans="13:13">
      <c r="M37994" s="202"/>
    </row>
    <row r="37995" spans="13:13">
      <c r="M37995" s="202"/>
    </row>
    <row r="37996" spans="13:13">
      <c r="M37996" s="202"/>
    </row>
    <row r="37997" spans="13:13">
      <c r="M37997" s="202"/>
    </row>
    <row r="37998" spans="13:13">
      <c r="M37998" s="202"/>
    </row>
    <row r="37999" spans="13:13">
      <c r="M37999" s="202"/>
    </row>
    <row r="38000" spans="13:13">
      <c r="M38000" s="202"/>
    </row>
    <row r="38001" spans="13:13">
      <c r="M38001" s="202"/>
    </row>
    <row r="38002" spans="13:13">
      <c r="M38002" s="202"/>
    </row>
    <row r="38003" spans="13:13">
      <c r="M38003" s="202"/>
    </row>
    <row r="38004" spans="13:13">
      <c r="M38004" s="202"/>
    </row>
    <row r="38005" spans="13:13">
      <c r="M38005" s="202"/>
    </row>
    <row r="38006" spans="13:13">
      <c r="M38006" s="202"/>
    </row>
    <row r="38007" spans="13:13">
      <c r="M38007" s="202"/>
    </row>
    <row r="38008" spans="13:13">
      <c r="M38008" s="202"/>
    </row>
    <row r="38009" spans="13:13">
      <c r="M38009" s="202"/>
    </row>
    <row r="38010" spans="13:13">
      <c r="M38010" s="202"/>
    </row>
    <row r="38011" spans="13:13">
      <c r="M38011" s="202"/>
    </row>
    <row r="38012" spans="13:13">
      <c r="M38012" s="202"/>
    </row>
    <row r="38013" spans="13:13">
      <c r="M38013" s="202"/>
    </row>
    <row r="38014" spans="13:13">
      <c r="M38014" s="202"/>
    </row>
    <row r="38015" spans="13:13">
      <c r="M38015" s="202"/>
    </row>
    <row r="38016" spans="13:13">
      <c r="M38016" s="202"/>
    </row>
    <row r="38017" spans="13:13">
      <c r="M38017" s="202"/>
    </row>
    <row r="38018" spans="13:13">
      <c r="M38018" s="202"/>
    </row>
    <row r="38019" spans="13:13">
      <c r="M38019" s="202"/>
    </row>
    <row r="38020" spans="13:13">
      <c r="M38020" s="202"/>
    </row>
    <row r="38021" spans="13:13">
      <c r="M38021" s="202"/>
    </row>
    <row r="38022" spans="13:13">
      <c r="M38022" s="202"/>
    </row>
    <row r="38023" spans="13:13">
      <c r="M38023" s="202"/>
    </row>
    <row r="38024" spans="13:13">
      <c r="M38024" s="202"/>
    </row>
    <row r="38025" spans="13:13">
      <c r="M38025" s="202"/>
    </row>
    <row r="38026" spans="13:13">
      <c r="M38026" s="202"/>
    </row>
    <row r="38027" spans="13:13">
      <c r="M38027" s="202"/>
    </row>
    <row r="38028" spans="13:13">
      <c r="M38028" s="202"/>
    </row>
    <row r="38029" spans="13:13">
      <c r="M38029" s="202"/>
    </row>
    <row r="38030" spans="13:13">
      <c r="M38030" s="202"/>
    </row>
    <row r="38031" spans="13:13">
      <c r="M38031" s="202"/>
    </row>
    <row r="38032" spans="13:13">
      <c r="M38032" s="202"/>
    </row>
    <row r="38033" spans="13:13">
      <c r="M38033" s="202"/>
    </row>
    <row r="38034" spans="13:13">
      <c r="M38034" s="202"/>
    </row>
    <row r="38035" spans="13:13">
      <c r="M38035" s="202"/>
    </row>
    <row r="38036" spans="13:13">
      <c r="M38036" s="202"/>
    </row>
    <row r="38037" spans="13:13">
      <c r="M38037" s="202"/>
    </row>
    <row r="38038" spans="13:13">
      <c r="M38038" s="202"/>
    </row>
    <row r="38039" spans="13:13">
      <c r="M38039" s="202"/>
    </row>
    <row r="38040" spans="13:13">
      <c r="M38040" s="202"/>
    </row>
    <row r="38041" spans="13:13">
      <c r="M38041" s="202"/>
    </row>
    <row r="38042" spans="13:13">
      <c r="M38042" s="202"/>
    </row>
    <row r="38043" spans="13:13">
      <c r="M38043" s="202"/>
    </row>
    <row r="38044" spans="13:13">
      <c r="M38044" s="202"/>
    </row>
    <row r="38045" spans="13:13">
      <c r="M38045" s="202"/>
    </row>
    <row r="38046" spans="13:13">
      <c r="M38046" s="202"/>
    </row>
    <row r="38047" spans="13:13">
      <c r="M38047" s="202"/>
    </row>
    <row r="38048" spans="13:13">
      <c r="M38048" s="202"/>
    </row>
    <row r="38049" spans="13:13">
      <c r="M38049" s="202"/>
    </row>
    <row r="38050" spans="13:13">
      <c r="M38050" s="202"/>
    </row>
    <row r="38051" spans="13:13">
      <c r="M38051" s="202"/>
    </row>
    <row r="38052" spans="13:13">
      <c r="M38052" s="202"/>
    </row>
    <row r="38053" spans="13:13">
      <c r="M38053" s="202"/>
    </row>
    <row r="38054" spans="13:13">
      <c r="M38054" s="202"/>
    </row>
    <row r="38055" spans="13:13">
      <c r="M38055" s="202"/>
    </row>
    <row r="38056" spans="13:13">
      <c r="M38056" s="202"/>
    </row>
    <row r="38057" spans="13:13">
      <c r="M38057" s="202"/>
    </row>
    <row r="38058" spans="13:13">
      <c r="M38058" s="202"/>
    </row>
    <row r="38059" spans="13:13">
      <c r="M38059" s="202"/>
    </row>
    <row r="38060" spans="13:13">
      <c r="M38060" s="202"/>
    </row>
    <row r="38061" spans="13:13">
      <c r="M38061" s="202"/>
    </row>
    <row r="38062" spans="13:13">
      <c r="M38062" s="202"/>
    </row>
    <row r="38063" spans="13:13">
      <c r="M38063" s="202"/>
    </row>
    <row r="38064" spans="13:13">
      <c r="M38064" s="202"/>
    </row>
    <row r="38065" spans="13:13">
      <c r="M38065" s="202"/>
    </row>
    <row r="38066" spans="13:13">
      <c r="M38066" s="202"/>
    </row>
    <row r="38067" spans="13:13">
      <c r="M38067" s="202"/>
    </row>
    <row r="38068" spans="13:13">
      <c r="M38068" s="202"/>
    </row>
    <row r="38069" spans="13:13">
      <c r="M38069" s="202"/>
    </row>
    <row r="38070" spans="13:13">
      <c r="M38070" s="202"/>
    </row>
    <row r="38071" spans="13:13">
      <c r="M38071" s="202"/>
    </row>
    <row r="38072" spans="13:13">
      <c r="M38072" s="202"/>
    </row>
    <row r="38073" spans="13:13">
      <c r="M38073" s="202"/>
    </row>
    <row r="38074" spans="13:13">
      <c r="M38074" s="202"/>
    </row>
    <row r="38075" spans="13:13">
      <c r="M38075" s="202"/>
    </row>
    <row r="38076" spans="13:13">
      <c r="M38076" s="202"/>
    </row>
    <row r="38077" spans="13:13">
      <c r="M38077" s="202"/>
    </row>
    <row r="38078" spans="13:13">
      <c r="M38078" s="202"/>
    </row>
    <row r="38079" spans="13:13">
      <c r="M38079" s="202"/>
    </row>
    <row r="38080" spans="13:13">
      <c r="M38080" s="202"/>
    </row>
    <row r="38081" spans="13:13">
      <c r="M38081" s="202"/>
    </row>
    <row r="38082" spans="13:13">
      <c r="M38082" s="202"/>
    </row>
    <row r="38083" spans="13:13">
      <c r="M38083" s="202"/>
    </row>
    <row r="38084" spans="13:13">
      <c r="M38084" s="202"/>
    </row>
    <row r="38085" spans="13:13">
      <c r="M38085" s="202"/>
    </row>
    <row r="38086" spans="13:13">
      <c r="M38086" s="202"/>
    </row>
    <row r="38087" spans="13:13">
      <c r="M38087" s="202"/>
    </row>
    <row r="38088" spans="13:13">
      <c r="M38088" s="202"/>
    </row>
    <row r="38089" spans="13:13">
      <c r="M38089" s="202"/>
    </row>
    <row r="38090" spans="13:13">
      <c r="M38090" s="202"/>
    </row>
    <row r="38091" spans="13:13">
      <c r="M38091" s="202"/>
    </row>
    <row r="38092" spans="13:13">
      <c r="M38092" s="202"/>
    </row>
    <row r="38093" spans="13:13">
      <c r="M38093" s="202"/>
    </row>
    <row r="38094" spans="13:13">
      <c r="M38094" s="202"/>
    </row>
    <row r="38095" spans="13:13">
      <c r="M38095" s="202"/>
    </row>
    <row r="38096" spans="13:13">
      <c r="M38096" s="202"/>
    </row>
    <row r="38097" spans="13:13">
      <c r="M38097" s="202"/>
    </row>
    <row r="38098" spans="13:13">
      <c r="M38098" s="202"/>
    </row>
    <row r="38099" spans="13:13">
      <c r="M38099" s="202"/>
    </row>
    <row r="38100" spans="13:13">
      <c r="M38100" s="202"/>
    </row>
    <row r="38101" spans="13:13">
      <c r="M38101" s="202"/>
    </row>
    <row r="38102" spans="13:13">
      <c r="M38102" s="202"/>
    </row>
    <row r="38103" spans="13:13">
      <c r="M38103" s="202"/>
    </row>
    <row r="38104" spans="13:13">
      <c r="M38104" s="202"/>
    </row>
    <row r="38105" spans="13:13">
      <c r="M38105" s="202"/>
    </row>
    <row r="38106" spans="13:13">
      <c r="M38106" s="202"/>
    </row>
    <row r="38107" spans="13:13">
      <c r="M38107" s="202"/>
    </row>
    <row r="38108" spans="13:13">
      <c r="M38108" s="202"/>
    </row>
    <row r="38109" spans="13:13">
      <c r="M38109" s="202"/>
    </row>
    <row r="38110" spans="13:13">
      <c r="M38110" s="202"/>
    </row>
    <row r="38111" spans="13:13">
      <c r="M38111" s="202"/>
    </row>
    <row r="38112" spans="13:13">
      <c r="M38112" s="202"/>
    </row>
    <row r="38113" spans="13:13">
      <c r="M38113" s="202"/>
    </row>
    <row r="38114" spans="13:13">
      <c r="M38114" s="202"/>
    </row>
    <row r="38115" spans="13:13">
      <c r="M38115" s="202"/>
    </row>
    <row r="38116" spans="13:13">
      <c r="M38116" s="202"/>
    </row>
    <row r="38117" spans="13:13">
      <c r="M38117" s="202"/>
    </row>
    <row r="38118" spans="13:13">
      <c r="M38118" s="202"/>
    </row>
    <row r="38119" spans="13:13">
      <c r="M38119" s="202"/>
    </row>
    <row r="38120" spans="13:13">
      <c r="M38120" s="202"/>
    </row>
    <row r="38121" spans="13:13">
      <c r="M38121" s="202"/>
    </row>
    <row r="38122" spans="13:13">
      <c r="M38122" s="202"/>
    </row>
    <row r="38123" spans="13:13">
      <c r="M38123" s="202"/>
    </row>
    <row r="38124" spans="13:13">
      <c r="M38124" s="202"/>
    </row>
    <row r="38125" spans="13:13">
      <c r="M38125" s="202"/>
    </row>
    <row r="38126" spans="13:13">
      <c r="M38126" s="202"/>
    </row>
    <row r="38127" spans="13:13">
      <c r="M38127" s="202"/>
    </row>
    <row r="38128" spans="13:13">
      <c r="M38128" s="202"/>
    </row>
    <row r="38129" spans="13:13">
      <c r="M38129" s="202"/>
    </row>
    <row r="38130" spans="13:13">
      <c r="M38130" s="202"/>
    </row>
    <row r="38131" spans="13:13">
      <c r="M38131" s="202"/>
    </row>
    <row r="38132" spans="13:13">
      <c r="M38132" s="202"/>
    </row>
    <row r="38133" spans="13:13">
      <c r="M38133" s="202"/>
    </row>
    <row r="38134" spans="13:13">
      <c r="M38134" s="202"/>
    </row>
    <row r="38135" spans="13:13">
      <c r="M38135" s="202"/>
    </row>
    <row r="38136" spans="13:13">
      <c r="M38136" s="202"/>
    </row>
    <row r="38137" spans="13:13">
      <c r="M38137" s="202"/>
    </row>
    <row r="38138" spans="13:13">
      <c r="M38138" s="202"/>
    </row>
    <row r="38139" spans="13:13">
      <c r="M38139" s="202"/>
    </row>
    <row r="38140" spans="13:13">
      <c r="M38140" s="202"/>
    </row>
    <row r="38141" spans="13:13">
      <c r="M38141" s="202"/>
    </row>
    <row r="38142" spans="13:13">
      <c r="M38142" s="202"/>
    </row>
    <row r="38143" spans="13:13">
      <c r="M38143" s="202"/>
    </row>
    <row r="38144" spans="13:13">
      <c r="M38144" s="202"/>
    </row>
    <row r="38145" spans="13:13">
      <c r="M38145" s="202"/>
    </row>
    <row r="38146" spans="13:13">
      <c r="M38146" s="202"/>
    </row>
    <row r="38147" spans="13:13">
      <c r="M38147" s="202"/>
    </row>
    <row r="38148" spans="13:13">
      <c r="M38148" s="202"/>
    </row>
    <row r="38149" spans="13:13">
      <c r="M38149" s="202"/>
    </row>
    <row r="38150" spans="13:13">
      <c r="M38150" s="202"/>
    </row>
    <row r="38151" spans="13:13">
      <c r="M38151" s="202"/>
    </row>
    <row r="38152" spans="13:13">
      <c r="M38152" s="202"/>
    </row>
    <row r="38153" spans="13:13">
      <c r="M38153" s="202"/>
    </row>
    <row r="38154" spans="13:13">
      <c r="M38154" s="202"/>
    </row>
    <row r="38155" spans="13:13">
      <c r="M38155" s="202"/>
    </row>
    <row r="38156" spans="13:13">
      <c r="M38156" s="202"/>
    </row>
    <row r="38157" spans="13:13">
      <c r="M38157" s="202"/>
    </row>
    <row r="38158" spans="13:13">
      <c r="M38158" s="202"/>
    </row>
    <row r="38159" spans="13:13">
      <c r="M38159" s="202"/>
    </row>
    <row r="38160" spans="13:13">
      <c r="M38160" s="202"/>
    </row>
    <row r="38161" spans="13:13">
      <c r="M38161" s="202"/>
    </row>
    <row r="38162" spans="13:13">
      <c r="M38162" s="202"/>
    </row>
    <row r="38163" spans="13:13">
      <c r="M38163" s="202"/>
    </row>
    <row r="38164" spans="13:13">
      <c r="M38164" s="202"/>
    </row>
    <row r="38165" spans="13:13">
      <c r="M38165" s="202"/>
    </row>
    <row r="38166" spans="13:13">
      <c r="M38166" s="202"/>
    </row>
    <row r="38167" spans="13:13">
      <c r="M38167" s="202"/>
    </row>
    <row r="38168" spans="13:13">
      <c r="M38168" s="202"/>
    </row>
    <row r="38169" spans="13:13">
      <c r="M38169" s="202"/>
    </row>
    <row r="38170" spans="13:13">
      <c r="M38170" s="202"/>
    </row>
    <row r="38171" spans="13:13">
      <c r="M38171" s="202"/>
    </row>
    <row r="38172" spans="13:13">
      <c r="M38172" s="202"/>
    </row>
    <row r="38173" spans="13:13">
      <c r="M38173" s="202"/>
    </row>
    <row r="38174" spans="13:13">
      <c r="M38174" s="202"/>
    </row>
    <row r="38175" spans="13:13">
      <c r="M38175" s="202"/>
    </row>
    <row r="38176" spans="13:13">
      <c r="M38176" s="202"/>
    </row>
    <row r="38177" spans="13:13">
      <c r="M38177" s="202"/>
    </row>
    <row r="38178" spans="13:13">
      <c r="M38178" s="202"/>
    </row>
    <row r="38179" spans="13:13">
      <c r="M38179" s="202"/>
    </row>
    <row r="38180" spans="13:13">
      <c r="M38180" s="202"/>
    </row>
    <row r="38181" spans="13:13">
      <c r="M38181" s="202"/>
    </row>
    <row r="38182" spans="13:13">
      <c r="M38182" s="202"/>
    </row>
    <row r="38183" spans="13:13">
      <c r="M38183" s="202"/>
    </row>
    <row r="38184" spans="13:13">
      <c r="M38184" s="202"/>
    </row>
    <row r="38185" spans="13:13">
      <c r="M38185" s="202"/>
    </row>
    <row r="38186" spans="13:13">
      <c r="M38186" s="202"/>
    </row>
    <row r="38187" spans="13:13">
      <c r="M38187" s="202"/>
    </row>
    <row r="38188" spans="13:13">
      <c r="M38188" s="202"/>
    </row>
    <row r="38189" spans="13:13">
      <c r="M38189" s="202"/>
    </row>
    <row r="38190" spans="13:13">
      <c r="M38190" s="202"/>
    </row>
    <row r="38191" spans="13:13">
      <c r="M38191" s="202"/>
    </row>
    <row r="38192" spans="13:13">
      <c r="M38192" s="202"/>
    </row>
    <row r="38193" spans="13:13">
      <c r="M38193" s="202"/>
    </row>
    <row r="38194" spans="13:13">
      <c r="M38194" s="202"/>
    </row>
    <row r="38195" spans="13:13">
      <c r="M38195" s="202"/>
    </row>
    <row r="38196" spans="13:13">
      <c r="M38196" s="202"/>
    </row>
    <row r="38197" spans="13:13">
      <c r="M38197" s="202"/>
    </row>
    <row r="38198" spans="13:13">
      <c r="M38198" s="202"/>
    </row>
    <row r="38199" spans="13:13">
      <c r="M38199" s="202"/>
    </row>
    <row r="38200" spans="13:13">
      <c r="M38200" s="202"/>
    </row>
    <row r="38201" spans="13:13">
      <c r="M38201" s="202"/>
    </row>
    <row r="38202" spans="13:13">
      <c r="M38202" s="202"/>
    </row>
    <row r="38203" spans="13:13">
      <c r="M38203" s="202"/>
    </row>
    <row r="38204" spans="13:13">
      <c r="M38204" s="202"/>
    </row>
    <row r="38205" spans="13:13">
      <c r="M38205" s="202"/>
    </row>
    <row r="38206" spans="13:13">
      <c r="M38206" s="202"/>
    </row>
    <row r="38207" spans="13:13">
      <c r="M38207" s="202"/>
    </row>
    <row r="38208" spans="13:13">
      <c r="M38208" s="202"/>
    </row>
    <row r="38209" spans="13:13">
      <c r="M38209" s="202"/>
    </row>
    <row r="38210" spans="13:13">
      <c r="M38210" s="202"/>
    </row>
    <row r="38211" spans="13:13">
      <c r="M38211" s="202"/>
    </row>
    <row r="38212" spans="13:13">
      <c r="M38212" s="202"/>
    </row>
    <row r="38213" spans="13:13">
      <c r="M38213" s="202"/>
    </row>
    <row r="38214" spans="13:13">
      <c r="M38214" s="202"/>
    </row>
    <row r="38215" spans="13:13">
      <c r="M38215" s="202"/>
    </row>
    <row r="38216" spans="13:13">
      <c r="M38216" s="202"/>
    </row>
    <row r="38217" spans="13:13">
      <c r="M38217" s="202"/>
    </row>
    <row r="38218" spans="13:13">
      <c r="M38218" s="202"/>
    </row>
    <row r="38219" spans="13:13">
      <c r="M38219" s="202"/>
    </row>
    <row r="38220" spans="13:13">
      <c r="M38220" s="202"/>
    </row>
    <row r="38221" spans="13:13">
      <c r="M38221" s="202"/>
    </row>
    <row r="38222" spans="13:13">
      <c r="M38222" s="202"/>
    </row>
    <row r="38223" spans="13:13">
      <c r="M38223" s="202"/>
    </row>
    <row r="38224" spans="13:13">
      <c r="M38224" s="202"/>
    </row>
    <row r="38225" spans="13:13">
      <c r="M38225" s="202"/>
    </row>
    <row r="38226" spans="13:13">
      <c r="M38226" s="202"/>
    </row>
    <row r="38227" spans="13:13">
      <c r="M38227" s="202"/>
    </row>
    <row r="38228" spans="13:13">
      <c r="M38228" s="202"/>
    </row>
    <row r="38229" spans="13:13">
      <c r="M38229" s="202"/>
    </row>
    <row r="38230" spans="13:13">
      <c r="M38230" s="202"/>
    </row>
    <row r="38231" spans="13:13">
      <c r="M38231" s="202"/>
    </row>
    <row r="38232" spans="13:13">
      <c r="M38232" s="202"/>
    </row>
    <row r="38233" spans="13:13">
      <c r="M38233" s="202"/>
    </row>
    <row r="38234" spans="13:13">
      <c r="M38234" s="202"/>
    </row>
    <row r="38235" spans="13:13">
      <c r="M38235" s="202"/>
    </row>
    <row r="38236" spans="13:13">
      <c r="M38236" s="202"/>
    </row>
    <row r="38237" spans="13:13">
      <c r="M38237" s="202"/>
    </row>
    <row r="38238" spans="13:13">
      <c r="M38238" s="202"/>
    </row>
    <row r="38239" spans="13:13">
      <c r="M38239" s="202"/>
    </row>
    <row r="38240" spans="13:13">
      <c r="M38240" s="202"/>
    </row>
    <row r="38241" spans="13:13">
      <c r="M38241" s="202"/>
    </row>
    <row r="38242" spans="13:13">
      <c r="M38242" s="202"/>
    </row>
    <row r="38243" spans="13:13">
      <c r="M38243" s="202"/>
    </row>
    <row r="38244" spans="13:13">
      <c r="M38244" s="202"/>
    </row>
    <row r="38245" spans="13:13">
      <c r="M38245" s="202"/>
    </row>
    <row r="38246" spans="13:13">
      <c r="M38246" s="202"/>
    </row>
    <row r="38247" spans="13:13">
      <c r="M38247" s="202"/>
    </row>
    <row r="38248" spans="13:13">
      <c r="M38248" s="202"/>
    </row>
    <row r="38249" spans="13:13">
      <c r="M38249" s="202"/>
    </row>
    <row r="38250" spans="13:13">
      <c r="M38250" s="202"/>
    </row>
    <row r="38251" spans="13:13">
      <c r="M38251" s="202"/>
    </row>
    <row r="38252" spans="13:13">
      <c r="M38252" s="202"/>
    </row>
    <row r="38253" spans="13:13">
      <c r="M38253" s="202"/>
    </row>
    <row r="38254" spans="13:13">
      <c r="M38254" s="202"/>
    </row>
    <row r="38255" spans="13:13">
      <c r="M38255" s="202"/>
    </row>
    <row r="38256" spans="13:13">
      <c r="M38256" s="202"/>
    </row>
    <row r="38257" spans="13:13">
      <c r="M38257" s="202"/>
    </row>
    <row r="38258" spans="13:13">
      <c r="M38258" s="202"/>
    </row>
    <row r="38259" spans="13:13">
      <c r="M38259" s="202"/>
    </row>
    <row r="38260" spans="13:13">
      <c r="M38260" s="202"/>
    </row>
    <row r="38261" spans="13:13">
      <c r="M38261" s="202"/>
    </row>
    <row r="38262" spans="13:13">
      <c r="M38262" s="202"/>
    </row>
    <row r="38263" spans="13:13">
      <c r="M38263" s="202"/>
    </row>
    <row r="38264" spans="13:13">
      <c r="M38264" s="202"/>
    </row>
    <row r="38265" spans="13:13">
      <c r="M38265" s="202"/>
    </row>
    <row r="38266" spans="13:13">
      <c r="M38266" s="202"/>
    </row>
    <row r="38267" spans="13:13">
      <c r="M38267" s="202"/>
    </row>
    <row r="38268" spans="13:13">
      <c r="M38268" s="202"/>
    </row>
    <row r="38269" spans="13:13">
      <c r="M38269" s="202"/>
    </row>
    <row r="38270" spans="13:13">
      <c r="M38270" s="202"/>
    </row>
    <row r="38271" spans="13:13">
      <c r="M38271" s="202"/>
    </row>
    <row r="38272" spans="13:13">
      <c r="M38272" s="202"/>
    </row>
    <row r="38273" spans="13:13">
      <c r="M38273" s="202"/>
    </row>
    <row r="38274" spans="13:13">
      <c r="M38274" s="202"/>
    </row>
    <row r="38275" spans="13:13">
      <c r="M38275" s="202"/>
    </row>
    <row r="38276" spans="13:13">
      <c r="M38276" s="202"/>
    </row>
    <row r="38277" spans="13:13">
      <c r="M38277" s="202"/>
    </row>
    <row r="38278" spans="13:13">
      <c r="M38278" s="202"/>
    </row>
    <row r="38279" spans="13:13">
      <c r="M38279" s="202"/>
    </row>
    <row r="38280" spans="13:13">
      <c r="M38280" s="202"/>
    </row>
    <row r="38281" spans="13:13">
      <c r="M38281" s="202"/>
    </row>
    <row r="38282" spans="13:13">
      <c r="M38282" s="202"/>
    </row>
    <row r="38283" spans="13:13">
      <c r="M38283" s="202"/>
    </row>
    <row r="38284" spans="13:13">
      <c r="M38284" s="202"/>
    </row>
    <row r="38285" spans="13:13">
      <c r="M38285" s="202"/>
    </row>
    <row r="38286" spans="13:13">
      <c r="M38286" s="202"/>
    </row>
    <row r="38287" spans="13:13">
      <c r="M38287" s="202"/>
    </row>
    <row r="38288" spans="13:13">
      <c r="M38288" s="202"/>
    </row>
    <row r="38289" spans="13:13">
      <c r="M38289" s="202"/>
    </row>
    <row r="38290" spans="13:13">
      <c r="M38290" s="202"/>
    </row>
    <row r="38291" spans="13:13">
      <c r="M38291" s="202"/>
    </row>
    <row r="38292" spans="13:13">
      <c r="M38292" s="202"/>
    </row>
    <row r="38293" spans="13:13">
      <c r="M38293" s="202"/>
    </row>
    <row r="38294" spans="13:13">
      <c r="M38294" s="202"/>
    </row>
    <row r="38295" spans="13:13">
      <c r="M38295" s="202"/>
    </row>
    <row r="38296" spans="13:13">
      <c r="M38296" s="202"/>
    </row>
    <row r="38297" spans="13:13">
      <c r="M38297" s="202"/>
    </row>
    <row r="38298" spans="13:13">
      <c r="M38298" s="202"/>
    </row>
    <row r="38299" spans="13:13">
      <c r="M38299" s="202"/>
    </row>
    <row r="38300" spans="13:13">
      <c r="M38300" s="202"/>
    </row>
    <row r="38301" spans="13:13">
      <c r="M38301" s="202"/>
    </row>
    <row r="38302" spans="13:13">
      <c r="M38302" s="202"/>
    </row>
    <row r="38303" spans="13:13">
      <c r="M38303" s="202"/>
    </row>
    <row r="38304" spans="13:13">
      <c r="M38304" s="202"/>
    </row>
    <row r="38305" spans="13:13">
      <c r="M38305" s="202"/>
    </row>
    <row r="38306" spans="13:13">
      <c r="M38306" s="202"/>
    </row>
    <row r="38307" spans="13:13">
      <c r="M38307" s="202"/>
    </row>
    <row r="38308" spans="13:13">
      <c r="M38308" s="202"/>
    </row>
    <row r="38309" spans="13:13">
      <c r="M38309" s="202"/>
    </row>
    <row r="38310" spans="13:13">
      <c r="M38310" s="202"/>
    </row>
    <row r="38311" spans="13:13">
      <c r="M38311" s="202"/>
    </row>
    <row r="38312" spans="13:13">
      <c r="M38312" s="202"/>
    </row>
    <row r="38313" spans="13:13">
      <c r="M38313" s="202"/>
    </row>
    <row r="38314" spans="13:13">
      <c r="M38314" s="202"/>
    </row>
    <row r="38315" spans="13:13">
      <c r="M38315" s="202"/>
    </row>
    <row r="38316" spans="13:13">
      <c r="M38316" s="202"/>
    </row>
    <row r="38317" spans="13:13">
      <c r="M38317" s="202"/>
    </row>
    <row r="38318" spans="13:13">
      <c r="M38318" s="202"/>
    </row>
    <row r="38319" spans="13:13">
      <c r="M38319" s="202"/>
    </row>
    <row r="38320" spans="13:13">
      <c r="M38320" s="202"/>
    </row>
    <row r="38321" spans="13:13">
      <c r="M38321" s="202"/>
    </row>
    <row r="38322" spans="13:13">
      <c r="M38322" s="202"/>
    </row>
    <row r="38323" spans="13:13">
      <c r="M38323" s="202"/>
    </row>
    <row r="38324" spans="13:13">
      <c r="M38324" s="202"/>
    </row>
    <row r="38325" spans="13:13">
      <c r="M38325" s="202"/>
    </row>
    <row r="38326" spans="13:13">
      <c r="M38326" s="202"/>
    </row>
    <row r="38327" spans="13:13">
      <c r="M38327" s="202"/>
    </row>
    <row r="38328" spans="13:13">
      <c r="M38328" s="202"/>
    </row>
    <row r="38329" spans="13:13">
      <c r="M38329" s="202"/>
    </row>
    <row r="38330" spans="13:13">
      <c r="M38330" s="202"/>
    </row>
    <row r="38331" spans="13:13">
      <c r="M38331" s="202"/>
    </row>
    <row r="38332" spans="13:13">
      <c r="M38332" s="202"/>
    </row>
    <row r="38333" spans="13:13">
      <c r="M38333" s="202"/>
    </row>
    <row r="38334" spans="13:13">
      <c r="M38334" s="202"/>
    </row>
    <row r="38335" spans="13:13">
      <c r="M38335" s="202"/>
    </row>
    <row r="38336" spans="13:13">
      <c r="M38336" s="202"/>
    </row>
    <row r="38337" spans="13:13">
      <c r="M38337" s="202"/>
    </row>
    <row r="38338" spans="13:13">
      <c r="M38338" s="202"/>
    </row>
    <row r="38339" spans="13:13">
      <c r="M38339" s="202"/>
    </row>
    <row r="38340" spans="13:13">
      <c r="M38340" s="202"/>
    </row>
    <row r="38341" spans="13:13">
      <c r="M38341" s="202"/>
    </row>
    <row r="38342" spans="13:13">
      <c r="M38342" s="202"/>
    </row>
    <row r="38343" spans="13:13">
      <c r="M38343" s="202"/>
    </row>
    <row r="38344" spans="13:13">
      <c r="M38344" s="202"/>
    </row>
    <row r="38345" spans="13:13">
      <c r="M38345" s="202"/>
    </row>
    <row r="38346" spans="13:13">
      <c r="M38346" s="202"/>
    </row>
    <row r="38347" spans="13:13">
      <c r="M38347" s="202"/>
    </row>
    <row r="38348" spans="13:13">
      <c r="M38348" s="202"/>
    </row>
    <row r="38349" spans="13:13">
      <c r="M38349" s="202"/>
    </row>
    <row r="38350" spans="13:13">
      <c r="M38350" s="202"/>
    </row>
    <row r="38351" spans="13:13">
      <c r="M38351" s="202"/>
    </row>
    <row r="38352" spans="13:13">
      <c r="M38352" s="202"/>
    </row>
    <row r="38353" spans="13:13">
      <c r="M38353" s="202"/>
    </row>
    <row r="38354" spans="13:13">
      <c r="M38354" s="202"/>
    </row>
    <row r="38355" spans="13:13">
      <c r="M38355" s="202"/>
    </row>
    <row r="38356" spans="13:13">
      <c r="M38356" s="202"/>
    </row>
    <row r="38357" spans="13:13">
      <c r="M38357" s="202"/>
    </row>
    <row r="38358" spans="13:13">
      <c r="M38358" s="202"/>
    </row>
    <row r="38359" spans="13:13">
      <c r="M38359" s="202"/>
    </row>
    <row r="38360" spans="13:13">
      <c r="M38360" s="202"/>
    </row>
    <row r="38361" spans="13:13">
      <c r="M38361" s="202"/>
    </row>
    <row r="38362" spans="13:13">
      <c r="M38362" s="202"/>
    </row>
    <row r="38363" spans="13:13">
      <c r="M38363" s="202"/>
    </row>
    <row r="38364" spans="13:13">
      <c r="M38364" s="202"/>
    </row>
    <row r="38365" spans="13:13">
      <c r="M38365" s="202"/>
    </row>
    <row r="38366" spans="13:13">
      <c r="M38366" s="202"/>
    </row>
    <row r="38367" spans="13:13">
      <c r="M38367" s="202"/>
    </row>
    <row r="38368" spans="13:13">
      <c r="M38368" s="202"/>
    </row>
    <row r="38369" spans="13:13">
      <c r="M38369" s="202"/>
    </row>
    <row r="38370" spans="13:13">
      <c r="M38370" s="202"/>
    </row>
    <row r="38371" spans="13:13">
      <c r="M38371" s="202"/>
    </row>
    <row r="38372" spans="13:13">
      <c r="M38372" s="202"/>
    </row>
    <row r="38373" spans="13:13">
      <c r="M38373" s="202"/>
    </row>
    <row r="38374" spans="13:13">
      <c r="M38374" s="202"/>
    </row>
    <row r="38375" spans="13:13">
      <c r="M38375" s="202"/>
    </row>
    <row r="38376" spans="13:13">
      <c r="M38376" s="202"/>
    </row>
    <row r="38377" spans="13:13">
      <c r="M38377" s="202"/>
    </row>
    <row r="38378" spans="13:13">
      <c r="M38378" s="202"/>
    </row>
    <row r="38379" spans="13:13">
      <c r="M38379" s="202"/>
    </row>
    <row r="38380" spans="13:13">
      <c r="M38380" s="202"/>
    </row>
    <row r="38381" spans="13:13">
      <c r="M38381" s="202"/>
    </row>
    <row r="38382" spans="13:13">
      <c r="M38382" s="202"/>
    </row>
    <row r="38383" spans="13:13">
      <c r="M38383" s="202"/>
    </row>
    <row r="38384" spans="13:13">
      <c r="M38384" s="202"/>
    </row>
    <row r="38385" spans="13:13">
      <c r="M38385" s="202"/>
    </row>
    <row r="38386" spans="13:13">
      <c r="M38386" s="202"/>
    </row>
    <row r="38387" spans="13:13">
      <c r="M38387" s="202"/>
    </row>
    <row r="38388" spans="13:13">
      <c r="M38388" s="202"/>
    </row>
    <row r="38389" spans="13:13">
      <c r="M38389" s="202"/>
    </row>
    <row r="38390" spans="13:13">
      <c r="M38390" s="202"/>
    </row>
    <row r="38391" spans="13:13">
      <c r="M38391" s="202"/>
    </row>
    <row r="38392" spans="13:13">
      <c r="M38392" s="202"/>
    </row>
    <row r="38393" spans="13:13">
      <c r="M38393" s="202"/>
    </row>
    <row r="38394" spans="13:13">
      <c r="M38394" s="202"/>
    </row>
    <row r="38395" spans="13:13">
      <c r="M38395" s="202"/>
    </row>
    <row r="38396" spans="13:13">
      <c r="M38396" s="202"/>
    </row>
    <row r="38397" spans="13:13">
      <c r="M38397" s="202"/>
    </row>
    <row r="38398" spans="13:13">
      <c r="M38398" s="202"/>
    </row>
    <row r="38399" spans="13:13">
      <c r="M38399" s="202"/>
    </row>
    <row r="38400" spans="13:13">
      <c r="M38400" s="202"/>
    </row>
    <row r="38401" spans="13:13">
      <c r="M38401" s="202"/>
    </row>
    <row r="38402" spans="13:13">
      <c r="M38402" s="202"/>
    </row>
    <row r="38403" spans="13:13">
      <c r="M38403" s="202"/>
    </row>
    <row r="38404" spans="13:13">
      <c r="M38404" s="202"/>
    </row>
    <row r="38405" spans="13:13">
      <c r="M38405" s="202"/>
    </row>
    <row r="38406" spans="13:13">
      <c r="M38406" s="202"/>
    </row>
    <row r="38407" spans="13:13">
      <c r="M38407" s="202"/>
    </row>
    <row r="38408" spans="13:13">
      <c r="M38408" s="202"/>
    </row>
    <row r="38409" spans="13:13">
      <c r="M38409" s="202"/>
    </row>
    <row r="38410" spans="13:13">
      <c r="M38410" s="202"/>
    </row>
    <row r="38411" spans="13:13">
      <c r="M38411" s="202"/>
    </row>
    <row r="38412" spans="13:13">
      <c r="M38412" s="202"/>
    </row>
    <row r="38413" spans="13:13">
      <c r="M38413" s="202"/>
    </row>
    <row r="38414" spans="13:13">
      <c r="M38414" s="202"/>
    </row>
    <row r="38415" spans="13:13">
      <c r="M38415" s="202"/>
    </row>
    <row r="38416" spans="13:13">
      <c r="M38416" s="202"/>
    </row>
    <row r="38417" spans="13:13">
      <c r="M38417" s="202"/>
    </row>
    <row r="38418" spans="13:13">
      <c r="M38418" s="202"/>
    </row>
    <row r="38419" spans="13:13">
      <c r="M38419" s="202"/>
    </row>
    <row r="38420" spans="13:13">
      <c r="M38420" s="202"/>
    </row>
    <row r="38421" spans="13:13">
      <c r="M38421" s="202"/>
    </row>
    <row r="38422" spans="13:13">
      <c r="M38422" s="202"/>
    </row>
    <row r="38423" spans="13:13">
      <c r="M38423" s="202"/>
    </row>
    <row r="38424" spans="13:13">
      <c r="M38424" s="202"/>
    </row>
    <row r="38425" spans="13:13">
      <c r="M38425" s="202"/>
    </row>
    <row r="38426" spans="13:13">
      <c r="M38426" s="202"/>
    </row>
    <row r="38427" spans="13:13">
      <c r="M38427" s="202"/>
    </row>
    <row r="38428" spans="13:13">
      <c r="M38428" s="202"/>
    </row>
    <row r="38429" spans="13:13">
      <c r="M38429" s="202"/>
    </row>
    <row r="38430" spans="13:13">
      <c r="M38430" s="202"/>
    </row>
    <row r="38431" spans="13:13">
      <c r="M38431" s="202"/>
    </row>
    <row r="38432" spans="13:13">
      <c r="M38432" s="202"/>
    </row>
    <row r="38433" spans="13:13">
      <c r="M38433" s="202"/>
    </row>
    <row r="38434" spans="13:13">
      <c r="M38434" s="202"/>
    </row>
    <row r="38435" spans="13:13">
      <c r="M38435" s="202"/>
    </row>
    <row r="38436" spans="13:13">
      <c r="M38436" s="202"/>
    </row>
    <row r="38437" spans="13:13">
      <c r="M38437" s="202"/>
    </row>
    <row r="38438" spans="13:13">
      <c r="M38438" s="202"/>
    </row>
    <row r="38439" spans="13:13">
      <c r="M38439" s="202"/>
    </row>
    <row r="38440" spans="13:13">
      <c r="M38440" s="202"/>
    </row>
    <row r="38441" spans="13:13">
      <c r="M38441" s="202"/>
    </row>
    <row r="38442" spans="13:13">
      <c r="M38442" s="202"/>
    </row>
    <row r="38443" spans="13:13">
      <c r="M38443" s="202"/>
    </row>
    <row r="38444" spans="13:13">
      <c r="M38444" s="202"/>
    </row>
    <row r="38445" spans="13:13">
      <c r="M38445" s="202"/>
    </row>
    <row r="38446" spans="13:13">
      <c r="M38446" s="202"/>
    </row>
    <row r="38447" spans="13:13">
      <c r="M38447" s="202"/>
    </row>
    <row r="38448" spans="13:13">
      <c r="M38448" s="202"/>
    </row>
    <row r="38449" spans="13:13">
      <c r="M38449" s="202"/>
    </row>
    <row r="38450" spans="13:13">
      <c r="M38450" s="202"/>
    </row>
    <row r="38451" spans="13:13">
      <c r="M38451" s="202"/>
    </row>
    <row r="38452" spans="13:13">
      <c r="M38452" s="202"/>
    </row>
    <row r="38453" spans="13:13">
      <c r="M38453" s="202"/>
    </row>
    <row r="38454" spans="13:13">
      <c r="M38454" s="202"/>
    </row>
    <row r="38455" spans="13:13">
      <c r="M38455" s="202"/>
    </row>
    <row r="38456" spans="13:13">
      <c r="M38456" s="202"/>
    </row>
    <row r="38457" spans="13:13">
      <c r="M38457" s="202"/>
    </row>
    <row r="38458" spans="13:13">
      <c r="M38458" s="202"/>
    </row>
    <row r="38459" spans="13:13">
      <c r="M38459" s="202"/>
    </row>
    <row r="38460" spans="13:13">
      <c r="M38460" s="202"/>
    </row>
    <row r="38461" spans="13:13">
      <c r="M38461" s="202"/>
    </row>
    <row r="38462" spans="13:13">
      <c r="M38462" s="202"/>
    </row>
    <row r="38463" spans="13:13">
      <c r="M38463" s="202"/>
    </row>
    <row r="38464" spans="13:13">
      <c r="M38464" s="202"/>
    </row>
    <row r="38465" spans="13:13">
      <c r="M38465" s="202"/>
    </row>
    <row r="38466" spans="13:13">
      <c r="M38466" s="202"/>
    </row>
    <row r="38467" spans="13:13">
      <c r="M38467" s="202"/>
    </row>
    <row r="38468" spans="13:13">
      <c r="M38468" s="202"/>
    </row>
    <row r="38469" spans="13:13">
      <c r="M38469" s="202"/>
    </row>
    <row r="38470" spans="13:13">
      <c r="M38470" s="202"/>
    </row>
    <row r="38471" spans="13:13">
      <c r="M38471" s="202"/>
    </row>
    <row r="38472" spans="13:13">
      <c r="M38472" s="202"/>
    </row>
    <row r="38473" spans="13:13">
      <c r="M38473" s="202"/>
    </row>
    <row r="38474" spans="13:13">
      <c r="M38474" s="202"/>
    </row>
    <row r="38475" spans="13:13">
      <c r="M38475" s="202"/>
    </row>
    <row r="38476" spans="13:13">
      <c r="M38476" s="202"/>
    </row>
    <row r="38477" spans="13:13">
      <c r="M38477" s="202"/>
    </row>
    <row r="38478" spans="13:13">
      <c r="M38478" s="202"/>
    </row>
    <row r="38479" spans="13:13">
      <c r="M38479" s="202"/>
    </row>
    <row r="38480" spans="13:13">
      <c r="M38480" s="202"/>
    </row>
    <row r="38481" spans="13:13">
      <c r="M38481" s="202"/>
    </row>
    <row r="38482" spans="13:13">
      <c r="M38482" s="202"/>
    </row>
    <row r="38483" spans="13:13">
      <c r="M38483" s="202"/>
    </row>
    <row r="38484" spans="13:13">
      <c r="M38484" s="202"/>
    </row>
    <row r="38485" spans="13:13">
      <c r="M38485" s="202"/>
    </row>
    <row r="38486" spans="13:13">
      <c r="M38486" s="202"/>
    </row>
    <row r="38487" spans="13:13">
      <c r="M38487" s="202"/>
    </row>
    <row r="38488" spans="13:13">
      <c r="M38488" s="202"/>
    </row>
    <row r="38489" spans="13:13">
      <c r="M38489" s="202"/>
    </row>
    <row r="38490" spans="13:13">
      <c r="M38490" s="202"/>
    </row>
    <row r="38491" spans="13:13">
      <c r="M38491" s="202"/>
    </row>
    <row r="38492" spans="13:13">
      <c r="M38492" s="202"/>
    </row>
    <row r="38493" spans="13:13">
      <c r="M38493" s="202"/>
    </row>
    <row r="38494" spans="13:13">
      <c r="M38494" s="202"/>
    </row>
    <row r="38495" spans="13:13">
      <c r="M38495" s="202"/>
    </row>
    <row r="38496" spans="13:13">
      <c r="M38496" s="202"/>
    </row>
    <row r="38497" spans="13:13">
      <c r="M38497" s="202"/>
    </row>
    <row r="38498" spans="13:13">
      <c r="M38498" s="202"/>
    </row>
    <row r="38499" spans="13:13">
      <c r="M38499" s="202"/>
    </row>
    <row r="38500" spans="13:13">
      <c r="M38500" s="202"/>
    </row>
    <row r="38501" spans="13:13">
      <c r="M38501" s="202"/>
    </row>
    <row r="38502" spans="13:13">
      <c r="M38502" s="202"/>
    </row>
    <row r="38503" spans="13:13">
      <c r="M38503" s="202"/>
    </row>
    <row r="38504" spans="13:13">
      <c r="M38504" s="202"/>
    </row>
    <row r="38505" spans="13:13">
      <c r="M38505" s="202"/>
    </row>
    <row r="38506" spans="13:13">
      <c r="M38506" s="202"/>
    </row>
    <row r="38507" spans="13:13">
      <c r="M38507" s="202"/>
    </row>
    <row r="38508" spans="13:13">
      <c r="M38508" s="202"/>
    </row>
    <row r="38509" spans="13:13">
      <c r="M38509" s="202"/>
    </row>
    <row r="38510" spans="13:13">
      <c r="M38510" s="202"/>
    </row>
    <row r="38511" spans="13:13">
      <c r="M38511" s="202"/>
    </row>
    <row r="38512" spans="13:13">
      <c r="M38512" s="202"/>
    </row>
    <row r="38513" spans="13:13">
      <c r="M38513" s="202"/>
    </row>
    <row r="38514" spans="13:13">
      <c r="M38514" s="202"/>
    </row>
    <row r="38515" spans="13:13">
      <c r="M38515" s="202"/>
    </row>
    <row r="38516" spans="13:13">
      <c r="M38516" s="202"/>
    </row>
    <row r="38517" spans="13:13">
      <c r="M38517" s="202"/>
    </row>
    <row r="38518" spans="13:13">
      <c r="M38518" s="202"/>
    </row>
    <row r="38519" spans="13:13">
      <c r="M38519" s="202"/>
    </row>
    <row r="38520" spans="13:13">
      <c r="M38520" s="202"/>
    </row>
    <row r="38521" spans="13:13">
      <c r="M38521" s="202"/>
    </row>
    <row r="38522" spans="13:13">
      <c r="M38522" s="202"/>
    </row>
    <row r="38523" spans="13:13">
      <c r="M38523" s="202"/>
    </row>
    <row r="38524" spans="13:13">
      <c r="M38524" s="202"/>
    </row>
    <row r="38525" spans="13:13">
      <c r="M38525" s="202"/>
    </row>
    <row r="38526" spans="13:13">
      <c r="M38526" s="202"/>
    </row>
    <row r="38527" spans="13:13">
      <c r="M38527" s="202"/>
    </row>
    <row r="38528" spans="13:13">
      <c r="M38528" s="202"/>
    </row>
    <row r="38529" spans="13:13">
      <c r="M38529" s="202"/>
    </row>
    <row r="38530" spans="13:13">
      <c r="M38530" s="202"/>
    </row>
    <row r="38531" spans="13:13">
      <c r="M38531" s="202"/>
    </row>
    <row r="38532" spans="13:13">
      <c r="M38532" s="202"/>
    </row>
    <row r="38533" spans="13:13">
      <c r="M38533" s="202"/>
    </row>
    <row r="38534" spans="13:13">
      <c r="M38534" s="202"/>
    </row>
    <row r="38535" spans="13:13">
      <c r="M38535" s="202"/>
    </row>
    <row r="38536" spans="13:13">
      <c r="M38536" s="202"/>
    </row>
    <row r="38537" spans="13:13">
      <c r="M38537" s="202"/>
    </row>
    <row r="38538" spans="13:13">
      <c r="M38538" s="202"/>
    </row>
    <row r="38539" spans="13:13">
      <c r="M38539" s="202"/>
    </row>
    <row r="38540" spans="13:13">
      <c r="M38540" s="202"/>
    </row>
    <row r="38541" spans="13:13">
      <c r="M38541" s="202"/>
    </row>
    <row r="38542" spans="13:13">
      <c r="M38542" s="202"/>
    </row>
    <row r="38543" spans="13:13">
      <c r="M38543" s="202"/>
    </row>
    <row r="38544" spans="13:13">
      <c r="M38544" s="202"/>
    </row>
    <row r="38545" spans="13:13">
      <c r="M38545" s="202"/>
    </row>
    <row r="38546" spans="13:13">
      <c r="M38546" s="202"/>
    </row>
    <row r="38547" spans="13:13">
      <c r="M38547" s="202"/>
    </row>
    <row r="38548" spans="13:13">
      <c r="M38548" s="202"/>
    </row>
    <row r="38549" spans="13:13">
      <c r="M38549" s="202"/>
    </row>
    <row r="38550" spans="13:13">
      <c r="M38550" s="202"/>
    </row>
    <row r="38551" spans="13:13">
      <c r="M38551" s="202"/>
    </row>
    <row r="38552" spans="13:13">
      <c r="M38552" s="202"/>
    </row>
    <row r="38553" spans="13:13">
      <c r="M38553" s="202"/>
    </row>
    <row r="38554" spans="13:13">
      <c r="M38554" s="202"/>
    </row>
    <row r="38555" spans="13:13">
      <c r="M38555" s="202"/>
    </row>
    <row r="38556" spans="13:13">
      <c r="M38556" s="202"/>
    </row>
    <row r="38557" spans="13:13">
      <c r="M38557" s="202"/>
    </row>
    <row r="38558" spans="13:13">
      <c r="M38558" s="202"/>
    </row>
    <row r="38559" spans="13:13">
      <c r="M38559" s="202"/>
    </row>
    <row r="38560" spans="13:13">
      <c r="M38560" s="202"/>
    </row>
    <row r="38561" spans="13:13">
      <c r="M38561" s="202"/>
    </row>
    <row r="38562" spans="13:13">
      <c r="M38562" s="202"/>
    </row>
    <row r="38563" spans="13:13">
      <c r="M38563" s="202"/>
    </row>
    <row r="38564" spans="13:13">
      <c r="M38564" s="202"/>
    </row>
    <row r="38565" spans="13:13">
      <c r="M38565" s="202"/>
    </row>
    <row r="38566" spans="13:13">
      <c r="M38566" s="202"/>
    </row>
    <row r="38567" spans="13:13">
      <c r="M38567" s="202"/>
    </row>
    <row r="38568" spans="13:13">
      <c r="M38568" s="202"/>
    </row>
    <row r="38569" spans="13:13">
      <c r="M38569" s="202"/>
    </row>
    <row r="38570" spans="13:13">
      <c r="M38570" s="202"/>
    </row>
    <row r="38571" spans="13:13">
      <c r="M38571" s="202"/>
    </row>
    <row r="38572" spans="13:13">
      <c r="M38572" s="202"/>
    </row>
    <row r="38573" spans="13:13">
      <c r="M38573" s="202"/>
    </row>
    <row r="38574" spans="13:13">
      <c r="M38574" s="202"/>
    </row>
    <row r="38575" spans="13:13">
      <c r="M38575" s="202"/>
    </row>
    <row r="38576" spans="13:13">
      <c r="M38576" s="202"/>
    </row>
    <row r="38577" spans="13:13">
      <c r="M38577" s="202"/>
    </row>
    <row r="38578" spans="13:13">
      <c r="M38578" s="202"/>
    </row>
    <row r="38579" spans="13:13">
      <c r="M38579" s="202"/>
    </row>
    <row r="38580" spans="13:13">
      <c r="M38580" s="202"/>
    </row>
    <row r="38581" spans="13:13">
      <c r="M38581" s="202"/>
    </row>
    <row r="38582" spans="13:13">
      <c r="M38582" s="202"/>
    </row>
    <row r="38583" spans="13:13">
      <c r="M38583" s="202"/>
    </row>
    <row r="38584" spans="13:13">
      <c r="M38584" s="202"/>
    </row>
    <row r="38585" spans="13:13">
      <c r="M38585" s="202"/>
    </row>
    <row r="38586" spans="13:13">
      <c r="M38586" s="202"/>
    </row>
    <row r="38587" spans="13:13">
      <c r="M38587" s="202"/>
    </row>
    <row r="38588" spans="13:13">
      <c r="M38588" s="202"/>
    </row>
    <row r="38589" spans="13:13">
      <c r="M38589" s="202"/>
    </row>
    <row r="38590" spans="13:13">
      <c r="M38590" s="202"/>
    </row>
    <row r="38591" spans="13:13">
      <c r="M38591" s="202"/>
    </row>
    <row r="38592" spans="13:13">
      <c r="M38592" s="202"/>
    </row>
    <row r="38593" spans="13:13">
      <c r="M38593" s="202"/>
    </row>
    <row r="38594" spans="13:13">
      <c r="M38594" s="202"/>
    </row>
    <row r="38595" spans="13:13">
      <c r="M38595" s="202"/>
    </row>
    <row r="38596" spans="13:13">
      <c r="M38596" s="202"/>
    </row>
    <row r="38597" spans="13:13">
      <c r="M38597" s="202"/>
    </row>
    <row r="38598" spans="13:13">
      <c r="M38598" s="202"/>
    </row>
    <row r="38599" spans="13:13">
      <c r="M38599" s="202"/>
    </row>
    <row r="38600" spans="13:13">
      <c r="M38600" s="202"/>
    </row>
    <row r="38601" spans="13:13">
      <c r="M38601" s="202"/>
    </row>
    <row r="38602" spans="13:13">
      <c r="M38602" s="202"/>
    </row>
    <row r="38603" spans="13:13">
      <c r="M38603" s="202"/>
    </row>
    <row r="38604" spans="13:13">
      <c r="M38604" s="202"/>
    </row>
    <row r="38605" spans="13:13">
      <c r="M38605" s="202"/>
    </row>
    <row r="38606" spans="13:13">
      <c r="M38606" s="202"/>
    </row>
    <row r="38607" spans="13:13">
      <c r="M38607" s="202"/>
    </row>
    <row r="38608" spans="13:13">
      <c r="M38608" s="202"/>
    </row>
    <row r="38609" spans="13:13">
      <c r="M38609" s="202"/>
    </row>
    <row r="38610" spans="13:13">
      <c r="M38610" s="202"/>
    </row>
    <row r="38611" spans="13:13">
      <c r="M38611" s="202"/>
    </row>
    <row r="38612" spans="13:13">
      <c r="M38612" s="202"/>
    </row>
    <row r="38613" spans="13:13">
      <c r="M38613" s="202"/>
    </row>
    <row r="38614" spans="13:13">
      <c r="M38614" s="202"/>
    </row>
    <row r="38615" spans="13:13">
      <c r="M38615" s="202"/>
    </row>
    <row r="38616" spans="13:13">
      <c r="M38616" s="202"/>
    </row>
    <row r="38617" spans="13:13">
      <c r="M38617" s="202"/>
    </row>
    <row r="38618" spans="13:13">
      <c r="M38618" s="202"/>
    </row>
    <row r="38619" spans="13:13">
      <c r="M38619" s="202"/>
    </row>
    <row r="38620" spans="13:13">
      <c r="M38620" s="202"/>
    </row>
    <row r="38621" spans="13:13">
      <c r="M38621" s="202"/>
    </row>
    <row r="38622" spans="13:13">
      <c r="M38622" s="202"/>
    </row>
    <row r="38623" spans="13:13">
      <c r="M38623" s="202"/>
    </row>
    <row r="38624" spans="13:13">
      <c r="M38624" s="202"/>
    </row>
    <row r="38625" spans="13:13">
      <c r="M38625" s="202"/>
    </row>
    <row r="38626" spans="13:13">
      <c r="M38626" s="202"/>
    </row>
    <row r="38627" spans="13:13">
      <c r="M38627" s="202"/>
    </row>
    <row r="38628" spans="13:13">
      <c r="M38628" s="202"/>
    </row>
    <row r="38629" spans="13:13">
      <c r="M38629" s="202"/>
    </row>
    <row r="38630" spans="13:13">
      <c r="M38630" s="202"/>
    </row>
    <row r="38631" spans="13:13">
      <c r="M38631" s="202"/>
    </row>
    <row r="38632" spans="13:13">
      <c r="M38632" s="202"/>
    </row>
    <row r="38633" spans="13:13">
      <c r="M38633" s="202"/>
    </row>
    <row r="38634" spans="13:13">
      <c r="M38634" s="202"/>
    </row>
    <row r="38635" spans="13:13">
      <c r="M38635" s="202"/>
    </row>
    <row r="38636" spans="13:13">
      <c r="M38636" s="202"/>
    </row>
    <row r="38637" spans="13:13">
      <c r="M38637" s="202"/>
    </row>
    <row r="38638" spans="13:13">
      <c r="M38638" s="202"/>
    </row>
    <row r="38639" spans="13:13">
      <c r="M38639" s="202"/>
    </row>
    <row r="38640" spans="13:13">
      <c r="M38640" s="202"/>
    </row>
    <row r="38641" spans="13:13">
      <c r="M38641" s="202"/>
    </row>
    <row r="38642" spans="13:13">
      <c r="M38642" s="202"/>
    </row>
    <row r="38643" spans="13:13">
      <c r="M38643" s="202"/>
    </row>
    <row r="38644" spans="13:13">
      <c r="M38644" s="202"/>
    </row>
    <row r="38645" spans="13:13">
      <c r="M38645" s="202"/>
    </row>
    <row r="38646" spans="13:13">
      <c r="M38646" s="202"/>
    </row>
    <row r="38647" spans="13:13">
      <c r="M38647" s="202"/>
    </row>
    <row r="38648" spans="13:13">
      <c r="M38648" s="202"/>
    </row>
    <row r="38649" spans="13:13">
      <c r="M38649" s="202"/>
    </row>
    <row r="38650" spans="13:13">
      <c r="M38650" s="202"/>
    </row>
    <row r="38651" spans="13:13">
      <c r="M38651" s="202"/>
    </row>
    <row r="38652" spans="13:13">
      <c r="M38652" s="202"/>
    </row>
    <row r="38653" spans="13:13">
      <c r="M38653" s="202"/>
    </row>
    <row r="38654" spans="13:13">
      <c r="M38654" s="202"/>
    </row>
    <row r="38655" spans="13:13">
      <c r="M38655" s="202"/>
    </row>
    <row r="38656" spans="13:13">
      <c r="M38656" s="202"/>
    </row>
    <row r="38657" spans="13:13">
      <c r="M38657" s="202"/>
    </row>
    <row r="38658" spans="13:13">
      <c r="M38658" s="202"/>
    </row>
    <row r="38659" spans="13:13">
      <c r="M38659" s="202"/>
    </row>
    <row r="38660" spans="13:13">
      <c r="M38660" s="202"/>
    </row>
    <row r="38661" spans="13:13">
      <c r="M38661" s="202"/>
    </row>
    <row r="38662" spans="13:13">
      <c r="M38662" s="202"/>
    </row>
    <row r="38663" spans="13:13">
      <c r="M38663" s="202"/>
    </row>
    <row r="38664" spans="13:13">
      <c r="M38664" s="202"/>
    </row>
    <row r="38665" spans="13:13">
      <c r="M38665" s="202"/>
    </row>
    <row r="38666" spans="13:13">
      <c r="M38666" s="202"/>
    </row>
    <row r="38667" spans="13:13">
      <c r="M38667" s="202"/>
    </row>
    <row r="38668" spans="13:13">
      <c r="M38668" s="202"/>
    </row>
    <row r="38669" spans="13:13">
      <c r="M38669" s="202"/>
    </row>
    <row r="38670" spans="13:13">
      <c r="M38670" s="202"/>
    </row>
    <row r="38671" spans="13:13">
      <c r="M38671" s="202"/>
    </row>
    <row r="38672" spans="13:13">
      <c r="M38672" s="202"/>
    </row>
    <row r="38673" spans="13:13">
      <c r="M38673" s="202"/>
    </row>
    <row r="38674" spans="13:13">
      <c r="M38674" s="202"/>
    </row>
    <row r="38675" spans="13:13">
      <c r="M38675" s="202"/>
    </row>
    <row r="38676" spans="13:13">
      <c r="M38676" s="202"/>
    </row>
    <row r="38677" spans="13:13">
      <c r="M38677" s="202"/>
    </row>
    <row r="38678" spans="13:13">
      <c r="M38678" s="202"/>
    </row>
    <row r="38679" spans="13:13">
      <c r="M38679" s="202"/>
    </row>
    <row r="38680" spans="13:13">
      <c r="M38680" s="202"/>
    </row>
    <row r="38681" spans="13:13">
      <c r="M38681" s="202"/>
    </row>
    <row r="38682" spans="13:13">
      <c r="M38682" s="202"/>
    </row>
    <row r="38683" spans="13:13">
      <c r="M38683" s="202"/>
    </row>
    <row r="38684" spans="13:13">
      <c r="M38684" s="202"/>
    </row>
    <row r="38685" spans="13:13">
      <c r="M38685" s="202"/>
    </row>
    <row r="38686" spans="13:13">
      <c r="M38686" s="202"/>
    </row>
    <row r="38687" spans="13:13">
      <c r="M38687" s="202"/>
    </row>
    <row r="38688" spans="13:13">
      <c r="M38688" s="202"/>
    </row>
    <row r="38689" spans="13:13">
      <c r="M38689" s="202"/>
    </row>
    <row r="38690" spans="13:13">
      <c r="M38690" s="202"/>
    </row>
    <row r="38691" spans="13:13">
      <c r="M38691" s="202"/>
    </row>
    <row r="38692" spans="13:13">
      <c r="M38692" s="202"/>
    </row>
    <row r="38693" spans="13:13">
      <c r="M38693" s="202"/>
    </row>
    <row r="38694" spans="13:13">
      <c r="M38694" s="202"/>
    </row>
    <row r="38695" spans="13:13">
      <c r="M38695" s="202"/>
    </row>
    <row r="38696" spans="13:13">
      <c r="M38696" s="202"/>
    </row>
    <row r="38697" spans="13:13">
      <c r="M38697" s="202"/>
    </row>
    <row r="38698" spans="13:13">
      <c r="M38698" s="202"/>
    </row>
    <row r="38699" spans="13:13">
      <c r="M38699" s="202"/>
    </row>
    <row r="38700" spans="13:13">
      <c r="M38700" s="202"/>
    </row>
    <row r="38701" spans="13:13">
      <c r="M38701" s="202"/>
    </row>
    <row r="38702" spans="13:13">
      <c r="M38702" s="202"/>
    </row>
    <row r="38703" spans="13:13">
      <c r="M38703" s="202"/>
    </row>
    <row r="38704" spans="13:13">
      <c r="M38704" s="202"/>
    </row>
    <row r="38705" spans="13:13">
      <c r="M38705" s="202"/>
    </row>
    <row r="38706" spans="13:13">
      <c r="M38706" s="202"/>
    </row>
    <row r="38707" spans="13:13">
      <c r="M38707" s="202"/>
    </row>
    <row r="38708" spans="13:13">
      <c r="M38708" s="202"/>
    </row>
    <row r="38709" spans="13:13">
      <c r="M38709" s="202"/>
    </row>
    <row r="38710" spans="13:13">
      <c r="M38710" s="202"/>
    </row>
    <row r="38711" spans="13:13">
      <c r="M38711" s="202"/>
    </row>
    <row r="38712" spans="13:13">
      <c r="M38712" s="202"/>
    </row>
    <row r="38713" spans="13:13">
      <c r="M38713" s="202"/>
    </row>
    <row r="38714" spans="13:13">
      <c r="M38714" s="202"/>
    </row>
    <row r="38715" spans="13:13">
      <c r="M38715" s="202"/>
    </row>
    <row r="38716" spans="13:13">
      <c r="M38716" s="202"/>
    </row>
    <row r="38717" spans="13:13">
      <c r="M38717" s="202"/>
    </row>
    <row r="38718" spans="13:13">
      <c r="M38718" s="202"/>
    </row>
    <row r="38719" spans="13:13">
      <c r="M38719" s="202"/>
    </row>
    <row r="38720" spans="13:13">
      <c r="M38720" s="202"/>
    </row>
    <row r="38721" spans="13:13">
      <c r="M38721" s="202"/>
    </row>
    <row r="38722" spans="13:13">
      <c r="M38722" s="202"/>
    </row>
    <row r="38723" spans="13:13">
      <c r="M38723" s="202"/>
    </row>
    <row r="38724" spans="13:13">
      <c r="M38724" s="202"/>
    </row>
    <row r="38725" spans="13:13">
      <c r="M38725" s="202"/>
    </row>
    <row r="38726" spans="13:13">
      <c r="M38726" s="202"/>
    </row>
    <row r="38727" spans="13:13">
      <c r="M38727" s="202"/>
    </row>
    <row r="38728" spans="13:13">
      <c r="M38728" s="202"/>
    </row>
    <row r="38729" spans="13:13">
      <c r="M38729" s="202"/>
    </row>
    <row r="38730" spans="13:13">
      <c r="M38730" s="202"/>
    </row>
    <row r="38731" spans="13:13">
      <c r="M38731" s="202"/>
    </row>
    <row r="38732" spans="13:13">
      <c r="M38732" s="202"/>
    </row>
    <row r="38733" spans="13:13">
      <c r="M38733" s="202"/>
    </row>
    <row r="38734" spans="13:13">
      <c r="M38734" s="202"/>
    </row>
    <row r="38735" spans="13:13">
      <c r="M38735" s="202"/>
    </row>
    <row r="38736" spans="13:13">
      <c r="M38736" s="202"/>
    </row>
    <row r="38737" spans="13:13">
      <c r="M38737" s="202"/>
    </row>
    <row r="38738" spans="13:13">
      <c r="M38738" s="202"/>
    </row>
    <row r="38739" spans="13:13">
      <c r="M38739" s="202"/>
    </row>
    <row r="38740" spans="13:13">
      <c r="M38740" s="202"/>
    </row>
    <row r="38741" spans="13:13">
      <c r="M38741" s="202"/>
    </row>
    <row r="38742" spans="13:13">
      <c r="M38742" s="202"/>
    </row>
    <row r="38743" spans="13:13">
      <c r="M38743" s="202"/>
    </row>
    <row r="38744" spans="13:13">
      <c r="M38744" s="202"/>
    </row>
    <row r="38745" spans="13:13">
      <c r="M38745" s="202"/>
    </row>
    <row r="38746" spans="13:13">
      <c r="M38746" s="202"/>
    </row>
    <row r="38747" spans="13:13">
      <c r="M38747" s="202"/>
    </row>
    <row r="38748" spans="13:13">
      <c r="M38748" s="202"/>
    </row>
    <row r="38749" spans="13:13">
      <c r="M38749" s="202"/>
    </row>
    <row r="38750" spans="13:13">
      <c r="M38750" s="202"/>
    </row>
    <row r="38751" spans="13:13">
      <c r="M38751" s="202"/>
    </row>
    <row r="38752" spans="13:13">
      <c r="M38752" s="202"/>
    </row>
    <row r="38753" spans="13:13">
      <c r="M38753" s="202"/>
    </row>
    <row r="38754" spans="13:13">
      <c r="M38754" s="202"/>
    </row>
    <row r="38755" spans="13:13">
      <c r="M38755" s="202"/>
    </row>
    <row r="38756" spans="13:13">
      <c r="M38756" s="202"/>
    </row>
    <row r="38757" spans="13:13">
      <c r="M38757" s="202"/>
    </row>
    <row r="38758" spans="13:13">
      <c r="M38758" s="202"/>
    </row>
    <row r="38759" spans="13:13">
      <c r="M38759" s="202"/>
    </row>
    <row r="38760" spans="13:13">
      <c r="M38760" s="202"/>
    </row>
    <row r="38761" spans="13:13">
      <c r="M38761" s="202"/>
    </row>
    <row r="38762" spans="13:13">
      <c r="M38762" s="202"/>
    </row>
    <row r="38763" spans="13:13">
      <c r="M38763" s="202"/>
    </row>
    <row r="38764" spans="13:13">
      <c r="M38764" s="202"/>
    </row>
    <row r="38765" spans="13:13">
      <c r="M38765" s="202"/>
    </row>
    <row r="38766" spans="13:13">
      <c r="M38766" s="202"/>
    </row>
    <row r="38767" spans="13:13">
      <c r="M38767" s="202"/>
    </row>
    <row r="38768" spans="13:13">
      <c r="M38768" s="202"/>
    </row>
    <row r="38769" spans="13:13">
      <c r="M38769" s="202"/>
    </row>
    <row r="38770" spans="13:13">
      <c r="M38770" s="202"/>
    </row>
    <row r="38771" spans="13:13">
      <c r="M38771" s="202"/>
    </row>
    <row r="38772" spans="13:13">
      <c r="M38772" s="202"/>
    </row>
    <row r="38773" spans="13:13">
      <c r="M38773" s="202"/>
    </row>
    <row r="38774" spans="13:13">
      <c r="M38774" s="202"/>
    </row>
    <row r="38775" spans="13:13">
      <c r="M38775" s="202"/>
    </row>
    <row r="38776" spans="13:13">
      <c r="M38776" s="202"/>
    </row>
    <row r="38777" spans="13:13">
      <c r="M38777" s="202"/>
    </row>
    <row r="38778" spans="13:13">
      <c r="M38778" s="202"/>
    </row>
    <row r="38779" spans="13:13">
      <c r="M38779" s="202"/>
    </row>
    <row r="38780" spans="13:13">
      <c r="M38780" s="202"/>
    </row>
    <row r="38781" spans="13:13">
      <c r="M38781" s="202"/>
    </row>
    <row r="38782" spans="13:13">
      <c r="M38782" s="202"/>
    </row>
    <row r="38783" spans="13:13">
      <c r="M38783" s="202"/>
    </row>
    <row r="38784" spans="13:13">
      <c r="M38784" s="202"/>
    </row>
    <row r="38785" spans="13:13">
      <c r="M38785" s="202"/>
    </row>
    <row r="38786" spans="13:13">
      <c r="M38786" s="202"/>
    </row>
    <row r="38787" spans="13:13">
      <c r="M38787" s="202"/>
    </row>
    <row r="38788" spans="13:13">
      <c r="M38788" s="202"/>
    </row>
    <row r="38789" spans="13:13">
      <c r="M38789" s="202"/>
    </row>
    <row r="38790" spans="13:13">
      <c r="M38790" s="202"/>
    </row>
    <row r="38791" spans="13:13">
      <c r="M38791" s="202"/>
    </row>
    <row r="38792" spans="13:13">
      <c r="M38792" s="202"/>
    </row>
    <row r="38793" spans="13:13">
      <c r="M38793" s="202"/>
    </row>
    <row r="38794" spans="13:13">
      <c r="M38794" s="202"/>
    </row>
    <row r="38795" spans="13:13">
      <c r="M38795" s="202"/>
    </row>
    <row r="38796" spans="13:13">
      <c r="M38796" s="202"/>
    </row>
    <row r="38797" spans="13:13">
      <c r="M38797" s="202"/>
    </row>
    <row r="38798" spans="13:13">
      <c r="M38798" s="202"/>
    </row>
    <row r="38799" spans="13:13">
      <c r="M38799" s="202"/>
    </row>
    <row r="38800" spans="13:13">
      <c r="M38800" s="202"/>
    </row>
    <row r="38801" spans="13:13">
      <c r="M38801" s="202"/>
    </row>
    <row r="38802" spans="13:13">
      <c r="M38802" s="202"/>
    </row>
    <row r="38803" spans="13:13">
      <c r="M38803" s="202"/>
    </row>
    <row r="38804" spans="13:13">
      <c r="M38804" s="202"/>
    </row>
    <row r="38805" spans="13:13">
      <c r="M38805" s="202"/>
    </row>
    <row r="38806" spans="13:13">
      <c r="M38806" s="202"/>
    </row>
    <row r="38807" spans="13:13">
      <c r="M38807" s="202"/>
    </row>
    <row r="38808" spans="13:13">
      <c r="M38808" s="202"/>
    </row>
    <row r="38809" spans="13:13">
      <c r="M38809" s="202"/>
    </row>
    <row r="38810" spans="13:13">
      <c r="M38810" s="202"/>
    </row>
    <row r="38811" spans="13:13">
      <c r="M38811" s="202"/>
    </row>
    <row r="38812" spans="13:13">
      <c r="M38812" s="202"/>
    </row>
    <row r="38813" spans="13:13">
      <c r="M38813" s="202"/>
    </row>
    <row r="38814" spans="13:13">
      <c r="M38814" s="202"/>
    </row>
    <row r="38815" spans="13:13">
      <c r="M38815" s="202"/>
    </row>
    <row r="38816" spans="13:13">
      <c r="M38816" s="202"/>
    </row>
    <row r="38817" spans="13:13">
      <c r="M38817" s="202"/>
    </row>
    <row r="38818" spans="13:13">
      <c r="M38818" s="202"/>
    </row>
    <row r="38819" spans="13:13">
      <c r="M38819" s="202"/>
    </row>
    <row r="38820" spans="13:13">
      <c r="M38820" s="202"/>
    </row>
    <row r="38821" spans="13:13">
      <c r="M38821" s="202"/>
    </row>
    <row r="38822" spans="13:13">
      <c r="M38822" s="202"/>
    </row>
    <row r="38823" spans="13:13">
      <c r="M38823" s="202"/>
    </row>
    <row r="38824" spans="13:13">
      <c r="M38824" s="202"/>
    </row>
    <row r="38825" spans="13:13">
      <c r="M38825" s="202"/>
    </row>
    <row r="38826" spans="13:13">
      <c r="M38826" s="202"/>
    </row>
    <row r="38827" spans="13:13">
      <c r="M38827" s="202"/>
    </row>
    <row r="38828" spans="13:13">
      <c r="M38828" s="202"/>
    </row>
    <row r="38829" spans="13:13">
      <c r="M38829" s="202"/>
    </row>
    <row r="38830" spans="13:13">
      <c r="M38830" s="202"/>
    </row>
    <row r="38831" spans="13:13">
      <c r="M38831" s="202"/>
    </row>
    <row r="38832" spans="13:13">
      <c r="M38832" s="202"/>
    </row>
    <row r="38833" spans="13:13">
      <c r="M38833" s="202"/>
    </row>
    <row r="38834" spans="13:13">
      <c r="M38834" s="202"/>
    </row>
    <row r="38835" spans="13:13">
      <c r="M38835" s="202"/>
    </row>
    <row r="38836" spans="13:13">
      <c r="M38836" s="202"/>
    </row>
    <row r="38837" spans="13:13">
      <c r="M38837" s="202"/>
    </row>
    <row r="38838" spans="13:13">
      <c r="M38838" s="202"/>
    </row>
    <row r="38839" spans="13:13">
      <c r="M38839" s="202"/>
    </row>
    <row r="38840" spans="13:13">
      <c r="M38840" s="202"/>
    </row>
    <row r="38841" spans="13:13">
      <c r="M38841" s="202"/>
    </row>
    <row r="38842" spans="13:13">
      <c r="M38842" s="202"/>
    </row>
    <row r="38843" spans="13:13">
      <c r="M38843" s="202"/>
    </row>
    <row r="38844" spans="13:13">
      <c r="M38844" s="202"/>
    </row>
    <row r="38845" spans="13:13">
      <c r="M38845" s="202"/>
    </row>
    <row r="38846" spans="13:13">
      <c r="M38846" s="202"/>
    </row>
    <row r="38847" spans="13:13">
      <c r="M38847" s="202"/>
    </row>
    <row r="38848" spans="13:13">
      <c r="M38848" s="202"/>
    </row>
    <row r="38849" spans="13:13">
      <c r="M38849" s="202"/>
    </row>
    <row r="38850" spans="13:13">
      <c r="M38850" s="202"/>
    </row>
    <row r="38851" spans="13:13">
      <c r="M38851" s="202"/>
    </row>
    <row r="38852" spans="13:13">
      <c r="M38852" s="202"/>
    </row>
    <row r="38853" spans="13:13">
      <c r="M38853" s="202"/>
    </row>
    <row r="38854" spans="13:13">
      <c r="M38854" s="202"/>
    </row>
    <row r="38855" spans="13:13">
      <c r="M38855" s="202"/>
    </row>
    <row r="38856" spans="13:13">
      <c r="M38856" s="202"/>
    </row>
    <row r="38857" spans="13:13">
      <c r="M38857" s="202"/>
    </row>
    <row r="38858" spans="13:13">
      <c r="M38858" s="202"/>
    </row>
    <row r="38859" spans="13:13">
      <c r="M38859" s="202"/>
    </row>
    <row r="38860" spans="13:13">
      <c r="M38860" s="202"/>
    </row>
    <row r="38861" spans="13:13">
      <c r="M38861" s="202"/>
    </row>
    <row r="38862" spans="13:13">
      <c r="M38862" s="202"/>
    </row>
    <row r="38863" spans="13:13">
      <c r="M38863" s="202"/>
    </row>
    <row r="38864" spans="13:13">
      <c r="M38864" s="202"/>
    </row>
    <row r="38865" spans="13:13">
      <c r="M38865" s="202"/>
    </row>
    <row r="38866" spans="13:13">
      <c r="M38866" s="202"/>
    </row>
    <row r="38867" spans="13:13">
      <c r="M38867" s="202"/>
    </row>
    <row r="38868" spans="13:13">
      <c r="M38868" s="202"/>
    </row>
    <row r="38869" spans="13:13">
      <c r="M38869" s="202"/>
    </row>
    <row r="38870" spans="13:13">
      <c r="M38870" s="202"/>
    </row>
    <row r="38871" spans="13:13">
      <c r="M38871" s="202"/>
    </row>
    <row r="38872" spans="13:13">
      <c r="M38872" s="202"/>
    </row>
    <row r="38873" spans="13:13">
      <c r="M38873" s="202"/>
    </row>
    <row r="38874" spans="13:13">
      <c r="M38874" s="202"/>
    </row>
    <row r="38875" spans="13:13">
      <c r="M38875" s="202"/>
    </row>
    <row r="38876" spans="13:13">
      <c r="M38876" s="202"/>
    </row>
    <row r="38877" spans="13:13">
      <c r="M38877" s="202"/>
    </row>
    <row r="38878" spans="13:13">
      <c r="M38878" s="202"/>
    </row>
    <row r="38879" spans="13:13">
      <c r="M38879" s="202"/>
    </row>
    <row r="38880" spans="13:13">
      <c r="M38880" s="202"/>
    </row>
    <row r="38881" spans="13:13">
      <c r="M38881" s="202"/>
    </row>
    <row r="38882" spans="13:13">
      <c r="M38882" s="202"/>
    </row>
    <row r="38883" spans="13:13">
      <c r="M38883" s="202"/>
    </row>
    <row r="38884" spans="13:13">
      <c r="M38884" s="202"/>
    </row>
    <row r="38885" spans="13:13">
      <c r="M38885" s="202"/>
    </row>
    <row r="38886" spans="13:13">
      <c r="M38886" s="202"/>
    </row>
    <row r="38887" spans="13:13">
      <c r="M38887" s="202"/>
    </row>
    <row r="38888" spans="13:13">
      <c r="M38888" s="202"/>
    </row>
    <row r="38889" spans="13:13">
      <c r="M38889" s="202"/>
    </row>
    <row r="38890" spans="13:13">
      <c r="M38890" s="202"/>
    </row>
    <row r="38891" spans="13:13">
      <c r="M38891" s="202"/>
    </row>
    <row r="38892" spans="13:13">
      <c r="M38892" s="202"/>
    </row>
    <row r="38893" spans="13:13">
      <c r="M38893" s="202"/>
    </row>
    <row r="38894" spans="13:13">
      <c r="M38894" s="202"/>
    </row>
    <row r="38895" spans="13:13">
      <c r="M38895" s="202"/>
    </row>
    <row r="38896" spans="13:13">
      <c r="M38896" s="202"/>
    </row>
    <row r="38897" spans="13:13">
      <c r="M38897" s="202"/>
    </row>
    <row r="38898" spans="13:13">
      <c r="M38898" s="202"/>
    </row>
    <row r="38899" spans="13:13">
      <c r="M38899" s="202"/>
    </row>
    <row r="38900" spans="13:13">
      <c r="M38900" s="202"/>
    </row>
    <row r="38901" spans="13:13">
      <c r="M38901" s="202"/>
    </row>
    <row r="38902" spans="13:13">
      <c r="M38902" s="202"/>
    </row>
    <row r="38903" spans="13:13">
      <c r="M38903" s="202"/>
    </row>
    <row r="38904" spans="13:13">
      <c r="M38904" s="202"/>
    </row>
    <row r="38905" spans="13:13">
      <c r="M38905" s="202"/>
    </row>
    <row r="38906" spans="13:13">
      <c r="M38906" s="202"/>
    </row>
    <row r="38907" spans="13:13">
      <c r="M38907" s="202"/>
    </row>
    <row r="38908" spans="13:13">
      <c r="M38908" s="202"/>
    </row>
    <row r="38909" spans="13:13">
      <c r="M38909" s="202"/>
    </row>
    <row r="38910" spans="13:13">
      <c r="M38910" s="202"/>
    </row>
    <row r="38911" spans="13:13">
      <c r="M38911" s="202"/>
    </row>
    <row r="38912" spans="13:13">
      <c r="M38912" s="202"/>
    </row>
    <row r="38913" spans="13:13">
      <c r="M38913" s="202"/>
    </row>
    <row r="38914" spans="13:13">
      <c r="M38914" s="202"/>
    </row>
    <row r="38915" spans="13:13">
      <c r="M38915" s="202"/>
    </row>
    <row r="38916" spans="13:13">
      <c r="M38916" s="202"/>
    </row>
    <row r="38917" spans="13:13">
      <c r="M38917" s="202"/>
    </row>
    <row r="38918" spans="13:13">
      <c r="M38918" s="202"/>
    </row>
    <row r="38919" spans="13:13">
      <c r="M38919" s="202"/>
    </row>
    <row r="38920" spans="13:13">
      <c r="M38920" s="202"/>
    </row>
    <row r="38921" spans="13:13">
      <c r="M38921" s="202"/>
    </row>
    <row r="38922" spans="13:13">
      <c r="M38922" s="202"/>
    </row>
    <row r="38923" spans="13:13">
      <c r="M38923" s="202"/>
    </row>
    <row r="38924" spans="13:13">
      <c r="M38924" s="202"/>
    </row>
    <row r="38925" spans="13:13">
      <c r="M38925" s="202"/>
    </row>
    <row r="38926" spans="13:13">
      <c r="M38926" s="202"/>
    </row>
    <row r="38927" spans="13:13">
      <c r="M38927" s="202"/>
    </row>
    <row r="38928" spans="13:13">
      <c r="M38928" s="202"/>
    </row>
    <row r="38929" spans="13:13">
      <c r="M38929" s="202"/>
    </row>
    <row r="38930" spans="13:13">
      <c r="M38930" s="202"/>
    </row>
    <row r="38931" spans="13:13">
      <c r="M38931" s="202"/>
    </row>
    <row r="38932" spans="13:13">
      <c r="M38932" s="202"/>
    </row>
    <row r="38933" spans="13:13">
      <c r="M38933" s="202"/>
    </row>
    <row r="38934" spans="13:13">
      <c r="M38934" s="202"/>
    </row>
    <row r="38935" spans="13:13">
      <c r="M38935" s="202"/>
    </row>
    <row r="38936" spans="13:13">
      <c r="M38936" s="202"/>
    </row>
    <row r="38937" spans="13:13">
      <c r="M38937" s="202"/>
    </row>
    <row r="38938" spans="13:13">
      <c r="M38938" s="202"/>
    </row>
    <row r="38939" spans="13:13">
      <c r="M38939" s="202"/>
    </row>
    <row r="38940" spans="13:13">
      <c r="M38940" s="202"/>
    </row>
    <row r="38941" spans="13:13">
      <c r="M38941" s="202"/>
    </row>
    <row r="38942" spans="13:13">
      <c r="M38942" s="202"/>
    </row>
    <row r="38943" spans="13:13">
      <c r="M38943" s="202"/>
    </row>
    <row r="38944" spans="13:13">
      <c r="M38944" s="202"/>
    </row>
    <row r="38945" spans="13:13">
      <c r="M38945" s="202"/>
    </row>
    <row r="38946" spans="13:13">
      <c r="M38946" s="202"/>
    </row>
    <row r="38947" spans="13:13">
      <c r="M38947" s="202"/>
    </row>
    <row r="38948" spans="13:13">
      <c r="M38948" s="202"/>
    </row>
    <row r="38949" spans="13:13">
      <c r="M38949" s="202"/>
    </row>
    <row r="38950" spans="13:13">
      <c r="M38950" s="202"/>
    </row>
    <row r="38951" spans="13:13">
      <c r="M38951" s="202"/>
    </row>
    <row r="38952" spans="13:13">
      <c r="M38952" s="202"/>
    </row>
    <row r="38953" spans="13:13">
      <c r="M38953" s="202"/>
    </row>
    <row r="38954" spans="13:13">
      <c r="M38954" s="202"/>
    </row>
    <row r="38955" spans="13:13">
      <c r="M38955" s="202"/>
    </row>
    <row r="38956" spans="13:13">
      <c r="M38956" s="202"/>
    </row>
    <row r="38957" spans="13:13">
      <c r="M38957" s="202"/>
    </row>
    <row r="38958" spans="13:13">
      <c r="M38958" s="202"/>
    </row>
    <row r="38959" spans="13:13">
      <c r="M38959" s="202"/>
    </row>
    <row r="38960" spans="13:13">
      <c r="M38960" s="202"/>
    </row>
    <row r="38961" spans="13:13">
      <c r="M38961" s="202"/>
    </row>
    <row r="38962" spans="13:13">
      <c r="M38962" s="202"/>
    </row>
    <row r="38963" spans="13:13">
      <c r="M38963" s="202"/>
    </row>
    <row r="38964" spans="13:13">
      <c r="M38964" s="202"/>
    </row>
    <row r="38965" spans="13:13">
      <c r="M38965" s="202"/>
    </row>
    <row r="38966" spans="13:13">
      <c r="M38966" s="202"/>
    </row>
    <row r="38967" spans="13:13">
      <c r="M38967" s="202"/>
    </row>
    <row r="38968" spans="13:13">
      <c r="M38968" s="202"/>
    </row>
    <row r="38969" spans="13:13">
      <c r="M38969" s="202"/>
    </row>
    <row r="38970" spans="13:13">
      <c r="M38970" s="202"/>
    </row>
    <row r="38971" spans="13:13">
      <c r="M38971" s="202"/>
    </row>
    <row r="38972" spans="13:13">
      <c r="M38972" s="202"/>
    </row>
    <row r="38973" spans="13:13">
      <c r="M38973" s="202"/>
    </row>
    <row r="38974" spans="13:13">
      <c r="M38974" s="202"/>
    </row>
    <row r="38975" spans="13:13">
      <c r="M38975" s="202"/>
    </row>
    <row r="38976" spans="13:13">
      <c r="M38976" s="202"/>
    </row>
    <row r="38977" spans="13:13">
      <c r="M38977" s="202"/>
    </row>
    <row r="38978" spans="13:13">
      <c r="M38978" s="202"/>
    </row>
    <row r="38979" spans="13:13">
      <c r="M38979" s="202"/>
    </row>
    <row r="38980" spans="13:13">
      <c r="M38980" s="202"/>
    </row>
    <row r="38981" spans="13:13">
      <c r="M38981" s="202"/>
    </row>
    <row r="38982" spans="13:13">
      <c r="M38982" s="202"/>
    </row>
    <row r="38983" spans="13:13">
      <c r="M38983" s="202"/>
    </row>
    <row r="38984" spans="13:13">
      <c r="M38984" s="202"/>
    </row>
    <row r="38985" spans="13:13">
      <c r="M38985" s="202"/>
    </row>
    <row r="38986" spans="13:13">
      <c r="M38986" s="202"/>
    </row>
    <row r="38987" spans="13:13">
      <c r="M38987" s="202"/>
    </row>
    <row r="38988" spans="13:13">
      <c r="M38988" s="202"/>
    </row>
    <row r="38989" spans="13:13">
      <c r="M38989" s="202"/>
    </row>
    <row r="38990" spans="13:13">
      <c r="M38990" s="202"/>
    </row>
    <row r="38991" spans="13:13">
      <c r="M38991" s="202"/>
    </row>
    <row r="38992" spans="13:13">
      <c r="M38992" s="202"/>
    </row>
    <row r="38993" spans="13:13">
      <c r="M38993" s="202"/>
    </row>
    <row r="38994" spans="13:13">
      <c r="M38994" s="202"/>
    </row>
    <row r="38995" spans="13:13">
      <c r="M38995" s="202"/>
    </row>
    <row r="38996" spans="13:13">
      <c r="M38996" s="202"/>
    </row>
    <row r="38997" spans="13:13">
      <c r="M38997" s="202"/>
    </row>
    <row r="38998" spans="13:13">
      <c r="M38998" s="202"/>
    </row>
    <row r="38999" spans="13:13">
      <c r="M38999" s="202"/>
    </row>
    <row r="39000" spans="13:13">
      <c r="M39000" s="202"/>
    </row>
    <row r="39001" spans="13:13">
      <c r="M39001" s="202"/>
    </row>
    <row r="39002" spans="13:13">
      <c r="M39002" s="202"/>
    </row>
    <row r="39003" spans="13:13">
      <c r="M39003" s="202"/>
    </row>
    <row r="39004" spans="13:13">
      <c r="M39004" s="202"/>
    </row>
    <row r="39005" spans="13:13">
      <c r="M39005" s="202"/>
    </row>
    <row r="39006" spans="13:13">
      <c r="M39006" s="202"/>
    </row>
    <row r="39007" spans="13:13">
      <c r="M39007" s="202"/>
    </row>
    <row r="39008" spans="13:13">
      <c r="M39008" s="202"/>
    </row>
    <row r="39009" spans="13:13">
      <c r="M39009" s="202"/>
    </row>
    <row r="39010" spans="13:13">
      <c r="M39010" s="202"/>
    </row>
    <row r="39011" spans="13:13">
      <c r="M39011" s="202"/>
    </row>
    <row r="39012" spans="13:13">
      <c r="M39012" s="202"/>
    </row>
    <row r="39013" spans="13:13">
      <c r="M39013" s="202"/>
    </row>
    <row r="39014" spans="13:13">
      <c r="M39014" s="202"/>
    </row>
    <row r="39015" spans="13:13">
      <c r="M39015" s="202"/>
    </row>
    <row r="39016" spans="13:13">
      <c r="M39016" s="202"/>
    </row>
    <row r="39017" spans="13:13">
      <c r="M39017" s="202"/>
    </row>
    <row r="39018" spans="13:13">
      <c r="M39018" s="202"/>
    </row>
    <row r="39019" spans="13:13">
      <c r="M39019" s="202"/>
    </row>
    <row r="39020" spans="13:13">
      <c r="M39020" s="202"/>
    </row>
    <row r="39021" spans="13:13">
      <c r="M39021" s="202"/>
    </row>
    <row r="39022" spans="13:13">
      <c r="M39022" s="202"/>
    </row>
    <row r="39023" spans="13:13">
      <c r="M39023" s="202"/>
    </row>
    <row r="39024" spans="13:13">
      <c r="M39024" s="202"/>
    </row>
    <row r="39025" spans="13:13">
      <c r="M39025" s="202"/>
    </row>
    <row r="39026" spans="13:13">
      <c r="M39026" s="202"/>
    </row>
    <row r="39027" spans="13:13">
      <c r="M39027" s="202"/>
    </row>
    <row r="39028" spans="13:13">
      <c r="M39028" s="202"/>
    </row>
    <row r="39029" spans="13:13">
      <c r="M39029" s="202"/>
    </row>
    <row r="39030" spans="13:13">
      <c r="M39030" s="202"/>
    </row>
    <row r="39031" spans="13:13">
      <c r="M39031" s="202"/>
    </row>
    <row r="39032" spans="13:13">
      <c r="M39032" s="202"/>
    </row>
    <row r="39033" spans="13:13">
      <c r="M39033" s="202"/>
    </row>
    <row r="39034" spans="13:13">
      <c r="M39034" s="202"/>
    </row>
    <row r="39035" spans="13:13">
      <c r="M39035" s="202"/>
    </row>
    <row r="39036" spans="13:13">
      <c r="M39036" s="202"/>
    </row>
    <row r="39037" spans="13:13">
      <c r="M39037" s="202"/>
    </row>
    <row r="39038" spans="13:13">
      <c r="M39038" s="202"/>
    </row>
    <row r="39039" spans="13:13">
      <c r="M39039" s="202"/>
    </row>
    <row r="39040" spans="13:13">
      <c r="M39040" s="202"/>
    </row>
    <row r="39041" spans="13:13">
      <c r="M39041" s="202"/>
    </row>
    <row r="39042" spans="13:13">
      <c r="M39042" s="202"/>
    </row>
    <row r="39043" spans="13:13">
      <c r="M39043" s="202"/>
    </row>
    <row r="39044" spans="13:13">
      <c r="M39044" s="202"/>
    </row>
    <row r="39045" spans="13:13">
      <c r="M39045" s="202"/>
    </row>
    <row r="39046" spans="13:13">
      <c r="M39046" s="202"/>
    </row>
    <row r="39047" spans="13:13">
      <c r="M39047" s="202"/>
    </row>
    <row r="39048" spans="13:13">
      <c r="M39048" s="202"/>
    </row>
    <row r="39049" spans="13:13">
      <c r="M39049" s="202"/>
    </row>
    <row r="39050" spans="13:13">
      <c r="M39050" s="202"/>
    </row>
    <row r="39051" spans="13:13">
      <c r="M39051" s="202"/>
    </row>
    <row r="39052" spans="13:13">
      <c r="M39052" s="202"/>
    </row>
    <row r="39053" spans="13:13">
      <c r="M39053" s="202"/>
    </row>
    <row r="39054" spans="13:13">
      <c r="M39054" s="202"/>
    </row>
    <row r="39055" spans="13:13">
      <c r="M39055" s="202"/>
    </row>
    <row r="39056" spans="13:13">
      <c r="M39056" s="202"/>
    </row>
    <row r="39057" spans="13:13">
      <c r="M39057" s="202"/>
    </row>
    <row r="39058" spans="13:13">
      <c r="M39058" s="202"/>
    </row>
    <row r="39059" spans="13:13">
      <c r="M39059" s="202"/>
    </row>
    <row r="39060" spans="13:13">
      <c r="M39060" s="202"/>
    </row>
    <row r="39061" spans="13:13">
      <c r="M39061" s="202"/>
    </row>
    <row r="39062" spans="13:13">
      <c r="M39062" s="202"/>
    </row>
    <row r="39063" spans="13:13">
      <c r="M39063" s="202"/>
    </row>
    <row r="39064" spans="13:13">
      <c r="M39064" s="202"/>
    </row>
    <row r="39065" spans="13:13">
      <c r="M39065" s="202"/>
    </row>
    <row r="39066" spans="13:13">
      <c r="M39066" s="202"/>
    </row>
    <row r="39067" spans="13:13">
      <c r="M39067" s="202"/>
    </row>
    <row r="39068" spans="13:13">
      <c r="M39068" s="202"/>
    </row>
    <row r="39069" spans="13:13">
      <c r="M39069" s="202"/>
    </row>
    <row r="39070" spans="13:13">
      <c r="M39070" s="202"/>
    </row>
    <row r="39071" spans="13:13">
      <c r="M39071" s="202"/>
    </row>
    <row r="39072" spans="13:13">
      <c r="M39072" s="202"/>
    </row>
    <row r="39073" spans="13:13">
      <c r="M39073" s="202"/>
    </row>
    <row r="39074" spans="13:13">
      <c r="M39074" s="202"/>
    </row>
    <row r="39075" spans="13:13">
      <c r="M39075" s="202"/>
    </row>
    <row r="39076" spans="13:13">
      <c r="M39076" s="202"/>
    </row>
    <row r="39077" spans="13:13">
      <c r="M39077" s="202"/>
    </row>
    <row r="39078" spans="13:13">
      <c r="M39078" s="202"/>
    </row>
    <row r="39079" spans="13:13">
      <c r="M39079" s="202"/>
    </row>
    <row r="39080" spans="13:13">
      <c r="M39080" s="202"/>
    </row>
    <row r="39081" spans="13:13">
      <c r="M39081" s="202"/>
    </row>
    <row r="39082" spans="13:13">
      <c r="M39082" s="202"/>
    </row>
    <row r="39083" spans="13:13">
      <c r="M39083" s="202"/>
    </row>
    <row r="39084" spans="13:13">
      <c r="M39084" s="202"/>
    </row>
    <row r="39085" spans="13:13">
      <c r="M39085" s="202"/>
    </row>
    <row r="39086" spans="13:13">
      <c r="M39086" s="202"/>
    </row>
    <row r="39087" spans="13:13">
      <c r="M39087" s="202"/>
    </row>
    <row r="39088" spans="13:13">
      <c r="M39088" s="202"/>
    </row>
    <row r="39089" spans="13:13">
      <c r="M39089" s="202"/>
    </row>
    <row r="39090" spans="13:13">
      <c r="M39090" s="202"/>
    </row>
    <row r="39091" spans="13:13">
      <c r="M39091" s="202"/>
    </row>
    <row r="39092" spans="13:13">
      <c r="M39092" s="202"/>
    </row>
    <row r="39093" spans="13:13">
      <c r="M39093" s="202"/>
    </row>
    <row r="39094" spans="13:13">
      <c r="M39094" s="202"/>
    </row>
    <row r="39095" spans="13:13">
      <c r="M39095" s="202"/>
    </row>
    <row r="39096" spans="13:13">
      <c r="M39096" s="202"/>
    </row>
    <row r="39097" spans="13:13">
      <c r="M39097" s="202"/>
    </row>
    <row r="39098" spans="13:13">
      <c r="M39098" s="202"/>
    </row>
    <row r="39099" spans="13:13">
      <c r="M39099" s="202"/>
    </row>
    <row r="39100" spans="13:13">
      <c r="M39100" s="202"/>
    </row>
    <row r="39101" spans="13:13">
      <c r="M39101" s="202"/>
    </row>
    <row r="39102" spans="13:13">
      <c r="M39102" s="202"/>
    </row>
    <row r="39103" spans="13:13">
      <c r="M39103" s="202"/>
    </row>
    <row r="39104" spans="13:13">
      <c r="M39104" s="202"/>
    </row>
    <row r="39105" spans="13:13">
      <c r="M39105" s="202"/>
    </row>
    <row r="39106" spans="13:13">
      <c r="M39106" s="202"/>
    </row>
    <row r="39107" spans="13:13">
      <c r="M39107" s="202"/>
    </row>
    <row r="39108" spans="13:13">
      <c r="M39108" s="202"/>
    </row>
    <row r="39109" spans="13:13">
      <c r="M39109" s="202"/>
    </row>
    <row r="39110" spans="13:13">
      <c r="M39110" s="202"/>
    </row>
    <row r="39111" spans="13:13">
      <c r="M39111" s="202"/>
    </row>
    <row r="39112" spans="13:13">
      <c r="M39112" s="202"/>
    </row>
    <row r="39113" spans="13:13">
      <c r="M39113" s="202"/>
    </row>
    <row r="39114" spans="13:13">
      <c r="M39114" s="202"/>
    </row>
    <row r="39115" spans="13:13">
      <c r="M39115" s="202"/>
    </row>
    <row r="39116" spans="13:13">
      <c r="M39116" s="202"/>
    </row>
    <row r="39117" spans="13:13">
      <c r="M39117" s="202"/>
    </row>
    <row r="39118" spans="13:13">
      <c r="M39118" s="202"/>
    </row>
    <row r="39119" spans="13:13">
      <c r="M39119" s="202"/>
    </row>
    <row r="39120" spans="13:13">
      <c r="M39120" s="202"/>
    </row>
    <row r="39121" spans="13:13">
      <c r="M39121" s="202"/>
    </row>
    <row r="39122" spans="13:13">
      <c r="M39122" s="202"/>
    </row>
    <row r="39123" spans="13:13">
      <c r="M39123" s="202"/>
    </row>
    <row r="39124" spans="13:13">
      <c r="M39124" s="202"/>
    </row>
    <row r="39125" spans="13:13">
      <c r="M39125" s="202"/>
    </row>
    <row r="39126" spans="13:13">
      <c r="M39126" s="202"/>
    </row>
    <row r="39127" spans="13:13">
      <c r="M39127" s="202"/>
    </row>
    <row r="39128" spans="13:13">
      <c r="M39128" s="202"/>
    </row>
    <row r="39129" spans="13:13">
      <c r="M39129" s="202"/>
    </row>
    <row r="39130" spans="13:13">
      <c r="M39130" s="202"/>
    </row>
    <row r="39131" spans="13:13">
      <c r="M39131" s="202"/>
    </row>
    <row r="39132" spans="13:13">
      <c r="M39132" s="202"/>
    </row>
    <row r="39133" spans="13:13">
      <c r="M39133" s="202"/>
    </row>
    <row r="39134" spans="13:13">
      <c r="M39134" s="202"/>
    </row>
    <row r="39135" spans="13:13">
      <c r="M39135" s="202"/>
    </row>
    <row r="39136" spans="13:13">
      <c r="M39136" s="202"/>
    </row>
    <row r="39137" spans="13:13">
      <c r="M39137" s="202"/>
    </row>
    <row r="39138" spans="13:13">
      <c r="M39138" s="202"/>
    </row>
    <row r="39139" spans="13:13">
      <c r="M39139" s="202"/>
    </row>
    <row r="39140" spans="13:13">
      <c r="M39140" s="202"/>
    </row>
    <row r="39141" spans="13:13">
      <c r="M39141" s="202"/>
    </row>
    <row r="39142" spans="13:13">
      <c r="M39142" s="202"/>
    </row>
    <row r="39143" spans="13:13">
      <c r="M39143" s="202"/>
    </row>
    <row r="39144" spans="13:13">
      <c r="M39144" s="202"/>
    </row>
    <row r="39145" spans="13:13">
      <c r="M39145" s="202"/>
    </row>
    <row r="39146" spans="13:13">
      <c r="M39146" s="202"/>
    </row>
    <row r="39147" spans="13:13">
      <c r="M39147" s="202"/>
    </row>
    <row r="39148" spans="13:13">
      <c r="M39148" s="202"/>
    </row>
    <row r="39149" spans="13:13">
      <c r="M39149" s="202"/>
    </row>
    <row r="39150" spans="13:13">
      <c r="M39150" s="202"/>
    </row>
    <row r="39151" spans="13:13">
      <c r="M39151" s="202"/>
    </row>
    <row r="39152" spans="13:13">
      <c r="M39152" s="202"/>
    </row>
    <row r="39153" spans="13:13">
      <c r="M39153" s="202"/>
    </row>
    <row r="39154" spans="13:13">
      <c r="M39154" s="202"/>
    </row>
    <row r="39155" spans="13:13">
      <c r="M39155" s="202"/>
    </row>
    <row r="39156" spans="13:13">
      <c r="M39156" s="202"/>
    </row>
    <row r="39157" spans="13:13">
      <c r="M39157" s="202"/>
    </row>
    <row r="39158" spans="13:13">
      <c r="M39158" s="202"/>
    </row>
    <row r="39159" spans="13:13">
      <c r="M39159" s="202"/>
    </row>
    <row r="39160" spans="13:13">
      <c r="M39160" s="202"/>
    </row>
    <row r="39161" spans="13:13">
      <c r="M39161" s="202"/>
    </row>
    <row r="39162" spans="13:13">
      <c r="M39162" s="202"/>
    </row>
    <row r="39163" spans="13:13">
      <c r="M39163" s="202"/>
    </row>
    <row r="39164" spans="13:13">
      <c r="M39164" s="202"/>
    </row>
    <row r="39165" spans="13:13">
      <c r="M39165" s="202"/>
    </row>
    <row r="39166" spans="13:13">
      <c r="M39166" s="202"/>
    </row>
    <row r="39167" spans="13:13">
      <c r="M39167" s="202"/>
    </row>
    <row r="39168" spans="13:13">
      <c r="M39168" s="202"/>
    </row>
    <row r="39169" spans="13:13">
      <c r="M39169" s="202"/>
    </row>
    <row r="39170" spans="13:13">
      <c r="M39170" s="202"/>
    </row>
    <row r="39171" spans="13:13">
      <c r="M39171" s="202"/>
    </row>
    <row r="39172" spans="13:13">
      <c r="M39172" s="202"/>
    </row>
    <row r="39173" spans="13:13">
      <c r="M39173" s="202"/>
    </row>
    <row r="39174" spans="13:13">
      <c r="M39174" s="202"/>
    </row>
    <row r="39175" spans="13:13">
      <c r="M39175" s="202"/>
    </row>
    <row r="39176" spans="13:13">
      <c r="M39176" s="202"/>
    </row>
    <row r="39177" spans="13:13">
      <c r="M39177" s="202"/>
    </row>
    <row r="39178" spans="13:13">
      <c r="M39178" s="202"/>
    </row>
    <row r="39179" spans="13:13">
      <c r="M39179" s="202"/>
    </row>
    <row r="39180" spans="13:13">
      <c r="M39180" s="202"/>
    </row>
    <row r="39181" spans="13:13">
      <c r="M39181" s="202"/>
    </row>
    <row r="39182" spans="13:13">
      <c r="M39182" s="202"/>
    </row>
    <row r="39183" spans="13:13">
      <c r="M39183" s="202"/>
    </row>
    <row r="39184" spans="13:13">
      <c r="M39184" s="202"/>
    </row>
    <row r="39185" spans="13:13">
      <c r="M39185" s="202"/>
    </row>
    <row r="39186" spans="13:13">
      <c r="M39186" s="202"/>
    </row>
    <row r="39187" spans="13:13">
      <c r="M39187" s="202"/>
    </row>
    <row r="39188" spans="13:13">
      <c r="M39188" s="202"/>
    </row>
    <row r="39189" spans="13:13">
      <c r="M39189" s="202"/>
    </row>
    <row r="39190" spans="13:13">
      <c r="M39190" s="202"/>
    </row>
    <row r="39191" spans="13:13">
      <c r="M39191" s="202"/>
    </row>
    <row r="39192" spans="13:13">
      <c r="M39192" s="202"/>
    </row>
    <row r="39193" spans="13:13">
      <c r="M39193" s="202"/>
    </row>
    <row r="39194" spans="13:13">
      <c r="M39194" s="202"/>
    </row>
    <row r="39195" spans="13:13">
      <c r="M39195" s="202"/>
    </row>
    <row r="39196" spans="13:13">
      <c r="M39196" s="202"/>
    </row>
    <row r="39197" spans="13:13">
      <c r="M39197" s="202"/>
    </row>
    <row r="39198" spans="13:13">
      <c r="M39198" s="202"/>
    </row>
    <row r="39199" spans="13:13">
      <c r="M39199" s="202"/>
    </row>
    <row r="39200" spans="13:13">
      <c r="M39200" s="202"/>
    </row>
    <row r="39201" spans="13:13">
      <c r="M39201" s="202"/>
    </row>
    <row r="39202" spans="13:13">
      <c r="M39202" s="202"/>
    </row>
    <row r="39203" spans="13:13">
      <c r="M39203" s="202"/>
    </row>
    <row r="39204" spans="13:13">
      <c r="M39204" s="202"/>
    </row>
    <row r="39205" spans="13:13">
      <c r="M39205" s="202"/>
    </row>
    <row r="39206" spans="13:13">
      <c r="M39206" s="202"/>
    </row>
    <row r="39207" spans="13:13">
      <c r="M39207" s="202"/>
    </row>
    <row r="39208" spans="13:13">
      <c r="M39208" s="202"/>
    </row>
    <row r="39209" spans="13:13">
      <c r="M39209" s="202"/>
    </row>
    <row r="39210" spans="13:13">
      <c r="M39210" s="202"/>
    </row>
    <row r="39211" spans="13:13">
      <c r="M39211" s="202"/>
    </row>
    <row r="39212" spans="13:13">
      <c r="M39212" s="202"/>
    </row>
    <row r="39213" spans="13:13">
      <c r="M39213" s="202"/>
    </row>
    <row r="39214" spans="13:13">
      <c r="M39214" s="202"/>
    </row>
    <row r="39215" spans="13:13">
      <c r="M39215" s="202"/>
    </row>
    <row r="39216" spans="13:13">
      <c r="M39216" s="202"/>
    </row>
    <row r="39217" spans="13:13">
      <c r="M39217" s="202"/>
    </row>
    <row r="39218" spans="13:13">
      <c r="M39218" s="202"/>
    </row>
    <row r="39219" spans="13:13">
      <c r="M39219" s="202"/>
    </row>
    <row r="39220" spans="13:13">
      <c r="M39220" s="202"/>
    </row>
    <row r="39221" spans="13:13">
      <c r="M39221" s="202"/>
    </row>
    <row r="39222" spans="13:13">
      <c r="M39222" s="202"/>
    </row>
    <row r="39223" spans="13:13">
      <c r="M39223" s="202"/>
    </row>
    <row r="39224" spans="13:13">
      <c r="M39224" s="202"/>
    </row>
    <row r="39225" spans="13:13">
      <c r="M39225" s="202"/>
    </row>
    <row r="39226" spans="13:13">
      <c r="M39226" s="202"/>
    </row>
    <row r="39227" spans="13:13">
      <c r="M39227" s="202"/>
    </row>
    <row r="39228" spans="13:13">
      <c r="M39228" s="202"/>
    </row>
    <row r="39229" spans="13:13">
      <c r="M39229" s="202"/>
    </row>
    <row r="39230" spans="13:13">
      <c r="M39230" s="202"/>
    </row>
    <row r="39231" spans="13:13">
      <c r="M39231" s="202"/>
    </row>
    <row r="39232" spans="13:13">
      <c r="M39232" s="202"/>
    </row>
    <row r="39233" spans="13:13">
      <c r="M39233" s="202"/>
    </row>
    <row r="39234" spans="13:13">
      <c r="M39234" s="202"/>
    </row>
    <row r="39235" spans="13:13">
      <c r="M39235" s="202"/>
    </row>
    <row r="39236" spans="13:13">
      <c r="M39236" s="202"/>
    </row>
    <row r="39237" spans="13:13">
      <c r="M39237" s="202"/>
    </row>
    <row r="39238" spans="13:13">
      <c r="M39238" s="202"/>
    </row>
    <row r="39239" spans="13:13">
      <c r="M39239" s="202"/>
    </row>
    <row r="39240" spans="13:13">
      <c r="M39240" s="202"/>
    </row>
    <row r="39241" spans="13:13">
      <c r="M39241" s="202"/>
    </row>
    <row r="39242" spans="13:13">
      <c r="M39242" s="202"/>
    </row>
    <row r="39243" spans="13:13">
      <c r="M39243" s="202"/>
    </row>
    <row r="39244" spans="13:13">
      <c r="M39244" s="202"/>
    </row>
    <row r="39245" spans="13:13">
      <c r="M39245" s="202"/>
    </row>
    <row r="39246" spans="13:13">
      <c r="M39246" s="202"/>
    </row>
    <row r="39247" spans="13:13">
      <c r="M39247" s="202"/>
    </row>
    <row r="39248" spans="13:13">
      <c r="M39248" s="202"/>
    </row>
    <row r="39249" spans="13:13">
      <c r="M39249" s="202"/>
    </row>
    <row r="39250" spans="13:13">
      <c r="M39250" s="202"/>
    </row>
    <row r="39251" spans="13:13">
      <c r="M39251" s="202"/>
    </row>
    <row r="39252" spans="13:13">
      <c r="M39252" s="202"/>
    </row>
    <row r="39253" spans="13:13">
      <c r="M39253" s="202"/>
    </row>
    <row r="39254" spans="13:13">
      <c r="M39254" s="202"/>
    </row>
    <row r="39255" spans="13:13">
      <c r="M39255" s="202"/>
    </row>
    <row r="39256" spans="13:13">
      <c r="M39256" s="202"/>
    </row>
    <row r="39257" spans="13:13">
      <c r="M39257" s="202"/>
    </row>
    <row r="39258" spans="13:13">
      <c r="M39258" s="202"/>
    </row>
    <row r="39259" spans="13:13">
      <c r="M39259" s="202"/>
    </row>
    <row r="39260" spans="13:13">
      <c r="M39260" s="202"/>
    </row>
    <row r="39261" spans="13:13">
      <c r="M39261" s="202"/>
    </row>
    <row r="39262" spans="13:13">
      <c r="M39262" s="202"/>
    </row>
    <row r="39263" spans="13:13">
      <c r="M39263" s="202"/>
    </row>
    <row r="39264" spans="13:13">
      <c r="M39264" s="202"/>
    </row>
    <row r="39265" spans="13:13">
      <c r="M39265" s="202"/>
    </row>
    <row r="39266" spans="13:13">
      <c r="M39266" s="202"/>
    </row>
    <row r="39267" spans="13:13">
      <c r="M39267" s="202"/>
    </row>
    <row r="39268" spans="13:13">
      <c r="M39268" s="202"/>
    </row>
    <row r="39269" spans="13:13">
      <c r="M39269" s="202"/>
    </row>
    <row r="39270" spans="13:13">
      <c r="M39270" s="202"/>
    </row>
    <row r="39271" spans="13:13">
      <c r="M39271" s="202"/>
    </row>
    <row r="39272" spans="13:13">
      <c r="M39272" s="202"/>
    </row>
    <row r="39273" spans="13:13">
      <c r="M39273" s="202"/>
    </row>
    <row r="39274" spans="13:13">
      <c r="M39274" s="202"/>
    </row>
    <row r="39275" spans="13:13">
      <c r="M39275" s="202"/>
    </row>
    <row r="39276" spans="13:13">
      <c r="M39276" s="202"/>
    </row>
    <row r="39277" spans="13:13">
      <c r="M39277" s="202"/>
    </row>
    <row r="39278" spans="13:13">
      <c r="M39278" s="202"/>
    </row>
    <row r="39279" spans="13:13">
      <c r="M39279" s="202"/>
    </row>
    <row r="39280" spans="13:13">
      <c r="M39280" s="202"/>
    </row>
    <row r="39281" spans="13:13">
      <c r="M39281" s="202"/>
    </row>
    <row r="39282" spans="13:13">
      <c r="M39282" s="202"/>
    </row>
    <row r="39283" spans="13:13">
      <c r="M39283" s="202"/>
    </row>
    <row r="39284" spans="13:13">
      <c r="M39284" s="202"/>
    </row>
    <row r="39285" spans="13:13">
      <c r="M39285" s="202"/>
    </row>
    <row r="39286" spans="13:13">
      <c r="M39286" s="202"/>
    </row>
    <row r="39287" spans="13:13">
      <c r="M39287" s="202"/>
    </row>
    <row r="39288" spans="13:13">
      <c r="M39288" s="202"/>
    </row>
    <row r="39289" spans="13:13">
      <c r="M39289" s="202"/>
    </row>
    <row r="39290" spans="13:13">
      <c r="M39290" s="202"/>
    </row>
    <row r="39291" spans="13:13">
      <c r="M39291" s="202"/>
    </row>
    <row r="39292" spans="13:13">
      <c r="M39292" s="202"/>
    </row>
    <row r="39293" spans="13:13">
      <c r="M39293" s="202"/>
    </row>
    <row r="39294" spans="13:13">
      <c r="M39294" s="202"/>
    </row>
    <row r="39295" spans="13:13">
      <c r="M39295" s="202"/>
    </row>
    <row r="39296" spans="13:13">
      <c r="M39296" s="202"/>
    </row>
    <row r="39297" spans="13:13">
      <c r="M39297" s="202"/>
    </row>
    <row r="39298" spans="13:13">
      <c r="M39298" s="202"/>
    </row>
    <row r="39299" spans="13:13">
      <c r="M39299" s="202"/>
    </row>
    <row r="39300" spans="13:13">
      <c r="M39300" s="202"/>
    </row>
    <row r="39301" spans="13:13">
      <c r="M39301" s="202"/>
    </row>
    <row r="39302" spans="13:13">
      <c r="M39302" s="202"/>
    </row>
    <row r="39303" spans="13:13">
      <c r="M39303" s="202"/>
    </row>
    <row r="39304" spans="13:13">
      <c r="M39304" s="202"/>
    </row>
    <row r="39305" spans="13:13">
      <c r="M39305" s="202"/>
    </row>
    <row r="39306" spans="13:13">
      <c r="M39306" s="202"/>
    </row>
    <row r="39307" spans="13:13">
      <c r="M39307" s="202"/>
    </row>
    <row r="39308" spans="13:13">
      <c r="M39308" s="202"/>
    </row>
    <row r="39309" spans="13:13">
      <c r="M39309" s="202"/>
    </row>
    <row r="39310" spans="13:13">
      <c r="M39310" s="202"/>
    </row>
    <row r="39311" spans="13:13">
      <c r="M39311" s="202"/>
    </row>
    <row r="39312" spans="13:13">
      <c r="M39312" s="202"/>
    </row>
    <row r="39313" spans="13:13">
      <c r="M39313" s="202"/>
    </row>
    <row r="39314" spans="13:13">
      <c r="M39314" s="202"/>
    </row>
    <row r="39315" spans="13:13">
      <c r="M39315" s="202"/>
    </row>
    <row r="39316" spans="13:13">
      <c r="M39316" s="202"/>
    </row>
    <row r="39317" spans="13:13">
      <c r="M39317" s="202"/>
    </row>
    <row r="39318" spans="13:13">
      <c r="M39318" s="202"/>
    </row>
    <row r="39319" spans="13:13">
      <c r="M39319" s="202"/>
    </row>
    <row r="39320" spans="13:13">
      <c r="M39320" s="202"/>
    </row>
    <row r="39321" spans="13:13">
      <c r="M39321" s="202"/>
    </row>
    <row r="39322" spans="13:13">
      <c r="M39322" s="202"/>
    </row>
    <row r="39323" spans="13:13">
      <c r="M39323" s="202"/>
    </row>
    <row r="39324" spans="13:13">
      <c r="M39324" s="202"/>
    </row>
    <row r="39325" spans="13:13">
      <c r="M39325" s="202"/>
    </row>
    <row r="39326" spans="13:13">
      <c r="M39326" s="202"/>
    </row>
    <row r="39327" spans="13:13">
      <c r="M39327" s="202"/>
    </row>
    <row r="39328" spans="13:13">
      <c r="M39328" s="202"/>
    </row>
    <row r="39329" spans="13:13">
      <c r="M39329" s="202"/>
    </row>
    <row r="39330" spans="13:13">
      <c r="M39330" s="202"/>
    </row>
    <row r="39331" spans="13:13">
      <c r="M39331" s="202"/>
    </row>
    <row r="39332" spans="13:13">
      <c r="M39332" s="202"/>
    </row>
    <row r="39333" spans="13:13">
      <c r="M39333" s="202"/>
    </row>
    <row r="39334" spans="13:13">
      <c r="M39334" s="202"/>
    </row>
    <row r="39335" spans="13:13">
      <c r="M39335" s="202"/>
    </row>
    <row r="39336" spans="13:13">
      <c r="M39336" s="202"/>
    </row>
    <row r="39337" spans="13:13">
      <c r="M39337" s="202"/>
    </row>
    <row r="39338" spans="13:13">
      <c r="M39338" s="202"/>
    </row>
    <row r="39339" spans="13:13">
      <c r="M39339" s="202"/>
    </row>
    <row r="39340" spans="13:13">
      <c r="M39340" s="202"/>
    </row>
    <row r="39341" spans="13:13">
      <c r="M39341" s="202"/>
    </row>
    <row r="39342" spans="13:13">
      <c r="M39342" s="202"/>
    </row>
    <row r="39343" spans="13:13">
      <c r="M39343" s="202"/>
    </row>
    <row r="39344" spans="13:13">
      <c r="M39344" s="202"/>
    </row>
    <row r="39345" spans="13:13">
      <c r="M39345" s="202"/>
    </row>
    <row r="39346" spans="13:13">
      <c r="M39346" s="202"/>
    </row>
    <row r="39347" spans="13:13">
      <c r="M39347" s="202"/>
    </row>
    <row r="39348" spans="13:13">
      <c r="M39348" s="202"/>
    </row>
    <row r="39349" spans="13:13">
      <c r="M39349" s="202"/>
    </row>
  </sheetData>
  <sortState xmlns:xlrd2="http://schemas.microsoft.com/office/spreadsheetml/2017/richdata2" ref="A294:U304">
    <sortCondition ref="L294:L304"/>
  </sortState>
  <phoneticPr fontId="24" type="noConversion"/>
  <pageMargins left="0.25" right="0.25" top="0.75" bottom="0.75" header="0.3" footer="0.3"/>
  <pageSetup scale="43" fitToHeight="15"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E654D-ECE5-5541-8F00-F429D39C96E6}">
  <sheetPr>
    <pageSetUpPr fitToPage="1"/>
  </sheetPr>
  <dimension ref="A1:L33"/>
  <sheetViews>
    <sheetView tabSelected="1" zoomScale="90" zoomScaleNormal="90" workbookViewId="0"/>
  </sheetViews>
  <sheetFormatPr baseColWidth="10" defaultColWidth="10.5" defaultRowHeight="18"/>
  <cols>
    <col min="1" max="2" width="12.5" style="103" customWidth="1"/>
    <col min="3" max="3" width="12.5" style="396" customWidth="1"/>
    <col min="4" max="4" width="19" style="396" customWidth="1"/>
    <col min="5" max="5" width="14.5" style="103" customWidth="1"/>
    <col min="6" max="7" width="18" style="386" customWidth="1"/>
    <col min="8" max="8" width="12.5" style="254" customWidth="1"/>
    <col min="9" max="9" width="14.33203125" style="254" bestFit="1" customWidth="1"/>
    <col min="10" max="10" width="18" style="254" customWidth="1"/>
    <col min="11" max="11" width="18.83203125" style="404" customWidth="1"/>
    <col min="12" max="12" width="14.5" style="419" customWidth="1"/>
    <col min="13" max="14" width="14.33203125" customWidth="1"/>
    <col min="15" max="15" width="19" customWidth="1"/>
  </cols>
  <sheetData>
    <row r="1" spans="1:12" ht="23">
      <c r="A1" s="635" t="s">
        <v>3674</v>
      </c>
    </row>
    <row r="2" spans="1:12" s="489" customFormat="1" ht="66" customHeight="1">
      <c r="A2" s="489" t="s">
        <v>59</v>
      </c>
      <c r="B2" s="489" t="s">
        <v>1939</v>
      </c>
      <c r="C2" s="489" t="s">
        <v>1940</v>
      </c>
      <c r="D2" s="489" t="s">
        <v>69</v>
      </c>
      <c r="E2" s="489" t="s">
        <v>1941</v>
      </c>
      <c r="F2" s="597" t="s">
        <v>1942</v>
      </c>
      <c r="G2" s="597" t="s">
        <v>1943</v>
      </c>
      <c r="H2" s="596" t="s">
        <v>1944</v>
      </c>
      <c r="I2" s="595" t="s">
        <v>1945</v>
      </c>
      <c r="J2" s="595" t="s">
        <v>1946</v>
      </c>
    </row>
    <row r="3" spans="1:12" s="104" customFormat="1">
      <c r="A3" s="104" t="s">
        <v>1724</v>
      </c>
      <c r="B3" s="108">
        <v>1.2121489999999999</v>
      </c>
      <c r="C3" s="108">
        <v>11.02983</v>
      </c>
      <c r="D3" s="108">
        <v>0.89994039999999997</v>
      </c>
      <c r="E3" s="104" t="s">
        <v>1947</v>
      </c>
      <c r="F3" s="107">
        <v>-14.724</v>
      </c>
      <c r="G3" s="107">
        <v>8.8230000000000004</v>
      </c>
      <c r="H3" s="627">
        <v>2.2499319999999998</v>
      </c>
      <c r="I3" s="107">
        <v>-15.204000000000001</v>
      </c>
      <c r="J3" s="107">
        <f>I3-F3</f>
        <v>-0.48000000000000043</v>
      </c>
    </row>
    <row r="4" spans="1:12" s="104" customFormat="1">
      <c r="A4" s="104" t="s">
        <v>1811</v>
      </c>
      <c r="B4" s="108">
        <v>1.0488436000000001</v>
      </c>
      <c r="C4" s="108">
        <v>9.4342199999999998</v>
      </c>
      <c r="D4" s="108">
        <v>0.88396520000000001</v>
      </c>
      <c r="E4" s="104" t="s">
        <v>1947</v>
      </c>
      <c r="F4" s="107">
        <v>-12.993</v>
      </c>
      <c r="G4" s="107">
        <v>8.7989999999999995</v>
      </c>
      <c r="H4" s="627">
        <v>1.781963</v>
      </c>
      <c r="I4" s="107">
        <v>-12.952999999999999</v>
      </c>
      <c r="J4" s="107">
        <f>I4-F4</f>
        <v>4.0000000000000924E-2</v>
      </c>
    </row>
    <row r="5" spans="1:12" s="104" customFormat="1">
      <c r="A5" s="104" t="s">
        <v>76</v>
      </c>
      <c r="B5" s="108">
        <v>0.96450930000000001</v>
      </c>
      <c r="C5" s="108">
        <v>3.9150830000000001</v>
      </c>
      <c r="D5" s="108">
        <v>0.91456919999999997</v>
      </c>
      <c r="E5" s="104" t="s">
        <v>1947</v>
      </c>
      <c r="F5" s="107">
        <v>-14.148</v>
      </c>
      <c r="G5" s="107">
        <v>4.4169999999999998</v>
      </c>
      <c r="H5" s="627">
        <v>1.2456119999999999</v>
      </c>
      <c r="I5" s="107">
        <v>-13.602</v>
      </c>
      <c r="J5" s="107">
        <f>I5-F5</f>
        <v>0.54599999999999937</v>
      </c>
    </row>
    <row r="6" spans="1:12" s="104" customFormat="1">
      <c r="A6" s="104" t="s">
        <v>74</v>
      </c>
      <c r="B6" s="108">
        <v>1.115972</v>
      </c>
      <c r="C6" s="108">
        <v>6.7678710000000004</v>
      </c>
      <c r="D6" s="108">
        <v>0.89860600000000002</v>
      </c>
      <c r="E6" s="104" t="s">
        <v>1947</v>
      </c>
      <c r="F6" s="107">
        <v>-15.106999999999999</v>
      </c>
      <c r="G6" s="107">
        <v>5.016</v>
      </c>
      <c r="H6" s="627">
        <v>1.216558</v>
      </c>
      <c r="I6" s="107">
        <v>-15.106999999999999</v>
      </c>
      <c r="J6" s="107">
        <f>I6-F6</f>
        <v>0</v>
      </c>
    </row>
    <row r="9" spans="1:12" s="380" customFormat="1" ht="44.25" customHeight="1"/>
    <row r="10" spans="1:12" s="658" customFormat="1" ht="62.25" customHeight="1"/>
    <row r="11" spans="1:12" ht="20.25" customHeight="1">
      <c r="A11"/>
      <c r="B11"/>
      <c r="C11"/>
      <c r="D11"/>
      <c r="E11"/>
      <c r="F11"/>
      <c r="G11"/>
      <c r="H11"/>
      <c r="I11"/>
      <c r="J11"/>
      <c r="K11"/>
      <c r="L11"/>
    </row>
    <row r="12" spans="1:12" ht="20.25" customHeight="1">
      <c r="A12"/>
      <c r="B12"/>
      <c r="C12"/>
      <c r="D12"/>
      <c r="E12"/>
      <c r="F12"/>
      <c r="G12"/>
      <c r="H12"/>
      <c r="I12"/>
      <c r="J12"/>
      <c r="K12"/>
      <c r="L12"/>
    </row>
    <row r="13" spans="1:12" ht="20.25" customHeight="1">
      <c r="A13"/>
      <c r="B13"/>
      <c r="C13"/>
      <c r="D13"/>
      <c r="E13"/>
      <c r="F13"/>
      <c r="G13"/>
      <c r="H13"/>
      <c r="I13"/>
      <c r="J13"/>
      <c r="K13"/>
      <c r="L13"/>
    </row>
    <row r="14" spans="1:12" ht="20.25" customHeight="1">
      <c r="A14"/>
      <c r="B14"/>
      <c r="C14"/>
      <c r="D14"/>
      <c r="E14"/>
      <c r="F14"/>
      <c r="G14"/>
      <c r="H14"/>
      <c r="I14"/>
      <c r="J14"/>
      <c r="K14"/>
      <c r="L14"/>
    </row>
    <row r="15" spans="1:12" ht="20.25" customHeight="1">
      <c r="A15"/>
      <c r="B15"/>
      <c r="C15"/>
      <c r="D15"/>
      <c r="E15"/>
      <c r="F15"/>
      <c r="G15"/>
      <c r="H15"/>
      <c r="I15"/>
      <c r="J15"/>
      <c r="K15"/>
      <c r="L15"/>
    </row>
    <row r="16" spans="1:12" ht="20.25" customHeight="1">
      <c r="A16"/>
      <c r="B16"/>
      <c r="C16"/>
      <c r="D16"/>
      <c r="E16"/>
      <c r="F16"/>
      <c r="G16"/>
      <c r="H16"/>
      <c r="I16"/>
      <c r="J16"/>
      <c r="K16"/>
      <c r="L16"/>
    </row>
    <row r="17" spans="1:12" ht="20.25" customHeight="1">
      <c r="A17"/>
      <c r="B17"/>
      <c r="C17"/>
      <c r="D17"/>
      <c r="E17"/>
      <c r="F17"/>
      <c r="G17"/>
      <c r="H17"/>
      <c r="I17"/>
      <c r="J17"/>
      <c r="K17"/>
      <c r="L17"/>
    </row>
    <row r="18" spans="1:12" ht="20.25" customHeight="1">
      <c r="A18"/>
      <c r="B18"/>
      <c r="C18"/>
      <c r="D18"/>
      <c r="E18"/>
      <c r="F18"/>
      <c r="G18"/>
      <c r="H18"/>
      <c r="I18"/>
      <c r="J18"/>
      <c r="K18"/>
      <c r="L18"/>
    </row>
    <row r="19" spans="1:12" ht="20.25" customHeight="1">
      <c r="A19"/>
      <c r="B19"/>
      <c r="C19"/>
      <c r="D19"/>
      <c r="E19"/>
      <c r="F19"/>
      <c r="G19"/>
      <c r="H19"/>
      <c r="I19"/>
      <c r="J19"/>
      <c r="K19"/>
      <c r="L19"/>
    </row>
    <row r="20" spans="1:12" ht="20.25" customHeight="1">
      <c r="A20"/>
      <c r="B20"/>
      <c r="C20"/>
      <c r="D20"/>
      <c r="E20"/>
      <c r="F20"/>
      <c r="G20"/>
      <c r="H20"/>
      <c r="I20"/>
      <c r="J20"/>
      <c r="K20"/>
      <c r="L20"/>
    </row>
    <row r="21" spans="1:12" ht="20.25" customHeight="1">
      <c r="A21"/>
      <c r="B21"/>
      <c r="C21"/>
      <c r="D21"/>
      <c r="E21"/>
      <c r="F21"/>
      <c r="G21"/>
      <c r="H21"/>
      <c r="I21"/>
      <c r="J21"/>
      <c r="K21"/>
      <c r="L21"/>
    </row>
    <row r="22" spans="1:12" ht="20.25" customHeight="1">
      <c r="A22"/>
      <c r="B22"/>
      <c r="C22"/>
      <c r="D22"/>
      <c r="E22"/>
      <c r="F22"/>
      <c r="G22"/>
      <c r="H22"/>
      <c r="I22"/>
      <c r="J22"/>
      <c r="K22"/>
      <c r="L22"/>
    </row>
    <row r="23" spans="1:12" ht="20.25" customHeight="1">
      <c r="A23"/>
      <c r="B23"/>
      <c r="C23"/>
      <c r="D23"/>
      <c r="E23"/>
      <c r="F23"/>
      <c r="G23"/>
      <c r="H23"/>
      <c r="I23"/>
      <c r="J23"/>
      <c r="K23"/>
      <c r="L23"/>
    </row>
    <row r="24" spans="1:12" ht="20.25" customHeight="1">
      <c r="A24"/>
      <c r="B24"/>
      <c r="C24"/>
      <c r="D24"/>
      <c r="E24"/>
      <c r="F24"/>
      <c r="G24"/>
      <c r="H24"/>
      <c r="I24"/>
      <c r="J24"/>
      <c r="K24"/>
      <c r="L24"/>
    </row>
    <row r="27" spans="1:12">
      <c r="A27" s="628"/>
      <c r="B27" s="628"/>
      <c r="C27" s="628"/>
      <c r="D27" s="629"/>
    </row>
    <row r="28" spans="1:12">
      <c r="A28" s="630"/>
      <c r="B28" s="631"/>
      <c r="C28" s="632"/>
      <c r="D28" s="633"/>
    </row>
    <row r="29" spans="1:12">
      <c r="A29" s="630"/>
      <c r="B29" s="631"/>
      <c r="C29" s="632"/>
      <c r="D29" s="633"/>
    </row>
    <row r="30" spans="1:12">
      <c r="A30" s="630"/>
      <c r="B30" s="631"/>
      <c r="C30" s="632"/>
      <c r="D30" s="633"/>
    </row>
    <row r="31" spans="1:12">
      <c r="A31" s="630"/>
      <c r="B31" s="631"/>
      <c r="C31" s="632"/>
      <c r="D31" s="633"/>
    </row>
    <row r="32" spans="1:12">
      <c r="A32" s="630"/>
      <c r="B32" s="631"/>
      <c r="C32" s="632"/>
      <c r="D32" s="633"/>
    </row>
    <row r="33" spans="1:4">
      <c r="A33" s="630"/>
      <c r="B33" s="631"/>
      <c r="C33" s="632"/>
      <c r="D33" s="633"/>
    </row>
  </sheetData>
  <pageMargins left="0.25" right="0.25" top="0.75" bottom="0.75" header="0.3" footer="0.3"/>
  <pageSetup scale="73" orientation="landscape"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36D80-95DF-554A-8CFE-5C7BB7CB5863}">
  <sheetPr>
    <pageSetUpPr fitToPage="1"/>
  </sheetPr>
  <dimension ref="A1:AT78"/>
  <sheetViews>
    <sheetView topLeftCell="C1" zoomScale="168" zoomScaleNormal="168" workbookViewId="0">
      <selection activeCell="G58" sqref="G58"/>
    </sheetView>
  </sheetViews>
  <sheetFormatPr baseColWidth="10" defaultColWidth="8.5" defaultRowHeight="16"/>
  <cols>
    <col min="1" max="1" width="12.83203125" style="384" bestFit="1" customWidth="1"/>
    <col min="2" max="2" width="15.33203125" style="384" bestFit="1" customWidth="1"/>
    <col min="3" max="3" width="16" style="384" bestFit="1" customWidth="1"/>
    <col min="4" max="4" width="15.83203125" style="385" bestFit="1" customWidth="1"/>
    <col min="5" max="5" width="16" style="385" bestFit="1" customWidth="1"/>
    <col min="6" max="6" width="23" style="511" customWidth="1"/>
    <col min="7" max="7" width="10.83203125" style="512" customWidth="1"/>
    <col min="8" max="9" width="10" style="513" customWidth="1"/>
    <col min="10" max="10" width="24" style="513" customWidth="1"/>
    <col min="11" max="11" width="9.83203125" style="512" customWidth="1"/>
    <col min="12" max="12" width="11.83203125" style="513" customWidth="1"/>
    <col min="13" max="13" width="31.33203125" style="607" customWidth="1"/>
    <col min="14" max="16" width="9.83203125" style="607" customWidth="1"/>
    <col min="17" max="17" width="8.5" style="512" customWidth="1"/>
    <col min="18" max="19" width="10" style="622" customWidth="1"/>
    <col min="20" max="21" width="8.5" style="622"/>
    <col min="22" max="22" width="12.5" style="622" customWidth="1"/>
    <col min="23" max="23" width="9.83203125" style="625" customWidth="1"/>
    <col min="24" max="26" width="8.5" style="622"/>
    <col min="27" max="27" width="8.5" style="622" customWidth="1"/>
    <col min="28" max="29" width="10" style="622" customWidth="1"/>
    <col min="30" max="31" width="8.5" style="622"/>
    <col min="32" max="32" width="12.83203125" style="622" customWidth="1"/>
    <col min="33" max="36" width="8.5" style="622"/>
    <col min="37" max="37" width="9" style="622" customWidth="1"/>
    <col min="38" max="39" width="10" style="622" customWidth="1"/>
    <col min="40" max="41" width="8.5" style="622"/>
    <col min="42" max="42" width="12.33203125" style="622" customWidth="1"/>
    <col min="43" max="46" width="8.5" style="622"/>
    <col min="47" max="16384" width="8.5" style="623"/>
  </cols>
  <sheetData>
    <row r="1" spans="1:46" s="614" customFormat="1" ht="33" customHeight="1">
      <c r="A1" s="382" t="s">
        <v>1953</v>
      </c>
      <c r="B1" s="382"/>
      <c r="C1" s="382"/>
      <c r="D1" s="383"/>
      <c r="E1" s="383"/>
      <c r="F1" s="493"/>
      <c r="G1" s="568"/>
      <c r="H1" s="495"/>
      <c r="I1" s="495"/>
      <c r="J1" s="495"/>
      <c r="K1" s="494"/>
      <c r="L1" s="495"/>
      <c r="M1" s="605"/>
      <c r="N1" s="605"/>
      <c r="O1" s="605"/>
      <c r="P1" s="605"/>
      <c r="Q1" s="564"/>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row>
    <row r="2" spans="1:46" s="615" customFormat="1" ht="27.75" customHeight="1">
      <c r="A2" s="410"/>
      <c r="B2" s="410"/>
      <c r="C2" s="410"/>
      <c r="D2" s="387"/>
      <c r="E2" s="387"/>
      <c r="F2" s="496"/>
      <c r="G2" s="688" t="s">
        <v>1954</v>
      </c>
      <c r="H2" s="688"/>
      <c r="I2" s="688"/>
      <c r="J2" s="688"/>
      <c r="K2" s="688"/>
      <c r="L2" s="688"/>
      <c r="M2" s="688"/>
      <c r="N2" s="688"/>
      <c r="O2" s="688"/>
      <c r="P2" s="688"/>
      <c r="Q2" s="564"/>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row>
    <row r="3" spans="1:46" s="616" customFormat="1" ht="46" customHeight="1">
      <c r="A3" s="490" t="s">
        <v>429</v>
      </c>
      <c r="B3" s="490" t="s">
        <v>430</v>
      </c>
      <c r="C3" s="490" t="s">
        <v>431</v>
      </c>
      <c r="D3" s="491" t="s">
        <v>432</v>
      </c>
      <c r="E3" s="491" t="s">
        <v>433</v>
      </c>
      <c r="F3" s="497" t="s">
        <v>434</v>
      </c>
      <c r="G3" s="498" t="s">
        <v>1955</v>
      </c>
      <c r="H3" s="499" t="s">
        <v>1956</v>
      </c>
      <c r="I3" s="499" t="s">
        <v>1957</v>
      </c>
      <c r="J3" s="500" t="s">
        <v>1948</v>
      </c>
      <c r="K3" s="501" t="s">
        <v>1941</v>
      </c>
      <c r="L3" s="502" t="s">
        <v>1958</v>
      </c>
      <c r="M3" s="609" t="s">
        <v>1949</v>
      </c>
      <c r="N3" s="606" t="s">
        <v>1959</v>
      </c>
      <c r="O3" s="606" t="s">
        <v>1960</v>
      </c>
      <c r="P3" s="606" t="s">
        <v>1961</v>
      </c>
      <c r="Q3" s="564"/>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row>
    <row r="4" spans="1:46" s="280" customFormat="1" ht="18">
      <c r="A4" s="290" t="s">
        <v>456</v>
      </c>
      <c r="B4" s="290" t="s">
        <v>218</v>
      </c>
      <c r="C4" s="290" t="s">
        <v>193</v>
      </c>
      <c r="D4" s="330" t="s">
        <v>194</v>
      </c>
      <c r="E4" s="330" t="s">
        <v>195</v>
      </c>
      <c r="F4" s="286" t="s">
        <v>457</v>
      </c>
      <c r="G4" s="503">
        <v>0.51861219320448804</v>
      </c>
      <c r="H4" s="492">
        <v>52.107272727272701</v>
      </c>
      <c r="I4" s="492">
        <v>58.2922222222222</v>
      </c>
      <c r="J4" s="266">
        <v>-0.63861182611012202</v>
      </c>
      <c r="K4" s="503">
        <v>0.53303771961250601</v>
      </c>
      <c r="L4" s="504" t="s">
        <v>1962</v>
      </c>
      <c r="M4" s="492">
        <v>14.4936640127546</v>
      </c>
      <c r="N4" s="492">
        <v>-6.1849494949999997</v>
      </c>
      <c r="O4" s="492">
        <v>-26.891007389999999</v>
      </c>
      <c r="P4" s="492">
        <v>14.521108399999999</v>
      </c>
      <c r="Q4" s="564"/>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row>
    <row r="5" spans="1:46" s="280" customFormat="1" ht="18">
      <c r="A5" s="290" t="s">
        <v>1963</v>
      </c>
      <c r="B5" s="290" t="s">
        <v>218</v>
      </c>
      <c r="C5" s="290" t="s">
        <v>389</v>
      </c>
      <c r="D5" s="330" t="s">
        <v>1964</v>
      </c>
      <c r="E5" s="330" t="s">
        <v>1965</v>
      </c>
      <c r="F5" s="286" t="s">
        <v>390</v>
      </c>
      <c r="G5" s="659">
        <v>1.6747002786389801E-10</v>
      </c>
      <c r="H5" s="492">
        <v>476.72378787878802</v>
      </c>
      <c r="I5" s="492">
        <v>778.48461538461504</v>
      </c>
      <c r="J5" s="266">
        <v>-6.92941775305182</v>
      </c>
      <c r="K5" s="659">
        <v>2.3219225141978901E-10</v>
      </c>
      <c r="L5" s="504" t="s">
        <v>228</v>
      </c>
      <c r="M5" s="492">
        <v>119.03532315815799</v>
      </c>
      <c r="N5" s="492">
        <v>11.908320959999999</v>
      </c>
      <c r="O5" s="492">
        <v>4.0815036320000004</v>
      </c>
      <c r="P5" s="492">
        <v>19.735138289999998</v>
      </c>
      <c r="Q5" s="564"/>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row>
    <row r="6" spans="1:46" s="280" customFormat="1" ht="18">
      <c r="A6" s="290" t="s">
        <v>456</v>
      </c>
      <c r="B6" s="290" t="s">
        <v>218</v>
      </c>
      <c r="C6" s="290" t="s">
        <v>221</v>
      </c>
      <c r="D6" s="330" t="s">
        <v>222</v>
      </c>
      <c r="E6" s="330" t="s">
        <v>151</v>
      </c>
      <c r="F6" s="286" t="s">
        <v>489</v>
      </c>
      <c r="G6" s="660">
        <v>1.7906934767609899E-2</v>
      </c>
      <c r="H6" s="492">
        <v>73.357886178861804</v>
      </c>
      <c r="I6" s="492">
        <v>61.449565217391303</v>
      </c>
      <c r="J6" s="266">
        <v>3.0085569147678299</v>
      </c>
      <c r="K6" s="660">
        <v>3.1235344164851401E-3</v>
      </c>
      <c r="L6" s="504" t="s">
        <v>228</v>
      </c>
      <c r="M6" s="492">
        <v>137.301121523403</v>
      </c>
      <c r="N6" s="492">
        <v>-301.7608275</v>
      </c>
      <c r="O6" s="492">
        <v>-387.98953779999999</v>
      </c>
      <c r="P6" s="492">
        <v>-215.53211719999999</v>
      </c>
      <c r="Q6" s="564"/>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row>
    <row r="7" spans="1:46" s="280" customFormat="1" ht="18">
      <c r="A7" s="290" t="s">
        <v>456</v>
      </c>
      <c r="B7" s="290" t="s">
        <v>273</v>
      </c>
      <c r="C7" s="290" t="s">
        <v>74</v>
      </c>
      <c r="D7" s="330" t="s">
        <v>266</v>
      </c>
      <c r="E7" s="330" t="s">
        <v>499</v>
      </c>
      <c r="F7" s="286" t="s">
        <v>1966</v>
      </c>
      <c r="G7" s="503">
        <v>3.6342120696579397E-2</v>
      </c>
      <c r="H7" s="492">
        <v>8.3862500000000004</v>
      </c>
      <c r="I7" s="492">
        <v>11.465</v>
      </c>
      <c r="J7" s="266">
        <v>-1.4252413427886701</v>
      </c>
      <c r="K7" s="503">
        <v>0.24125711381189799</v>
      </c>
      <c r="L7" s="504" t="s">
        <v>1962</v>
      </c>
      <c r="M7" s="492">
        <v>3.3064317675467398</v>
      </c>
      <c r="N7" s="492">
        <v>-3.0787499999999999</v>
      </c>
      <c r="O7" s="492">
        <v>-9.6065973769999999</v>
      </c>
      <c r="P7" s="492">
        <v>3.4490973770000002</v>
      </c>
      <c r="Q7" s="564"/>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row>
    <row r="8" spans="1:46" s="280" customFormat="1" ht="18">
      <c r="A8" s="290" t="s">
        <v>456</v>
      </c>
      <c r="B8" s="290" t="s">
        <v>273</v>
      </c>
      <c r="C8" s="290" t="s">
        <v>74</v>
      </c>
      <c r="D8" s="330" t="s">
        <v>266</v>
      </c>
      <c r="E8" s="330" t="s">
        <v>267</v>
      </c>
      <c r="F8" s="286" t="s">
        <v>1967</v>
      </c>
      <c r="G8" s="503">
        <v>0.29656726822493601</v>
      </c>
      <c r="H8" s="492">
        <v>9.6151724137931005</v>
      </c>
      <c r="I8" s="492">
        <v>10.3954411764706</v>
      </c>
      <c r="J8" s="266">
        <v>-1.0823062240554999</v>
      </c>
      <c r="K8" s="503">
        <v>0.28368744171579302</v>
      </c>
      <c r="L8" s="504" t="s">
        <v>1962</v>
      </c>
      <c r="M8" s="492">
        <v>56.831316253948899</v>
      </c>
      <c r="N8" s="492">
        <v>-0.78026876300000003</v>
      </c>
      <c r="O8" s="492">
        <v>-2.2240022700000002</v>
      </c>
      <c r="P8" s="492">
        <v>0.66346474499999997</v>
      </c>
      <c r="Q8" s="564"/>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row>
    <row r="9" spans="1:46" s="280" customFormat="1" ht="18">
      <c r="A9" s="290" t="s">
        <v>456</v>
      </c>
      <c r="B9" s="290" t="s">
        <v>273</v>
      </c>
      <c r="C9" s="290" t="s">
        <v>74</v>
      </c>
      <c r="D9" s="330" t="s">
        <v>266</v>
      </c>
      <c r="E9" s="330" t="s">
        <v>503</v>
      </c>
      <c r="F9" s="286" t="s">
        <v>1968</v>
      </c>
      <c r="G9" s="503">
        <v>0.53929503051326599</v>
      </c>
      <c r="H9" s="492">
        <v>9.5045000000000002</v>
      </c>
      <c r="I9" s="492">
        <v>9.0839999999999996</v>
      </c>
      <c r="J9" s="266">
        <v>0.58092189838905295</v>
      </c>
      <c r="K9" s="503">
        <v>0.56533319610047295</v>
      </c>
      <c r="L9" s="504" t="s">
        <v>1962</v>
      </c>
      <c r="M9" s="492">
        <v>32.233008657980903</v>
      </c>
      <c r="N9" s="492">
        <v>0.42049999999999998</v>
      </c>
      <c r="O9" s="492">
        <v>-1.0535151899999999</v>
      </c>
      <c r="P9" s="492">
        <v>1.8945151899999999</v>
      </c>
      <c r="Q9" s="564"/>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row>
    <row r="10" spans="1:46" s="280" customFormat="1" ht="18">
      <c r="A10" s="290" t="s">
        <v>456</v>
      </c>
      <c r="B10" s="290" t="s">
        <v>273</v>
      </c>
      <c r="C10" s="290" t="s">
        <v>74</v>
      </c>
      <c r="D10" s="330" t="s">
        <v>266</v>
      </c>
      <c r="E10" s="330" t="s">
        <v>505</v>
      </c>
      <c r="F10" s="286" t="s">
        <v>506</v>
      </c>
      <c r="G10" s="503">
        <v>0.68640765526576997</v>
      </c>
      <c r="H10" s="492">
        <v>28.024999999999999</v>
      </c>
      <c r="I10" s="492">
        <v>29.271333333333299</v>
      </c>
      <c r="J10" s="266">
        <v>-0.43145781090291102</v>
      </c>
      <c r="K10" s="503">
        <v>0.67025526813633196</v>
      </c>
      <c r="L10" s="504" t="s">
        <v>1962</v>
      </c>
      <c r="M10" s="492">
        <v>22.424175079865801</v>
      </c>
      <c r="N10" s="492">
        <v>-1.2463333329999999</v>
      </c>
      <c r="O10" s="492">
        <v>-7.2304764769999998</v>
      </c>
      <c r="P10" s="492">
        <v>4.7378098099999999</v>
      </c>
      <c r="Q10" s="564"/>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row>
    <row r="11" spans="1:46" s="280" customFormat="1" ht="18">
      <c r="A11" s="290" t="s">
        <v>1969</v>
      </c>
      <c r="B11" s="290" t="s">
        <v>273</v>
      </c>
      <c r="C11" s="290" t="s">
        <v>74</v>
      </c>
      <c r="D11" s="330" t="s">
        <v>266</v>
      </c>
      <c r="E11" s="330" t="s">
        <v>151</v>
      </c>
      <c r="F11" s="286" t="s">
        <v>1970</v>
      </c>
      <c r="G11" s="505" t="s">
        <v>205</v>
      </c>
      <c r="H11" s="506" t="s">
        <v>205</v>
      </c>
      <c r="I11" s="506" t="s">
        <v>205</v>
      </c>
      <c r="J11" s="507" t="s">
        <v>205</v>
      </c>
      <c r="K11" s="505" t="s">
        <v>205</v>
      </c>
      <c r="L11" s="506" t="s">
        <v>205</v>
      </c>
      <c r="M11" s="506" t="s">
        <v>205</v>
      </c>
      <c r="N11" s="506" t="s">
        <v>205</v>
      </c>
      <c r="O11" s="506" t="s">
        <v>205</v>
      </c>
      <c r="P11" s="506" t="s">
        <v>205</v>
      </c>
      <c r="Q11" s="564"/>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row>
    <row r="12" spans="1:46" s="280" customFormat="1" ht="18">
      <c r="A12" s="290" t="s">
        <v>456</v>
      </c>
      <c r="B12" s="290" t="s">
        <v>273</v>
      </c>
      <c r="C12" s="290" t="s">
        <v>76</v>
      </c>
      <c r="D12" s="330" t="s">
        <v>344</v>
      </c>
      <c r="E12" s="330" t="s">
        <v>345</v>
      </c>
      <c r="F12" s="286" t="s">
        <v>522</v>
      </c>
      <c r="G12" s="503">
        <v>6.7808173881265602E-2</v>
      </c>
      <c r="H12" s="492">
        <v>15.901111111111099</v>
      </c>
      <c r="I12" s="492">
        <v>11.147</v>
      </c>
      <c r="J12" s="266">
        <v>1.8759470208848199</v>
      </c>
      <c r="K12" s="503">
        <v>8.8617778108655093E-2</v>
      </c>
      <c r="L12" s="504" t="s">
        <v>1962</v>
      </c>
      <c r="M12" s="492">
        <v>10.5358615860972</v>
      </c>
      <c r="N12" s="492">
        <v>4.7541111110000003</v>
      </c>
      <c r="O12" s="492">
        <v>-0.85385316700000002</v>
      </c>
      <c r="P12" s="492">
        <v>10.362075389999999</v>
      </c>
      <c r="Q12" s="564"/>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row>
    <row r="13" spans="1:46" s="280" customFormat="1" ht="18">
      <c r="A13" s="290" t="s">
        <v>456</v>
      </c>
      <c r="B13" s="290" t="s">
        <v>273</v>
      </c>
      <c r="C13" s="290" t="s">
        <v>76</v>
      </c>
      <c r="D13" s="330" t="s">
        <v>524</v>
      </c>
      <c r="E13" s="330" t="s">
        <v>527</v>
      </c>
      <c r="F13" s="286" t="s">
        <v>528</v>
      </c>
      <c r="G13" s="505" t="s">
        <v>205</v>
      </c>
      <c r="H13" s="506" t="s">
        <v>205</v>
      </c>
      <c r="I13" s="506" t="s">
        <v>205</v>
      </c>
      <c r="J13" s="507" t="s">
        <v>205</v>
      </c>
      <c r="K13" s="505" t="s">
        <v>205</v>
      </c>
      <c r="L13" s="506" t="s">
        <v>205</v>
      </c>
      <c r="M13" s="506" t="s">
        <v>205</v>
      </c>
      <c r="N13" s="506" t="s">
        <v>205</v>
      </c>
      <c r="O13" s="506" t="s">
        <v>205</v>
      </c>
      <c r="P13" s="506" t="s">
        <v>205</v>
      </c>
      <c r="Q13" s="564"/>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row>
    <row r="14" spans="1:46" s="280" customFormat="1" ht="18">
      <c r="A14" s="290" t="s">
        <v>456</v>
      </c>
      <c r="B14" s="290" t="s">
        <v>273</v>
      </c>
      <c r="C14" s="290" t="s">
        <v>534</v>
      </c>
      <c r="D14" s="330" t="s">
        <v>539</v>
      </c>
      <c r="E14" s="330" t="s">
        <v>540</v>
      </c>
      <c r="F14" s="286" t="s">
        <v>541</v>
      </c>
      <c r="G14" s="503">
        <v>0.64938855116696603</v>
      </c>
      <c r="H14" s="492">
        <v>1.98</v>
      </c>
      <c r="I14" s="492">
        <v>2.3199999999999998</v>
      </c>
      <c r="J14" s="266">
        <v>-0.93641055536135498</v>
      </c>
      <c r="K14" s="503">
        <v>0.37516287098575801</v>
      </c>
      <c r="L14" s="504" t="s">
        <v>1962</v>
      </c>
      <c r="M14" s="492">
        <v>8.4122003869299409</v>
      </c>
      <c r="N14" s="492">
        <v>-0.34</v>
      </c>
      <c r="O14" s="492">
        <v>-1.170195959</v>
      </c>
      <c r="P14" s="492">
        <v>0.49019595900000001</v>
      </c>
      <c r="Q14" s="564"/>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row>
    <row r="15" spans="1:46" s="280" customFormat="1" ht="18">
      <c r="A15" s="290" t="s">
        <v>456</v>
      </c>
      <c r="B15" s="290" t="s">
        <v>273</v>
      </c>
      <c r="C15" s="290" t="s">
        <v>534</v>
      </c>
      <c r="D15" s="330" t="s">
        <v>544</v>
      </c>
      <c r="E15" s="330" t="s">
        <v>151</v>
      </c>
      <c r="F15" s="286" t="s">
        <v>1971</v>
      </c>
      <c r="G15" s="505" t="s">
        <v>205</v>
      </c>
      <c r="H15" s="506" t="s">
        <v>205</v>
      </c>
      <c r="I15" s="506" t="s">
        <v>205</v>
      </c>
      <c r="J15" s="507" t="s">
        <v>205</v>
      </c>
      <c r="K15" s="505" t="s">
        <v>205</v>
      </c>
      <c r="L15" s="506" t="s">
        <v>205</v>
      </c>
      <c r="M15" s="506" t="s">
        <v>205</v>
      </c>
      <c r="N15" s="506" t="s">
        <v>205</v>
      </c>
      <c r="O15" s="506" t="s">
        <v>205</v>
      </c>
      <c r="P15" s="506" t="s">
        <v>205</v>
      </c>
      <c r="Q15" s="564"/>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row>
    <row r="16" spans="1:46" s="280" customFormat="1" ht="18">
      <c r="A16" s="290" t="s">
        <v>456</v>
      </c>
      <c r="B16" s="290" t="s">
        <v>273</v>
      </c>
      <c r="C16" s="290" t="s">
        <v>551</v>
      </c>
      <c r="D16" s="330" t="s">
        <v>117</v>
      </c>
      <c r="E16" s="330" t="s">
        <v>118</v>
      </c>
      <c r="F16" s="286" t="s">
        <v>556</v>
      </c>
      <c r="G16" s="503">
        <v>0.717108941116406</v>
      </c>
      <c r="H16" s="492">
        <v>7.1484615384615404</v>
      </c>
      <c r="I16" s="492">
        <v>5.7766666666666699</v>
      </c>
      <c r="J16" s="266">
        <v>0.34903787294337701</v>
      </c>
      <c r="K16" s="503">
        <v>0.75136098022969899</v>
      </c>
      <c r="L16" s="504" t="s">
        <v>1962</v>
      </c>
      <c r="M16" s="492">
        <v>2.83517705866613</v>
      </c>
      <c r="N16" s="492">
        <v>1.3717948719999999</v>
      </c>
      <c r="O16" s="492">
        <v>-11.55750153</v>
      </c>
      <c r="P16" s="492">
        <v>14.301091270000001</v>
      </c>
      <c r="Q16" s="564"/>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row>
    <row r="17" spans="1:46" s="280" customFormat="1" ht="18">
      <c r="A17" s="290" t="s">
        <v>456</v>
      </c>
      <c r="B17" s="290" t="s">
        <v>273</v>
      </c>
      <c r="C17" s="290" t="s">
        <v>80</v>
      </c>
      <c r="D17" s="330" t="s">
        <v>132</v>
      </c>
      <c r="E17" s="330" t="s">
        <v>133</v>
      </c>
      <c r="F17" s="286" t="s">
        <v>561</v>
      </c>
      <c r="G17" s="503">
        <v>0.87382470451981098</v>
      </c>
      <c r="H17" s="492">
        <v>173.70142857142901</v>
      </c>
      <c r="I17" s="492">
        <v>178.506666666667</v>
      </c>
      <c r="J17" s="266">
        <v>-0.14895656450432501</v>
      </c>
      <c r="K17" s="503">
        <v>0.88457765278818401</v>
      </c>
      <c r="L17" s="504" t="s">
        <v>1962</v>
      </c>
      <c r="M17" s="492">
        <v>9.9026721084378</v>
      </c>
      <c r="N17" s="492">
        <v>-4.805238095</v>
      </c>
      <c r="O17" s="492">
        <v>-76.779365150000004</v>
      </c>
      <c r="P17" s="492">
        <v>67.168888960000004</v>
      </c>
      <c r="Q17" s="564"/>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row>
    <row r="18" spans="1:46" s="280" customFormat="1" ht="18">
      <c r="A18" s="290" t="s">
        <v>456</v>
      </c>
      <c r="B18" s="290" t="s">
        <v>579</v>
      </c>
      <c r="C18" s="290" t="s">
        <v>580</v>
      </c>
      <c r="D18" s="330" t="s">
        <v>581</v>
      </c>
      <c r="E18" s="330" t="s">
        <v>151</v>
      </c>
      <c r="F18" s="286" t="s">
        <v>583</v>
      </c>
      <c r="G18" s="503">
        <v>1.5779264559660101E-2</v>
      </c>
      <c r="H18" s="492">
        <v>4.5147368421052603</v>
      </c>
      <c r="I18" s="492">
        <v>2.84</v>
      </c>
      <c r="J18" s="266">
        <v>3.0693140288119301</v>
      </c>
      <c r="K18" s="660">
        <v>5.2398399172696496E-3</v>
      </c>
      <c r="L18" s="504" t="s">
        <v>1962</v>
      </c>
      <c r="M18" s="492">
        <v>24.130082458706401</v>
      </c>
      <c r="N18" s="492">
        <v>1.6747368419999999</v>
      </c>
      <c r="O18" s="492">
        <v>0.54891487400000005</v>
      </c>
      <c r="P18" s="492">
        <v>2.8005588100000001</v>
      </c>
      <c r="Q18" s="564"/>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row>
    <row r="19" spans="1:46" s="280" customFormat="1" ht="18">
      <c r="A19" s="290" t="s">
        <v>456</v>
      </c>
      <c r="B19" s="290" t="s">
        <v>579</v>
      </c>
      <c r="C19" s="290" t="s">
        <v>580</v>
      </c>
      <c r="D19" s="330" t="s">
        <v>585</v>
      </c>
      <c r="E19" s="330" t="s">
        <v>151</v>
      </c>
      <c r="F19" s="286" t="s">
        <v>586</v>
      </c>
      <c r="G19" s="612">
        <v>3.5541542371401302E-4</v>
      </c>
      <c r="H19" s="492">
        <v>0.80225165562913903</v>
      </c>
      <c r="I19" s="492">
        <v>1.0116438356164399</v>
      </c>
      <c r="J19" s="266">
        <v>-3.55010846660835</v>
      </c>
      <c r="K19" s="660">
        <v>5.3072387117773703E-4</v>
      </c>
      <c r="L19" s="504" t="s">
        <v>228</v>
      </c>
      <c r="M19" s="492">
        <v>134.883503221806</v>
      </c>
      <c r="N19" s="492">
        <v>-0.20939218000000001</v>
      </c>
      <c r="O19" s="492">
        <v>-0.32604116</v>
      </c>
      <c r="P19" s="492">
        <v>-9.2743199999999998E-2</v>
      </c>
      <c r="Q19" s="564"/>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row>
    <row r="20" spans="1:46" s="280" customFormat="1" ht="18">
      <c r="A20" s="290"/>
      <c r="B20" s="290"/>
      <c r="C20" s="290"/>
      <c r="D20" s="330"/>
      <c r="E20" s="330"/>
      <c r="F20" s="286"/>
      <c r="G20" s="503"/>
      <c r="H20" s="492"/>
      <c r="I20" s="492"/>
      <c r="J20" s="266"/>
      <c r="K20" s="503"/>
      <c r="L20" s="504"/>
      <c r="M20" s="492"/>
      <c r="N20" s="492"/>
      <c r="O20" s="492"/>
      <c r="P20" s="492"/>
      <c r="Q20" s="564"/>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row>
    <row r="21" spans="1:46" s="615" customFormat="1" ht="27.75" customHeight="1">
      <c r="A21" s="410"/>
      <c r="B21" s="410"/>
      <c r="C21" s="410"/>
      <c r="D21" s="387"/>
      <c r="E21" s="387"/>
      <c r="F21" s="496"/>
      <c r="G21" s="687" t="s">
        <v>1972</v>
      </c>
      <c r="H21" s="687"/>
      <c r="I21" s="687"/>
      <c r="J21" s="687"/>
      <c r="K21" s="687"/>
      <c r="L21" s="687"/>
      <c r="M21" s="687"/>
      <c r="N21" s="687"/>
      <c r="O21" s="687"/>
      <c r="P21" s="687"/>
      <c r="Q21" s="564"/>
      <c r="R21" s="16"/>
      <c r="S21" s="16"/>
      <c r="T21" s="16"/>
      <c r="U21" s="16"/>
      <c r="V21" s="16"/>
      <c r="W21" s="16"/>
      <c r="X21" s="16"/>
      <c r="Y21" s="16"/>
      <c r="Z21" s="16"/>
      <c r="AA21" s="16"/>
      <c r="AB21" s="16"/>
      <c r="AC21" s="16"/>
      <c r="AD21" s="16"/>
      <c r="AE21" s="16"/>
      <c r="AF21" s="16"/>
      <c r="AG21" s="16"/>
      <c r="AH21" s="16"/>
      <c r="AI21" s="16"/>
      <c r="AJ21" s="16"/>
    </row>
    <row r="22" spans="1:46" s="616" customFormat="1" ht="46" customHeight="1">
      <c r="A22" s="490" t="s">
        <v>429</v>
      </c>
      <c r="B22" s="490" t="s">
        <v>430</v>
      </c>
      <c r="C22" s="490" t="s">
        <v>431</v>
      </c>
      <c r="D22" s="491" t="s">
        <v>432</v>
      </c>
      <c r="E22" s="491" t="s">
        <v>433</v>
      </c>
      <c r="F22" s="497" t="s">
        <v>434</v>
      </c>
      <c r="G22" s="498" t="s">
        <v>1955</v>
      </c>
      <c r="H22" s="499" t="s">
        <v>1973</v>
      </c>
      <c r="I22" s="499" t="s">
        <v>1974</v>
      </c>
      <c r="J22" s="500" t="s">
        <v>1948</v>
      </c>
      <c r="K22" s="501" t="s">
        <v>1941</v>
      </c>
      <c r="L22" s="508" t="s">
        <v>1975</v>
      </c>
      <c r="M22" s="609" t="s">
        <v>1949</v>
      </c>
      <c r="N22" s="606" t="s">
        <v>1959</v>
      </c>
      <c r="O22" s="606" t="s">
        <v>1960</v>
      </c>
      <c r="P22" s="606" t="s">
        <v>1961</v>
      </c>
      <c r="Q22" s="564"/>
      <c r="R22" s="16"/>
      <c r="S22" s="16"/>
      <c r="T22" s="16"/>
      <c r="U22" s="16"/>
      <c r="V22" s="16"/>
      <c r="W22" s="16"/>
      <c r="X22" s="16"/>
      <c r="Y22" s="16"/>
      <c r="Z22" s="16"/>
      <c r="AA22" s="16"/>
      <c r="AB22" s="16"/>
      <c r="AC22" s="16"/>
      <c r="AD22" s="16"/>
      <c r="AE22" s="16"/>
      <c r="AF22" s="16"/>
      <c r="AG22" s="16"/>
      <c r="AH22" s="16"/>
      <c r="AI22" s="16"/>
      <c r="AJ22" s="16"/>
    </row>
    <row r="23" spans="1:46" s="280" customFormat="1" ht="18">
      <c r="A23" s="290" t="s">
        <v>456</v>
      </c>
      <c r="B23" s="290" t="s">
        <v>218</v>
      </c>
      <c r="C23" s="290" t="s">
        <v>193</v>
      </c>
      <c r="D23" s="330" t="s">
        <v>194</v>
      </c>
      <c r="E23" s="330" t="s">
        <v>195</v>
      </c>
      <c r="F23" s="286" t="s">
        <v>457</v>
      </c>
      <c r="G23" s="565">
        <v>0.93267203690955303</v>
      </c>
      <c r="H23" s="569">
        <v>-19.001307692307702</v>
      </c>
      <c r="I23" s="569">
        <v>-18.899999999999999</v>
      </c>
      <c r="J23" s="608">
        <v>-0.26640000000000003</v>
      </c>
      <c r="K23" s="565">
        <v>0.79522670589774602</v>
      </c>
      <c r="L23" s="256" t="s">
        <v>1976</v>
      </c>
      <c r="M23" s="610">
        <v>10.2660919303172</v>
      </c>
      <c r="N23" s="569">
        <v>-0.101307692307692</v>
      </c>
      <c r="O23" s="569">
        <v>-0.94575570642343798</v>
      </c>
      <c r="P23" s="569">
        <v>0.74314032180805401</v>
      </c>
      <c r="Q23" s="515"/>
      <c r="R23" s="16"/>
      <c r="S23" s="16"/>
      <c r="T23" s="16"/>
      <c r="U23" s="16"/>
      <c r="V23" s="16"/>
      <c r="W23" s="16"/>
      <c r="X23" s="16"/>
      <c r="Y23" s="16"/>
      <c r="Z23" s="16"/>
      <c r="AA23" s="16"/>
      <c r="AB23" s="16"/>
      <c r="AC23" s="16"/>
      <c r="AD23" s="16"/>
      <c r="AE23" s="16"/>
      <c r="AF23" s="16"/>
      <c r="AG23" s="16"/>
      <c r="AH23" s="16"/>
      <c r="AI23" s="16"/>
      <c r="AJ23" s="16"/>
    </row>
    <row r="24" spans="1:46" s="280" customFormat="1" ht="18">
      <c r="A24" s="290" t="s">
        <v>1963</v>
      </c>
      <c r="B24" s="290" t="s">
        <v>218</v>
      </c>
      <c r="C24" s="290" t="s">
        <v>389</v>
      </c>
      <c r="D24" s="330" t="s">
        <v>1964</v>
      </c>
      <c r="E24" s="330" t="s">
        <v>1965</v>
      </c>
      <c r="F24" s="286" t="s">
        <v>390</v>
      </c>
      <c r="G24" s="565">
        <v>0.16281630436837999</v>
      </c>
      <c r="H24" s="569">
        <v>-10.1476326530612</v>
      </c>
      <c r="I24" s="569">
        <v>-9.4133636363636395</v>
      </c>
      <c r="J24" s="608">
        <v>-1.3922000000000001</v>
      </c>
      <c r="K24" s="565">
        <v>0.18469330307332399</v>
      </c>
      <c r="L24" s="256" t="s">
        <v>1976</v>
      </c>
      <c r="M24" s="610">
        <v>14.601238645473099</v>
      </c>
      <c r="N24" s="569">
        <v>-0.73426901669758704</v>
      </c>
      <c r="O24" s="569">
        <v>-1.8610810392261701</v>
      </c>
      <c r="P24" s="569">
        <v>0.392543005830994</v>
      </c>
      <c r="Q24" s="515"/>
      <c r="R24" s="16"/>
      <c r="S24" s="16"/>
      <c r="T24" s="16"/>
      <c r="U24" s="16"/>
      <c r="V24" s="16"/>
      <c r="W24" s="16"/>
      <c r="X24" s="16"/>
      <c r="Y24" s="16"/>
      <c r="Z24" s="16"/>
      <c r="AA24" s="16"/>
      <c r="AB24" s="16"/>
      <c r="AC24" s="16"/>
      <c r="AD24" s="16"/>
      <c r="AE24" s="16"/>
      <c r="AF24" s="16"/>
      <c r="AG24" s="16"/>
      <c r="AH24" s="16"/>
      <c r="AI24" s="16"/>
      <c r="AJ24" s="16"/>
    </row>
    <row r="25" spans="1:46" s="280" customFormat="1" ht="18">
      <c r="A25" s="290" t="s">
        <v>456</v>
      </c>
      <c r="B25" s="290" t="s">
        <v>218</v>
      </c>
      <c r="C25" s="290" t="s">
        <v>221</v>
      </c>
      <c r="D25" s="330" t="s">
        <v>222</v>
      </c>
      <c r="E25" s="330" t="s">
        <v>151</v>
      </c>
      <c r="F25" s="286" t="s">
        <v>489</v>
      </c>
      <c r="G25" s="565">
        <v>2.3147854349480801E-2</v>
      </c>
      <c r="H25" s="569">
        <v>-19.190640625</v>
      </c>
      <c r="I25" s="569">
        <v>-19.945181818181801</v>
      </c>
      <c r="J25" s="608">
        <v>2.5326</v>
      </c>
      <c r="K25" s="566">
        <v>1.5004108759308601E-2</v>
      </c>
      <c r="L25" s="256" t="s">
        <v>1976</v>
      </c>
      <c r="M25" s="610">
        <v>43.5140910351261</v>
      </c>
      <c r="N25" s="569">
        <v>0.754541193181819</v>
      </c>
      <c r="O25" s="569">
        <v>0.153929450329717</v>
      </c>
      <c r="P25" s="569">
        <v>1.3551529360339201</v>
      </c>
      <c r="Q25" s="515"/>
      <c r="R25" s="16"/>
      <c r="S25" s="16"/>
      <c r="T25" s="16"/>
      <c r="U25" s="16"/>
      <c r="V25" s="16"/>
      <c r="W25" s="16"/>
      <c r="X25" s="16"/>
      <c r="Y25" s="16"/>
      <c r="Z25" s="16"/>
      <c r="AA25" s="16"/>
      <c r="AB25" s="16"/>
      <c r="AC25" s="16"/>
      <c r="AD25" s="16"/>
      <c r="AE25" s="16"/>
      <c r="AF25" s="16"/>
      <c r="AG25" s="16"/>
      <c r="AH25" s="16"/>
      <c r="AI25" s="16"/>
      <c r="AJ25" s="16"/>
    </row>
    <row r="26" spans="1:46" s="280" customFormat="1" ht="18">
      <c r="A26" s="290" t="s">
        <v>456</v>
      </c>
      <c r="B26" s="290" t="s">
        <v>273</v>
      </c>
      <c r="C26" s="290" t="s">
        <v>74</v>
      </c>
      <c r="D26" s="330" t="s">
        <v>266</v>
      </c>
      <c r="E26" s="330" t="s">
        <v>499</v>
      </c>
      <c r="F26" s="286" t="s">
        <v>1966</v>
      </c>
      <c r="G26" s="505" t="s">
        <v>205</v>
      </c>
      <c r="H26" s="506" t="s">
        <v>205</v>
      </c>
      <c r="I26" s="506" t="s">
        <v>205</v>
      </c>
      <c r="J26" s="507" t="s">
        <v>205</v>
      </c>
      <c r="K26" s="505" t="s">
        <v>205</v>
      </c>
      <c r="L26" s="506" t="s">
        <v>205</v>
      </c>
      <c r="M26" s="506" t="s">
        <v>205</v>
      </c>
      <c r="N26" s="506" t="s">
        <v>205</v>
      </c>
      <c r="O26" s="506" t="s">
        <v>205</v>
      </c>
      <c r="P26" s="506" t="s">
        <v>205</v>
      </c>
      <c r="Q26" s="515"/>
      <c r="R26" s="16"/>
      <c r="S26" s="16"/>
      <c r="T26" s="16"/>
      <c r="U26" s="16"/>
      <c r="V26" s="16"/>
      <c r="W26" s="16"/>
      <c r="X26" s="16"/>
      <c r="Y26" s="16"/>
      <c r="Z26" s="16"/>
      <c r="AA26" s="16"/>
      <c r="AB26" s="16"/>
      <c r="AC26" s="16"/>
      <c r="AD26" s="16"/>
      <c r="AE26" s="16"/>
      <c r="AF26" s="16"/>
      <c r="AG26" s="16"/>
      <c r="AH26" s="16"/>
      <c r="AI26" s="16"/>
      <c r="AJ26" s="16"/>
    </row>
    <row r="27" spans="1:46" s="280" customFormat="1" ht="18">
      <c r="A27" s="290" t="s">
        <v>456</v>
      </c>
      <c r="B27" s="290" t="s">
        <v>273</v>
      </c>
      <c r="C27" s="290" t="s">
        <v>74</v>
      </c>
      <c r="D27" s="330" t="s">
        <v>266</v>
      </c>
      <c r="E27" s="330" t="s">
        <v>267</v>
      </c>
      <c r="F27" s="286" t="s">
        <v>1967</v>
      </c>
      <c r="G27" s="565">
        <v>0.27426278039318602</v>
      </c>
      <c r="H27" s="569">
        <v>-13.4913043478261</v>
      </c>
      <c r="I27" s="569">
        <v>-14.9</v>
      </c>
      <c r="J27" s="608">
        <v>1.3751</v>
      </c>
      <c r="K27" s="565">
        <v>0.207568418889122</v>
      </c>
      <c r="L27" s="256" t="s">
        <v>1962</v>
      </c>
      <c r="M27" s="569">
        <v>7.7394487187285099</v>
      </c>
      <c r="N27" s="569">
        <v>1.40869565217391</v>
      </c>
      <c r="O27" s="569">
        <v>-0.96744972130543405</v>
      </c>
      <c r="P27" s="569">
        <v>3.7848410256532601</v>
      </c>
      <c r="Q27" s="515"/>
      <c r="R27" s="16"/>
      <c r="S27" s="16"/>
      <c r="T27" s="16"/>
      <c r="U27" s="16"/>
      <c r="V27" s="16"/>
      <c r="W27" s="16"/>
      <c r="X27" s="16"/>
      <c r="Y27" s="16"/>
      <c r="Z27" s="16"/>
      <c r="AA27" s="16"/>
      <c r="AB27" s="16"/>
      <c r="AC27" s="16"/>
      <c r="AD27" s="16"/>
      <c r="AE27" s="16"/>
      <c r="AF27" s="16"/>
      <c r="AG27" s="16"/>
      <c r="AH27" s="16"/>
      <c r="AI27" s="16"/>
      <c r="AJ27" s="16"/>
    </row>
    <row r="28" spans="1:46" s="280" customFormat="1" ht="18">
      <c r="A28" s="290" t="s">
        <v>456</v>
      </c>
      <c r="B28" s="290" t="s">
        <v>273</v>
      </c>
      <c r="C28" s="290" t="s">
        <v>74</v>
      </c>
      <c r="D28" s="330" t="s">
        <v>266</v>
      </c>
      <c r="E28" s="330" t="s">
        <v>503</v>
      </c>
      <c r="F28" s="286" t="s">
        <v>1968</v>
      </c>
      <c r="G28" s="505" t="s">
        <v>205</v>
      </c>
      <c r="H28" s="506" t="s">
        <v>205</v>
      </c>
      <c r="I28" s="506" t="s">
        <v>205</v>
      </c>
      <c r="J28" s="507" t="s">
        <v>205</v>
      </c>
      <c r="K28" s="505" t="s">
        <v>205</v>
      </c>
      <c r="L28" s="506" t="s">
        <v>205</v>
      </c>
      <c r="M28" s="506" t="s">
        <v>205</v>
      </c>
      <c r="N28" s="506" t="s">
        <v>205</v>
      </c>
      <c r="O28" s="506" t="s">
        <v>205</v>
      </c>
      <c r="P28" s="506" t="s">
        <v>205</v>
      </c>
      <c r="Q28" s="515"/>
      <c r="R28" s="16"/>
      <c r="S28" s="16"/>
      <c r="T28" s="16"/>
      <c r="U28" s="16"/>
      <c r="V28" s="16"/>
      <c r="W28" s="16"/>
      <c r="X28" s="16"/>
      <c r="Y28" s="16"/>
      <c r="Z28" s="16"/>
      <c r="AA28" s="16"/>
      <c r="AB28" s="16"/>
      <c r="AC28" s="16"/>
      <c r="AD28" s="16"/>
      <c r="AE28" s="16"/>
      <c r="AF28" s="16"/>
      <c r="AG28" s="16"/>
      <c r="AH28" s="16"/>
      <c r="AI28" s="16"/>
      <c r="AJ28" s="16"/>
    </row>
    <row r="29" spans="1:46" s="280" customFormat="1" ht="18">
      <c r="A29" s="290" t="s">
        <v>456</v>
      </c>
      <c r="B29" s="290" t="s">
        <v>273</v>
      </c>
      <c r="C29" s="290" t="s">
        <v>74</v>
      </c>
      <c r="D29" s="330" t="s">
        <v>266</v>
      </c>
      <c r="E29" s="330" t="s">
        <v>505</v>
      </c>
      <c r="F29" s="286" t="s">
        <v>506</v>
      </c>
      <c r="G29" s="565">
        <v>0.48608477417766499</v>
      </c>
      <c r="H29" s="569">
        <v>-11.5375</v>
      </c>
      <c r="I29" s="569">
        <v>-13.3</v>
      </c>
      <c r="J29" s="608">
        <v>0.84379999999999999</v>
      </c>
      <c r="K29" s="565">
        <v>0.43688116410432498</v>
      </c>
      <c r="L29" s="256" t="s">
        <v>1976</v>
      </c>
      <c r="M29" s="569">
        <v>5.0499380751169598</v>
      </c>
      <c r="N29" s="569">
        <v>1.7625</v>
      </c>
      <c r="O29" s="569">
        <v>-3.5904810975979</v>
      </c>
      <c r="P29" s="569">
        <v>7.1154810975979004</v>
      </c>
      <c r="Q29" s="515"/>
      <c r="R29" s="16"/>
      <c r="S29" s="16"/>
      <c r="T29" s="16"/>
      <c r="U29" s="16"/>
      <c r="V29" s="16"/>
      <c r="W29" s="16"/>
      <c r="X29" s="16"/>
      <c r="Y29" s="16"/>
      <c r="Z29" s="16"/>
      <c r="AA29" s="16"/>
      <c r="AB29" s="16"/>
      <c r="AC29" s="16"/>
      <c r="AD29" s="16"/>
      <c r="AE29" s="16"/>
      <c r="AF29" s="16"/>
      <c r="AG29" s="16"/>
      <c r="AH29" s="16"/>
      <c r="AI29" s="16"/>
      <c r="AJ29" s="16"/>
    </row>
    <row r="30" spans="1:46" s="280" customFormat="1" ht="18">
      <c r="A30" s="290" t="s">
        <v>1969</v>
      </c>
      <c r="B30" s="290" t="s">
        <v>273</v>
      </c>
      <c r="C30" s="290" t="s">
        <v>74</v>
      </c>
      <c r="D30" s="330" t="s">
        <v>266</v>
      </c>
      <c r="E30" s="330" t="s">
        <v>151</v>
      </c>
      <c r="F30" s="286" t="s">
        <v>1970</v>
      </c>
      <c r="G30" s="565">
        <v>0.42571729853428703</v>
      </c>
      <c r="H30" s="569">
        <v>-14.436842105263199</v>
      </c>
      <c r="I30" s="569">
        <v>-15.5</v>
      </c>
      <c r="J30" s="608">
        <v>0.51759999999999995</v>
      </c>
      <c r="K30" s="565">
        <v>0.65227945828930101</v>
      </c>
      <c r="L30" s="256" t="s">
        <v>1976</v>
      </c>
      <c r="M30" s="569">
        <v>2.1907501606225099</v>
      </c>
      <c r="N30" s="569">
        <v>1.0631578947368401</v>
      </c>
      <c r="O30" s="569">
        <v>-7.0759587141998503</v>
      </c>
      <c r="P30" s="569">
        <v>9.2022745036735305</v>
      </c>
      <c r="Q30" s="515"/>
      <c r="R30" s="16"/>
      <c r="S30" s="16"/>
      <c r="T30" s="16"/>
      <c r="U30" s="16"/>
      <c r="V30" s="16"/>
      <c r="W30" s="16"/>
      <c r="X30" s="16"/>
      <c r="Y30" s="16"/>
      <c r="Z30" s="16"/>
      <c r="AA30" s="16"/>
      <c r="AB30" s="16"/>
      <c r="AC30" s="16"/>
      <c r="AD30" s="16"/>
      <c r="AE30" s="16"/>
      <c r="AF30" s="16"/>
      <c r="AG30" s="16"/>
      <c r="AH30" s="16"/>
      <c r="AI30" s="16"/>
      <c r="AJ30" s="16"/>
    </row>
    <row r="31" spans="1:46" s="280" customFormat="1" ht="18">
      <c r="A31" s="290" t="s">
        <v>456</v>
      </c>
      <c r="B31" s="290" t="s">
        <v>273</v>
      </c>
      <c r="C31" s="290" t="s">
        <v>76</v>
      </c>
      <c r="D31" s="330" t="s">
        <v>344</v>
      </c>
      <c r="E31" s="330" t="s">
        <v>345</v>
      </c>
      <c r="F31" s="286" t="s">
        <v>522</v>
      </c>
      <c r="G31" s="565">
        <v>1.5821156529307798E-2</v>
      </c>
      <c r="H31" s="569">
        <v>-15.55</v>
      </c>
      <c r="I31" s="569">
        <v>-17.72</v>
      </c>
      <c r="J31" s="608">
        <v>2.5562999999999998</v>
      </c>
      <c r="K31" s="566">
        <v>3.9500865233406797E-2</v>
      </c>
      <c r="L31" s="256" t="s">
        <v>228</v>
      </c>
      <c r="M31" s="569">
        <v>6.6358997604305197</v>
      </c>
      <c r="N31" s="569">
        <v>2.17</v>
      </c>
      <c r="O31" s="569">
        <v>0.140216985150632</v>
      </c>
      <c r="P31" s="569">
        <v>4.19978301484936</v>
      </c>
      <c r="Q31" s="515"/>
      <c r="R31" s="16"/>
      <c r="S31" s="16"/>
      <c r="T31" s="16"/>
      <c r="U31" s="16"/>
      <c r="V31" s="16"/>
      <c r="W31" s="16"/>
      <c r="X31" s="16"/>
      <c r="Y31" s="16"/>
      <c r="Z31" s="16"/>
      <c r="AA31" s="16"/>
      <c r="AB31" s="16"/>
      <c r="AC31" s="16"/>
      <c r="AD31" s="16"/>
      <c r="AE31" s="16"/>
      <c r="AF31" s="16"/>
      <c r="AG31" s="16"/>
      <c r="AH31" s="16"/>
      <c r="AI31" s="16"/>
      <c r="AJ31" s="16"/>
    </row>
    <row r="32" spans="1:46" s="280" customFormat="1" ht="18">
      <c r="A32" s="290" t="s">
        <v>456</v>
      </c>
      <c r="B32" s="290" t="s">
        <v>273</v>
      </c>
      <c r="C32" s="290" t="s">
        <v>76</v>
      </c>
      <c r="D32" s="330" t="s">
        <v>524</v>
      </c>
      <c r="E32" s="330" t="s">
        <v>527</v>
      </c>
      <c r="F32" s="286" t="s">
        <v>528</v>
      </c>
      <c r="G32" s="565">
        <v>1.1705469320923601E-3</v>
      </c>
      <c r="H32" s="569">
        <v>-10.35</v>
      </c>
      <c r="I32" s="569">
        <v>-15.58925</v>
      </c>
      <c r="J32" s="608">
        <v>5.7816999999999998</v>
      </c>
      <c r="K32" s="566">
        <v>9.2452581321773395E-3</v>
      </c>
      <c r="L32" s="256" t="s">
        <v>228</v>
      </c>
      <c r="M32" s="569">
        <v>3.1179181577991901</v>
      </c>
      <c r="N32" s="569">
        <v>5.2392500000000002</v>
      </c>
      <c r="O32" s="569">
        <v>2.4161050944764</v>
      </c>
      <c r="P32" s="569">
        <v>8.0623949055236004</v>
      </c>
      <c r="Q32" s="515"/>
      <c r="R32" s="16"/>
      <c r="S32" s="16"/>
      <c r="T32" s="16"/>
      <c r="U32" s="16"/>
      <c r="V32" s="16"/>
      <c r="W32" s="16"/>
      <c r="X32" s="16"/>
      <c r="Y32" s="16"/>
      <c r="Z32" s="16"/>
      <c r="AA32" s="16"/>
      <c r="AB32" s="16"/>
      <c r="AC32" s="16"/>
      <c r="AD32" s="16"/>
      <c r="AE32" s="16"/>
      <c r="AF32" s="16"/>
      <c r="AG32" s="16"/>
      <c r="AH32" s="16"/>
      <c r="AI32" s="16"/>
      <c r="AJ32" s="16"/>
    </row>
    <row r="33" spans="1:46" s="280" customFormat="1" ht="18">
      <c r="A33" s="290" t="s">
        <v>456</v>
      </c>
      <c r="B33" s="290" t="s">
        <v>273</v>
      </c>
      <c r="C33" s="290" t="s">
        <v>534</v>
      </c>
      <c r="D33" s="330" t="s">
        <v>539</v>
      </c>
      <c r="E33" s="330" t="s">
        <v>540</v>
      </c>
      <c r="F33" s="286" t="s">
        <v>541</v>
      </c>
      <c r="G33" s="565">
        <v>0.620645153819537</v>
      </c>
      <c r="H33" s="569">
        <v>-14.8571428571429</v>
      </c>
      <c r="I33" s="569">
        <v>-15.35</v>
      </c>
      <c r="J33" s="608">
        <v>0.61460000000000004</v>
      </c>
      <c r="K33" s="565">
        <v>0.554126623348006</v>
      </c>
      <c r="L33" s="256" t="s">
        <v>1962</v>
      </c>
      <c r="M33" s="569">
        <v>8.96016411232889</v>
      </c>
      <c r="N33" s="569">
        <v>0.49285714285714199</v>
      </c>
      <c r="O33" s="569">
        <v>-1.32254169288975</v>
      </c>
      <c r="P33" s="569">
        <v>2.30825597860404</v>
      </c>
      <c r="Q33" s="515"/>
      <c r="R33" s="16"/>
      <c r="S33" s="16"/>
      <c r="T33" s="16"/>
      <c r="U33" s="16"/>
      <c r="V33" s="16"/>
      <c r="W33" s="16"/>
      <c r="X33" s="16"/>
      <c r="Y33" s="16"/>
      <c r="Z33" s="16"/>
      <c r="AA33" s="16"/>
      <c r="AB33" s="16"/>
      <c r="AC33" s="16"/>
      <c r="AD33" s="16"/>
      <c r="AE33" s="16"/>
      <c r="AF33" s="16"/>
      <c r="AG33" s="16"/>
      <c r="AH33" s="16"/>
      <c r="AI33" s="16"/>
      <c r="AJ33" s="16"/>
    </row>
    <row r="34" spans="1:46" s="280" customFormat="1" ht="18">
      <c r="A34" s="290" t="s">
        <v>456</v>
      </c>
      <c r="B34" s="290" t="s">
        <v>273</v>
      </c>
      <c r="C34" s="290" t="s">
        <v>534</v>
      </c>
      <c r="D34" s="330" t="s">
        <v>544</v>
      </c>
      <c r="E34" s="330" t="s">
        <v>151</v>
      </c>
      <c r="F34" s="286" t="s">
        <v>1971</v>
      </c>
      <c r="G34" s="565">
        <v>0.54299039032946805</v>
      </c>
      <c r="H34" s="569">
        <v>-16.925000000000001</v>
      </c>
      <c r="I34" s="569">
        <v>-17.36</v>
      </c>
      <c r="J34" s="608">
        <v>0.57389999999999997</v>
      </c>
      <c r="K34" s="565">
        <v>0.59208259990584999</v>
      </c>
      <c r="L34" s="256" t="s">
        <v>1962</v>
      </c>
      <c r="M34" s="569">
        <v>4.7554979462354598</v>
      </c>
      <c r="N34" s="569">
        <v>0.434999999999999</v>
      </c>
      <c r="O34" s="569">
        <v>-1.54382125183098</v>
      </c>
      <c r="P34" s="569">
        <v>2.4138212518309801</v>
      </c>
      <c r="Q34" s="515"/>
      <c r="R34" s="16"/>
      <c r="S34" s="16"/>
      <c r="T34" s="16"/>
      <c r="U34" s="16"/>
      <c r="V34" s="16"/>
      <c r="W34" s="16"/>
      <c r="X34" s="16"/>
      <c r="Y34" s="16"/>
      <c r="Z34" s="16"/>
      <c r="AA34" s="16"/>
      <c r="AB34" s="16"/>
      <c r="AC34" s="16"/>
      <c r="AD34" s="16"/>
      <c r="AE34" s="16"/>
      <c r="AF34" s="16"/>
      <c r="AG34" s="16"/>
      <c r="AH34" s="16"/>
      <c r="AI34" s="16"/>
      <c r="AJ34" s="16"/>
    </row>
    <row r="35" spans="1:46" s="280" customFormat="1" ht="18">
      <c r="A35" s="290" t="s">
        <v>456</v>
      </c>
      <c r="B35" s="290" t="s">
        <v>273</v>
      </c>
      <c r="C35" s="290" t="s">
        <v>551</v>
      </c>
      <c r="D35" s="330" t="s">
        <v>117</v>
      </c>
      <c r="E35" s="330" t="s">
        <v>118</v>
      </c>
      <c r="F35" s="286" t="s">
        <v>556</v>
      </c>
      <c r="G35" s="565">
        <v>0.33512601114754198</v>
      </c>
      <c r="H35" s="569">
        <v>-16.2083333333333</v>
      </c>
      <c r="I35" s="569">
        <v>-17.45</v>
      </c>
      <c r="J35" s="608">
        <v>1.1696</v>
      </c>
      <c r="K35" s="565">
        <v>0.39099485935509598</v>
      </c>
      <c r="L35" s="256" t="s">
        <v>1962</v>
      </c>
      <c r="M35" s="569">
        <v>1.55096958894385</v>
      </c>
      <c r="N35" s="569">
        <v>1.24166666666667</v>
      </c>
      <c r="O35" s="569">
        <v>-4.8601041223693304</v>
      </c>
      <c r="P35" s="569">
        <v>7.34343745570267</v>
      </c>
      <c r="Q35" s="515"/>
      <c r="R35" s="16"/>
      <c r="S35" s="16"/>
      <c r="T35" s="16"/>
      <c r="U35" s="16"/>
      <c r="V35" s="16"/>
      <c r="W35" s="16"/>
      <c r="X35" s="16"/>
      <c r="Y35" s="16"/>
      <c r="Z35" s="16"/>
      <c r="AA35" s="16"/>
      <c r="AB35" s="16"/>
      <c r="AC35" s="16"/>
      <c r="AD35" s="16"/>
      <c r="AE35" s="16"/>
      <c r="AF35" s="16"/>
      <c r="AG35" s="16"/>
      <c r="AH35" s="16"/>
      <c r="AI35" s="16"/>
      <c r="AJ35" s="16"/>
    </row>
    <row r="36" spans="1:46" s="280" customFormat="1" ht="18">
      <c r="A36" s="290" t="s">
        <v>456</v>
      </c>
      <c r="B36" s="290" t="s">
        <v>273</v>
      </c>
      <c r="C36" s="290" t="s">
        <v>80</v>
      </c>
      <c r="D36" s="330" t="s">
        <v>132</v>
      </c>
      <c r="E36" s="330" t="s">
        <v>133</v>
      </c>
      <c r="F36" s="286" t="s">
        <v>561</v>
      </c>
      <c r="G36" s="565">
        <v>0.40899114164581202</v>
      </c>
      <c r="H36" s="569">
        <v>-18.233333333333299</v>
      </c>
      <c r="I36" s="569">
        <v>-18.78</v>
      </c>
      <c r="J36" s="608">
        <v>0.86240000000000006</v>
      </c>
      <c r="K36" s="565">
        <v>0.41217216287876202</v>
      </c>
      <c r="L36" s="256" t="s">
        <v>1962</v>
      </c>
      <c r="M36" s="569">
        <v>8.4926960341456894</v>
      </c>
      <c r="N36" s="569">
        <v>0.54666666666666697</v>
      </c>
      <c r="O36" s="569">
        <v>-0.900506301527499</v>
      </c>
      <c r="P36" s="569">
        <v>1.99383963486083</v>
      </c>
      <c r="Q36" s="515"/>
      <c r="R36" s="16"/>
      <c r="S36" s="16"/>
      <c r="T36" s="16"/>
      <c r="U36" s="16"/>
      <c r="V36" s="16"/>
      <c r="W36" s="16"/>
      <c r="X36" s="16"/>
      <c r="Y36" s="16"/>
      <c r="Z36" s="16"/>
      <c r="AA36" s="16"/>
      <c r="AB36" s="16"/>
      <c r="AC36" s="16"/>
      <c r="AD36" s="16"/>
      <c r="AE36" s="16"/>
      <c r="AF36" s="16"/>
      <c r="AG36" s="16"/>
      <c r="AH36" s="16"/>
      <c r="AI36" s="16"/>
      <c r="AJ36" s="16"/>
    </row>
    <row r="37" spans="1:46" s="280" customFormat="1" ht="18">
      <c r="A37" s="290" t="s">
        <v>456</v>
      </c>
      <c r="B37" s="290" t="s">
        <v>579</v>
      </c>
      <c r="C37" s="290" t="s">
        <v>580</v>
      </c>
      <c r="D37" s="330" t="s">
        <v>581</v>
      </c>
      <c r="E37" s="330" t="s">
        <v>151</v>
      </c>
      <c r="F37" s="286" t="s">
        <v>583</v>
      </c>
      <c r="G37" s="565">
        <v>1.4426474887460101E-3</v>
      </c>
      <c r="H37" s="569">
        <v>-16.292857142857098</v>
      </c>
      <c r="I37" s="569">
        <v>-18.286842105263201</v>
      </c>
      <c r="J37" s="608">
        <v>3.2201</v>
      </c>
      <c r="K37" s="566">
        <v>1.9891846896475602E-3</v>
      </c>
      <c r="L37" s="256" t="s">
        <v>228</v>
      </c>
      <c r="M37" s="569">
        <v>66.012027254943504</v>
      </c>
      <c r="N37" s="569">
        <v>1.99398496240601</v>
      </c>
      <c r="O37" s="569">
        <v>0.75767269343128896</v>
      </c>
      <c r="P37" s="569">
        <v>3.2302972313807401</v>
      </c>
      <c r="Q37" s="515"/>
      <c r="R37" s="16"/>
      <c r="S37" s="16"/>
      <c r="T37" s="16"/>
      <c r="U37" s="16"/>
      <c r="V37" s="16"/>
      <c r="W37" s="16"/>
      <c r="X37" s="16"/>
      <c r="Y37" s="16"/>
      <c r="Z37" s="16"/>
      <c r="AA37" s="16"/>
      <c r="AB37" s="16"/>
      <c r="AC37" s="16"/>
      <c r="AD37" s="16"/>
      <c r="AE37" s="16"/>
      <c r="AF37" s="16"/>
      <c r="AG37" s="16"/>
      <c r="AH37" s="16"/>
      <c r="AI37" s="16"/>
      <c r="AJ37" s="16"/>
    </row>
    <row r="38" spans="1:46" s="280" customFormat="1" ht="18">
      <c r="A38" s="290" t="s">
        <v>456</v>
      </c>
      <c r="B38" s="290" t="s">
        <v>579</v>
      </c>
      <c r="C38" s="290" t="s">
        <v>580</v>
      </c>
      <c r="D38" s="330" t="s">
        <v>585</v>
      </c>
      <c r="E38" s="330" t="s">
        <v>151</v>
      </c>
      <c r="F38" s="286" t="s">
        <v>586</v>
      </c>
      <c r="G38" s="611">
        <v>7.5532763393545394E-5</v>
      </c>
      <c r="H38" s="569">
        <v>-17.587</v>
      </c>
      <c r="I38" s="569">
        <v>-18.710531531531501</v>
      </c>
      <c r="J38" s="608">
        <v>4.3773999999999997</v>
      </c>
      <c r="K38" s="661">
        <v>1.6855547562240301E-5</v>
      </c>
      <c r="L38" s="570" t="s">
        <v>228</v>
      </c>
      <c r="M38" s="569">
        <v>286.26587757271301</v>
      </c>
      <c r="N38" s="569">
        <v>1.12353153153153</v>
      </c>
      <c r="O38" s="569">
        <v>0.61833601899971402</v>
      </c>
      <c r="P38" s="569">
        <v>1.6287270440633499</v>
      </c>
      <c r="Q38" s="515"/>
      <c r="R38" s="16"/>
      <c r="S38" s="16"/>
      <c r="T38" s="16"/>
      <c r="U38" s="16"/>
      <c r="V38" s="16"/>
      <c r="W38" s="16"/>
      <c r="X38" s="16"/>
      <c r="Y38" s="16"/>
      <c r="Z38" s="16"/>
      <c r="AA38" s="16"/>
      <c r="AB38" s="16"/>
      <c r="AC38" s="16"/>
      <c r="AD38" s="16"/>
      <c r="AE38" s="16"/>
      <c r="AF38" s="16"/>
      <c r="AG38" s="16"/>
      <c r="AH38" s="16"/>
      <c r="AI38" s="16"/>
      <c r="AJ38" s="16"/>
    </row>
    <row r="39" spans="1:46" s="280" customFormat="1" ht="18">
      <c r="A39" s="256" t="s">
        <v>456</v>
      </c>
      <c r="B39" s="256" t="s">
        <v>218</v>
      </c>
      <c r="C39" s="256" t="s">
        <v>187</v>
      </c>
      <c r="D39" s="257" t="s">
        <v>494</v>
      </c>
      <c r="E39" s="257" t="s">
        <v>495</v>
      </c>
      <c r="F39" s="297" t="s">
        <v>496</v>
      </c>
      <c r="G39" s="565">
        <v>0.43774646976825099</v>
      </c>
      <c r="H39" s="569">
        <v>-16.5</v>
      </c>
      <c r="I39" s="569">
        <v>-16.149999999999999</v>
      </c>
      <c r="J39" s="608">
        <v>-0.96150000000000002</v>
      </c>
      <c r="K39" s="565">
        <v>0.49385771348885299</v>
      </c>
      <c r="L39" s="256" t="s">
        <v>1962</v>
      </c>
      <c r="M39" s="569">
        <v>1.1621845262722399</v>
      </c>
      <c r="N39" s="569">
        <v>-0.35000000000000098</v>
      </c>
      <c r="O39" s="569">
        <v>-3.6970425505215698</v>
      </c>
      <c r="P39" s="569">
        <v>2.9970425505215701</v>
      </c>
      <c r="Q39" s="515"/>
      <c r="R39" s="16"/>
      <c r="S39" s="16"/>
      <c r="T39" s="16"/>
      <c r="U39" s="16"/>
      <c r="V39" s="16"/>
      <c r="W39" s="16"/>
      <c r="X39" s="16"/>
      <c r="Y39" s="16"/>
      <c r="Z39" s="16"/>
      <c r="AA39" s="16"/>
      <c r="AB39" s="16"/>
      <c r="AC39" s="16"/>
      <c r="AD39" s="16"/>
      <c r="AE39" s="16"/>
      <c r="AF39" s="16"/>
      <c r="AG39" s="16"/>
      <c r="AH39" s="16"/>
      <c r="AI39" s="16"/>
      <c r="AJ39" s="16"/>
    </row>
    <row r="40" spans="1:46" s="280" customFormat="1" ht="18">
      <c r="A40" s="290"/>
      <c r="B40" s="290"/>
      <c r="C40" s="290"/>
      <c r="D40" s="330"/>
      <c r="E40" s="330"/>
      <c r="F40" s="286"/>
      <c r="G40" s="503"/>
      <c r="H40" s="492"/>
      <c r="I40" s="492"/>
      <c r="J40" s="266"/>
      <c r="K40" s="503"/>
      <c r="L40" s="504"/>
      <c r="M40" s="492"/>
      <c r="N40" s="492"/>
      <c r="O40" s="492"/>
      <c r="P40" s="492"/>
      <c r="Q40" s="564"/>
      <c r="R40" s="16"/>
      <c r="S40" s="16"/>
      <c r="T40" s="16"/>
      <c r="U40" s="16"/>
      <c r="V40" s="16"/>
      <c r="W40" s="16"/>
      <c r="X40" s="16"/>
      <c r="Y40" s="16"/>
      <c r="Z40" s="16"/>
      <c r="AA40" s="16"/>
      <c r="AB40" s="16"/>
      <c r="AC40" s="16"/>
      <c r="AD40" s="16"/>
      <c r="AE40" s="16"/>
      <c r="AF40" s="16"/>
      <c r="AG40" s="16"/>
      <c r="AH40" s="16"/>
      <c r="AI40" s="16"/>
      <c r="AJ40" s="16"/>
      <c r="AK40" s="617"/>
      <c r="AL40" s="107"/>
      <c r="AM40" s="107"/>
      <c r="AN40" s="108"/>
      <c r="AO40" s="618"/>
      <c r="AP40" s="619"/>
      <c r="AQ40" s="620"/>
      <c r="AR40" s="620"/>
      <c r="AS40" s="620"/>
      <c r="AT40" s="620"/>
    </row>
    <row r="41" spans="1:46" s="615" customFormat="1" ht="27.75" customHeight="1">
      <c r="A41" s="410"/>
      <c r="B41" s="410"/>
      <c r="C41" s="410"/>
      <c r="D41" s="387"/>
      <c r="E41" s="387"/>
      <c r="F41" s="496"/>
      <c r="G41" s="686" t="s">
        <v>1977</v>
      </c>
      <c r="H41" s="686"/>
      <c r="I41" s="686"/>
      <c r="J41" s="686"/>
      <c r="K41" s="686"/>
      <c r="L41" s="686"/>
      <c r="M41" s="686"/>
      <c r="N41" s="686"/>
      <c r="O41" s="686"/>
      <c r="P41" s="686"/>
      <c r="Q41" s="564"/>
      <c r="R41" s="16"/>
      <c r="S41" s="16"/>
      <c r="T41" s="16"/>
      <c r="U41" s="16"/>
      <c r="V41" s="16"/>
      <c r="W41" s="16"/>
      <c r="X41" s="16"/>
      <c r="Y41" s="16"/>
      <c r="Z41" s="16"/>
      <c r="AA41" s="16"/>
      <c r="AB41" s="16"/>
    </row>
    <row r="42" spans="1:46" s="616" customFormat="1" ht="46" customHeight="1">
      <c r="A42" s="490" t="s">
        <v>429</v>
      </c>
      <c r="B42" s="490" t="s">
        <v>430</v>
      </c>
      <c r="C42" s="490" t="s">
        <v>431</v>
      </c>
      <c r="D42" s="491" t="s">
        <v>432</v>
      </c>
      <c r="E42" s="491" t="s">
        <v>433</v>
      </c>
      <c r="F42" s="497" t="s">
        <v>434</v>
      </c>
      <c r="G42" s="498" t="s">
        <v>1955</v>
      </c>
      <c r="H42" s="498" t="s">
        <v>1978</v>
      </c>
      <c r="I42" s="498" t="s">
        <v>1979</v>
      </c>
      <c r="J42" s="500" t="s">
        <v>1948</v>
      </c>
      <c r="K42" s="501" t="s">
        <v>1941</v>
      </c>
      <c r="L42" s="508" t="s">
        <v>1975</v>
      </c>
      <c r="M42" s="609" t="s">
        <v>1949</v>
      </c>
      <c r="N42" s="606" t="s">
        <v>1959</v>
      </c>
      <c r="O42" s="606" t="s">
        <v>1960</v>
      </c>
      <c r="P42" s="606" t="s">
        <v>1961</v>
      </c>
      <c r="Q42" s="564"/>
      <c r="R42" s="16"/>
      <c r="S42" s="16"/>
      <c r="T42" s="16"/>
      <c r="U42" s="16"/>
      <c r="V42" s="16"/>
      <c r="W42" s="16"/>
      <c r="X42" s="16"/>
      <c r="Y42" s="16"/>
      <c r="Z42" s="16"/>
      <c r="AA42" s="16"/>
      <c r="AB42" s="16"/>
    </row>
    <row r="43" spans="1:46" s="280" customFormat="1" ht="18">
      <c r="A43" s="290" t="s">
        <v>456</v>
      </c>
      <c r="B43" s="290" t="s">
        <v>218</v>
      </c>
      <c r="C43" s="290" t="s">
        <v>193</v>
      </c>
      <c r="D43" s="330" t="s">
        <v>194</v>
      </c>
      <c r="E43" s="330" t="s">
        <v>195</v>
      </c>
      <c r="F43" s="286" t="s">
        <v>457</v>
      </c>
      <c r="G43" s="565">
        <v>0.84355338010907899</v>
      </c>
      <c r="H43" s="571">
        <v>6.5</v>
      </c>
      <c r="I43" s="571">
        <v>6.65</v>
      </c>
      <c r="J43" s="572">
        <v>-0.43029676336023098</v>
      </c>
      <c r="K43" s="574">
        <v>0.69152212225126897</v>
      </c>
      <c r="L43" s="573" t="s">
        <v>1962</v>
      </c>
      <c r="M43" s="571">
        <v>3.5919419405876698</v>
      </c>
      <c r="N43" s="571">
        <v>-0.15</v>
      </c>
      <c r="O43" s="571">
        <v>-1.1628035189000401</v>
      </c>
      <c r="P43" s="571">
        <v>0.86280351890003903</v>
      </c>
      <c r="Q43" s="621"/>
      <c r="R43" s="16"/>
      <c r="S43" s="16"/>
      <c r="T43" s="16"/>
      <c r="U43" s="16"/>
      <c r="V43" s="16"/>
      <c r="W43" s="16"/>
      <c r="X43" s="16"/>
      <c r="Y43" s="16"/>
      <c r="Z43" s="16"/>
      <c r="AA43" s="16"/>
      <c r="AB43" s="16"/>
    </row>
    <row r="44" spans="1:46" s="280" customFormat="1" ht="18">
      <c r="A44" s="290" t="s">
        <v>1963</v>
      </c>
      <c r="B44" s="290" t="s">
        <v>218</v>
      </c>
      <c r="C44" s="290" t="s">
        <v>389</v>
      </c>
      <c r="D44" s="330" t="s">
        <v>1964</v>
      </c>
      <c r="E44" s="330" t="s">
        <v>1965</v>
      </c>
      <c r="F44" s="286" t="s">
        <v>390</v>
      </c>
      <c r="G44" s="611">
        <v>2.5085056526716597E-4</v>
      </c>
      <c r="H44" s="571">
        <v>6.1451612903225801</v>
      </c>
      <c r="I44" s="571">
        <v>8.6999999999999993</v>
      </c>
      <c r="J44" s="572">
        <v>-1.4982663609803899</v>
      </c>
      <c r="K44" s="574">
        <v>0.372556616276705</v>
      </c>
      <c r="L44" s="573" t="s">
        <v>1962</v>
      </c>
      <c r="M44" s="571">
        <v>1.0122822164146501</v>
      </c>
      <c r="N44" s="571">
        <v>-2.5548387096774201</v>
      </c>
      <c r="O44" s="571">
        <v>-23.609958916967202</v>
      </c>
      <c r="P44" s="571">
        <v>18.500281497612299</v>
      </c>
      <c r="Q44" s="621"/>
      <c r="R44" s="16"/>
      <c r="S44" s="16"/>
      <c r="T44" s="16"/>
      <c r="U44" s="16"/>
      <c r="V44" s="16"/>
      <c r="W44" s="16"/>
      <c r="X44" s="16"/>
      <c r="Y44" s="16"/>
      <c r="Z44" s="16"/>
      <c r="AA44" s="16"/>
      <c r="AB44" s="16"/>
    </row>
    <row r="45" spans="1:46" s="280" customFormat="1" ht="18">
      <c r="A45" s="290" t="s">
        <v>456</v>
      </c>
      <c r="B45" s="290" t="s">
        <v>218</v>
      </c>
      <c r="C45" s="290" t="s">
        <v>221</v>
      </c>
      <c r="D45" s="330" t="s">
        <v>222</v>
      </c>
      <c r="E45" s="330" t="s">
        <v>151</v>
      </c>
      <c r="F45" s="286" t="s">
        <v>489</v>
      </c>
      <c r="G45" s="565">
        <v>0.11964756131804601</v>
      </c>
      <c r="H45" s="571">
        <v>6.4543859649122801</v>
      </c>
      <c r="I45" s="571">
        <v>7.0750000000000002</v>
      </c>
      <c r="J45" s="572">
        <v>-1.04869982420782</v>
      </c>
      <c r="K45" s="574">
        <v>0.31455667849771002</v>
      </c>
      <c r="L45" s="573" t="s">
        <v>1962</v>
      </c>
      <c r="M45" s="571">
        <v>12.256168869669301</v>
      </c>
      <c r="N45" s="571">
        <v>-0.62061403508771895</v>
      </c>
      <c r="O45" s="571">
        <v>-1.90703922580385</v>
      </c>
      <c r="P45" s="571">
        <v>0.66581115562840898</v>
      </c>
      <c r="Q45" s="621"/>
      <c r="R45" s="16"/>
      <c r="S45" s="16"/>
      <c r="T45" s="16"/>
      <c r="U45" s="16"/>
      <c r="V45" s="16"/>
      <c r="W45" s="16"/>
      <c r="X45" s="16"/>
      <c r="Y45" s="16"/>
      <c r="Z45" s="16"/>
      <c r="AA45" s="16"/>
      <c r="AB45" s="16"/>
    </row>
    <row r="46" spans="1:46" s="280" customFormat="1" ht="18">
      <c r="A46" s="290" t="s">
        <v>456</v>
      </c>
      <c r="B46" s="290" t="s">
        <v>273</v>
      </c>
      <c r="C46" s="290" t="s">
        <v>74</v>
      </c>
      <c r="D46" s="330" t="s">
        <v>266</v>
      </c>
      <c r="E46" s="330" t="s">
        <v>499</v>
      </c>
      <c r="F46" s="286" t="s">
        <v>1966</v>
      </c>
      <c r="G46" s="505" t="s">
        <v>205</v>
      </c>
      <c r="H46" s="506" t="s">
        <v>205</v>
      </c>
      <c r="I46" s="506" t="s">
        <v>205</v>
      </c>
      <c r="J46" s="507" t="s">
        <v>205</v>
      </c>
      <c r="K46" s="505" t="s">
        <v>205</v>
      </c>
      <c r="L46" s="506" t="s">
        <v>205</v>
      </c>
      <c r="M46" s="506" t="s">
        <v>205</v>
      </c>
      <c r="N46" s="506" t="s">
        <v>205</v>
      </c>
      <c r="O46" s="506" t="s">
        <v>205</v>
      </c>
      <c r="P46" s="506" t="s">
        <v>205</v>
      </c>
      <c r="Q46" s="621"/>
      <c r="R46" s="16"/>
      <c r="S46" s="16"/>
      <c r="T46" s="16"/>
      <c r="U46" s="16"/>
      <c r="V46" s="16"/>
      <c r="W46" s="16"/>
      <c r="X46" s="16"/>
      <c r="Y46" s="16"/>
      <c r="Z46" s="16"/>
      <c r="AA46" s="16"/>
      <c r="AB46" s="16"/>
    </row>
    <row r="47" spans="1:46" s="280" customFormat="1" ht="18">
      <c r="A47" s="290" t="s">
        <v>456</v>
      </c>
      <c r="B47" s="290" t="s">
        <v>273</v>
      </c>
      <c r="C47" s="290" t="s">
        <v>74</v>
      </c>
      <c r="D47" s="330" t="s">
        <v>266</v>
      </c>
      <c r="E47" s="330" t="s">
        <v>267</v>
      </c>
      <c r="F47" s="286" t="s">
        <v>1967</v>
      </c>
      <c r="G47" s="565">
        <v>0.74308908838865995</v>
      </c>
      <c r="H47" s="571">
        <v>9.3521739130434796</v>
      </c>
      <c r="I47" s="571">
        <v>9.64</v>
      </c>
      <c r="J47" s="572">
        <v>-0.35787422836048099</v>
      </c>
      <c r="K47" s="574">
        <v>0.73193274497279304</v>
      </c>
      <c r="L47" s="573" t="s">
        <v>1962</v>
      </c>
      <c r="M47" s="571">
        <v>6.4078744067226596</v>
      </c>
      <c r="N47" s="571">
        <v>-0.28782608695652301</v>
      </c>
      <c r="O47" s="571">
        <v>-2.2258247052288902</v>
      </c>
      <c r="P47" s="571">
        <v>1.65017253131585</v>
      </c>
      <c r="Q47" s="621"/>
      <c r="R47" s="16"/>
      <c r="S47" s="16"/>
      <c r="T47" s="16"/>
      <c r="U47" s="16"/>
      <c r="V47" s="16"/>
      <c r="W47" s="16"/>
      <c r="X47" s="16"/>
      <c r="Y47" s="16"/>
      <c r="Z47" s="16"/>
      <c r="AA47" s="16"/>
      <c r="AB47" s="16"/>
    </row>
    <row r="48" spans="1:46" s="280" customFormat="1" ht="18">
      <c r="A48" s="290" t="s">
        <v>456</v>
      </c>
      <c r="B48" s="290" t="s">
        <v>273</v>
      </c>
      <c r="C48" s="290" t="s">
        <v>74</v>
      </c>
      <c r="D48" s="330" t="s">
        <v>266</v>
      </c>
      <c r="E48" s="330" t="s">
        <v>503</v>
      </c>
      <c r="F48" s="286" t="s">
        <v>1968</v>
      </c>
      <c r="G48" s="505" t="s">
        <v>205</v>
      </c>
      <c r="H48" s="506" t="s">
        <v>205</v>
      </c>
      <c r="I48" s="506" t="s">
        <v>205</v>
      </c>
      <c r="J48" s="507" t="s">
        <v>205</v>
      </c>
      <c r="K48" s="505" t="s">
        <v>205</v>
      </c>
      <c r="L48" s="506" t="s">
        <v>205</v>
      </c>
      <c r="M48" s="506" t="s">
        <v>205</v>
      </c>
      <c r="N48" s="506" t="s">
        <v>205</v>
      </c>
      <c r="O48" s="506" t="s">
        <v>205</v>
      </c>
      <c r="P48" s="506" t="s">
        <v>205</v>
      </c>
      <c r="Q48" s="621"/>
      <c r="R48" s="16"/>
      <c r="S48" s="16"/>
      <c r="T48" s="16"/>
      <c r="U48" s="16"/>
      <c r="V48" s="16"/>
      <c r="W48" s="16"/>
      <c r="X48" s="16"/>
      <c r="Y48" s="16"/>
      <c r="Z48" s="16"/>
      <c r="AA48" s="16"/>
      <c r="AB48" s="16"/>
    </row>
    <row r="49" spans="1:36" s="280" customFormat="1" ht="18">
      <c r="A49" s="290" t="s">
        <v>456</v>
      </c>
      <c r="B49" s="290" t="s">
        <v>273</v>
      </c>
      <c r="C49" s="290" t="s">
        <v>74</v>
      </c>
      <c r="D49" s="330" t="s">
        <v>266</v>
      </c>
      <c r="E49" s="330" t="s">
        <v>505</v>
      </c>
      <c r="F49" s="286" t="s">
        <v>506</v>
      </c>
      <c r="G49" s="565">
        <v>0.13803189193712001</v>
      </c>
      <c r="H49" s="571">
        <v>9.8000000000000007</v>
      </c>
      <c r="I49" s="571">
        <v>11.766666666666699</v>
      </c>
      <c r="J49" s="572">
        <v>-1.8484946619715801</v>
      </c>
      <c r="K49" s="574">
        <v>0.12656025925247</v>
      </c>
      <c r="L49" s="509" t="s">
        <v>1962</v>
      </c>
      <c r="M49" s="571">
        <v>4.7725884677564201</v>
      </c>
      <c r="N49" s="571">
        <v>-1.9666666666666699</v>
      </c>
      <c r="O49" s="571">
        <v>-4.74124789082558</v>
      </c>
      <c r="P49" s="571">
        <v>0.80791455749224905</v>
      </c>
      <c r="Q49" s="621"/>
      <c r="R49" s="16"/>
      <c r="S49" s="16"/>
      <c r="T49" s="16"/>
      <c r="U49" s="16"/>
      <c r="V49" s="16"/>
      <c r="W49" s="16"/>
      <c r="X49" s="16"/>
      <c r="Y49" s="16"/>
      <c r="Z49" s="16"/>
      <c r="AA49" s="16"/>
      <c r="AB49" s="16"/>
    </row>
    <row r="50" spans="1:36" s="280" customFormat="1" ht="18">
      <c r="A50" s="290" t="s">
        <v>1969</v>
      </c>
      <c r="B50" s="290" t="s">
        <v>273</v>
      </c>
      <c r="C50" s="290" t="s">
        <v>74</v>
      </c>
      <c r="D50" s="330" t="s">
        <v>266</v>
      </c>
      <c r="E50" s="330" t="s">
        <v>151</v>
      </c>
      <c r="F50" s="286" t="s">
        <v>1970</v>
      </c>
      <c r="G50" s="565">
        <v>0.82556322555808404</v>
      </c>
      <c r="H50" s="571">
        <v>9.07368421052632</v>
      </c>
      <c r="I50" s="571">
        <v>8.8000000000000007</v>
      </c>
      <c r="J50" s="572">
        <v>0.127431206042004</v>
      </c>
      <c r="K50" s="574">
        <v>0.90959429543452897</v>
      </c>
      <c r="L50" s="509" t="s">
        <v>1962</v>
      </c>
      <c r="M50" s="571">
        <v>2.1357635278090901</v>
      </c>
      <c r="N50" s="571">
        <v>0.27368421052631597</v>
      </c>
      <c r="O50" s="571">
        <v>-8.4264298611294599</v>
      </c>
      <c r="P50" s="571">
        <v>8.9737982821820896</v>
      </c>
      <c r="Q50" s="621"/>
      <c r="R50" s="16"/>
      <c r="S50" s="16"/>
      <c r="T50" s="16"/>
      <c r="U50" s="16"/>
      <c r="V50" s="16"/>
      <c r="W50" s="16"/>
      <c r="X50" s="16"/>
      <c r="Y50" s="16"/>
      <c r="Z50" s="16"/>
      <c r="AA50" s="16"/>
      <c r="AB50" s="16"/>
    </row>
    <row r="51" spans="1:36" s="280" customFormat="1" ht="18">
      <c r="A51" s="290" t="s">
        <v>456</v>
      </c>
      <c r="B51" s="290" t="s">
        <v>273</v>
      </c>
      <c r="C51" s="290" t="s">
        <v>76</v>
      </c>
      <c r="D51" s="330" t="s">
        <v>344</v>
      </c>
      <c r="E51" s="330" t="s">
        <v>345</v>
      </c>
      <c r="F51" s="286" t="s">
        <v>522</v>
      </c>
      <c r="G51" s="565">
        <v>1.3350021657573599E-3</v>
      </c>
      <c r="H51" s="571">
        <v>9.1199999999999992</v>
      </c>
      <c r="I51" s="571">
        <v>6.82</v>
      </c>
      <c r="J51" s="572">
        <v>3.88143043006133</v>
      </c>
      <c r="K51" s="662">
        <v>5.7135786592540398E-3</v>
      </c>
      <c r="L51" s="573" t="s">
        <v>1962</v>
      </c>
      <c r="M51" s="571">
        <v>7.2042284310943998</v>
      </c>
      <c r="N51" s="571">
        <v>2.2999999999999998</v>
      </c>
      <c r="O51" s="571">
        <v>0.90681853959563596</v>
      </c>
      <c r="P51" s="492">
        <v>3.6931814599999999</v>
      </c>
      <c r="Q51" s="621"/>
      <c r="R51" s="16"/>
      <c r="S51" s="16"/>
      <c r="T51" s="16"/>
      <c r="U51" s="16"/>
      <c r="V51" s="16"/>
      <c r="W51" s="16"/>
      <c r="X51" s="16"/>
      <c r="Y51" s="16"/>
      <c r="Z51" s="16"/>
      <c r="AA51" s="16"/>
      <c r="AB51" s="16"/>
    </row>
    <row r="52" spans="1:36" s="280" customFormat="1" ht="18">
      <c r="A52" s="290" t="s">
        <v>456</v>
      </c>
      <c r="B52" s="290" t="s">
        <v>273</v>
      </c>
      <c r="C52" s="290" t="s">
        <v>76</v>
      </c>
      <c r="D52" s="330" t="s">
        <v>524</v>
      </c>
      <c r="E52" s="330" t="s">
        <v>527</v>
      </c>
      <c r="F52" s="286" t="s">
        <v>528</v>
      </c>
      <c r="G52" s="574">
        <v>7.9499558475562199E-2</v>
      </c>
      <c r="H52" s="571">
        <v>13.125</v>
      </c>
      <c r="I52" s="571">
        <v>12.1</v>
      </c>
      <c r="J52" s="572">
        <v>1.9291892643574899</v>
      </c>
      <c r="K52" s="574">
        <v>0.16904646113761501</v>
      </c>
      <c r="L52" s="573" t="s">
        <v>1962</v>
      </c>
      <c r="M52" s="571">
        <v>2.4619240559512399</v>
      </c>
      <c r="N52" s="571">
        <v>1.0249999999999999</v>
      </c>
      <c r="O52" s="571">
        <v>-0.89543600142344404</v>
      </c>
      <c r="P52" s="571">
        <v>2.94543600142344</v>
      </c>
      <c r="Q52" s="621"/>
      <c r="R52" s="16"/>
      <c r="S52" s="16"/>
      <c r="T52" s="16"/>
      <c r="U52" s="16"/>
      <c r="V52" s="16"/>
      <c r="W52" s="16"/>
      <c r="X52" s="16"/>
      <c r="Y52" s="16"/>
      <c r="Z52" s="16"/>
      <c r="AA52" s="16"/>
      <c r="AB52" s="16"/>
    </row>
    <row r="53" spans="1:36" s="280" customFormat="1" ht="18">
      <c r="A53" s="290" t="s">
        <v>456</v>
      </c>
      <c r="B53" s="290" t="s">
        <v>273</v>
      </c>
      <c r="C53" s="290" t="s">
        <v>534</v>
      </c>
      <c r="D53" s="330" t="s">
        <v>539</v>
      </c>
      <c r="E53" s="330" t="s">
        <v>540</v>
      </c>
      <c r="F53" s="286" t="s">
        <v>541</v>
      </c>
      <c r="G53" s="574">
        <v>0.95419381666615899</v>
      </c>
      <c r="H53" s="571">
        <v>9.4714285714285698</v>
      </c>
      <c r="I53" s="571">
        <v>9.5500000000000007</v>
      </c>
      <c r="J53" s="572">
        <v>-5.2472850426268702E-2</v>
      </c>
      <c r="K53" s="574">
        <v>0.96036625018114197</v>
      </c>
      <c r="L53" s="573" t="s">
        <v>1962</v>
      </c>
      <c r="M53" s="571">
        <v>4.5721968986292501</v>
      </c>
      <c r="N53" s="571">
        <v>-7.8571428571429194E-2</v>
      </c>
      <c r="O53" s="571">
        <v>-4.0385796630577397</v>
      </c>
      <c r="P53" s="571">
        <v>3.8814368059148801</v>
      </c>
      <c r="Q53" s="621"/>
      <c r="R53" s="16"/>
      <c r="S53" s="16"/>
      <c r="T53" s="16"/>
      <c r="U53" s="16"/>
      <c r="V53" s="16"/>
      <c r="W53" s="16"/>
      <c r="X53" s="16"/>
      <c r="Y53" s="16"/>
      <c r="Z53" s="16"/>
      <c r="AA53" s="16"/>
      <c r="AB53" s="16"/>
    </row>
    <row r="54" spans="1:36" s="280" customFormat="1" ht="18">
      <c r="A54" s="290" t="s">
        <v>456</v>
      </c>
      <c r="B54" s="290" t="s">
        <v>273</v>
      </c>
      <c r="C54" s="290" t="s">
        <v>534</v>
      </c>
      <c r="D54" s="330" t="s">
        <v>544</v>
      </c>
      <c r="E54" s="330" t="s">
        <v>151</v>
      </c>
      <c r="F54" s="286" t="s">
        <v>1971</v>
      </c>
      <c r="G54" s="574">
        <v>0.33037141105317303</v>
      </c>
      <c r="H54" s="571">
        <v>11</v>
      </c>
      <c r="I54" s="571">
        <v>9.93</v>
      </c>
      <c r="J54" s="572">
        <v>0.90007115002073801</v>
      </c>
      <c r="K54" s="574">
        <v>0.41354034096705</v>
      </c>
      <c r="L54" s="573" t="s">
        <v>1962</v>
      </c>
      <c r="M54" s="571">
        <v>4.5118602051972498</v>
      </c>
      <c r="N54" s="571">
        <v>1.07</v>
      </c>
      <c r="O54" s="571">
        <v>-2.0880660525657602</v>
      </c>
      <c r="P54" s="571">
        <v>4.2280660525657598</v>
      </c>
      <c r="Q54" s="621"/>
      <c r="R54" s="16"/>
      <c r="S54" s="16"/>
      <c r="T54" s="16"/>
      <c r="U54" s="16"/>
      <c r="V54" s="16"/>
      <c r="W54" s="16"/>
      <c r="X54" s="16"/>
      <c r="Y54" s="16"/>
      <c r="Z54" s="16"/>
      <c r="AA54" s="16"/>
      <c r="AB54" s="16"/>
    </row>
    <row r="55" spans="1:36" s="280" customFormat="1" ht="18">
      <c r="A55" s="290" t="s">
        <v>456</v>
      </c>
      <c r="B55" s="290" t="s">
        <v>273</v>
      </c>
      <c r="C55" s="290" t="s">
        <v>551</v>
      </c>
      <c r="D55" s="330" t="s">
        <v>117</v>
      </c>
      <c r="E55" s="330" t="s">
        <v>118</v>
      </c>
      <c r="F55" s="286" t="s">
        <v>556</v>
      </c>
      <c r="G55" s="574">
        <v>0.999999999999999</v>
      </c>
      <c r="H55" s="571">
        <v>8.6999999999999993</v>
      </c>
      <c r="I55" s="571">
        <v>8.6999999999999993</v>
      </c>
      <c r="J55" s="572">
        <v>0</v>
      </c>
      <c r="K55" s="574">
        <v>1</v>
      </c>
      <c r="L55" s="573" t="s">
        <v>1962</v>
      </c>
      <c r="M55" s="571">
        <v>5.5897280966767404</v>
      </c>
      <c r="N55" s="571">
        <v>0</v>
      </c>
      <c r="O55" s="571">
        <v>-2.0223956447821099</v>
      </c>
      <c r="P55" s="571">
        <v>2.0223956447821099</v>
      </c>
      <c r="Q55" s="621"/>
      <c r="R55" s="16"/>
      <c r="S55" s="16"/>
      <c r="T55" s="16"/>
      <c r="U55" s="16"/>
      <c r="V55" s="16"/>
      <c r="W55" s="16"/>
      <c r="X55" s="16"/>
      <c r="Y55" s="16"/>
      <c r="Z55" s="16"/>
      <c r="AA55" s="16"/>
      <c r="AB55" s="16"/>
    </row>
    <row r="56" spans="1:36" s="280" customFormat="1" ht="18">
      <c r="A56" s="290" t="s">
        <v>456</v>
      </c>
      <c r="B56" s="290" t="s">
        <v>273</v>
      </c>
      <c r="C56" s="290" t="s">
        <v>80</v>
      </c>
      <c r="D56" s="330" t="s">
        <v>132</v>
      </c>
      <c r="E56" s="330" t="s">
        <v>133</v>
      </c>
      <c r="F56" s="286" t="s">
        <v>561</v>
      </c>
      <c r="G56" s="574">
        <v>0.96265224213193201</v>
      </c>
      <c r="H56" s="571">
        <v>5.7333333333333298</v>
      </c>
      <c r="I56" s="571">
        <v>5.78</v>
      </c>
      <c r="J56" s="572">
        <v>-4.5408616296179101E-2</v>
      </c>
      <c r="K56" s="574">
        <v>0.96531302118980999</v>
      </c>
      <c r="L56" s="573" t="s">
        <v>1962</v>
      </c>
      <c r="M56" s="571">
        <v>5.7666039107399998</v>
      </c>
      <c r="N56" s="571">
        <v>-4.6666666666666003E-2</v>
      </c>
      <c r="O56" s="571">
        <v>-2.5862493592526001</v>
      </c>
      <c r="P56" s="571">
        <v>2.4929160259192602</v>
      </c>
      <c r="Q56" s="621"/>
      <c r="R56" s="16"/>
      <c r="S56" s="16"/>
      <c r="T56" s="16"/>
      <c r="U56" s="16"/>
      <c r="V56" s="16"/>
      <c r="W56" s="16"/>
      <c r="X56" s="16"/>
      <c r="Y56" s="16"/>
      <c r="Z56" s="16"/>
      <c r="AA56" s="16"/>
      <c r="AB56" s="16"/>
    </row>
    <row r="57" spans="1:36" s="280" customFormat="1" ht="18">
      <c r="A57" s="290" t="s">
        <v>456</v>
      </c>
      <c r="B57" s="290" t="s">
        <v>579</v>
      </c>
      <c r="C57" s="290" t="s">
        <v>580</v>
      </c>
      <c r="D57" s="330" t="s">
        <v>581</v>
      </c>
      <c r="E57" s="330" t="s">
        <v>151</v>
      </c>
      <c r="F57" s="286" t="s">
        <v>583</v>
      </c>
      <c r="G57" s="574">
        <v>8.0706633273765205E-2</v>
      </c>
      <c r="H57" s="571">
        <v>5.25204081632653</v>
      </c>
      <c r="I57" s="571">
        <v>5.8210526315789499</v>
      </c>
      <c r="J57" s="572">
        <v>-1.44021938193972</v>
      </c>
      <c r="K57" s="574">
        <v>0.15623652517033801</v>
      </c>
      <c r="L57" s="573" t="s">
        <v>1962</v>
      </c>
      <c r="M57" s="571">
        <v>48.448826663539897</v>
      </c>
      <c r="N57" s="571">
        <v>-0.56901181525241595</v>
      </c>
      <c r="O57" s="571">
        <v>-1.36319720442834</v>
      </c>
      <c r="P57" s="571">
        <v>0.22517357392351101</v>
      </c>
      <c r="Q57" s="621"/>
      <c r="R57" s="16"/>
      <c r="S57" s="16"/>
      <c r="T57" s="16"/>
      <c r="U57" s="16"/>
      <c r="V57" s="16"/>
      <c r="W57" s="16"/>
      <c r="X57" s="16"/>
      <c r="Y57" s="16"/>
      <c r="Z57" s="16"/>
      <c r="AA57" s="16"/>
      <c r="AB57" s="16"/>
    </row>
    <row r="58" spans="1:36" s="280" customFormat="1" ht="18">
      <c r="A58" s="290" t="s">
        <v>456</v>
      </c>
      <c r="B58" s="290" t="s">
        <v>579</v>
      </c>
      <c r="C58" s="290" t="s">
        <v>580</v>
      </c>
      <c r="D58" s="330" t="s">
        <v>585</v>
      </c>
      <c r="E58" s="330" t="s">
        <v>151</v>
      </c>
      <c r="F58" s="286" t="s">
        <v>586</v>
      </c>
      <c r="G58" s="626">
        <v>7.2784940782222299E-6</v>
      </c>
      <c r="H58" s="571">
        <v>5.3170000000000002</v>
      </c>
      <c r="I58" s="571">
        <v>4.6554545454545497</v>
      </c>
      <c r="J58" s="572">
        <v>4.1189470525928504</v>
      </c>
      <c r="K58" s="662">
        <v>5.9629519232852001E-5</v>
      </c>
      <c r="L58" s="573" t="s">
        <v>228</v>
      </c>
      <c r="M58" s="571">
        <v>167.85802469017099</v>
      </c>
      <c r="N58" s="571">
        <v>0.66154545454545499</v>
      </c>
      <c r="O58" s="571">
        <v>0.34446896949067601</v>
      </c>
      <c r="P58" s="571">
        <v>0.97862193960023303</v>
      </c>
      <c r="Q58" s="621"/>
      <c r="R58" s="16"/>
      <c r="S58" s="16"/>
      <c r="T58" s="16"/>
      <c r="U58" s="16"/>
      <c r="V58" s="16"/>
      <c r="W58" s="16"/>
      <c r="X58" s="16"/>
      <c r="Y58" s="16"/>
      <c r="Z58" s="16"/>
      <c r="AA58" s="16"/>
      <c r="AB58" s="16"/>
    </row>
    <row r="59" spans="1:36" s="280" customFormat="1" ht="19">
      <c r="A59" s="256" t="s">
        <v>456</v>
      </c>
      <c r="B59" s="256" t="s">
        <v>218</v>
      </c>
      <c r="C59" s="256" t="s">
        <v>187</v>
      </c>
      <c r="D59" s="257" t="s">
        <v>494</v>
      </c>
      <c r="E59" s="257" t="s">
        <v>495</v>
      </c>
      <c r="F59" s="258" t="s">
        <v>496</v>
      </c>
      <c r="G59" s="574">
        <v>0.207406076098783</v>
      </c>
      <c r="H59" s="571">
        <v>6.45</v>
      </c>
      <c r="I59" s="571">
        <v>7.15</v>
      </c>
      <c r="J59" s="572">
        <v>-1.8382900600361201</v>
      </c>
      <c r="K59" s="574">
        <v>0.26361621571292398</v>
      </c>
      <c r="L59" s="573" t="s">
        <v>1962</v>
      </c>
      <c r="M59" s="571">
        <v>1.35535858178888</v>
      </c>
      <c r="N59" s="571">
        <v>-0.70000000000000095</v>
      </c>
      <c r="O59" s="571">
        <v>-3.3668863440193801</v>
      </c>
      <c r="P59" s="571">
        <v>1.96688634401938</v>
      </c>
      <c r="Q59" s="621"/>
      <c r="R59" s="16"/>
      <c r="S59" s="16"/>
      <c r="T59" s="16"/>
      <c r="U59" s="16"/>
      <c r="V59" s="16"/>
      <c r="W59" s="16"/>
      <c r="X59" s="16"/>
      <c r="Y59" s="16"/>
      <c r="Z59" s="16"/>
      <c r="AA59" s="16"/>
      <c r="AB59" s="16"/>
      <c r="AC59" s="16"/>
      <c r="AD59" s="16"/>
      <c r="AE59" s="16"/>
      <c r="AF59" s="16"/>
      <c r="AG59" s="16"/>
      <c r="AH59" s="16"/>
      <c r="AI59" s="16"/>
      <c r="AJ59" s="16"/>
    </row>
    <row r="60" spans="1:36">
      <c r="Q60" s="564"/>
      <c r="R60" s="16"/>
      <c r="S60" s="16"/>
      <c r="T60" s="16"/>
      <c r="U60" s="16"/>
      <c r="V60" s="16"/>
      <c r="W60" s="16"/>
      <c r="X60" s="16"/>
      <c r="Y60" s="16"/>
      <c r="Z60" s="16"/>
      <c r="AA60" s="16"/>
      <c r="AB60" s="16"/>
    </row>
    <row r="61" spans="1:36" s="615" customFormat="1" ht="27.75" customHeight="1">
      <c r="A61" s="410"/>
      <c r="B61" s="410"/>
      <c r="C61" s="410"/>
      <c r="D61" s="387"/>
      <c r="E61" s="387"/>
      <c r="F61" s="496"/>
      <c r="G61" s="686" t="s">
        <v>1980</v>
      </c>
      <c r="H61" s="686"/>
      <c r="I61" s="686"/>
      <c r="J61" s="686"/>
      <c r="K61" s="686"/>
      <c r="L61" s="686"/>
      <c r="M61" s="686"/>
      <c r="N61" s="686"/>
      <c r="O61" s="686"/>
      <c r="P61" s="686"/>
      <c r="Q61" s="564"/>
      <c r="R61" s="16"/>
      <c r="S61" s="16"/>
      <c r="T61" s="16"/>
      <c r="U61" s="16"/>
      <c r="V61" s="16"/>
      <c r="W61" s="16"/>
      <c r="X61" s="16"/>
      <c r="Y61" s="16"/>
      <c r="Z61" s="16"/>
      <c r="AA61" s="16"/>
      <c r="AB61" s="16"/>
    </row>
    <row r="62" spans="1:36" s="616" customFormat="1" ht="46" customHeight="1">
      <c r="A62" s="490" t="s">
        <v>429</v>
      </c>
      <c r="B62" s="490" t="s">
        <v>430</v>
      </c>
      <c r="C62" s="490" t="s">
        <v>431</v>
      </c>
      <c r="D62" s="491" t="s">
        <v>432</v>
      </c>
      <c r="E62" s="491" t="s">
        <v>433</v>
      </c>
      <c r="F62" s="497" t="s">
        <v>434</v>
      </c>
      <c r="G62" s="498" t="s">
        <v>1955</v>
      </c>
      <c r="H62" s="498" t="s">
        <v>1981</v>
      </c>
      <c r="I62" s="498" t="s">
        <v>1956</v>
      </c>
      <c r="J62" s="500" t="s">
        <v>1948</v>
      </c>
      <c r="K62" s="501" t="s">
        <v>1941</v>
      </c>
      <c r="L62" s="508" t="s">
        <v>1982</v>
      </c>
      <c r="M62" s="609" t="s">
        <v>1949</v>
      </c>
      <c r="N62" s="606" t="s">
        <v>1959</v>
      </c>
      <c r="O62" s="606" t="s">
        <v>1960</v>
      </c>
      <c r="P62" s="606" t="s">
        <v>1961</v>
      </c>
      <c r="Q62" s="624"/>
    </row>
    <row r="63" spans="1:36" s="280" customFormat="1" ht="18">
      <c r="A63" s="290" t="s">
        <v>168</v>
      </c>
      <c r="B63" s="290" t="s">
        <v>218</v>
      </c>
      <c r="C63" s="290" t="s">
        <v>193</v>
      </c>
      <c r="D63" s="330" t="s">
        <v>194</v>
      </c>
      <c r="E63" s="330" t="s">
        <v>195</v>
      </c>
      <c r="F63" s="286" t="s">
        <v>457</v>
      </c>
      <c r="G63" s="505" t="s">
        <v>205</v>
      </c>
      <c r="H63" s="506" t="s">
        <v>205</v>
      </c>
      <c r="I63" s="506" t="s">
        <v>205</v>
      </c>
      <c r="J63" s="507" t="s">
        <v>205</v>
      </c>
      <c r="K63" s="505" t="s">
        <v>205</v>
      </c>
      <c r="L63" s="506" t="s">
        <v>205</v>
      </c>
      <c r="M63" s="506" t="s">
        <v>205</v>
      </c>
      <c r="N63" s="506" t="s">
        <v>205</v>
      </c>
      <c r="O63" s="506" t="s">
        <v>205</v>
      </c>
      <c r="P63" s="506" t="s">
        <v>205</v>
      </c>
      <c r="Q63" s="510"/>
    </row>
    <row r="64" spans="1:36" s="280" customFormat="1" ht="18">
      <c r="A64" s="290" t="s">
        <v>1963</v>
      </c>
      <c r="B64" s="290" t="s">
        <v>218</v>
      </c>
      <c r="C64" s="290" t="s">
        <v>389</v>
      </c>
      <c r="D64" s="330" t="s">
        <v>1964</v>
      </c>
      <c r="E64" s="330" t="s">
        <v>1965</v>
      </c>
      <c r="F64" s="286" t="s">
        <v>390</v>
      </c>
      <c r="G64" s="505" t="s">
        <v>205</v>
      </c>
      <c r="H64" s="506" t="s">
        <v>205</v>
      </c>
      <c r="I64" s="506" t="s">
        <v>205</v>
      </c>
      <c r="J64" s="507" t="s">
        <v>205</v>
      </c>
      <c r="K64" s="505" t="s">
        <v>205</v>
      </c>
      <c r="L64" s="506" t="s">
        <v>205</v>
      </c>
      <c r="M64" s="506" t="s">
        <v>205</v>
      </c>
      <c r="N64" s="506" t="s">
        <v>205</v>
      </c>
      <c r="O64" s="506" t="s">
        <v>205</v>
      </c>
      <c r="P64" s="506" t="s">
        <v>205</v>
      </c>
      <c r="Q64" s="510"/>
    </row>
    <row r="65" spans="1:17" s="280" customFormat="1" ht="18">
      <c r="A65" s="290" t="s">
        <v>456</v>
      </c>
      <c r="B65" s="290" t="s">
        <v>218</v>
      </c>
      <c r="C65" s="290" t="s">
        <v>221</v>
      </c>
      <c r="D65" s="330" t="s">
        <v>222</v>
      </c>
      <c r="E65" s="330" t="s">
        <v>151</v>
      </c>
      <c r="F65" s="286" t="s">
        <v>489</v>
      </c>
      <c r="G65" s="505" t="s">
        <v>205</v>
      </c>
      <c r="H65" s="506" t="s">
        <v>205</v>
      </c>
      <c r="I65" s="506" t="s">
        <v>205</v>
      </c>
      <c r="J65" s="507" t="s">
        <v>205</v>
      </c>
      <c r="K65" s="505" t="s">
        <v>205</v>
      </c>
      <c r="L65" s="506" t="s">
        <v>205</v>
      </c>
      <c r="M65" s="506" t="s">
        <v>205</v>
      </c>
      <c r="N65" s="506" t="s">
        <v>205</v>
      </c>
      <c r="O65" s="506" t="s">
        <v>205</v>
      </c>
      <c r="P65" s="506" t="s">
        <v>205</v>
      </c>
      <c r="Q65" s="510"/>
    </row>
    <row r="66" spans="1:17" s="280" customFormat="1" ht="18">
      <c r="A66" s="290" t="s">
        <v>456</v>
      </c>
      <c r="B66" s="290" t="s">
        <v>273</v>
      </c>
      <c r="C66" s="290" t="s">
        <v>74</v>
      </c>
      <c r="D66" s="330" t="s">
        <v>266</v>
      </c>
      <c r="E66" s="330" t="s">
        <v>499</v>
      </c>
      <c r="F66" s="286" t="s">
        <v>1966</v>
      </c>
      <c r="G66" s="505" t="s">
        <v>205</v>
      </c>
      <c r="H66" s="506" t="s">
        <v>205</v>
      </c>
      <c r="I66" s="506" t="s">
        <v>205</v>
      </c>
      <c r="J66" s="507" t="s">
        <v>205</v>
      </c>
      <c r="K66" s="505" t="s">
        <v>205</v>
      </c>
      <c r="L66" s="506" t="s">
        <v>205</v>
      </c>
      <c r="M66" s="506" t="s">
        <v>205</v>
      </c>
      <c r="N66" s="506" t="s">
        <v>205</v>
      </c>
      <c r="O66" s="506" t="s">
        <v>205</v>
      </c>
      <c r="P66" s="506" t="s">
        <v>205</v>
      </c>
      <c r="Q66" s="510"/>
    </row>
    <row r="67" spans="1:17" s="280" customFormat="1" ht="18">
      <c r="A67" s="290" t="s">
        <v>456</v>
      </c>
      <c r="B67" s="290" t="s">
        <v>273</v>
      </c>
      <c r="C67" s="290" t="s">
        <v>74</v>
      </c>
      <c r="D67" s="330" t="s">
        <v>266</v>
      </c>
      <c r="E67" s="330" t="s">
        <v>267</v>
      </c>
      <c r="F67" s="286" t="s">
        <v>1967</v>
      </c>
      <c r="G67" s="505" t="s">
        <v>205</v>
      </c>
      <c r="H67" s="506" t="s">
        <v>205</v>
      </c>
      <c r="I67" s="506" t="s">
        <v>205</v>
      </c>
      <c r="J67" s="507" t="s">
        <v>205</v>
      </c>
      <c r="K67" s="505" t="s">
        <v>205</v>
      </c>
      <c r="L67" s="506" t="s">
        <v>205</v>
      </c>
      <c r="M67" s="506" t="s">
        <v>205</v>
      </c>
      <c r="N67" s="506" t="s">
        <v>205</v>
      </c>
      <c r="O67" s="506" t="s">
        <v>205</v>
      </c>
      <c r="P67" s="506" t="s">
        <v>205</v>
      </c>
      <c r="Q67" s="510"/>
    </row>
    <row r="68" spans="1:17" s="280" customFormat="1" ht="18">
      <c r="A68" s="290" t="s">
        <v>456</v>
      </c>
      <c r="B68" s="290" t="s">
        <v>273</v>
      </c>
      <c r="C68" s="290" t="s">
        <v>74</v>
      </c>
      <c r="D68" s="330" t="s">
        <v>266</v>
      </c>
      <c r="E68" s="330" t="s">
        <v>503</v>
      </c>
      <c r="F68" s="286" t="s">
        <v>1968</v>
      </c>
      <c r="G68" s="505" t="s">
        <v>205</v>
      </c>
      <c r="H68" s="506" t="s">
        <v>205</v>
      </c>
      <c r="I68" s="506" t="s">
        <v>205</v>
      </c>
      <c r="J68" s="507" t="s">
        <v>205</v>
      </c>
      <c r="K68" s="505" t="s">
        <v>205</v>
      </c>
      <c r="L68" s="506" t="s">
        <v>205</v>
      </c>
      <c r="M68" s="506" t="s">
        <v>205</v>
      </c>
      <c r="N68" s="506" t="s">
        <v>205</v>
      </c>
      <c r="O68" s="506" t="s">
        <v>205</v>
      </c>
      <c r="P68" s="506" t="s">
        <v>205</v>
      </c>
      <c r="Q68" s="510"/>
    </row>
    <row r="69" spans="1:17" s="280" customFormat="1" ht="18">
      <c r="A69" s="290" t="s">
        <v>456</v>
      </c>
      <c r="B69" s="290" t="s">
        <v>273</v>
      </c>
      <c r="C69" s="290" t="s">
        <v>74</v>
      </c>
      <c r="D69" s="330" t="s">
        <v>266</v>
      </c>
      <c r="E69" s="330" t="s">
        <v>505</v>
      </c>
      <c r="F69" s="286" t="s">
        <v>506</v>
      </c>
      <c r="G69" s="612">
        <v>2.2418630487979499E-4</v>
      </c>
      <c r="H69" s="492">
        <v>21.726551724137899</v>
      </c>
      <c r="I69" s="492">
        <v>28.024999999999999</v>
      </c>
      <c r="J69" s="266">
        <v>3.0418263548304698</v>
      </c>
      <c r="K69" s="503">
        <v>1.14900021566868E-2</v>
      </c>
      <c r="L69" s="504" t="s">
        <v>1962</v>
      </c>
      <c r="M69" s="492">
        <v>10.7478758258643</v>
      </c>
      <c r="N69" s="492">
        <v>6.2984482760000002</v>
      </c>
      <c r="O69" s="492">
        <v>1.7279801809999999</v>
      </c>
      <c r="P69" s="492">
        <v>10.868916370000001</v>
      </c>
      <c r="Q69" s="510"/>
    </row>
    <row r="70" spans="1:17" s="280" customFormat="1" ht="18">
      <c r="A70" s="290" t="s">
        <v>1969</v>
      </c>
      <c r="B70" s="290" t="s">
        <v>273</v>
      </c>
      <c r="C70" s="290" t="s">
        <v>74</v>
      </c>
      <c r="D70" s="330" t="s">
        <v>266</v>
      </c>
      <c r="E70" s="330" t="s">
        <v>151</v>
      </c>
      <c r="F70" s="286" t="s">
        <v>1970</v>
      </c>
      <c r="G70" s="505" t="s">
        <v>205</v>
      </c>
      <c r="H70" s="506" t="s">
        <v>205</v>
      </c>
      <c r="I70" s="506" t="s">
        <v>205</v>
      </c>
      <c r="J70" s="507" t="s">
        <v>205</v>
      </c>
      <c r="K70" s="505" t="s">
        <v>205</v>
      </c>
      <c r="L70" s="506" t="s">
        <v>205</v>
      </c>
      <c r="M70" s="506" t="s">
        <v>205</v>
      </c>
      <c r="N70" s="506" t="s">
        <v>205</v>
      </c>
      <c r="O70" s="506" t="s">
        <v>205</v>
      </c>
      <c r="P70" s="506" t="s">
        <v>205</v>
      </c>
      <c r="Q70" s="510"/>
    </row>
    <row r="71" spans="1:17" s="280" customFormat="1" ht="18">
      <c r="A71" s="290" t="s">
        <v>456</v>
      </c>
      <c r="B71" s="290" t="s">
        <v>273</v>
      </c>
      <c r="C71" s="290" t="s">
        <v>76</v>
      </c>
      <c r="D71" s="330" t="s">
        <v>344</v>
      </c>
      <c r="E71" s="330" t="s">
        <v>345</v>
      </c>
      <c r="F71" s="286" t="s">
        <v>522</v>
      </c>
      <c r="G71" s="503">
        <v>3.5266692851768103E-2</v>
      </c>
      <c r="H71" s="492">
        <v>11.668749999999999</v>
      </c>
      <c r="I71" s="492">
        <v>15.901111111111099</v>
      </c>
      <c r="J71" s="266">
        <v>1.7499984554603401</v>
      </c>
      <c r="K71" s="503">
        <v>0.11433012054705501</v>
      </c>
      <c r="L71" s="506" t="s">
        <v>1962</v>
      </c>
      <c r="M71" s="492">
        <v>8.9239467838681996</v>
      </c>
      <c r="N71" s="492">
        <v>4.2323611110000003</v>
      </c>
      <c r="O71" s="492">
        <v>-1.24576858</v>
      </c>
      <c r="P71" s="492">
        <v>9.7104908030000008</v>
      </c>
      <c r="Q71" s="510"/>
    </row>
    <row r="72" spans="1:17" s="280" customFormat="1" ht="18">
      <c r="A72" s="290" t="s">
        <v>456</v>
      </c>
      <c r="B72" s="290" t="s">
        <v>273</v>
      </c>
      <c r="C72" s="290" t="s">
        <v>76</v>
      </c>
      <c r="D72" s="330" t="s">
        <v>524</v>
      </c>
      <c r="E72" s="330" t="s">
        <v>527</v>
      </c>
      <c r="F72" s="286" t="s">
        <v>528</v>
      </c>
      <c r="G72" s="505" t="s">
        <v>205</v>
      </c>
      <c r="H72" s="506" t="s">
        <v>205</v>
      </c>
      <c r="I72" s="506" t="s">
        <v>205</v>
      </c>
      <c r="J72" s="507" t="s">
        <v>205</v>
      </c>
      <c r="K72" s="505" t="s">
        <v>205</v>
      </c>
      <c r="L72" s="506" t="s">
        <v>205</v>
      </c>
      <c r="M72" s="506" t="s">
        <v>205</v>
      </c>
      <c r="N72" s="506" t="s">
        <v>205</v>
      </c>
      <c r="O72" s="506" t="s">
        <v>205</v>
      </c>
      <c r="P72" s="506" t="s">
        <v>205</v>
      </c>
      <c r="Q72" s="510"/>
    </row>
    <row r="73" spans="1:17" s="280" customFormat="1" ht="18">
      <c r="A73" s="290" t="s">
        <v>456</v>
      </c>
      <c r="B73" s="290" t="s">
        <v>273</v>
      </c>
      <c r="C73" s="290" t="s">
        <v>534</v>
      </c>
      <c r="D73" s="330" t="s">
        <v>539</v>
      </c>
      <c r="E73" s="330" t="s">
        <v>540</v>
      </c>
      <c r="F73" s="286" t="s">
        <v>541</v>
      </c>
      <c r="G73" s="503">
        <v>0.12765867840491599</v>
      </c>
      <c r="H73" s="492">
        <v>1.5387500000000001</v>
      </c>
      <c r="I73" s="492">
        <v>1.98</v>
      </c>
      <c r="J73" s="266">
        <v>2.3816618737497199</v>
      </c>
      <c r="K73" s="503">
        <v>0.15518385489075601</v>
      </c>
      <c r="L73" s="506" t="s">
        <v>1962</v>
      </c>
      <c r="M73" s="492">
        <v>1.7839736171138301</v>
      </c>
      <c r="N73" s="492">
        <v>0.44124999999999998</v>
      </c>
      <c r="O73" s="492">
        <v>-0.45594111300000001</v>
      </c>
      <c r="P73" s="492">
        <v>1.338441113</v>
      </c>
      <c r="Q73" s="510"/>
    </row>
    <row r="74" spans="1:17" s="280" customFormat="1" ht="18">
      <c r="A74" s="290" t="s">
        <v>456</v>
      </c>
      <c r="B74" s="290" t="s">
        <v>273</v>
      </c>
      <c r="C74" s="290" t="s">
        <v>534</v>
      </c>
      <c r="D74" s="330" t="s">
        <v>544</v>
      </c>
      <c r="E74" s="330" t="s">
        <v>151</v>
      </c>
      <c r="F74" s="286" t="s">
        <v>1971</v>
      </c>
      <c r="G74" s="505" t="s">
        <v>205</v>
      </c>
      <c r="H74" s="506" t="s">
        <v>205</v>
      </c>
      <c r="I74" s="506" t="s">
        <v>205</v>
      </c>
      <c r="J74" s="507" t="s">
        <v>205</v>
      </c>
      <c r="K74" s="505" t="s">
        <v>205</v>
      </c>
      <c r="L74" s="506" t="s">
        <v>205</v>
      </c>
      <c r="M74" s="506" t="s">
        <v>205</v>
      </c>
      <c r="N74" s="506" t="s">
        <v>205</v>
      </c>
      <c r="O74" s="506" t="s">
        <v>205</v>
      </c>
      <c r="P74" s="506" t="s">
        <v>205</v>
      </c>
      <c r="Q74" s="510"/>
    </row>
    <row r="75" spans="1:17" s="280" customFormat="1" ht="18">
      <c r="A75" s="290" t="s">
        <v>456</v>
      </c>
      <c r="B75" s="290" t="s">
        <v>273</v>
      </c>
      <c r="C75" s="290" t="s">
        <v>551</v>
      </c>
      <c r="D75" s="330" t="s">
        <v>117</v>
      </c>
      <c r="E75" s="330" t="s">
        <v>118</v>
      </c>
      <c r="F75" s="286" t="s">
        <v>556</v>
      </c>
      <c r="G75" s="505" t="s">
        <v>205</v>
      </c>
      <c r="H75" s="506" t="s">
        <v>205</v>
      </c>
      <c r="I75" s="506" t="s">
        <v>205</v>
      </c>
      <c r="J75" s="507" t="s">
        <v>205</v>
      </c>
      <c r="K75" s="505" t="s">
        <v>205</v>
      </c>
      <c r="L75" s="506" t="s">
        <v>205</v>
      </c>
      <c r="M75" s="506" t="s">
        <v>205</v>
      </c>
      <c r="N75" s="506" t="s">
        <v>205</v>
      </c>
      <c r="O75" s="506" t="s">
        <v>205</v>
      </c>
      <c r="P75" s="506" t="s">
        <v>205</v>
      </c>
      <c r="Q75" s="510"/>
    </row>
    <row r="76" spans="1:17" s="280" customFormat="1" ht="18">
      <c r="A76" s="290" t="s">
        <v>456</v>
      </c>
      <c r="B76" s="290" t="s">
        <v>273</v>
      </c>
      <c r="C76" s="290" t="s">
        <v>80</v>
      </c>
      <c r="D76" s="330" t="s">
        <v>132</v>
      </c>
      <c r="E76" s="330" t="s">
        <v>133</v>
      </c>
      <c r="F76" s="286" t="s">
        <v>561</v>
      </c>
      <c r="G76" s="505" t="s">
        <v>205</v>
      </c>
      <c r="H76" s="506" t="s">
        <v>205</v>
      </c>
      <c r="I76" s="506" t="s">
        <v>205</v>
      </c>
      <c r="J76" s="507" t="s">
        <v>205</v>
      </c>
      <c r="K76" s="505" t="s">
        <v>205</v>
      </c>
      <c r="L76" s="506" t="s">
        <v>205</v>
      </c>
      <c r="M76" s="506" t="s">
        <v>205</v>
      </c>
      <c r="N76" s="506" t="s">
        <v>205</v>
      </c>
      <c r="O76" s="506" t="s">
        <v>205</v>
      </c>
      <c r="P76" s="506" t="s">
        <v>205</v>
      </c>
      <c r="Q76" s="510"/>
    </row>
    <row r="77" spans="1:17" s="280" customFormat="1" ht="18">
      <c r="A77" s="290" t="s">
        <v>456</v>
      </c>
      <c r="B77" s="290" t="s">
        <v>579</v>
      </c>
      <c r="C77" s="290" t="s">
        <v>580</v>
      </c>
      <c r="D77" s="330" t="s">
        <v>581</v>
      </c>
      <c r="E77" s="330" t="s">
        <v>151</v>
      </c>
      <c r="F77" s="286" t="s">
        <v>583</v>
      </c>
      <c r="G77" s="503">
        <v>1.8299260921441501E-2</v>
      </c>
      <c r="H77" s="492">
        <v>2.6283333333333299</v>
      </c>
      <c r="I77" s="492">
        <v>4.5147368421052603</v>
      </c>
      <c r="J77" s="266">
        <v>4.4162268497925403</v>
      </c>
      <c r="K77" s="613">
        <v>2.4739014078808302E-4</v>
      </c>
      <c r="L77" s="514" t="s">
        <v>228</v>
      </c>
      <c r="M77" s="492">
        <v>20.702874394045701</v>
      </c>
      <c r="N77" s="492">
        <v>1.886403509</v>
      </c>
      <c r="O77" s="492">
        <v>0.99731378199999998</v>
      </c>
      <c r="P77" s="492">
        <v>2.775493236</v>
      </c>
      <c r="Q77" s="510"/>
    </row>
    <row r="78" spans="1:17" s="280" customFormat="1" ht="18">
      <c r="A78" s="290" t="s">
        <v>456</v>
      </c>
      <c r="B78" s="290" t="s">
        <v>579</v>
      </c>
      <c r="C78" s="290" t="s">
        <v>580</v>
      </c>
      <c r="D78" s="330" t="s">
        <v>585</v>
      </c>
      <c r="E78" s="330" t="s">
        <v>151</v>
      </c>
      <c r="F78" s="286" t="s">
        <v>586</v>
      </c>
      <c r="G78" s="612">
        <v>8.2709906968079006E-5</v>
      </c>
      <c r="H78" s="492">
        <v>1.3472727272727301</v>
      </c>
      <c r="I78" s="492">
        <v>0.80225165562913903</v>
      </c>
      <c r="J78" s="266">
        <v>-2.26470734173702</v>
      </c>
      <c r="K78" s="505">
        <v>4.60990975007416E-2</v>
      </c>
      <c r="L78" s="514" t="s">
        <v>1962</v>
      </c>
      <c r="M78" s="492">
        <v>10.3694734745385</v>
      </c>
      <c r="N78" s="492">
        <v>-0.54502107200000005</v>
      </c>
      <c r="O78" s="492">
        <v>-1.0786630820000001</v>
      </c>
      <c r="P78" s="492">
        <v>-1.1379060999999999E-2</v>
      </c>
      <c r="Q78" s="510"/>
    </row>
  </sheetData>
  <mergeCells count="4">
    <mergeCell ref="G61:P61"/>
    <mergeCell ref="G21:P21"/>
    <mergeCell ref="G41:P41"/>
    <mergeCell ref="G2:P2"/>
  </mergeCells>
  <pageMargins left="0.25" right="0.25" top="0.75" bottom="0.75" header="0.3" footer="0.3"/>
  <pageSetup scale="53" fitToHeight="3"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4B517-9B11-2A4D-9F5C-067BEA88738A}">
  <sheetPr>
    <pageSetUpPr fitToPage="1"/>
  </sheetPr>
  <dimension ref="A1:AH42"/>
  <sheetViews>
    <sheetView zoomScale="92" zoomScaleNormal="92" workbookViewId="0"/>
  </sheetViews>
  <sheetFormatPr baseColWidth="10" defaultColWidth="10.5" defaultRowHeight="18"/>
  <cols>
    <col min="1" max="1" width="10.83203125" style="103"/>
    <col min="2" max="3" width="20" style="103" customWidth="1"/>
    <col min="4" max="4" width="14.33203125" style="103" customWidth="1"/>
    <col min="5" max="6" width="10.83203125" style="103"/>
    <col min="7" max="7" width="7.33203125" style="103" customWidth="1"/>
    <col min="8" max="12" width="9.83203125" style="103" customWidth="1"/>
    <col min="13" max="18" width="7.33203125" style="257" customWidth="1"/>
    <col min="19" max="24" width="7.33203125" style="256" customWidth="1"/>
    <col min="25" max="25" width="10.83203125" style="515"/>
    <col min="26" max="31" width="10.83203125" style="564"/>
    <col min="32" max="34" width="10.83203125" style="16"/>
  </cols>
  <sheetData>
    <row r="1" spans="1:34" s="604" customFormat="1" ht="33" customHeight="1">
      <c r="A1" s="375" t="s">
        <v>3676</v>
      </c>
      <c r="B1" s="598"/>
      <c r="C1" s="598"/>
      <c r="D1" s="598"/>
      <c r="E1" s="598"/>
      <c r="F1" s="598"/>
      <c r="G1" s="598"/>
      <c r="H1" s="598"/>
      <c r="I1" s="598"/>
      <c r="J1" s="598"/>
      <c r="K1" s="598"/>
      <c r="L1" s="598"/>
      <c r="M1" s="599"/>
      <c r="N1" s="599"/>
      <c r="O1" s="599"/>
      <c r="P1" s="599"/>
      <c r="Q1" s="599"/>
      <c r="R1" s="599"/>
      <c r="S1" s="600"/>
      <c r="T1" s="600"/>
      <c r="U1" s="600"/>
      <c r="V1" s="600"/>
      <c r="W1" s="600"/>
      <c r="X1" s="600"/>
      <c r="Y1" s="601"/>
      <c r="Z1" s="602"/>
      <c r="AA1" s="602"/>
      <c r="AB1" s="602"/>
      <c r="AC1" s="602"/>
      <c r="AD1" s="602"/>
      <c r="AE1" s="602"/>
      <c r="AF1" s="603"/>
      <c r="AG1" s="603"/>
      <c r="AH1" s="603"/>
    </row>
    <row r="2" spans="1:34" s="561" customFormat="1" ht="29.25" customHeight="1">
      <c r="B2" s="104"/>
      <c r="C2" s="104"/>
      <c r="D2" s="104"/>
      <c r="E2" s="104"/>
      <c r="F2" s="104"/>
      <c r="G2" s="104"/>
      <c r="H2" s="104"/>
      <c r="I2" s="104"/>
      <c r="J2" s="104"/>
      <c r="K2" s="104"/>
      <c r="L2" s="104"/>
      <c r="M2" s="689" t="s">
        <v>2124</v>
      </c>
      <c r="N2" s="689"/>
      <c r="O2" s="689"/>
      <c r="P2" s="689"/>
      <c r="Q2" s="689"/>
      <c r="R2" s="689"/>
      <c r="S2" s="689" t="s">
        <v>2125</v>
      </c>
      <c r="T2" s="689"/>
      <c r="U2" s="689"/>
      <c r="V2" s="689"/>
      <c r="W2" s="689"/>
      <c r="X2" s="689"/>
      <c r="Y2" s="515"/>
      <c r="Z2" s="560"/>
      <c r="AA2" s="560"/>
      <c r="AB2" s="560"/>
      <c r="AC2" s="560"/>
      <c r="AD2" s="560"/>
      <c r="AE2" s="560"/>
    </row>
    <row r="3" spans="1:34" s="575" customFormat="1" ht="128.25" customHeight="1" thickBot="1">
      <c r="B3" s="575" t="s">
        <v>1951</v>
      </c>
      <c r="C3" s="575" t="s">
        <v>2126</v>
      </c>
      <c r="D3" s="575" t="s">
        <v>430</v>
      </c>
      <c r="E3" s="575" t="s">
        <v>431</v>
      </c>
      <c r="F3" s="575" t="s">
        <v>2127</v>
      </c>
      <c r="G3" s="575" t="s">
        <v>2128</v>
      </c>
      <c r="H3" s="576" t="s">
        <v>442</v>
      </c>
      <c r="I3" s="576" t="s">
        <v>2129</v>
      </c>
      <c r="J3" s="577" t="s">
        <v>2130</v>
      </c>
      <c r="K3" s="576" t="s">
        <v>444</v>
      </c>
      <c r="L3" s="576" t="s">
        <v>452</v>
      </c>
      <c r="M3" s="575" t="s">
        <v>2131</v>
      </c>
      <c r="N3" s="575" t="s">
        <v>2132</v>
      </c>
      <c r="O3" s="575" t="s">
        <v>2133</v>
      </c>
      <c r="P3" s="575" t="s">
        <v>2134</v>
      </c>
      <c r="Q3" s="575" t="s">
        <v>2135</v>
      </c>
      <c r="R3" s="575" t="s">
        <v>2136</v>
      </c>
      <c r="S3" s="575" t="s">
        <v>2131</v>
      </c>
      <c r="T3" s="575" t="s">
        <v>2132</v>
      </c>
      <c r="U3" s="575" t="s">
        <v>2133</v>
      </c>
      <c r="V3" s="575" t="s">
        <v>2134</v>
      </c>
      <c r="W3" s="575" t="s">
        <v>2135</v>
      </c>
      <c r="X3" s="575" t="s">
        <v>2136</v>
      </c>
      <c r="Y3" s="578"/>
      <c r="Z3" s="578"/>
      <c r="AA3" s="578"/>
      <c r="AB3" s="578"/>
      <c r="AC3" s="578"/>
      <c r="AD3" s="578"/>
      <c r="AE3" s="578"/>
    </row>
    <row r="4" spans="1:34" s="414" customFormat="1" ht="19">
      <c r="B4" s="421" t="s">
        <v>2137</v>
      </c>
      <c r="C4" s="414" t="s">
        <v>2138</v>
      </c>
      <c r="D4" s="414" t="s">
        <v>218</v>
      </c>
      <c r="E4" s="414" t="s">
        <v>389</v>
      </c>
      <c r="F4" s="414" t="s">
        <v>172</v>
      </c>
      <c r="G4" s="414">
        <v>3</v>
      </c>
      <c r="H4" s="414">
        <v>-7.4</v>
      </c>
      <c r="I4" s="414">
        <v>1.81</v>
      </c>
      <c r="J4" s="414">
        <v>3</v>
      </c>
      <c r="K4" s="414">
        <v>7.16</v>
      </c>
      <c r="L4" s="414">
        <v>1.69</v>
      </c>
      <c r="M4" s="261" t="s">
        <v>1653</v>
      </c>
      <c r="N4" s="261" t="s">
        <v>1653</v>
      </c>
      <c r="O4" s="261" t="s">
        <v>1653</v>
      </c>
      <c r="P4" s="257" t="s">
        <v>1653</v>
      </c>
      <c r="Q4" s="257" t="s">
        <v>1653</v>
      </c>
      <c r="R4" s="257" t="s">
        <v>1653</v>
      </c>
      <c r="S4" s="261" t="s">
        <v>1653</v>
      </c>
      <c r="T4" s="261" t="s">
        <v>1653</v>
      </c>
      <c r="U4" s="261" t="s">
        <v>1653</v>
      </c>
      <c r="V4" s="257" t="s">
        <v>1653</v>
      </c>
      <c r="W4" s="257" t="s">
        <v>1653</v>
      </c>
      <c r="X4" s="257" t="s">
        <v>1653</v>
      </c>
      <c r="Y4" s="563"/>
      <c r="Z4" s="563"/>
      <c r="AA4" s="563"/>
      <c r="AB4" s="563"/>
      <c r="AC4" s="563"/>
      <c r="AD4" s="563"/>
      <c r="AE4" s="563"/>
      <c r="AF4" s="106"/>
      <c r="AG4" s="106"/>
      <c r="AH4" s="106"/>
    </row>
    <row r="5" spans="1:34">
      <c r="F5" s="103" t="s">
        <v>166</v>
      </c>
      <c r="G5" s="103">
        <v>6</v>
      </c>
      <c r="H5" s="103">
        <v>-9.4700000000000006</v>
      </c>
      <c r="I5" s="103">
        <v>1.34</v>
      </c>
      <c r="J5" s="103">
        <v>6</v>
      </c>
      <c r="K5" s="103">
        <v>9.66</v>
      </c>
      <c r="L5" s="103">
        <v>1.81</v>
      </c>
    </row>
    <row r="6" spans="1:34">
      <c r="F6" s="103" t="s">
        <v>174</v>
      </c>
      <c r="G6" s="103">
        <v>4</v>
      </c>
      <c r="H6" s="103">
        <v>-8.49</v>
      </c>
      <c r="I6" s="103">
        <v>2.04</v>
      </c>
      <c r="J6" s="103">
        <v>4</v>
      </c>
      <c r="K6" s="103">
        <v>9.01</v>
      </c>
      <c r="L6" s="103">
        <v>1.63</v>
      </c>
    </row>
    <row r="7" spans="1:34">
      <c r="F7" s="103" t="s">
        <v>1786</v>
      </c>
      <c r="G7" s="103">
        <v>18</v>
      </c>
      <c r="H7" s="103">
        <v>-7.68</v>
      </c>
      <c r="I7" s="103">
        <v>1.61</v>
      </c>
      <c r="J7" s="103">
        <v>12</v>
      </c>
      <c r="K7" s="103">
        <v>8.06</v>
      </c>
      <c r="L7" s="103">
        <v>2.34</v>
      </c>
    </row>
    <row r="9" spans="1:34" ht="19">
      <c r="B9" s="396" t="s">
        <v>2139</v>
      </c>
      <c r="C9" s="103" t="s">
        <v>2140</v>
      </c>
      <c r="D9" s="414" t="s">
        <v>218</v>
      </c>
      <c r="E9" s="414" t="s">
        <v>389</v>
      </c>
      <c r="F9" s="103" t="s">
        <v>166</v>
      </c>
      <c r="G9" s="103">
        <v>4</v>
      </c>
      <c r="H9" s="103">
        <v>-9.6999999999999993</v>
      </c>
      <c r="I9" s="103">
        <v>2</v>
      </c>
      <c r="J9" s="103">
        <v>4</v>
      </c>
      <c r="K9" s="103">
        <v>9.5299999999999994</v>
      </c>
      <c r="L9" s="103">
        <v>0.98</v>
      </c>
      <c r="M9" s="257" t="s">
        <v>2141</v>
      </c>
      <c r="N9" s="257" t="s">
        <v>2142</v>
      </c>
      <c r="O9" s="257" t="s">
        <v>1653</v>
      </c>
      <c r="P9" s="257" t="s">
        <v>1653</v>
      </c>
      <c r="Q9" s="257" t="s">
        <v>1653</v>
      </c>
      <c r="R9" s="257" t="s">
        <v>1653</v>
      </c>
      <c r="S9" s="361" t="s">
        <v>2142</v>
      </c>
      <c r="T9" s="361" t="s">
        <v>2143</v>
      </c>
      <c r="U9" s="361" t="s">
        <v>1653</v>
      </c>
      <c r="V9" s="361" t="s">
        <v>2142</v>
      </c>
      <c r="W9" s="361" t="s">
        <v>1653</v>
      </c>
      <c r="X9" s="566">
        <v>1E-3</v>
      </c>
    </row>
    <row r="10" spans="1:34">
      <c r="F10" s="103" t="s">
        <v>174</v>
      </c>
      <c r="G10" s="103">
        <v>8</v>
      </c>
      <c r="H10" s="103">
        <v>-10.8</v>
      </c>
      <c r="I10" s="103">
        <v>4.4000000000000004</v>
      </c>
      <c r="J10" s="103">
        <v>8</v>
      </c>
      <c r="K10" s="103">
        <v>10.93</v>
      </c>
      <c r="L10" s="103">
        <v>1.45</v>
      </c>
    </row>
    <row r="11" spans="1:34">
      <c r="F11" s="103" t="s">
        <v>1786</v>
      </c>
      <c r="G11" s="103">
        <v>16</v>
      </c>
      <c r="H11" s="103">
        <v>-8.42</v>
      </c>
      <c r="I11" s="103">
        <v>1.37</v>
      </c>
      <c r="J11" s="103">
        <v>15</v>
      </c>
      <c r="K11" s="103">
        <v>8.23</v>
      </c>
      <c r="L11" s="103">
        <v>1.31</v>
      </c>
    </row>
    <row r="13" spans="1:34">
      <c r="B13" s="330" t="s">
        <v>2144</v>
      </c>
      <c r="C13" s="290" t="s">
        <v>2145</v>
      </c>
      <c r="D13" s="290" t="s">
        <v>2146</v>
      </c>
      <c r="E13" s="290" t="s">
        <v>2147</v>
      </c>
      <c r="F13" s="103" t="s">
        <v>166</v>
      </c>
      <c r="G13" s="103">
        <v>4</v>
      </c>
      <c r="H13" s="103">
        <v>-20.57</v>
      </c>
      <c r="I13" s="103">
        <v>2.11</v>
      </c>
      <c r="J13" s="103">
        <v>4</v>
      </c>
      <c r="K13" s="103">
        <v>7.35</v>
      </c>
      <c r="L13" s="103">
        <v>1.19</v>
      </c>
      <c r="M13" s="257" t="s">
        <v>2141</v>
      </c>
      <c r="N13" s="257" t="s">
        <v>2142</v>
      </c>
      <c r="O13" s="257" t="s">
        <v>1653</v>
      </c>
      <c r="P13" s="257" t="s">
        <v>2141</v>
      </c>
      <c r="Q13" s="257" t="s">
        <v>2142</v>
      </c>
      <c r="R13" s="257" t="s">
        <v>2142</v>
      </c>
      <c r="S13" s="361" t="s">
        <v>2142</v>
      </c>
      <c r="T13" s="361" t="s">
        <v>2143</v>
      </c>
      <c r="U13" s="361" t="s">
        <v>1653</v>
      </c>
      <c r="V13" s="257" t="s">
        <v>2142</v>
      </c>
      <c r="W13" s="361" t="s">
        <v>2142</v>
      </c>
      <c r="X13" s="361" t="s">
        <v>2143</v>
      </c>
    </row>
    <row r="14" spans="1:34">
      <c r="F14" s="103" t="s">
        <v>174</v>
      </c>
      <c r="G14" s="103">
        <v>6</v>
      </c>
      <c r="H14" s="103">
        <v>-19.920000000000002</v>
      </c>
      <c r="I14" s="103">
        <v>1.3</v>
      </c>
      <c r="J14" s="103">
        <v>6</v>
      </c>
      <c r="K14" s="103">
        <v>7.87</v>
      </c>
      <c r="L14" s="103">
        <v>1.91</v>
      </c>
    </row>
    <row r="15" spans="1:34">
      <c r="F15" s="103" t="s">
        <v>1786</v>
      </c>
      <c r="H15" s="103" t="s">
        <v>205</v>
      </c>
    </row>
    <row r="17" spans="2:24">
      <c r="B17" s="330" t="s">
        <v>2148</v>
      </c>
      <c r="C17" s="103" t="s">
        <v>2149</v>
      </c>
      <c r="D17" s="103" t="s">
        <v>218</v>
      </c>
      <c r="E17" s="103" t="s">
        <v>389</v>
      </c>
      <c r="F17" s="103" t="s">
        <v>172</v>
      </c>
      <c r="G17" s="103">
        <v>3</v>
      </c>
      <c r="H17" s="103">
        <v>-20.58</v>
      </c>
      <c r="I17" s="103">
        <v>1.72</v>
      </c>
      <c r="J17" s="103">
        <v>3</v>
      </c>
      <c r="K17" s="103">
        <v>13.23</v>
      </c>
      <c r="L17" s="103">
        <v>1.94</v>
      </c>
      <c r="M17" s="257" t="s">
        <v>1653</v>
      </c>
      <c r="N17" s="257">
        <v>0.02</v>
      </c>
      <c r="O17" s="257" t="s">
        <v>1653</v>
      </c>
      <c r="P17" s="257" t="s">
        <v>1653</v>
      </c>
      <c r="Q17" s="257" t="s">
        <v>1653</v>
      </c>
      <c r="R17" s="257" t="s">
        <v>1653</v>
      </c>
      <c r="S17" s="361" t="s">
        <v>1653</v>
      </c>
      <c r="T17" s="256">
        <v>0.02</v>
      </c>
      <c r="U17" s="361" t="s">
        <v>1653</v>
      </c>
      <c r="V17" s="565">
        <v>3.0000000000000001E-3</v>
      </c>
      <c r="W17" s="256" t="s">
        <v>1653</v>
      </c>
      <c r="X17" s="256" t="s">
        <v>1653</v>
      </c>
    </row>
    <row r="18" spans="2:24">
      <c r="F18" s="103" t="s">
        <v>166</v>
      </c>
      <c r="G18" s="103">
        <v>2</v>
      </c>
      <c r="H18" s="103">
        <v>-19.3</v>
      </c>
      <c r="I18" s="103">
        <v>2.0699999999999998</v>
      </c>
      <c r="J18" s="103">
        <v>2</v>
      </c>
      <c r="K18" s="103">
        <v>12.09</v>
      </c>
      <c r="L18" s="103">
        <v>0.79</v>
      </c>
    </row>
    <row r="19" spans="2:24">
      <c r="F19" s="103" t="s">
        <v>174</v>
      </c>
      <c r="G19" s="103">
        <v>15</v>
      </c>
      <c r="H19" s="103">
        <v>-18.12</v>
      </c>
      <c r="I19" s="103">
        <v>1.48</v>
      </c>
      <c r="J19" s="103">
        <v>15</v>
      </c>
      <c r="K19" s="103">
        <v>11.53</v>
      </c>
      <c r="L19" s="103">
        <v>0.86</v>
      </c>
    </row>
    <row r="20" spans="2:24">
      <c r="F20" s="103" t="s">
        <v>1786</v>
      </c>
      <c r="G20" s="103">
        <v>24</v>
      </c>
      <c r="H20" s="103">
        <v>-18.37</v>
      </c>
      <c r="I20" s="103">
        <v>2.17</v>
      </c>
      <c r="J20" s="103">
        <v>16</v>
      </c>
      <c r="K20" s="103">
        <v>9.7100000000000009</v>
      </c>
      <c r="L20" s="103">
        <v>1.55</v>
      </c>
    </row>
    <row r="22" spans="2:24">
      <c r="B22" s="396" t="s">
        <v>2150</v>
      </c>
      <c r="C22" s="103" t="s">
        <v>2151</v>
      </c>
      <c r="D22" s="103" t="s">
        <v>218</v>
      </c>
      <c r="E22" s="103" t="s">
        <v>389</v>
      </c>
      <c r="F22" s="103" t="s">
        <v>166</v>
      </c>
      <c r="G22" s="103">
        <v>3</v>
      </c>
      <c r="H22" s="103">
        <v>-9.39</v>
      </c>
      <c r="I22" s="103">
        <v>0.46</v>
      </c>
      <c r="J22" s="103">
        <v>3</v>
      </c>
      <c r="K22" s="103">
        <v>8.17</v>
      </c>
      <c r="L22" s="103">
        <v>0.96</v>
      </c>
      <c r="M22" s="257" t="s">
        <v>2142</v>
      </c>
      <c r="N22" s="257" t="s">
        <v>2142</v>
      </c>
      <c r="O22" s="257" t="s">
        <v>1653</v>
      </c>
      <c r="P22" s="257" t="s">
        <v>1653</v>
      </c>
      <c r="Q22" s="257" t="s">
        <v>1653</v>
      </c>
      <c r="R22" s="257" t="s">
        <v>1653</v>
      </c>
      <c r="S22" s="361" t="s">
        <v>2142</v>
      </c>
      <c r="T22" s="361" t="s">
        <v>2143</v>
      </c>
      <c r="U22" s="361" t="s">
        <v>1653</v>
      </c>
      <c r="V22" s="361" t="s">
        <v>2142</v>
      </c>
      <c r="W22" s="361" t="s">
        <v>1653</v>
      </c>
      <c r="X22" s="256">
        <v>0.04</v>
      </c>
    </row>
    <row r="23" spans="2:24">
      <c r="F23" s="103" t="s">
        <v>174</v>
      </c>
      <c r="G23" s="103">
        <v>7</v>
      </c>
      <c r="H23" s="103">
        <v>-10.99</v>
      </c>
      <c r="I23" s="103">
        <v>3.47</v>
      </c>
      <c r="J23" s="103">
        <v>7</v>
      </c>
      <c r="K23" s="103">
        <v>7.34</v>
      </c>
      <c r="L23" s="103">
        <v>1.26</v>
      </c>
    </row>
    <row r="24" spans="2:24">
      <c r="F24" s="103" t="s">
        <v>1786</v>
      </c>
      <c r="G24" s="103">
        <v>7</v>
      </c>
      <c r="H24" s="103">
        <v>-10.55</v>
      </c>
      <c r="I24" s="103">
        <v>3.98</v>
      </c>
      <c r="J24" s="103">
        <v>6</v>
      </c>
      <c r="K24" s="103">
        <v>9.3699999999999992</v>
      </c>
      <c r="L24" s="103">
        <v>1.95</v>
      </c>
    </row>
    <row r="26" spans="2:24">
      <c r="B26" s="330" t="s">
        <v>2152</v>
      </c>
      <c r="C26" s="290" t="s">
        <v>2153</v>
      </c>
      <c r="D26" s="290" t="s">
        <v>218</v>
      </c>
      <c r="E26" s="290" t="s">
        <v>389</v>
      </c>
      <c r="F26" s="103" t="s">
        <v>172</v>
      </c>
      <c r="G26" s="103">
        <v>3</v>
      </c>
      <c r="H26" s="103">
        <v>-12.59</v>
      </c>
      <c r="I26" s="103">
        <v>1.28</v>
      </c>
      <c r="J26" s="103">
        <v>3</v>
      </c>
      <c r="K26" s="103">
        <v>8.27</v>
      </c>
      <c r="L26" s="103">
        <v>1.01</v>
      </c>
      <c r="M26" s="257" t="s">
        <v>1653</v>
      </c>
      <c r="N26" s="257" t="s">
        <v>1653</v>
      </c>
      <c r="O26" s="257" t="s">
        <v>1653</v>
      </c>
      <c r="P26" s="257" t="s">
        <v>1653</v>
      </c>
      <c r="Q26" s="257" t="s">
        <v>1653</v>
      </c>
      <c r="R26" s="257" t="s">
        <v>1653</v>
      </c>
      <c r="S26" s="361" t="s">
        <v>1653</v>
      </c>
      <c r="T26" s="361" t="s">
        <v>1653</v>
      </c>
      <c r="U26" s="361" t="s">
        <v>1653</v>
      </c>
      <c r="V26" s="256">
        <v>0.02</v>
      </c>
      <c r="W26" s="361" t="s">
        <v>1653</v>
      </c>
      <c r="X26" s="361" t="s">
        <v>1653</v>
      </c>
    </row>
    <row r="27" spans="2:24">
      <c r="F27" s="103" t="s">
        <v>166</v>
      </c>
      <c r="G27" s="103">
        <v>3</v>
      </c>
      <c r="H27" s="103">
        <v>-11.78</v>
      </c>
      <c r="I27" s="103">
        <v>0.87</v>
      </c>
      <c r="J27" s="103">
        <v>3</v>
      </c>
      <c r="K27" s="103">
        <v>8.6999999999999993</v>
      </c>
      <c r="L27" s="103">
        <v>1.64</v>
      </c>
    </row>
    <row r="28" spans="2:24">
      <c r="F28" s="103" t="s">
        <v>174</v>
      </c>
      <c r="G28" s="103">
        <v>2</v>
      </c>
      <c r="H28" s="103">
        <v>-12.47</v>
      </c>
      <c r="I28" s="103">
        <v>0.59</v>
      </c>
      <c r="J28" s="103">
        <v>2</v>
      </c>
      <c r="K28" s="103">
        <v>8.39</v>
      </c>
      <c r="L28" s="103">
        <v>0.51</v>
      </c>
    </row>
    <row r="29" spans="2:24">
      <c r="F29" s="103" t="s">
        <v>1786</v>
      </c>
      <c r="G29" s="103">
        <v>9</v>
      </c>
      <c r="H29" s="103">
        <v>-10.01</v>
      </c>
      <c r="I29" s="103">
        <v>1.97</v>
      </c>
      <c r="J29" s="103">
        <v>7</v>
      </c>
      <c r="K29" s="103">
        <v>11.53</v>
      </c>
      <c r="L29" s="103">
        <v>1.84</v>
      </c>
    </row>
    <row r="31" spans="2:24">
      <c r="B31" s="330" t="s">
        <v>2154</v>
      </c>
      <c r="C31" s="290" t="s">
        <v>2155</v>
      </c>
      <c r="D31" s="290" t="s">
        <v>218</v>
      </c>
      <c r="E31" s="290" t="s">
        <v>389</v>
      </c>
      <c r="F31" s="103" t="s">
        <v>172</v>
      </c>
      <c r="G31" s="103">
        <v>1</v>
      </c>
      <c r="H31" s="103">
        <v>-19.18</v>
      </c>
      <c r="J31" s="103">
        <v>1</v>
      </c>
      <c r="K31" s="103">
        <v>11.95</v>
      </c>
      <c r="M31" s="257" t="s">
        <v>2156</v>
      </c>
      <c r="N31" s="257" t="s">
        <v>2156</v>
      </c>
      <c r="O31" s="257" t="s">
        <v>1653</v>
      </c>
      <c r="P31" s="257" t="s">
        <v>2141</v>
      </c>
      <c r="Q31" s="257" t="s">
        <v>2142</v>
      </c>
      <c r="R31" s="257" t="s">
        <v>2142</v>
      </c>
      <c r="S31" s="257" t="s">
        <v>2142</v>
      </c>
      <c r="T31" s="257" t="s">
        <v>2142</v>
      </c>
      <c r="U31" s="361" t="s">
        <v>1653</v>
      </c>
      <c r="V31" s="257" t="s">
        <v>2142</v>
      </c>
      <c r="W31" s="257" t="s">
        <v>2142</v>
      </c>
      <c r="X31" s="257" t="s">
        <v>2142</v>
      </c>
    </row>
    <row r="32" spans="2:24">
      <c r="F32" s="103" t="s">
        <v>166</v>
      </c>
      <c r="G32" s="103">
        <v>3</v>
      </c>
      <c r="H32" s="103">
        <v>-19.899999999999999</v>
      </c>
      <c r="I32" s="103">
        <v>2.25</v>
      </c>
      <c r="J32" s="103">
        <v>3</v>
      </c>
      <c r="K32" s="103">
        <v>11.46</v>
      </c>
      <c r="L32" s="103">
        <v>2.59</v>
      </c>
    </row>
    <row r="33" spans="2:24">
      <c r="F33" s="103" t="s">
        <v>174</v>
      </c>
      <c r="G33" s="103">
        <v>4</v>
      </c>
      <c r="H33" s="103">
        <v>-21.76</v>
      </c>
      <c r="I33" s="103">
        <v>2.2999999999999998</v>
      </c>
      <c r="J33" s="103">
        <v>3</v>
      </c>
      <c r="K33" s="103">
        <v>10.1</v>
      </c>
      <c r="L33" s="103">
        <v>2.0499999999999998</v>
      </c>
    </row>
    <row r="34" spans="2:24">
      <c r="F34" s="103" t="s">
        <v>1786</v>
      </c>
      <c r="G34" s="103">
        <v>1</v>
      </c>
      <c r="H34" s="103">
        <v>-17.88</v>
      </c>
      <c r="J34" s="103">
        <v>1</v>
      </c>
      <c r="K34" s="103">
        <v>9.17</v>
      </c>
    </row>
    <row r="36" spans="2:24">
      <c r="B36" s="396" t="s">
        <v>2157</v>
      </c>
      <c r="C36" s="103" t="s">
        <v>2158</v>
      </c>
      <c r="D36" s="103" t="s">
        <v>218</v>
      </c>
      <c r="E36" s="103" t="s">
        <v>389</v>
      </c>
      <c r="F36" s="103" t="s">
        <v>166</v>
      </c>
      <c r="G36" s="103">
        <v>2</v>
      </c>
      <c r="H36" s="103">
        <v>-20.76</v>
      </c>
      <c r="I36" s="103">
        <v>0.69</v>
      </c>
      <c r="J36" s="103">
        <v>2</v>
      </c>
      <c r="K36" s="103">
        <v>12.33</v>
      </c>
      <c r="L36" s="103">
        <v>1.5</v>
      </c>
      <c r="M36" s="257" t="s">
        <v>2142</v>
      </c>
      <c r="N36" s="257" t="s">
        <v>2142</v>
      </c>
      <c r="O36" s="257" t="s">
        <v>1653</v>
      </c>
      <c r="P36" s="257" t="s">
        <v>2141</v>
      </c>
      <c r="Q36" s="257" t="s">
        <v>1653</v>
      </c>
      <c r="R36" s="257" t="s">
        <v>1653</v>
      </c>
      <c r="S36" s="257" t="s">
        <v>2142</v>
      </c>
      <c r="T36" s="257" t="s">
        <v>2142</v>
      </c>
      <c r="U36" s="361" t="s">
        <v>1653</v>
      </c>
      <c r="V36" s="257" t="s">
        <v>2142</v>
      </c>
      <c r="W36" s="361" t="s">
        <v>1653</v>
      </c>
      <c r="X36" s="361" t="s">
        <v>1653</v>
      </c>
    </row>
    <row r="37" spans="2:24">
      <c r="F37" s="103" t="s">
        <v>174</v>
      </c>
      <c r="G37" s="103">
        <v>8</v>
      </c>
      <c r="H37" s="103">
        <v>-19.62</v>
      </c>
      <c r="I37" s="103">
        <v>1.98</v>
      </c>
      <c r="J37" s="103">
        <v>8</v>
      </c>
      <c r="K37" s="103">
        <v>11.32</v>
      </c>
      <c r="L37" s="103">
        <v>3.2</v>
      </c>
    </row>
    <row r="38" spans="2:24">
      <c r="F38" s="103" t="s">
        <v>1786</v>
      </c>
      <c r="G38" s="103">
        <v>8</v>
      </c>
      <c r="H38" s="103">
        <v>-18.559999999999999</v>
      </c>
      <c r="I38" s="103">
        <v>1.55</v>
      </c>
      <c r="J38" s="103">
        <v>5</v>
      </c>
      <c r="K38" s="103">
        <v>10.08</v>
      </c>
      <c r="L38" s="103">
        <v>2.72</v>
      </c>
    </row>
    <row r="40" spans="2:24">
      <c r="B40" s="396" t="s">
        <v>2159</v>
      </c>
      <c r="C40" s="103" t="s">
        <v>2160</v>
      </c>
      <c r="D40" s="103" t="s">
        <v>169</v>
      </c>
      <c r="E40" s="103" t="s">
        <v>588</v>
      </c>
      <c r="F40" s="103" t="s">
        <v>166</v>
      </c>
      <c r="G40" s="103">
        <v>2</v>
      </c>
      <c r="H40" s="103">
        <v>-8.9700000000000006</v>
      </c>
      <c r="I40" s="103">
        <v>1.22</v>
      </c>
      <c r="J40" s="103">
        <v>2</v>
      </c>
      <c r="K40" s="103">
        <v>3.76</v>
      </c>
      <c r="L40" s="103">
        <v>0.04</v>
      </c>
      <c r="M40" s="257" t="s">
        <v>2161</v>
      </c>
      <c r="N40" s="257" t="s">
        <v>2142</v>
      </c>
      <c r="O40" s="257" t="s">
        <v>1653</v>
      </c>
      <c r="P40" s="257" t="s">
        <v>1653</v>
      </c>
      <c r="Q40" s="257" t="s">
        <v>1653</v>
      </c>
      <c r="R40" s="257">
        <v>0.02</v>
      </c>
      <c r="S40" s="257" t="s">
        <v>2142</v>
      </c>
      <c r="T40" s="257" t="s">
        <v>2142</v>
      </c>
      <c r="U40" s="361" t="s">
        <v>1653</v>
      </c>
      <c r="V40" s="257" t="s">
        <v>2142</v>
      </c>
      <c r="W40" s="257" t="s">
        <v>2142</v>
      </c>
      <c r="X40" s="257" t="s">
        <v>2142</v>
      </c>
    </row>
    <row r="41" spans="2:24">
      <c r="F41" s="103" t="s">
        <v>174</v>
      </c>
      <c r="G41" s="103">
        <v>8</v>
      </c>
      <c r="H41" s="103">
        <v>-9.67</v>
      </c>
      <c r="I41" s="103">
        <v>0.83</v>
      </c>
      <c r="J41" s="103">
        <v>7</v>
      </c>
      <c r="K41" s="103">
        <v>4.6500000000000004</v>
      </c>
      <c r="L41" s="103">
        <v>0.75</v>
      </c>
    </row>
    <row r="42" spans="2:24">
      <c r="F42" s="103" t="s">
        <v>1786</v>
      </c>
      <c r="G42" s="103">
        <v>4</v>
      </c>
      <c r="H42" s="103">
        <v>-8.0299999999999994</v>
      </c>
      <c r="I42" s="103">
        <v>1.1000000000000001</v>
      </c>
      <c r="J42" s="562" t="s">
        <v>2162</v>
      </c>
    </row>
  </sheetData>
  <mergeCells count="2">
    <mergeCell ref="M2:R2"/>
    <mergeCell ref="S2:X2"/>
  </mergeCells>
  <pageMargins left="0.7" right="0.7" top="0.75" bottom="0.75" header="0.3" footer="0.3"/>
  <pageSetup scale="49" orientation="landscape"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F138C-26A8-6B4D-93EA-859275329A06}">
  <sheetPr>
    <pageSetUpPr fitToPage="1"/>
  </sheetPr>
  <dimension ref="A1:AQ65"/>
  <sheetViews>
    <sheetView zoomScale="75" zoomScaleNormal="75" workbookViewId="0">
      <selection activeCell="AR59" sqref="A1:AR59"/>
    </sheetView>
  </sheetViews>
  <sheetFormatPr baseColWidth="10" defaultColWidth="10.5" defaultRowHeight="16"/>
  <cols>
    <col min="1" max="1" width="15.5" customWidth="1"/>
    <col min="2" max="2" width="13.5" customWidth="1"/>
    <col min="3" max="3" width="11.5" customWidth="1"/>
    <col min="4" max="5" width="12.33203125" customWidth="1"/>
    <col min="8" max="8" width="10.83203125" style="579"/>
    <col min="9" max="9" width="12.83203125" customWidth="1"/>
    <col min="14" max="14" width="10.83203125" style="579"/>
    <col min="16" max="16" width="10.83203125" style="579"/>
    <col min="17" max="17" width="12.33203125" customWidth="1"/>
    <col min="18" max="18" width="19" customWidth="1"/>
    <col min="22" max="22" width="10.83203125" style="579"/>
    <col min="23" max="23" width="14.5" customWidth="1"/>
    <col min="24" max="25" width="14" customWidth="1"/>
    <col min="28" max="28" width="10.83203125" style="579"/>
    <col min="29" max="29" width="14.5" customWidth="1"/>
    <col min="34" max="34" width="10.83203125" style="579"/>
    <col min="36" max="36" width="10.83203125" style="579"/>
    <col min="37" max="37" width="15" customWidth="1"/>
    <col min="38" max="38" width="17.83203125" customWidth="1"/>
    <col min="42" max="42" width="10.83203125" style="579"/>
    <col min="43" max="43" width="15.83203125" customWidth="1"/>
  </cols>
  <sheetData>
    <row r="1" spans="1:43" s="584" customFormat="1" ht="26">
      <c r="A1" s="635" t="s">
        <v>3677</v>
      </c>
      <c r="H1" s="585"/>
      <c r="N1" s="585"/>
      <c r="P1" s="585"/>
      <c r="V1" s="585"/>
      <c r="AB1" s="585"/>
      <c r="AH1" s="585"/>
      <c r="AJ1" s="585"/>
      <c r="AP1" s="585"/>
    </row>
    <row r="2" spans="1:43" s="585" customFormat="1" ht="23">
      <c r="A2" s="586" t="s">
        <v>2163</v>
      </c>
    </row>
    <row r="3" spans="1:43" s="591" customFormat="1" ht="30">
      <c r="D3" s="695" t="s">
        <v>2164</v>
      </c>
      <c r="E3" s="692"/>
      <c r="F3" s="692"/>
      <c r="G3" s="692" t="s">
        <v>2165</v>
      </c>
      <c r="H3" s="692"/>
      <c r="I3" s="592"/>
      <c r="J3" s="694" t="s">
        <v>2166</v>
      </c>
      <c r="K3" s="694"/>
      <c r="L3" s="694"/>
      <c r="M3" s="694" t="s">
        <v>2165</v>
      </c>
      <c r="N3" s="694"/>
      <c r="O3" s="694" t="s">
        <v>2167</v>
      </c>
      <c r="P3" s="694"/>
      <c r="Q3" s="638"/>
      <c r="R3" s="690" t="s">
        <v>2168</v>
      </c>
      <c r="S3" s="691"/>
      <c r="T3" s="691"/>
      <c r="U3" s="691" t="s">
        <v>2169</v>
      </c>
      <c r="V3" s="691"/>
      <c r="W3" s="593"/>
      <c r="X3" s="692" t="s">
        <v>2170</v>
      </c>
      <c r="Y3" s="692"/>
      <c r="Z3" s="692"/>
      <c r="AA3" s="692" t="s">
        <v>2171</v>
      </c>
      <c r="AB3" s="692"/>
      <c r="AC3" s="637"/>
      <c r="AD3" s="693" t="s">
        <v>2172</v>
      </c>
      <c r="AE3" s="694"/>
      <c r="AF3" s="694"/>
      <c r="AG3" s="694" t="s">
        <v>2171</v>
      </c>
      <c r="AH3" s="694"/>
      <c r="AI3" s="694" t="s">
        <v>2173</v>
      </c>
      <c r="AJ3" s="694"/>
      <c r="AK3" s="594"/>
      <c r="AL3" s="690" t="s">
        <v>2174</v>
      </c>
      <c r="AM3" s="691"/>
      <c r="AN3" s="691"/>
      <c r="AO3" s="691" t="s">
        <v>2169</v>
      </c>
      <c r="AP3" s="691"/>
      <c r="AQ3" s="593"/>
    </row>
    <row r="4" spans="1:43" s="580" customFormat="1" ht="97" thickBot="1">
      <c r="A4" s="580" t="s">
        <v>431</v>
      </c>
      <c r="B4" s="580" t="s">
        <v>616</v>
      </c>
      <c r="C4" s="580" t="s">
        <v>433</v>
      </c>
      <c r="D4" s="581" t="s">
        <v>2175</v>
      </c>
      <c r="E4" s="582" t="s">
        <v>2176</v>
      </c>
      <c r="F4" s="580" t="s">
        <v>1949</v>
      </c>
      <c r="G4" s="582" t="s">
        <v>2177</v>
      </c>
      <c r="H4" s="582" t="s">
        <v>67</v>
      </c>
      <c r="I4" s="583" t="s">
        <v>2178</v>
      </c>
      <c r="J4" s="582" t="s">
        <v>2175</v>
      </c>
      <c r="K4" s="582" t="s">
        <v>2176</v>
      </c>
      <c r="L4" s="580" t="s">
        <v>1949</v>
      </c>
      <c r="M4" s="582" t="s">
        <v>2177</v>
      </c>
      <c r="N4" s="582" t="s">
        <v>67</v>
      </c>
      <c r="O4" s="582" t="s">
        <v>2177</v>
      </c>
      <c r="P4" s="582" t="s">
        <v>67</v>
      </c>
      <c r="Q4" s="583" t="s">
        <v>2178</v>
      </c>
      <c r="R4" s="581" t="s">
        <v>2179</v>
      </c>
      <c r="S4" s="582" t="s">
        <v>2176</v>
      </c>
      <c r="T4" s="580" t="s">
        <v>1949</v>
      </c>
      <c r="U4" s="582" t="s">
        <v>2177</v>
      </c>
      <c r="V4" s="582" t="s">
        <v>67</v>
      </c>
      <c r="W4" s="583" t="s">
        <v>2178</v>
      </c>
      <c r="X4" s="582" t="s">
        <v>2175</v>
      </c>
      <c r="Y4" s="582" t="s">
        <v>2176</v>
      </c>
      <c r="Z4" s="580" t="s">
        <v>1949</v>
      </c>
      <c r="AA4" s="582" t="s">
        <v>2177</v>
      </c>
      <c r="AB4" s="582" t="s">
        <v>67</v>
      </c>
      <c r="AC4" s="583" t="s">
        <v>2178</v>
      </c>
      <c r="AD4" s="581" t="s">
        <v>2175</v>
      </c>
      <c r="AE4" s="582" t="s">
        <v>2176</v>
      </c>
      <c r="AF4" s="580" t="s">
        <v>1949</v>
      </c>
      <c r="AG4" s="582" t="s">
        <v>2177</v>
      </c>
      <c r="AH4" s="582" t="s">
        <v>67</v>
      </c>
      <c r="AI4" s="582" t="s">
        <v>2177</v>
      </c>
      <c r="AJ4" s="582" t="s">
        <v>67</v>
      </c>
      <c r="AK4" s="583" t="s">
        <v>2178</v>
      </c>
      <c r="AL4" s="581" t="s">
        <v>2179</v>
      </c>
      <c r="AM4" s="582" t="s">
        <v>2176</v>
      </c>
      <c r="AN4" s="580" t="s">
        <v>1949</v>
      </c>
      <c r="AO4" s="582" t="s">
        <v>2177</v>
      </c>
      <c r="AP4" s="582" t="s">
        <v>67</v>
      </c>
      <c r="AQ4" s="583" t="s">
        <v>2178</v>
      </c>
    </row>
    <row r="5" spans="1:43" s="290" customFormat="1" ht="18">
      <c r="A5" s="290" t="s">
        <v>193</v>
      </c>
      <c r="B5" s="290" t="s">
        <v>2180</v>
      </c>
      <c r="C5" s="290" t="s">
        <v>2180</v>
      </c>
      <c r="D5" s="587">
        <v>1</v>
      </c>
      <c r="E5" s="588" t="s">
        <v>1457</v>
      </c>
      <c r="F5" s="588" t="s">
        <v>1457</v>
      </c>
      <c r="G5" s="289" t="s">
        <v>1457</v>
      </c>
      <c r="H5" s="388" t="s">
        <v>1457</v>
      </c>
      <c r="I5" s="589" t="s">
        <v>1457</v>
      </c>
      <c r="J5" s="290">
        <v>3</v>
      </c>
      <c r="K5" s="588" t="s">
        <v>1457</v>
      </c>
      <c r="L5" s="588" t="s">
        <v>1457</v>
      </c>
      <c r="M5" s="289" t="s">
        <v>1457</v>
      </c>
      <c r="N5" s="388" t="s">
        <v>1457</v>
      </c>
      <c r="O5" s="289" t="s">
        <v>1457</v>
      </c>
      <c r="P5" s="388" t="s">
        <v>1457</v>
      </c>
      <c r="Q5" s="388" t="s">
        <v>1457</v>
      </c>
      <c r="R5" s="590" t="s">
        <v>2181</v>
      </c>
      <c r="S5" s="388" t="s">
        <v>1457</v>
      </c>
      <c r="T5" s="388" t="s">
        <v>1457</v>
      </c>
      <c r="U5" s="388" t="s">
        <v>1457</v>
      </c>
      <c r="V5" s="388" t="s">
        <v>1457</v>
      </c>
      <c r="W5" s="589" t="s">
        <v>1457</v>
      </c>
      <c r="X5" s="290">
        <v>0</v>
      </c>
      <c r="Y5" s="588" t="s">
        <v>1457</v>
      </c>
      <c r="Z5" s="588" t="s">
        <v>1457</v>
      </c>
      <c r="AA5" s="289" t="s">
        <v>1457</v>
      </c>
      <c r="AB5" s="388" t="s">
        <v>1457</v>
      </c>
      <c r="AC5" s="588" t="s">
        <v>1457</v>
      </c>
      <c r="AD5" s="587">
        <v>16</v>
      </c>
      <c r="AE5" s="290">
        <v>3</v>
      </c>
      <c r="AF5" s="588" t="s">
        <v>2182</v>
      </c>
      <c r="AG5" s="289">
        <v>0.63200000000000001</v>
      </c>
      <c r="AH5" s="388">
        <v>0.54700000000000004</v>
      </c>
      <c r="AI5" s="289">
        <v>0.22800000000000001</v>
      </c>
      <c r="AJ5" s="388">
        <v>0.79900000000000004</v>
      </c>
      <c r="AK5" s="589">
        <v>1.6666666666666666E-2</v>
      </c>
      <c r="AL5" s="590" t="s">
        <v>2183</v>
      </c>
      <c r="AM5" s="388" t="s">
        <v>1457</v>
      </c>
      <c r="AN5" s="388" t="s">
        <v>1457</v>
      </c>
      <c r="AO5" s="388" t="s">
        <v>1457</v>
      </c>
      <c r="AP5" s="388" t="s">
        <v>1457</v>
      </c>
      <c r="AQ5" s="589" t="s">
        <v>1457</v>
      </c>
    </row>
    <row r="6" spans="1:43" s="290" customFormat="1" ht="18">
      <c r="A6" s="290" t="s">
        <v>193</v>
      </c>
      <c r="B6" s="290" t="s">
        <v>194</v>
      </c>
      <c r="C6" s="290" t="s">
        <v>195</v>
      </c>
      <c r="D6" s="587">
        <v>0</v>
      </c>
      <c r="E6" s="588" t="s">
        <v>1457</v>
      </c>
      <c r="F6" s="588" t="s">
        <v>1457</v>
      </c>
      <c r="G6" s="289" t="s">
        <v>1457</v>
      </c>
      <c r="H6" s="388" t="s">
        <v>1457</v>
      </c>
      <c r="I6" s="589" t="s">
        <v>1457</v>
      </c>
      <c r="J6" s="290">
        <v>2</v>
      </c>
      <c r="K6" s="588" t="s">
        <v>1457</v>
      </c>
      <c r="L6" s="588" t="s">
        <v>1457</v>
      </c>
      <c r="M6" s="289" t="s">
        <v>1457</v>
      </c>
      <c r="N6" s="388" t="s">
        <v>1457</v>
      </c>
      <c r="O6" s="289" t="s">
        <v>1457</v>
      </c>
      <c r="P6" s="388" t="s">
        <v>1457</v>
      </c>
      <c r="Q6" s="388" t="s">
        <v>1457</v>
      </c>
      <c r="R6" s="590" t="s">
        <v>2184</v>
      </c>
      <c r="S6" s="388" t="s">
        <v>1457</v>
      </c>
      <c r="T6" s="388" t="s">
        <v>1457</v>
      </c>
      <c r="U6" s="388" t="s">
        <v>1457</v>
      </c>
      <c r="V6" s="388" t="s">
        <v>1457</v>
      </c>
      <c r="W6" s="589" t="s">
        <v>1457</v>
      </c>
      <c r="X6" s="290">
        <v>0</v>
      </c>
      <c r="Y6" s="588" t="s">
        <v>1457</v>
      </c>
      <c r="Z6" s="588" t="s">
        <v>1457</v>
      </c>
      <c r="AA6" s="289" t="s">
        <v>1457</v>
      </c>
      <c r="AB6" s="388" t="s">
        <v>1457</v>
      </c>
      <c r="AC6" s="588" t="s">
        <v>1457</v>
      </c>
      <c r="AD6" s="587">
        <v>16</v>
      </c>
      <c r="AE6" s="290">
        <v>3</v>
      </c>
      <c r="AF6" s="588" t="s">
        <v>2182</v>
      </c>
      <c r="AG6" s="289">
        <v>0.63200000000000001</v>
      </c>
      <c r="AH6" s="388">
        <v>0.54700000000000004</v>
      </c>
      <c r="AI6" s="289">
        <v>0.22800000000000001</v>
      </c>
      <c r="AJ6" s="388">
        <v>0.79900000000000004</v>
      </c>
      <c r="AK6" s="589">
        <v>1.6666666666666666E-2</v>
      </c>
      <c r="AL6" s="590" t="s">
        <v>2183</v>
      </c>
      <c r="AM6" s="388" t="s">
        <v>1457</v>
      </c>
      <c r="AN6" s="388" t="s">
        <v>1457</v>
      </c>
      <c r="AO6" s="388" t="s">
        <v>1457</v>
      </c>
      <c r="AP6" s="388" t="s">
        <v>1457</v>
      </c>
      <c r="AQ6" s="589" t="s">
        <v>1457</v>
      </c>
    </row>
    <row r="7" spans="1:43" s="290" customFormat="1" ht="18">
      <c r="A7" s="290" t="s">
        <v>193</v>
      </c>
      <c r="B7" s="290" t="s">
        <v>460</v>
      </c>
      <c r="C7" s="290" t="s">
        <v>151</v>
      </c>
      <c r="D7" s="587">
        <v>1</v>
      </c>
      <c r="E7" s="588" t="s">
        <v>1457</v>
      </c>
      <c r="F7" s="588" t="s">
        <v>1457</v>
      </c>
      <c r="G7" s="289" t="s">
        <v>1457</v>
      </c>
      <c r="H7" s="388" t="s">
        <v>1457</v>
      </c>
      <c r="I7" s="589" t="s">
        <v>1457</v>
      </c>
      <c r="J7" s="290">
        <v>0</v>
      </c>
      <c r="K7" s="588" t="s">
        <v>1457</v>
      </c>
      <c r="L7" s="588" t="s">
        <v>1457</v>
      </c>
      <c r="M7" s="289" t="s">
        <v>1457</v>
      </c>
      <c r="N7" s="388" t="s">
        <v>1457</v>
      </c>
      <c r="O7" s="289" t="s">
        <v>1457</v>
      </c>
      <c r="P7" s="388" t="s">
        <v>1457</v>
      </c>
      <c r="Q7" s="388" t="s">
        <v>1457</v>
      </c>
      <c r="R7" s="590" t="s">
        <v>2185</v>
      </c>
      <c r="S7" s="388" t="s">
        <v>1457</v>
      </c>
      <c r="T7" s="388" t="s">
        <v>1457</v>
      </c>
      <c r="U7" s="388" t="s">
        <v>1457</v>
      </c>
      <c r="V7" s="388" t="s">
        <v>1457</v>
      </c>
      <c r="W7" s="589" t="s">
        <v>1457</v>
      </c>
      <c r="X7" s="290">
        <v>0</v>
      </c>
      <c r="Y7" s="588" t="s">
        <v>1457</v>
      </c>
      <c r="Z7" s="588" t="s">
        <v>1457</v>
      </c>
      <c r="AA7" s="289" t="s">
        <v>1457</v>
      </c>
      <c r="AB7" s="388" t="s">
        <v>1457</v>
      </c>
      <c r="AC7" s="588" t="s">
        <v>1457</v>
      </c>
      <c r="AD7" s="587">
        <v>0</v>
      </c>
      <c r="AE7" s="588" t="s">
        <v>1457</v>
      </c>
      <c r="AF7" s="588" t="s">
        <v>1457</v>
      </c>
      <c r="AG7" s="289" t="s">
        <v>1457</v>
      </c>
      <c r="AH7" s="388" t="s">
        <v>1457</v>
      </c>
      <c r="AI7" s="289" t="s">
        <v>1457</v>
      </c>
      <c r="AJ7" s="388" t="s">
        <v>1457</v>
      </c>
      <c r="AK7" s="589" t="s">
        <v>1457</v>
      </c>
      <c r="AL7" s="590" t="s">
        <v>2186</v>
      </c>
      <c r="AM7" s="388" t="s">
        <v>1457</v>
      </c>
      <c r="AN7" s="388" t="s">
        <v>1457</v>
      </c>
      <c r="AO7" s="388" t="s">
        <v>1457</v>
      </c>
      <c r="AP7" s="388" t="s">
        <v>1457</v>
      </c>
      <c r="AQ7" s="589" t="s">
        <v>1457</v>
      </c>
    </row>
    <row r="8" spans="1:43" s="290" customFormat="1" ht="18">
      <c r="A8" s="290" t="s">
        <v>193</v>
      </c>
      <c r="B8" s="290" t="s">
        <v>466</v>
      </c>
      <c r="C8" s="290" t="s">
        <v>151</v>
      </c>
      <c r="D8" s="587">
        <v>0</v>
      </c>
      <c r="E8" s="588" t="s">
        <v>1457</v>
      </c>
      <c r="F8" s="588" t="s">
        <v>1457</v>
      </c>
      <c r="G8" s="289" t="s">
        <v>1457</v>
      </c>
      <c r="H8" s="388" t="s">
        <v>1457</v>
      </c>
      <c r="I8" s="589" t="s">
        <v>1457</v>
      </c>
      <c r="J8" s="290">
        <v>1</v>
      </c>
      <c r="K8" s="588" t="s">
        <v>1457</v>
      </c>
      <c r="L8" s="588" t="s">
        <v>1457</v>
      </c>
      <c r="M8" s="289" t="s">
        <v>1457</v>
      </c>
      <c r="N8" s="388" t="s">
        <v>1457</v>
      </c>
      <c r="O8" s="289" t="s">
        <v>1457</v>
      </c>
      <c r="P8" s="388" t="s">
        <v>1457</v>
      </c>
      <c r="Q8" s="388" t="s">
        <v>1457</v>
      </c>
      <c r="R8" s="590" t="s">
        <v>2187</v>
      </c>
      <c r="S8" s="388" t="s">
        <v>1457</v>
      </c>
      <c r="T8" s="388" t="s">
        <v>1457</v>
      </c>
      <c r="U8" s="388" t="s">
        <v>1457</v>
      </c>
      <c r="V8" s="388" t="s">
        <v>1457</v>
      </c>
      <c r="W8" s="589" t="s">
        <v>1457</v>
      </c>
      <c r="X8" s="290">
        <v>0</v>
      </c>
      <c r="Y8" s="588" t="s">
        <v>1457</v>
      </c>
      <c r="Z8" s="588" t="s">
        <v>1457</v>
      </c>
      <c r="AA8" s="289" t="s">
        <v>1457</v>
      </c>
      <c r="AB8" s="388" t="s">
        <v>1457</v>
      </c>
      <c r="AC8" s="588" t="s">
        <v>1457</v>
      </c>
      <c r="AD8" s="587">
        <v>0</v>
      </c>
      <c r="AE8" s="588" t="s">
        <v>1457</v>
      </c>
      <c r="AF8" s="588" t="s">
        <v>1457</v>
      </c>
      <c r="AG8" s="289" t="s">
        <v>1457</v>
      </c>
      <c r="AH8" s="388" t="s">
        <v>1457</v>
      </c>
      <c r="AI8" s="289" t="s">
        <v>1457</v>
      </c>
      <c r="AJ8" s="388" t="s">
        <v>1457</v>
      </c>
      <c r="AK8" s="589" t="s">
        <v>1457</v>
      </c>
      <c r="AL8" s="590" t="s">
        <v>2186</v>
      </c>
      <c r="AM8" s="388" t="s">
        <v>1457</v>
      </c>
      <c r="AN8" s="388" t="s">
        <v>1457</v>
      </c>
      <c r="AO8" s="388" t="s">
        <v>1457</v>
      </c>
      <c r="AP8" s="388" t="s">
        <v>1457</v>
      </c>
      <c r="AQ8" s="589" t="s">
        <v>1457</v>
      </c>
    </row>
    <row r="9" spans="1:43" s="290" customFormat="1" ht="18">
      <c r="A9" s="290" t="s">
        <v>389</v>
      </c>
      <c r="B9" s="290" t="s">
        <v>2180</v>
      </c>
      <c r="C9" s="290" t="s">
        <v>2180</v>
      </c>
      <c r="D9" s="587">
        <v>32</v>
      </c>
      <c r="E9" s="290">
        <v>8</v>
      </c>
      <c r="F9" s="588" t="s">
        <v>2188</v>
      </c>
      <c r="G9" s="289">
        <v>1.056</v>
      </c>
      <c r="H9" s="388">
        <v>0.42099999999999999</v>
      </c>
      <c r="I9" s="589">
        <v>1.7857142857142859E-3</v>
      </c>
      <c r="J9" s="290">
        <v>14</v>
      </c>
      <c r="K9" s="588">
        <v>5</v>
      </c>
      <c r="L9" s="588" t="s">
        <v>2189</v>
      </c>
      <c r="M9" s="289">
        <v>1.1040000000000001</v>
      </c>
      <c r="N9" s="388">
        <v>0.41199999999999998</v>
      </c>
      <c r="O9" s="289">
        <v>0.55300000000000005</v>
      </c>
      <c r="P9" s="388">
        <v>0.70199999999999996</v>
      </c>
      <c r="Q9" s="388">
        <v>5.0000000000000001E-3</v>
      </c>
      <c r="R9" s="590" t="s">
        <v>2190</v>
      </c>
      <c r="S9" s="290">
        <v>6</v>
      </c>
      <c r="T9" s="588" t="s">
        <v>2191</v>
      </c>
      <c r="U9" s="289">
        <v>1.2030000000000001</v>
      </c>
      <c r="V9" s="388">
        <v>0.32500000000000001</v>
      </c>
      <c r="W9" s="589">
        <v>3.3333333333333335E-3</v>
      </c>
      <c r="X9" s="290">
        <v>18</v>
      </c>
      <c r="Y9" s="290">
        <v>7</v>
      </c>
      <c r="Z9" s="588" t="s">
        <v>2192</v>
      </c>
      <c r="AA9" s="289">
        <v>0.36599999999999999</v>
      </c>
      <c r="AB9" s="388">
        <v>0.88600000000000001</v>
      </c>
      <c r="AC9" s="388">
        <v>2.3809523809523812E-3</v>
      </c>
      <c r="AD9" s="587">
        <v>31</v>
      </c>
      <c r="AE9" s="290">
        <v>3</v>
      </c>
      <c r="AF9" s="588" t="s">
        <v>2193</v>
      </c>
      <c r="AG9" s="289">
        <v>3.7949999999999999</v>
      </c>
      <c r="AH9" s="388">
        <v>3.4799999999999998E-2</v>
      </c>
      <c r="AI9" s="289">
        <v>2.5609999999999999</v>
      </c>
      <c r="AJ9" s="388">
        <v>9.5200000000000007E-2</v>
      </c>
      <c r="AK9" s="589">
        <v>1.6666666666666666E-2</v>
      </c>
      <c r="AL9" s="590" t="s">
        <v>2194</v>
      </c>
      <c r="AM9" s="290">
        <v>4</v>
      </c>
      <c r="AN9" s="588" t="s">
        <v>2195</v>
      </c>
      <c r="AO9" s="289">
        <v>2.2389999999999999</v>
      </c>
      <c r="AP9" s="388">
        <v>0.96699999999999997</v>
      </c>
      <c r="AQ9" s="589">
        <v>8.3333333333333332E-3</v>
      </c>
    </row>
    <row r="10" spans="1:43" s="290" customFormat="1" ht="18">
      <c r="A10" s="290" t="s">
        <v>389</v>
      </c>
      <c r="B10" s="290" t="s">
        <v>390</v>
      </c>
      <c r="C10" s="290" t="s">
        <v>391</v>
      </c>
      <c r="D10" s="587">
        <v>2</v>
      </c>
      <c r="E10" s="588" t="s">
        <v>1457</v>
      </c>
      <c r="F10" s="588" t="s">
        <v>1457</v>
      </c>
      <c r="G10" s="289" t="s">
        <v>1457</v>
      </c>
      <c r="H10" s="388" t="s">
        <v>1457</v>
      </c>
      <c r="I10" s="589" t="s">
        <v>1457</v>
      </c>
      <c r="J10" s="290">
        <v>2</v>
      </c>
      <c r="K10" s="588" t="s">
        <v>1457</v>
      </c>
      <c r="L10" s="588" t="s">
        <v>1457</v>
      </c>
      <c r="M10" s="289" t="s">
        <v>1457</v>
      </c>
      <c r="N10" s="388" t="s">
        <v>1457</v>
      </c>
      <c r="O10" s="289" t="s">
        <v>1457</v>
      </c>
      <c r="P10" s="388" t="s">
        <v>1457</v>
      </c>
      <c r="Q10" s="388" t="s">
        <v>1457</v>
      </c>
      <c r="R10" s="590" t="s">
        <v>2196</v>
      </c>
      <c r="S10" s="388" t="s">
        <v>1457</v>
      </c>
      <c r="T10" s="388" t="s">
        <v>1457</v>
      </c>
      <c r="U10" s="388" t="s">
        <v>1457</v>
      </c>
      <c r="V10" s="388" t="s">
        <v>1457</v>
      </c>
      <c r="W10" s="589" t="s">
        <v>1457</v>
      </c>
      <c r="X10" s="290">
        <v>0</v>
      </c>
      <c r="Y10" s="588" t="s">
        <v>1457</v>
      </c>
      <c r="Z10" s="588" t="s">
        <v>1457</v>
      </c>
      <c r="AA10" s="289" t="s">
        <v>1457</v>
      </c>
      <c r="AB10" s="388" t="s">
        <v>1457</v>
      </c>
      <c r="AC10" s="588" t="s">
        <v>1457</v>
      </c>
      <c r="AD10" s="587">
        <v>0</v>
      </c>
      <c r="AE10" s="588" t="s">
        <v>1457</v>
      </c>
      <c r="AF10" s="588" t="s">
        <v>1457</v>
      </c>
      <c r="AG10" s="289" t="s">
        <v>1457</v>
      </c>
      <c r="AH10" s="388" t="s">
        <v>1457</v>
      </c>
      <c r="AI10" s="289" t="s">
        <v>1457</v>
      </c>
      <c r="AJ10" s="388" t="s">
        <v>1457</v>
      </c>
      <c r="AK10" s="589" t="s">
        <v>1457</v>
      </c>
      <c r="AL10" s="590" t="s">
        <v>2186</v>
      </c>
      <c r="AM10" s="388" t="s">
        <v>1457</v>
      </c>
      <c r="AN10" s="388" t="s">
        <v>1457</v>
      </c>
      <c r="AO10" s="388" t="s">
        <v>1457</v>
      </c>
      <c r="AP10" s="388" t="s">
        <v>1457</v>
      </c>
      <c r="AQ10" s="589" t="s">
        <v>1457</v>
      </c>
    </row>
    <row r="11" spans="1:43" s="290" customFormat="1" ht="18">
      <c r="A11" s="290" t="s">
        <v>389</v>
      </c>
      <c r="B11" s="290" t="s">
        <v>390</v>
      </c>
      <c r="C11" s="290" t="s">
        <v>470</v>
      </c>
      <c r="D11" s="587">
        <v>0</v>
      </c>
      <c r="E11" s="588" t="s">
        <v>1457</v>
      </c>
      <c r="F11" s="588" t="s">
        <v>1457</v>
      </c>
      <c r="G11" s="289" t="s">
        <v>1457</v>
      </c>
      <c r="H11" s="388" t="s">
        <v>1457</v>
      </c>
      <c r="I11" s="589" t="s">
        <v>1457</v>
      </c>
      <c r="J11" s="290">
        <v>0</v>
      </c>
      <c r="K11" s="588" t="s">
        <v>1457</v>
      </c>
      <c r="L11" s="588" t="s">
        <v>1457</v>
      </c>
      <c r="M11" s="289" t="s">
        <v>1457</v>
      </c>
      <c r="N11" s="388" t="s">
        <v>1457</v>
      </c>
      <c r="O11" s="289" t="s">
        <v>1457</v>
      </c>
      <c r="P11" s="388" t="s">
        <v>1457</v>
      </c>
      <c r="Q11" s="388" t="s">
        <v>1457</v>
      </c>
      <c r="R11" s="590" t="s">
        <v>2186</v>
      </c>
      <c r="S11" s="388" t="s">
        <v>1457</v>
      </c>
      <c r="T11" s="388" t="s">
        <v>1457</v>
      </c>
      <c r="U11" s="388" t="s">
        <v>1457</v>
      </c>
      <c r="V11" s="388" t="s">
        <v>1457</v>
      </c>
      <c r="W11" s="589" t="s">
        <v>1457</v>
      </c>
      <c r="X11" s="290">
        <v>18</v>
      </c>
      <c r="Y11" s="290">
        <v>7</v>
      </c>
      <c r="Z11" s="588" t="s">
        <v>2192</v>
      </c>
      <c r="AA11" s="289">
        <v>0.36599999999999999</v>
      </c>
      <c r="AB11" s="388">
        <v>0.88600000000000001</v>
      </c>
      <c r="AC11" s="388">
        <v>2.3809523809523812E-3</v>
      </c>
      <c r="AD11" s="587">
        <v>31</v>
      </c>
      <c r="AE11" s="290">
        <v>3</v>
      </c>
      <c r="AF11" s="588" t="s">
        <v>2193</v>
      </c>
      <c r="AG11" s="289">
        <v>3.7949999999999999</v>
      </c>
      <c r="AH11" s="388">
        <v>3.4799999999999998E-2</v>
      </c>
      <c r="AI11" s="289">
        <v>2.5609999999999999</v>
      </c>
      <c r="AJ11" s="388">
        <v>9.5200000000000007E-2</v>
      </c>
      <c r="AK11" s="589">
        <v>1.6666666666666666E-2</v>
      </c>
      <c r="AL11" s="590" t="s">
        <v>2194</v>
      </c>
      <c r="AM11" s="290">
        <v>4</v>
      </c>
      <c r="AN11" s="588" t="s">
        <v>2195</v>
      </c>
      <c r="AO11" s="289">
        <v>2.2389999999999999</v>
      </c>
      <c r="AP11" s="388">
        <v>0.96699999999999997</v>
      </c>
      <c r="AQ11" s="589">
        <v>8.3333333333333332E-3</v>
      </c>
    </row>
    <row r="12" spans="1:43" s="290" customFormat="1" ht="18">
      <c r="A12" s="290" t="s">
        <v>389</v>
      </c>
      <c r="B12" s="290" t="s">
        <v>390</v>
      </c>
      <c r="C12" s="290" t="s">
        <v>471</v>
      </c>
      <c r="D12" s="587">
        <v>1</v>
      </c>
      <c r="E12" s="588" t="s">
        <v>1457</v>
      </c>
      <c r="F12" s="588" t="s">
        <v>1457</v>
      </c>
      <c r="G12" s="289" t="s">
        <v>1457</v>
      </c>
      <c r="H12" s="388" t="s">
        <v>1457</v>
      </c>
      <c r="I12" s="589" t="s">
        <v>1457</v>
      </c>
      <c r="J12" s="290">
        <v>0</v>
      </c>
      <c r="K12" s="588" t="s">
        <v>1457</v>
      </c>
      <c r="L12" s="588" t="s">
        <v>1457</v>
      </c>
      <c r="M12" s="289" t="s">
        <v>1457</v>
      </c>
      <c r="N12" s="388" t="s">
        <v>1457</v>
      </c>
      <c r="O12" s="289" t="s">
        <v>1457</v>
      </c>
      <c r="P12" s="388" t="s">
        <v>1457</v>
      </c>
      <c r="Q12" s="388" t="s">
        <v>1457</v>
      </c>
      <c r="R12" s="590" t="s">
        <v>2185</v>
      </c>
      <c r="S12" s="388" t="s">
        <v>1457</v>
      </c>
      <c r="T12" s="388" t="s">
        <v>1457</v>
      </c>
      <c r="U12" s="388" t="s">
        <v>1457</v>
      </c>
      <c r="V12" s="388" t="s">
        <v>1457</v>
      </c>
      <c r="W12" s="589" t="s">
        <v>1457</v>
      </c>
      <c r="X12" s="290">
        <v>0</v>
      </c>
      <c r="Y12" s="588" t="s">
        <v>1457</v>
      </c>
      <c r="Z12" s="588" t="s">
        <v>1457</v>
      </c>
      <c r="AA12" s="289" t="s">
        <v>1457</v>
      </c>
      <c r="AB12" s="388" t="s">
        <v>1457</v>
      </c>
      <c r="AC12" s="588" t="s">
        <v>1457</v>
      </c>
      <c r="AD12" s="587">
        <v>0</v>
      </c>
      <c r="AE12" s="588" t="s">
        <v>1457</v>
      </c>
      <c r="AF12" s="588" t="s">
        <v>1457</v>
      </c>
      <c r="AG12" s="289" t="s">
        <v>1457</v>
      </c>
      <c r="AH12" s="388" t="s">
        <v>1457</v>
      </c>
      <c r="AI12" s="289" t="s">
        <v>1457</v>
      </c>
      <c r="AJ12" s="388" t="s">
        <v>1457</v>
      </c>
      <c r="AK12" s="589" t="s">
        <v>1457</v>
      </c>
      <c r="AL12" s="590" t="s">
        <v>2186</v>
      </c>
      <c r="AM12" s="388" t="s">
        <v>1457</v>
      </c>
      <c r="AN12" s="388" t="s">
        <v>1457</v>
      </c>
      <c r="AO12" s="388" t="s">
        <v>1457</v>
      </c>
      <c r="AP12" s="388" t="s">
        <v>1457</v>
      </c>
      <c r="AQ12" s="589" t="s">
        <v>1457</v>
      </c>
    </row>
    <row r="13" spans="1:43" s="290" customFormat="1" ht="18">
      <c r="A13" s="290" t="s">
        <v>389</v>
      </c>
      <c r="B13" s="290" t="s">
        <v>390</v>
      </c>
      <c r="C13" s="290" t="s">
        <v>151</v>
      </c>
      <c r="D13" s="587">
        <v>29</v>
      </c>
      <c r="E13" s="290">
        <v>8</v>
      </c>
      <c r="F13" s="588" t="s">
        <v>2197</v>
      </c>
      <c r="G13" s="289">
        <v>0.997</v>
      </c>
      <c r="H13" s="388">
        <v>0.46</v>
      </c>
      <c r="I13" s="589">
        <v>1.7857142857142859E-3</v>
      </c>
      <c r="J13" s="290">
        <v>12</v>
      </c>
      <c r="K13" s="588">
        <v>5</v>
      </c>
      <c r="L13" s="588" t="s">
        <v>2198</v>
      </c>
      <c r="M13" s="289">
        <v>1.036</v>
      </c>
      <c r="N13" s="388">
        <v>0.45200000000000001</v>
      </c>
      <c r="O13" s="289">
        <v>0.51100000000000001</v>
      </c>
      <c r="P13" s="388">
        <v>0.73</v>
      </c>
      <c r="Q13" s="388">
        <v>5.0000000000000001E-3</v>
      </c>
      <c r="R13" s="590" t="s">
        <v>2199</v>
      </c>
      <c r="S13" s="290">
        <v>6</v>
      </c>
      <c r="T13" s="588" t="s">
        <v>2200</v>
      </c>
      <c r="U13" s="289">
        <v>1.0980000000000001</v>
      </c>
      <c r="V13" s="388">
        <v>0.379</v>
      </c>
      <c r="W13" s="589">
        <v>3.3333333333333335E-3</v>
      </c>
      <c r="X13" s="290">
        <v>0</v>
      </c>
      <c r="Y13" s="588" t="s">
        <v>1457</v>
      </c>
      <c r="Z13" s="588" t="s">
        <v>1457</v>
      </c>
      <c r="AA13" s="289" t="s">
        <v>1457</v>
      </c>
      <c r="AB13" s="388" t="s">
        <v>1457</v>
      </c>
      <c r="AC13" s="588" t="s">
        <v>1457</v>
      </c>
      <c r="AD13" s="587">
        <v>0</v>
      </c>
      <c r="AE13" s="588" t="s">
        <v>1457</v>
      </c>
      <c r="AF13" s="588" t="s">
        <v>1457</v>
      </c>
      <c r="AG13" s="289" t="s">
        <v>1457</v>
      </c>
      <c r="AH13" s="388" t="s">
        <v>1457</v>
      </c>
      <c r="AI13" s="289" t="s">
        <v>1457</v>
      </c>
      <c r="AJ13" s="388" t="s">
        <v>1457</v>
      </c>
      <c r="AK13" s="589" t="s">
        <v>1457</v>
      </c>
      <c r="AL13" s="590" t="s">
        <v>2186</v>
      </c>
      <c r="AM13" s="388" t="s">
        <v>1457</v>
      </c>
      <c r="AN13" s="388" t="s">
        <v>1457</v>
      </c>
      <c r="AO13" s="388" t="s">
        <v>1457</v>
      </c>
      <c r="AP13" s="388" t="s">
        <v>1457</v>
      </c>
      <c r="AQ13" s="589" t="s">
        <v>1457</v>
      </c>
    </row>
    <row r="14" spans="1:43" s="290" customFormat="1" ht="18">
      <c r="A14" s="290" t="s">
        <v>202</v>
      </c>
      <c r="B14" s="290" t="s">
        <v>2180</v>
      </c>
      <c r="C14" s="290" t="s">
        <v>2180</v>
      </c>
      <c r="D14" s="587">
        <v>27</v>
      </c>
      <c r="E14" s="290">
        <v>5</v>
      </c>
      <c r="F14" s="588" t="s">
        <v>2201</v>
      </c>
      <c r="G14" s="289">
        <v>1.2290000000000001</v>
      </c>
      <c r="H14" s="388">
        <v>0.32700000000000001</v>
      </c>
      <c r="I14" s="589">
        <v>5.0000000000000001E-3</v>
      </c>
      <c r="J14" s="290">
        <v>0</v>
      </c>
      <c r="K14" s="588" t="s">
        <v>1457</v>
      </c>
      <c r="L14" s="588" t="s">
        <v>1457</v>
      </c>
      <c r="M14" s="289" t="s">
        <v>1457</v>
      </c>
      <c r="N14" s="388" t="s">
        <v>1457</v>
      </c>
      <c r="O14" s="289" t="s">
        <v>1457</v>
      </c>
      <c r="P14" s="388" t="s">
        <v>1457</v>
      </c>
      <c r="Q14" s="388" t="s">
        <v>1457</v>
      </c>
      <c r="R14" s="590" t="s">
        <v>2202</v>
      </c>
      <c r="S14" s="388" t="s">
        <v>1457</v>
      </c>
      <c r="T14" s="388" t="s">
        <v>1457</v>
      </c>
      <c r="U14" s="388" t="s">
        <v>1457</v>
      </c>
      <c r="V14" s="388" t="s">
        <v>1457</v>
      </c>
      <c r="W14" s="589" t="s">
        <v>1457</v>
      </c>
      <c r="X14" s="290">
        <v>0</v>
      </c>
      <c r="Y14" s="588" t="s">
        <v>1457</v>
      </c>
      <c r="Z14" s="588" t="s">
        <v>1457</v>
      </c>
      <c r="AA14" s="289" t="s">
        <v>1457</v>
      </c>
      <c r="AB14" s="388" t="s">
        <v>1457</v>
      </c>
      <c r="AC14" s="588" t="s">
        <v>1457</v>
      </c>
      <c r="AD14" s="587">
        <v>0</v>
      </c>
      <c r="AE14" s="588" t="s">
        <v>1457</v>
      </c>
      <c r="AF14" s="588" t="s">
        <v>1457</v>
      </c>
      <c r="AG14" s="289" t="s">
        <v>1457</v>
      </c>
      <c r="AH14" s="388" t="s">
        <v>1457</v>
      </c>
      <c r="AI14" s="289" t="s">
        <v>1457</v>
      </c>
      <c r="AJ14" s="388" t="s">
        <v>1457</v>
      </c>
      <c r="AK14" s="589" t="s">
        <v>1457</v>
      </c>
      <c r="AL14" s="590" t="s">
        <v>2186</v>
      </c>
      <c r="AM14" s="388" t="s">
        <v>1457</v>
      </c>
      <c r="AN14" s="388" t="s">
        <v>1457</v>
      </c>
      <c r="AO14" s="388" t="s">
        <v>1457</v>
      </c>
      <c r="AP14" s="388" t="s">
        <v>1457</v>
      </c>
      <c r="AQ14" s="589" t="s">
        <v>1457</v>
      </c>
    </row>
    <row r="15" spans="1:43" s="290" customFormat="1" ht="18">
      <c r="A15" s="290" t="s">
        <v>202</v>
      </c>
      <c r="B15" s="290" t="s">
        <v>203</v>
      </c>
      <c r="C15" s="290" t="s">
        <v>204</v>
      </c>
      <c r="D15" s="587">
        <v>22</v>
      </c>
      <c r="E15" s="290">
        <v>5</v>
      </c>
      <c r="F15" s="588" t="s">
        <v>2203</v>
      </c>
      <c r="G15" s="289">
        <v>1.0329999999999999</v>
      </c>
      <c r="H15" s="388">
        <v>0.41899999999999998</v>
      </c>
      <c r="I15" s="589">
        <v>5.0000000000000001E-3</v>
      </c>
      <c r="J15" s="290">
        <v>0</v>
      </c>
      <c r="K15" s="588" t="s">
        <v>1457</v>
      </c>
      <c r="L15" s="588" t="s">
        <v>1457</v>
      </c>
      <c r="M15" s="289" t="s">
        <v>1457</v>
      </c>
      <c r="N15" s="388" t="s">
        <v>1457</v>
      </c>
      <c r="O15" s="289" t="s">
        <v>1457</v>
      </c>
      <c r="P15" s="388" t="s">
        <v>1457</v>
      </c>
      <c r="Q15" s="388" t="s">
        <v>1457</v>
      </c>
      <c r="R15" s="590" t="s">
        <v>2204</v>
      </c>
      <c r="S15" s="388" t="s">
        <v>1457</v>
      </c>
      <c r="T15" s="388" t="s">
        <v>1457</v>
      </c>
      <c r="U15" s="388" t="s">
        <v>1457</v>
      </c>
      <c r="V15" s="388" t="s">
        <v>1457</v>
      </c>
      <c r="W15" s="589" t="s">
        <v>1457</v>
      </c>
      <c r="X15" s="290">
        <v>0</v>
      </c>
      <c r="Y15" s="588" t="s">
        <v>1457</v>
      </c>
      <c r="Z15" s="588" t="s">
        <v>1457</v>
      </c>
      <c r="AA15" s="289" t="s">
        <v>1457</v>
      </c>
      <c r="AB15" s="388" t="s">
        <v>1457</v>
      </c>
      <c r="AC15" s="588" t="s">
        <v>1457</v>
      </c>
      <c r="AD15" s="587">
        <v>0</v>
      </c>
      <c r="AE15" s="588" t="s">
        <v>1457</v>
      </c>
      <c r="AF15" s="588" t="s">
        <v>1457</v>
      </c>
      <c r="AG15" s="289" t="s">
        <v>1457</v>
      </c>
      <c r="AH15" s="388" t="s">
        <v>1457</v>
      </c>
      <c r="AI15" s="289" t="s">
        <v>1457</v>
      </c>
      <c r="AJ15" s="388" t="s">
        <v>1457</v>
      </c>
      <c r="AK15" s="589" t="s">
        <v>1457</v>
      </c>
      <c r="AL15" s="590" t="s">
        <v>2186</v>
      </c>
      <c r="AM15" s="388" t="s">
        <v>1457</v>
      </c>
      <c r="AN15" s="388" t="s">
        <v>1457</v>
      </c>
      <c r="AO15" s="388" t="s">
        <v>1457</v>
      </c>
      <c r="AP15" s="388" t="s">
        <v>1457</v>
      </c>
      <c r="AQ15" s="589" t="s">
        <v>1457</v>
      </c>
    </row>
    <row r="16" spans="1:43" s="290" customFormat="1" ht="18">
      <c r="A16" s="290" t="s">
        <v>202</v>
      </c>
      <c r="B16" s="290" t="s">
        <v>482</v>
      </c>
      <c r="C16" s="290" t="s">
        <v>220</v>
      </c>
      <c r="D16" s="587">
        <v>5</v>
      </c>
      <c r="E16" s="588" t="s">
        <v>1457</v>
      </c>
      <c r="F16" s="588" t="s">
        <v>1457</v>
      </c>
      <c r="G16" s="289" t="s">
        <v>1457</v>
      </c>
      <c r="H16" s="388" t="s">
        <v>1457</v>
      </c>
      <c r="I16" s="589" t="s">
        <v>1457</v>
      </c>
      <c r="J16" s="290">
        <v>0</v>
      </c>
      <c r="K16" s="588" t="s">
        <v>1457</v>
      </c>
      <c r="L16" s="588" t="s">
        <v>1457</v>
      </c>
      <c r="M16" s="289" t="s">
        <v>1457</v>
      </c>
      <c r="N16" s="388" t="s">
        <v>1457</v>
      </c>
      <c r="O16" s="289" t="s">
        <v>1457</v>
      </c>
      <c r="P16" s="388" t="s">
        <v>1457</v>
      </c>
      <c r="Q16" s="388" t="s">
        <v>1457</v>
      </c>
      <c r="R16" s="590" t="s">
        <v>2205</v>
      </c>
      <c r="S16" s="388" t="s">
        <v>1457</v>
      </c>
      <c r="T16" s="388" t="s">
        <v>1457</v>
      </c>
      <c r="U16" s="388" t="s">
        <v>1457</v>
      </c>
      <c r="V16" s="388" t="s">
        <v>1457</v>
      </c>
      <c r="W16" s="589" t="s">
        <v>1457</v>
      </c>
      <c r="X16" s="290">
        <v>0</v>
      </c>
      <c r="Y16" s="588" t="s">
        <v>1457</v>
      </c>
      <c r="Z16" s="588" t="s">
        <v>1457</v>
      </c>
      <c r="AA16" s="289" t="s">
        <v>1457</v>
      </c>
      <c r="AB16" s="388" t="s">
        <v>1457</v>
      </c>
      <c r="AC16" s="588" t="s">
        <v>1457</v>
      </c>
      <c r="AD16" s="587">
        <v>0</v>
      </c>
      <c r="AE16" s="588" t="s">
        <v>1457</v>
      </c>
      <c r="AF16" s="588" t="s">
        <v>1457</v>
      </c>
      <c r="AG16" s="289" t="s">
        <v>1457</v>
      </c>
      <c r="AH16" s="388" t="s">
        <v>1457</v>
      </c>
      <c r="AI16" s="289" t="s">
        <v>1457</v>
      </c>
      <c r="AJ16" s="388" t="s">
        <v>1457</v>
      </c>
      <c r="AK16" s="589" t="s">
        <v>1457</v>
      </c>
      <c r="AL16" s="590" t="s">
        <v>2186</v>
      </c>
      <c r="AM16" s="388" t="s">
        <v>1457</v>
      </c>
      <c r="AN16" s="388" t="s">
        <v>1457</v>
      </c>
      <c r="AO16" s="388" t="s">
        <v>1457</v>
      </c>
      <c r="AP16" s="388" t="s">
        <v>1457</v>
      </c>
      <c r="AQ16" s="589" t="s">
        <v>1457</v>
      </c>
    </row>
    <row r="17" spans="1:43" s="290" customFormat="1" ht="18">
      <c r="A17" s="290" t="s">
        <v>74</v>
      </c>
      <c r="B17" s="290" t="s">
        <v>2180</v>
      </c>
      <c r="C17" s="290" t="s">
        <v>2180</v>
      </c>
      <c r="D17" s="587">
        <v>3</v>
      </c>
      <c r="E17" s="588" t="s">
        <v>1457</v>
      </c>
      <c r="F17" s="588" t="s">
        <v>1457</v>
      </c>
      <c r="G17" s="289" t="s">
        <v>1457</v>
      </c>
      <c r="H17" s="388" t="s">
        <v>1457</v>
      </c>
      <c r="I17" s="589" t="s">
        <v>1457</v>
      </c>
      <c r="J17" s="290">
        <v>18</v>
      </c>
      <c r="K17" s="588">
        <v>4</v>
      </c>
      <c r="L17" s="588" t="s">
        <v>2206</v>
      </c>
      <c r="M17" s="289">
        <v>2.4169999999999998</v>
      </c>
      <c r="N17" s="388">
        <v>0.11</v>
      </c>
      <c r="O17" s="289">
        <v>1.0669999999999999</v>
      </c>
      <c r="P17" s="388">
        <v>0.39400000000000002</v>
      </c>
      <c r="Q17" s="388">
        <v>8.3333333333333332E-3</v>
      </c>
      <c r="R17" s="590" t="s">
        <v>2207</v>
      </c>
      <c r="S17" s="388" t="s">
        <v>1457</v>
      </c>
      <c r="T17" s="388" t="s">
        <v>1457</v>
      </c>
      <c r="U17" s="388" t="s">
        <v>1457</v>
      </c>
      <c r="V17" s="388" t="s">
        <v>1457</v>
      </c>
      <c r="W17" s="589" t="s">
        <v>1457</v>
      </c>
      <c r="X17" s="290">
        <v>0</v>
      </c>
      <c r="Y17" s="588" t="s">
        <v>1457</v>
      </c>
      <c r="Z17" s="588" t="s">
        <v>1457</v>
      </c>
      <c r="AA17" s="289" t="s">
        <v>1457</v>
      </c>
      <c r="AB17" s="388" t="s">
        <v>1457</v>
      </c>
      <c r="AC17" s="588" t="s">
        <v>1457</v>
      </c>
      <c r="AD17" s="587">
        <v>61</v>
      </c>
      <c r="AE17" s="588" t="s">
        <v>2208</v>
      </c>
      <c r="AF17" s="588" t="s">
        <v>2209</v>
      </c>
      <c r="AG17" s="289">
        <v>0.53600000000000003</v>
      </c>
      <c r="AH17" s="388">
        <v>0.71</v>
      </c>
      <c r="AI17" s="289">
        <v>4.0720000000000001</v>
      </c>
      <c r="AJ17" s="388">
        <v>5.7400000000000003E-3</v>
      </c>
      <c r="AK17" s="589">
        <v>5.0000000000000001E-3</v>
      </c>
      <c r="AL17" s="590" t="s">
        <v>2210</v>
      </c>
      <c r="AM17" s="388" t="s">
        <v>1457</v>
      </c>
      <c r="AN17" s="388" t="s">
        <v>1457</v>
      </c>
      <c r="AO17" s="388" t="s">
        <v>1457</v>
      </c>
      <c r="AP17" s="388" t="s">
        <v>1457</v>
      </c>
      <c r="AQ17" s="589" t="s">
        <v>1457</v>
      </c>
    </row>
    <row r="18" spans="1:43" s="290" customFormat="1" ht="18">
      <c r="A18" s="290" t="s">
        <v>74</v>
      </c>
      <c r="B18" s="290" t="s">
        <v>266</v>
      </c>
      <c r="C18" s="290" t="s">
        <v>282</v>
      </c>
      <c r="D18" s="587">
        <v>3</v>
      </c>
      <c r="E18" s="588" t="s">
        <v>1457</v>
      </c>
      <c r="F18" s="588" t="s">
        <v>1457</v>
      </c>
      <c r="G18" s="289" t="s">
        <v>1457</v>
      </c>
      <c r="H18" s="388" t="s">
        <v>1457</v>
      </c>
      <c r="I18" s="589" t="s">
        <v>1457</v>
      </c>
      <c r="J18" s="290">
        <v>5</v>
      </c>
      <c r="K18" s="588" t="s">
        <v>1457</v>
      </c>
      <c r="L18" s="588" t="s">
        <v>1457</v>
      </c>
      <c r="M18" s="289" t="s">
        <v>1457</v>
      </c>
      <c r="N18" s="388" t="s">
        <v>1457</v>
      </c>
      <c r="O18" s="289" t="s">
        <v>1457</v>
      </c>
      <c r="P18" s="388" t="s">
        <v>1457</v>
      </c>
      <c r="Q18" s="388" t="s">
        <v>1457</v>
      </c>
      <c r="R18" s="590" t="s">
        <v>2211</v>
      </c>
      <c r="S18" s="388" t="s">
        <v>1457</v>
      </c>
      <c r="T18" s="388" t="s">
        <v>1457</v>
      </c>
      <c r="U18" s="388" t="s">
        <v>1457</v>
      </c>
      <c r="V18" s="388" t="s">
        <v>1457</v>
      </c>
      <c r="W18" s="589" t="s">
        <v>1457</v>
      </c>
      <c r="X18" s="290">
        <v>0</v>
      </c>
      <c r="Y18" s="588" t="s">
        <v>1457</v>
      </c>
      <c r="Z18" s="588" t="s">
        <v>1457</v>
      </c>
      <c r="AA18" s="289" t="s">
        <v>1457</v>
      </c>
      <c r="AB18" s="388" t="s">
        <v>1457</v>
      </c>
      <c r="AC18" s="588" t="s">
        <v>1457</v>
      </c>
      <c r="AD18" s="587">
        <v>0</v>
      </c>
      <c r="AE18" s="588" t="s">
        <v>1457</v>
      </c>
      <c r="AF18" s="588" t="s">
        <v>1457</v>
      </c>
      <c r="AG18" s="289" t="s">
        <v>1457</v>
      </c>
      <c r="AH18" s="388" t="s">
        <v>1457</v>
      </c>
      <c r="AI18" s="289" t="s">
        <v>1457</v>
      </c>
      <c r="AJ18" s="388" t="s">
        <v>1457</v>
      </c>
      <c r="AK18" s="589" t="s">
        <v>1457</v>
      </c>
      <c r="AL18" s="590" t="s">
        <v>2186</v>
      </c>
      <c r="AM18" s="388" t="s">
        <v>1457</v>
      </c>
      <c r="AN18" s="388" t="s">
        <v>1457</v>
      </c>
      <c r="AO18" s="388" t="s">
        <v>1457</v>
      </c>
      <c r="AP18" s="388" t="s">
        <v>1457</v>
      </c>
      <c r="AQ18" s="589" t="s">
        <v>1457</v>
      </c>
    </row>
    <row r="19" spans="1:43" s="290" customFormat="1" ht="18">
      <c r="A19" s="290" t="s">
        <v>74</v>
      </c>
      <c r="B19" s="290" t="s">
        <v>266</v>
      </c>
      <c r="C19" s="290" t="s">
        <v>499</v>
      </c>
      <c r="D19" s="587">
        <v>0</v>
      </c>
      <c r="E19" s="588" t="s">
        <v>1457</v>
      </c>
      <c r="F19" s="588" t="s">
        <v>1457</v>
      </c>
      <c r="G19" s="289" t="s">
        <v>1457</v>
      </c>
      <c r="H19" s="388" t="s">
        <v>1457</v>
      </c>
      <c r="I19" s="589" t="s">
        <v>1457</v>
      </c>
      <c r="J19" s="290">
        <v>0</v>
      </c>
      <c r="K19" s="588" t="s">
        <v>1457</v>
      </c>
      <c r="L19" s="588" t="s">
        <v>1457</v>
      </c>
      <c r="M19" s="289" t="s">
        <v>1457</v>
      </c>
      <c r="N19" s="388" t="s">
        <v>1457</v>
      </c>
      <c r="O19" s="289" t="s">
        <v>1457</v>
      </c>
      <c r="P19" s="388" t="s">
        <v>1457</v>
      </c>
      <c r="Q19" s="388" t="s">
        <v>1457</v>
      </c>
      <c r="R19" s="590" t="s">
        <v>2186</v>
      </c>
      <c r="S19" s="388" t="s">
        <v>1457</v>
      </c>
      <c r="T19" s="388" t="s">
        <v>1457</v>
      </c>
      <c r="U19" s="388" t="s">
        <v>1457</v>
      </c>
      <c r="V19" s="388" t="s">
        <v>1457</v>
      </c>
      <c r="W19" s="589" t="s">
        <v>1457</v>
      </c>
      <c r="X19" s="290">
        <v>0</v>
      </c>
      <c r="Y19" s="588" t="s">
        <v>1457</v>
      </c>
      <c r="Z19" s="588" t="s">
        <v>1457</v>
      </c>
      <c r="AA19" s="289" t="s">
        <v>1457</v>
      </c>
      <c r="AB19" s="388" t="s">
        <v>1457</v>
      </c>
      <c r="AC19" s="588" t="s">
        <v>1457</v>
      </c>
      <c r="AD19" s="587">
        <v>3</v>
      </c>
      <c r="AE19" s="588" t="s">
        <v>1457</v>
      </c>
      <c r="AF19" s="588" t="s">
        <v>1457</v>
      </c>
      <c r="AG19" s="289" t="s">
        <v>1457</v>
      </c>
      <c r="AH19" s="388" t="s">
        <v>1457</v>
      </c>
      <c r="AI19" s="289" t="s">
        <v>1457</v>
      </c>
      <c r="AJ19" s="388" t="s">
        <v>1457</v>
      </c>
      <c r="AK19" s="589" t="s">
        <v>1457</v>
      </c>
      <c r="AL19" s="590" t="s">
        <v>2212</v>
      </c>
      <c r="AM19" s="388" t="s">
        <v>1457</v>
      </c>
      <c r="AN19" s="388" t="s">
        <v>1457</v>
      </c>
      <c r="AO19" s="388" t="s">
        <v>1457</v>
      </c>
      <c r="AP19" s="388" t="s">
        <v>1457</v>
      </c>
      <c r="AQ19" s="589" t="s">
        <v>1457</v>
      </c>
    </row>
    <row r="20" spans="1:43" s="290" customFormat="1" ht="18">
      <c r="A20" s="290" t="s">
        <v>74</v>
      </c>
      <c r="B20" s="290" t="s">
        <v>266</v>
      </c>
      <c r="C20" s="290" t="s">
        <v>350</v>
      </c>
      <c r="D20" s="587">
        <v>0</v>
      </c>
      <c r="E20" s="588" t="s">
        <v>1457</v>
      </c>
      <c r="F20" s="588" t="s">
        <v>1457</v>
      </c>
      <c r="G20" s="289" t="s">
        <v>1457</v>
      </c>
      <c r="H20" s="388" t="s">
        <v>1457</v>
      </c>
      <c r="I20" s="589" t="s">
        <v>1457</v>
      </c>
      <c r="J20" s="290">
        <v>0</v>
      </c>
      <c r="K20" s="588" t="s">
        <v>1457</v>
      </c>
      <c r="L20" s="588" t="s">
        <v>1457</v>
      </c>
      <c r="M20" s="289" t="s">
        <v>1457</v>
      </c>
      <c r="N20" s="388" t="s">
        <v>1457</v>
      </c>
      <c r="O20" s="289" t="s">
        <v>1457</v>
      </c>
      <c r="P20" s="388" t="s">
        <v>1457</v>
      </c>
      <c r="Q20" s="388" t="s">
        <v>1457</v>
      </c>
      <c r="R20" s="590" t="s">
        <v>2186</v>
      </c>
      <c r="S20" s="388" t="s">
        <v>1457</v>
      </c>
      <c r="T20" s="388" t="s">
        <v>1457</v>
      </c>
      <c r="U20" s="388" t="s">
        <v>1457</v>
      </c>
      <c r="V20" s="388" t="s">
        <v>1457</v>
      </c>
      <c r="W20" s="589" t="s">
        <v>1457</v>
      </c>
      <c r="X20" s="290">
        <v>0</v>
      </c>
      <c r="Y20" s="588" t="s">
        <v>1457</v>
      </c>
      <c r="Z20" s="588" t="s">
        <v>1457</v>
      </c>
      <c r="AA20" s="289" t="s">
        <v>1457</v>
      </c>
      <c r="AB20" s="388" t="s">
        <v>1457</v>
      </c>
      <c r="AC20" s="588" t="s">
        <v>1457</v>
      </c>
      <c r="AD20" s="587">
        <v>11</v>
      </c>
      <c r="AE20" s="588" t="s">
        <v>2213</v>
      </c>
      <c r="AF20" s="588" t="s">
        <v>2214</v>
      </c>
      <c r="AG20" s="289">
        <v>7.2999999999999995E-2</v>
      </c>
      <c r="AH20" s="388">
        <v>0.93</v>
      </c>
      <c r="AI20" s="289">
        <v>3.9E-2</v>
      </c>
      <c r="AJ20" s="388">
        <v>0.96199999999999997</v>
      </c>
      <c r="AK20" s="589">
        <v>1.6666666666666666E-2</v>
      </c>
      <c r="AL20" s="590" t="s">
        <v>2215</v>
      </c>
      <c r="AM20" s="388" t="s">
        <v>1457</v>
      </c>
      <c r="AN20" s="388" t="s">
        <v>1457</v>
      </c>
      <c r="AO20" s="388" t="s">
        <v>1457</v>
      </c>
      <c r="AP20" s="388" t="s">
        <v>1457</v>
      </c>
      <c r="AQ20" s="589" t="s">
        <v>1457</v>
      </c>
    </row>
    <row r="21" spans="1:43" s="290" customFormat="1" ht="18">
      <c r="A21" s="290" t="s">
        <v>74</v>
      </c>
      <c r="B21" s="290" t="s">
        <v>266</v>
      </c>
      <c r="C21" s="290" t="s">
        <v>267</v>
      </c>
      <c r="D21" s="587">
        <v>0</v>
      </c>
      <c r="E21" s="588" t="s">
        <v>1457</v>
      </c>
      <c r="F21" s="588" t="s">
        <v>1457</v>
      </c>
      <c r="G21" s="289" t="s">
        <v>1457</v>
      </c>
      <c r="H21" s="388" t="s">
        <v>1457</v>
      </c>
      <c r="I21" s="589" t="s">
        <v>1457</v>
      </c>
      <c r="J21" s="290">
        <v>5</v>
      </c>
      <c r="K21" s="588" t="s">
        <v>1457</v>
      </c>
      <c r="L21" s="588" t="s">
        <v>1457</v>
      </c>
      <c r="M21" s="289" t="s">
        <v>1457</v>
      </c>
      <c r="N21" s="388" t="s">
        <v>1457</v>
      </c>
      <c r="O21" s="289" t="s">
        <v>1457</v>
      </c>
      <c r="P21" s="388" t="s">
        <v>1457</v>
      </c>
      <c r="Q21" s="388" t="s">
        <v>1457</v>
      </c>
      <c r="R21" s="590" t="s">
        <v>2216</v>
      </c>
      <c r="S21" s="388" t="s">
        <v>1457</v>
      </c>
      <c r="T21" s="388" t="s">
        <v>1457</v>
      </c>
      <c r="U21" s="388" t="s">
        <v>1457</v>
      </c>
      <c r="V21" s="388" t="s">
        <v>1457</v>
      </c>
      <c r="W21" s="589" t="s">
        <v>1457</v>
      </c>
      <c r="X21" s="290">
        <v>0</v>
      </c>
      <c r="Y21" s="588" t="s">
        <v>1457</v>
      </c>
      <c r="Z21" s="588" t="s">
        <v>1457</v>
      </c>
      <c r="AA21" s="289" t="s">
        <v>1457</v>
      </c>
      <c r="AB21" s="388" t="s">
        <v>1457</v>
      </c>
      <c r="AC21" s="588" t="s">
        <v>1457</v>
      </c>
      <c r="AD21" s="587">
        <v>20</v>
      </c>
      <c r="AE21" s="588" t="s">
        <v>2208</v>
      </c>
      <c r="AF21" s="588" t="s">
        <v>2217</v>
      </c>
      <c r="AG21" s="289">
        <v>0.78</v>
      </c>
      <c r="AH21" s="388">
        <v>0.55500000000000005</v>
      </c>
      <c r="AI21" s="289">
        <v>2.8740000000000001</v>
      </c>
      <c r="AJ21" s="388">
        <v>5.9700000000000003E-2</v>
      </c>
      <c r="AK21" s="589">
        <v>5.0000000000000001E-3</v>
      </c>
      <c r="AL21" s="590" t="s">
        <v>2218</v>
      </c>
      <c r="AM21" s="388" t="s">
        <v>1457</v>
      </c>
      <c r="AN21" s="388" t="s">
        <v>1457</v>
      </c>
      <c r="AO21" s="388" t="s">
        <v>1457</v>
      </c>
      <c r="AP21" s="388" t="s">
        <v>1457</v>
      </c>
      <c r="AQ21" s="589" t="s">
        <v>1457</v>
      </c>
    </row>
    <row r="22" spans="1:43" s="290" customFormat="1" ht="18">
      <c r="A22" s="290" t="s">
        <v>74</v>
      </c>
      <c r="B22" s="290" t="s">
        <v>266</v>
      </c>
      <c r="C22" s="290" t="s">
        <v>505</v>
      </c>
      <c r="D22" s="587">
        <v>0</v>
      </c>
      <c r="E22" s="588" t="s">
        <v>1457</v>
      </c>
      <c r="F22" s="588" t="s">
        <v>1457</v>
      </c>
      <c r="G22" s="289" t="s">
        <v>1457</v>
      </c>
      <c r="H22" s="388" t="s">
        <v>1457</v>
      </c>
      <c r="I22" s="589" t="s">
        <v>1457</v>
      </c>
      <c r="J22" s="290">
        <v>2</v>
      </c>
      <c r="K22" s="588" t="s">
        <v>1457</v>
      </c>
      <c r="L22" s="588" t="s">
        <v>1457</v>
      </c>
      <c r="M22" s="289" t="s">
        <v>1457</v>
      </c>
      <c r="N22" s="388" t="s">
        <v>1457</v>
      </c>
      <c r="O22" s="289" t="s">
        <v>1457</v>
      </c>
      <c r="P22" s="388" t="s">
        <v>1457</v>
      </c>
      <c r="Q22" s="388" t="s">
        <v>1457</v>
      </c>
      <c r="R22" s="590" t="s">
        <v>2184</v>
      </c>
      <c r="S22" s="388" t="s">
        <v>1457</v>
      </c>
      <c r="T22" s="388" t="s">
        <v>1457</v>
      </c>
      <c r="U22" s="388" t="s">
        <v>1457</v>
      </c>
      <c r="V22" s="388" t="s">
        <v>1457</v>
      </c>
      <c r="W22" s="589" t="s">
        <v>1457</v>
      </c>
      <c r="X22" s="290">
        <v>0</v>
      </c>
      <c r="Y22" s="588" t="s">
        <v>1457</v>
      </c>
      <c r="Z22" s="588" t="s">
        <v>1457</v>
      </c>
      <c r="AA22" s="289" t="s">
        <v>1457</v>
      </c>
      <c r="AB22" s="388" t="s">
        <v>1457</v>
      </c>
      <c r="AC22" s="588" t="s">
        <v>1457</v>
      </c>
      <c r="AD22" s="587">
        <v>7</v>
      </c>
      <c r="AE22" s="588" t="s">
        <v>2213</v>
      </c>
      <c r="AF22" s="588" t="s">
        <v>2219</v>
      </c>
      <c r="AG22" s="289">
        <v>0.58699999999999997</v>
      </c>
      <c r="AH22" s="388">
        <v>0.59799999999999998</v>
      </c>
      <c r="AI22" s="289">
        <v>0.66300000000000003</v>
      </c>
      <c r="AJ22" s="388">
        <v>0.56399999999999995</v>
      </c>
      <c r="AK22" s="589">
        <v>1.6666666666666666E-2</v>
      </c>
      <c r="AL22" s="590" t="s">
        <v>2220</v>
      </c>
      <c r="AM22" s="388" t="s">
        <v>1457</v>
      </c>
      <c r="AN22" s="388" t="s">
        <v>1457</v>
      </c>
      <c r="AO22" s="388" t="s">
        <v>1457</v>
      </c>
      <c r="AP22" s="388" t="s">
        <v>1457</v>
      </c>
      <c r="AQ22" s="589" t="s">
        <v>1457</v>
      </c>
    </row>
    <row r="23" spans="1:43" s="290" customFormat="1" ht="18">
      <c r="A23" s="290" t="s">
        <v>74</v>
      </c>
      <c r="B23" s="290" t="s">
        <v>266</v>
      </c>
      <c r="C23" s="290" t="s">
        <v>151</v>
      </c>
      <c r="D23" s="587">
        <v>0</v>
      </c>
      <c r="E23" s="588" t="s">
        <v>1457</v>
      </c>
      <c r="F23" s="588" t="s">
        <v>1457</v>
      </c>
      <c r="G23" s="289" t="s">
        <v>1457</v>
      </c>
      <c r="H23" s="388" t="s">
        <v>1457</v>
      </c>
      <c r="I23" s="589" t="s">
        <v>1457</v>
      </c>
      <c r="J23" s="290">
        <v>3</v>
      </c>
      <c r="K23" s="588" t="s">
        <v>1457</v>
      </c>
      <c r="L23" s="588" t="s">
        <v>1457</v>
      </c>
      <c r="M23" s="289" t="s">
        <v>1457</v>
      </c>
      <c r="N23" s="388" t="s">
        <v>1457</v>
      </c>
      <c r="O23" s="289" t="s">
        <v>1457</v>
      </c>
      <c r="P23" s="388" t="s">
        <v>1457</v>
      </c>
      <c r="Q23" s="388" t="s">
        <v>1457</v>
      </c>
      <c r="R23" s="590" t="s">
        <v>2212</v>
      </c>
      <c r="S23" s="388" t="s">
        <v>1457</v>
      </c>
      <c r="T23" s="388" t="s">
        <v>1457</v>
      </c>
      <c r="U23" s="388" t="s">
        <v>1457</v>
      </c>
      <c r="V23" s="388" t="s">
        <v>1457</v>
      </c>
      <c r="W23" s="589" t="s">
        <v>1457</v>
      </c>
      <c r="X23" s="290">
        <v>0</v>
      </c>
      <c r="Y23" s="588" t="s">
        <v>1457</v>
      </c>
      <c r="Z23" s="588" t="s">
        <v>1457</v>
      </c>
      <c r="AA23" s="289" t="s">
        <v>1457</v>
      </c>
      <c r="AB23" s="388" t="s">
        <v>1457</v>
      </c>
      <c r="AC23" s="588" t="s">
        <v>1457</v>
      </c>
      <c r="AD23" s="587">
        <v>18</v>
      </c>
      <c r="AE23" s="588" t="s">
        <v>2208</v>
      </c>
      <c r="AF23" s="588" t="s">
        <v>2217</v>
      </c>
      <c r="AG23" s="289">
        <v>1.036</v>
      </c>
      <c r="AH23" s="388">
        <v>0.42099999999999999</v>
      </c>
      <c r="AI23" s="289">
        <v>2.7029999999999998</v>
      </c>
      <c r="AJ23" s="388">
        <v>7.0699999999999999E-2</v>
      </c>
      <c r="AK23" s="589">
        <v>5.0000000000000001E-3</v>
      </c>
      <c r="AL23" s="590" t="s">
        <v>2221</v>
      </c>
      <c r="AM23" s="388" t="s">
        <v>1457</v>
      </c>
      <c r="AN23" s="388" t="s">
        <v>1457</v>
      </c>
      <c r="AO23" s="388" t="s">
        <v>1457</v>
      </c>
      <c r="AP23" s="388" t="s">
        <v>1457</v>
      </c>
      <c r="AQ23" s="589" t="s">
        <v>1457</v>
      </c>
    </row>
    <row r="24" spans="1:43" s="290" customFormat="1" ht="18">
      <c r="A24" s="290" t="s">
        <v>74</v>
      </c>
      <c r="B24" s="290" t="s">
        <v>1852</v>
      </c>
      <c r="C24" s="290" t="s">
        <v>151</v>
      </c>
      <c r="D24" s="587">
        <v>0</v>
      </c>
      <c r="E24" s="588" t="s">
        <v>1457</v>
      </c>
      <c r="F24" s="588" t="s">
        <v>1457</v>
      </c>
      <c r="G24" s="289" t="s">
        <v>1457</v>
      </c>
      <c r="H24" s="388" t="s">
        <v>1457</v>
      </c>
      <c r="I24" s="589" t="s">
        <v>1457</v>
      </c>
      <c r="J24" s="290">
        <v>2</v>
      </c>
      <c r="K24" s="588" t="s">
        <v>1457</v>
      </c>
      <c r="L24" s="588" t="s">
        <v>1457</v>
      </c>
      <c r="M24" s="289" t="s">
        <v>1457</v>
      </c>
      <c r="N24" s="388" t="s">
        <v>1457</v>
      </c>
      <c r="O24" s="289" t="s">
        <v>1457</v>
      </c>
      <c r="P24" s="388" t="s">
        <v>1457</v>
      </c>
      <c r="Q24" s="388" t="s">
        <v>1457</v>
      </c>
      <c r="R24" s="590" t="s">
        <v>2184</v>
      </c>
      <c r="S24" s="388" t="s">
        <v>1457</v>
      </c>
      <c r="T24" s="388" t="s">
        <v>1457</v>
      </c>
      <c r="U24" s="388" t="s">
        <v>1457</v>
      </c>
      <c r="V24" s="388" t="s">
        <v>1457</v>
      </c>
      <c r="W24" s="589" t="s">
        <v>1457</v>
      </c>
      <c r="X24" s="290">
        <v>0</v>
      </c>
      <c r="Y24" s="588" t="s">
        <v>1457</v>
      </c>
      <c r="Z24" s="588" t="s">
        <v>1457</v>
      </c>
      <c r="AA24" s="289" t="s">
        <v>1457</v>
      </c>
      <c r="AB24" s="388" t="s">
        <v>1457</v>
      </c>
      <c r="AC24" s="588" t="s">
        <v>1457</v>
      </c>
      <c r="AD24" s="587">
        <v>0</v>
      </c>
      <c r="AE24" s="588" t="s">
        <v>1457</v>
      </c>
      <c r="AF24" s="588" t="s">
        <v>1457</v>
      </c>
      <c r="AG24" s="289" t="s">
        <v>1457</v>
      </c>
      <c r="AH24" s="388" t="s">
        <v>1457</v>
      </c>
      <c r="AI24" s="289" t="s">
        <v>1457</v>
      </c>
      <c r="AJ24" s="388" t="s">
        <v>1457</v>
      </c>
      <c r="AK24" s="589" t="s">
        <v>1457</v>
      </c>
      <c r="AL24" s="590" t="s">
        <v>2186</v>
      </c>
      <c r="AM24" s="388" t="s">
        <v>1457</v>
      </c>
      <c r="AN24" s="388" t="s">
        <v>1457</v>
      </c>
      <c r="AO24" s="388" t="s">
        <v>1457</v>
      </c>
      <c r="AP24" s="388" t="s">
        <v>1457</v>
      </c>
      <c r="AQ24" s="589" t="s">
        <v>1457</v>
      </c>
    </row>
    <row r="25" spans="1:43" s="290" customFormat="1" ht="18">
      <c r="A25" s="290" t="s">
        <v>74</v>
      </c>
      <c r="B25" s="290" t="s">
        <v>299</v>
      </c>
      <c r="C25" s="290" t="s">
        <v>151</v>
      </c>
      <c r="D25" s="587">
        <v>0</v>
      </c>
      <c r="E25" s="588" t="s">
        <v>1457</v>
      </c>
      <c r="F25" s="588" t="s">
        <v>1457</v>
      </c>
      <c r="G25" s="289" t="s">
        <v>1457</v>
      </c>
      <c r="H25" s="388" t="s">
        <v>1457</v>
      </c>
      <c r="I25" s="589" t="s">
        <v>1457</v>
      </c>
      <c r="J25" s="290">
        <v>0</v>
      </c>
      <c r="K25" s="588" t="s">
        <v>1457</v>
      </c>
      <c r="L25" s="588" t="s">
        <v>1457</v>
      </c>
      <c r="M25" s="289" t="s">
        <v>1457</v>
      </c>
      <c r="N25" s="388" t="s">
        <v>1457</v>
      </c>
      <c r="O25" s="289" t="s">
        <v>1457</v>
      </c>
      <c r="P25" s="388" t="s">
        <v>1457</v>
      </c>
      <c r="Q25" s="388" t="s">
        <v>1457</v>
      </c>
      <c r="R25" s="590" t="s">
        <v>2186</v>
      </c>
      <c r="S25" s="388" t="s">
        <v>1457</v>
      </c>
      <c r="T25" s="388" t="s">
        <v>1457</v>
      </c>
      <c r="U25" s="388" t="s">
        <v>1457</v>
      </c>
      <c r="V25" s="388" t="s">
        <v>1457</v>
      </c>
      <c r="W25" s="589" t="s">
        <v>1457</v>
      </c>
      <c r="X25" s="290">
        <v>0</v>
      </c>
      <c r="Y25" s="588" t="s">
        <v>1457</v>
      </c>
      <c r="Z25" s="588" t="s">
        <v>1457</v>
      </c>
      <c r="AA25" s="289" t="s">
        <v>1457</v>
      </c>
      <c r="AB25" s="388" t="s">
        <v>1457</v>
      </c>
      <c r="AC25" s="588" t="s">
        <v>1457</v>
      </c>
      <c r="AD25" s="587">
        <v>1</v>
      </c>
      <c r="AE25" s="588" t="s">
        <v>1457</v>
      </c>
      <c r="AF25" s="588" t="s">
        <v>1457</v>
      </c>
      <c r="AG25" s="289" t="s">
        <v>1457</v>
      </c>
      <c r="AH25" s="388" t="s">
        <v>1457</v>
      </c>
      <c r="AI25" s="289" t="s">
        <v>1457</v>
      </c>
      <c r="AJ25" s="388" t="s">
        <v>1457</v>
      </c>
      <c r="AK25" s="589" t="s">
        <v>1457</v>
      </c>
      <c r="AL25" s="590" t="s">
        <v>2187</v>
      </c>
      <c r="AM25" s="388" t="s">
        <v>1457</v>
      </c>
      <c r="AN25" s="388" t="s">
        <v>1457</v>
      </c>
      <c r="AO25" s="388" t="s">
        <v>1457</v>
      </c>
      <c r="AP25" s="388" t="s">
        <v>1457</v>
      </c>
      <c r="AQ25" s="589" t="s">
        <v>1457</v>
      </c>
    </row>
    <row r="26" spans="1:43" s="290" customFormat="1" ht="18">
      <c r="A26" s="290" t="s">
        <v>74</v>
      </c>
      <c r="B26" s="290" t="s">
        <v>1120</v>
      </c>
      <c r="C26" s="290" t="s">
        <v>1120</v>
      </c>
      <c r="D26" s="587">
        <v>0</v>
      </c>
      <c r="E26" s="588" t="s">
        <v>1457</v>
      </c>
      <c r="F26" s="588" t="s">
        <v>1457</v>
      </c>
      <c r="G26" s="289" t="s">
        <v>1457</v>
      </c>
      <c r="H26" s="388" t="s">
        <v>1457</v>
      </c>
      <c r="I26" s="589" t="s">
        <v>1457</v>
      </c>
      <c r="J26" s="290">
        <v>1</v>
      </c>
      <c r="K26" s="588" t="s">
        <v>1457</v>
      </c>
      <c r="L26" s="588" t="s">
        <v>1457</v>
      </c>
      <c r="M26" s="289" t="s">
        <v>1457</v>
      </c>
      <c r="N26" s="388" t="s">
        <v>1457</v>
      </c>
      <c r="O26" s="289" t="s">
        <v>1457</v>
      </c>
      <c r="P26" s="388" t="s">
        <v>1457</v>
      </c>
      <c r="Q26" s="388" t="s">
        <v>1457</v>
      </c>
      <c r="R26" s="590" t="s">
        <v>2187</v>
      </c>
      <c r="S26" s="388" t="s">
        <v>1457</v>
      </c>
      <c r="T26" s="388" t="s">
        <v>1457</v>
      </c>
      <c r="U26" s="388" t="s">
        <v>1457</v>
      </c>
      <c r="V26" s="388" t="s">
        <v>1457</v>
      </c>
      <c r="W26" s="589" t="s">
        <v>1457</v>
      </c>
      <c r="X26" s="290">
        <v>0</v>
      </c>
      <c r="Y26" s="588" t="s">
        <v>1457</v>
      </c>
      <c r="Z26" s="588" t="s">
        <v>1457</v>
      </c>
      <c r="AA26" s="289" t="s">
        <v>1457</v>
      </c>
      <c r="AB26" s="388" t="s">
        <v>1457</v>
      </c>
      <c r="AC26" s="588" t="s">
        <v>1457</v>
      </c>
      <c r="AD26" s="587">
        <v>1</v>
      </c>
      <c r="AE26" s="588" t="s">
        <v>1457</v>
      </c>
      <c r="AF26" s="588" t="s">
        <v>1457</v>
      </c>
      <c r="AG26" s="289" t="s">
        <v>1457</v>
      </c>
      <c r="AH26" s="388" t="s">
        <v>1457</v>
      </c>
      <c r="AI26" s="289" t="s">
        <v>1457</v>
      </c>
      <c r="AJ26" s="388" t="s">
        <v>1457</v>
      </c>
      <c r="AK26" s="589" t="s">
        <v>1457</v>
      </c>
      <c r="AL26" s="590" t="s">
        <v>2187</v>
      </c>
      <c r="AM26" s="388" t="s">
        <v>1457</v>
      </c>
      <c r="AN26" s="388" t="s">
        <v>1457</v>
      </c>
      <c r="AO26" s="388" t="s">
        <v>1457</v>
      </c>
      <c r="AP26" s="388" t="s">
        <v>1457</v>
      </c>
      <c r="AQ26" s="589" t="s">
        <v>1457</v>
      </c>
    </row>
    <row r="27" spans="1:43" s="290" customFormat="1" ht="18">
      <c r="A27" s="290" t="s">
        <v>221</v>
      </c>
      <c r="B27" s="290" t="s">
        <v>2180</v>
      </c>
      <c r="C27" s="290" t="s">
        <v>2180</v>
      </c>
      <c r="D27" s="587">
        <v>7</v>
      </c>
      <c r="E27" s="588" t="s">
        <v>1457</v>
      </c>
      <c r="F27" s="588" t="s">
        <v>1457</v>
      </c>
      <c r="G27" s="289" t="s">
        <v>1457</v>
      </c>
      <c r="H27" s="388" t="s">
        <v>1457</v>
      </c>
      <c r="I27" s="589" t="s">
        <v>1457</v>
      </c>
      <c r="J27" s="290">
        <v>11</v>
      </c>
      <c r="K27" s="588">
        <v>4</v>
      </c>
      <c r="L27" s="588" t="s">
        <v>2222</v>
      </c>
      <c r="M27" s="289">
        <v>1.758</v>
      </c>
      <c r="N27" s="388">
        <v>0.24199999999999999</v>
      </c>
      <c r="O27" s="289">
        <v>4.3289999999999997</v>
      </c>
      <c r="P27" s="388">
        <v>5.04E-2</v>
      </c>
      <c r="Q27" s="388">
        <v>8.3333333333333332E-3</v>
      </c>
      <c r="R27" s="590" t="s">
        <v>2223</v>
      </c>
      <c r="S27" s="388" t="s">
        <v>1457</v>
      </c>
      <c r="T27" s="388" t="s">
        <v>1457</v>
      </c>
      <c r="U27" s="388" t="s">
        <v>1457</v>
      </c>
      <c r="V27" s="388" t="s">
        <v>1457</v>
      </c>
      <c r="W27" s="589" t="s">
        <v>1457</v>
      </c>
      <c r="X27" s="290">
        <v>7</v>
      </c>
      <c r="Y27" s="588" t="s">
        <v>2208</v>
      </c>
      <c r="Z27" s="588" t="s">
        <v>2224</v>
      </c>
      <c r="AA27" s="289">
        <v>1.3380000000000001</v>
      </c>
      <c r="AB27" s="388">
        <v>0.47</v>
      </c>
      <c r="AC27" s="388">
        <v>5.0000000000000001E-3</v>
      </c>
      <c r="AD27" s="587">
        <v>50</v>
      </c>
      <c r="AE27" s="588" t="s">
        <v>2208</v>
      </c>
      <c r="AF27" s="588" t="s">
        <v>2225</v>
      </c>
      <c r="AG27" s="289">
        <v>0.64200000000000002</v>
      </c>
      <c r="AH27" s="388">
        <v>0.63500000000000001</v>
      </c>
      <c r="AI27" s="289">
        <v>1.036</v>
      </c>
      <c r="AJ27" s="388">
        <v>0.39900000000000002</v>
      </c>
      <c r="AK27" s="589">
        <v>5.0000000000000001E-3</v>
      </c>
      <c r="AL27" s="590" t="s">
        <v>2226</v>
      </c>
      <c r="AM27" s="290">
        <v>6</v>
      </c>
      <c r="AN27" s="588" t="s">
        <v>2227</v>
      </c>
      <c r="AO27" s="289">
        <v>1.2849999999999999</v>
      </c>
      <c r="AP27" s="388">
        <v>0.28499999999999998</v>
      </c>
      <c r="AQ27" s="589">
        <v>3.3333333333333335E-3</v>
      </c>
    </row>
    <row r="28" spans="1:43" s="290" customFormat="1" ht="18">
      <c r="A28" s="290" t="s">
        <v>221</v>
      </c>
      <c r="B28" s="290" t="s">
        <v>1025</v>
      </c>
      <c r="C28" s="290" t="s">
        <v>485</v>
      </c>
      <c r="D28" s="587">
        <v>1</v>
      </c>
      <c r="E28" s="588" t="s">
        <v>1457</v>
      </c>
      <c r="F28" s="588" t="s">
        <v>1457</v>
      </c>
      <c r="G28" s="289" t="s">
        <v>1457</v>
      </c>
      <c r="H28" s="388" t="s">
        <v>1457</v>
      </c>
      <c r="I28" s="589" t="s">
        <v>1457</v>
      </c>
      <c r="J28" s="290">
        <v>0</v>
      </c>
      <c r="K28" s="588" t="s">
        <v>1457</v>
      </c>
      <c r="L28" s="588" t="s">
        <v>1457</v>
      </c>
      <c r="M28" s="289" t="s">
        <v>1457</v>
      </c>
      <c r="N28" s="388" t="s">
        <v>1457</v>
      </c>
      <c r="O28" s="289" t="s">
        <v>1457</v>
      </c>
      <c r="P28" s="388" t="s">
        <v>1457</v>
      </c>
      <c r="Q28" s="388" t="s">
        <v>1457</v>
      </c>
      <c r="R28" s="590" t="s">
        <v>2185</v>
      </c>
      <c r="S28" s="388" t="s">
        <v>1457</v>
      </c>
      <c r="T28" s="388" t="s">
        <v>1457</v>
      </c>
      <c r="U28" s="388" t="s">
        <v>1457</v>
      </c>
      <c r="V28" s="388" t="s">
        <v>1457</v>
      </c>
      <c r="W28" s="589" t="s">
        <v>1457</v>
      </c>
      <c r="X28" s="290">
        <v>0</v>
      </c>
      <c r="Y28" s="588" t="s">
        <v>1457</v>
      </c>
      <c r="Z28" s="588" t="s">
        <v>1457</v>
      </c>
      <c r="AA28" s="289" t="s">
        <v>1457</v>
      </c>
      <c r="AB28" s="388" t="s">
        <v>1457</v>
      </c>
      <c r="AC28" s="588" t="s">
        <v>1457</v>
      </c>
      <c r="AD28" s="587">
        <v>0</v>
      </c>
      <c r="AE28" s="588" t="s">
        <v>1457</v>
      </c>
      <c r="AF28" s="588" t="s">
        <v>1457</v>
      </c>
      <c r="AG28" s="289" t="s">
        <v>1457</v>
      </c>
      <c r="AH28" s="388" t="s">
        <v>1457</v>
      </c>
      <c r="AI28" s="289" t="s">
        <v>1457</v>
      </c>
      <c r="AJ28" s="388" t="s">
        <v>1457</v>
      </c>
      <c r="AK28" s="589" t="s">
        <v>1457</v>
      </c>
      <c r="AL28" s="590" t="s">
        <v>2186</v>
      </c>
      <c r="AM28" s="388" t="s">
        <v>1457</v>
      </c>
      <c r="AN28" s="388" t="s">
        <v>1457</v>
      </c>
      <c r="AO28" s="388" t="s">
        <v>1457</v>
      </c>
      <c r="AP28" s="388" t="s">
        <v>1457</v>
      </c>
      <c r="AQ28" s="589" t="s">
        <v>1457</v>
      </c>
    </row>
    <row r="29" spans="1:43" s="290" customFormat="1" ht="18">
      <c r="A29" s="290" t="s">
        <v>221</v>
      </c>
      <c r="B29" s="290" t="s">
        <v>222</v>
      </c>
      <c r="C29" s="290" t="s">
        <v>151</v>
      </c>
      <c r="D29" s="587">
        <v>6</v>
      </c>
      <c r="E29" s="588" t="s">
        <v>1457</v>
      </c>
      <c r="F29" s="588" t="s">
        <v>1457</v>
      </c>
      <c r="G29" s="289" t="s">
        <v>1457</v>
      </c>
      <c r="H29" s="388" t="s">
        <v>1457</v>
      </c>
      <c r="I29" s="589" t="s">
        <v>1457</v>
      </c>
      <c r="J29" s="290">
        <v>11</v>
      </c>
      <c r="K29" s="588">
        <v>4</v>
      </c>
      <c r="L29" s="588" t="s">
        <v>2222</v>
      </c>
      <c r="M29" s="289">
        <v>1.758</v>
      </c>
      <c r="N29" s="388">
        <v>0.24199999999999999</v>
      </c>
      <c r="O29" s="289">
        <v>4.3289999999999997</v>
      </c>
      <c r="P29" s="388">
        <v>5.04E-2</v>
      </c>
      <c r="Q29" s="388">
        <v>8.3333333333333332E-3</v>
      </c>
      <c r="R29" s="590" t="s">
        <v>2228</v>
      </c>
      <c r="S29" s="388" t="s">
        <v>1457</v>
      </c>
      <c r="T29" s="388" t="s">
        <v>1457</v>
      </c>
      <c r="U29" s="388" t="s">
        <v>1457</v>
      </c>
      <c r="V29" s="388" t="s">
        <v>1457</v>
      </c>
      <c r="W29" s="589" t="s">
        <v>1457</v>
      </c>
      <c r="X29" s="290">
        <v>7</v>
      </c>
      <c r="Y29" s="588" t="s">
        <v>2208</v>
      </c>
      <c r="Z29" s="588" t="s">
        <v>2224</v>
      </c>
      <c r="AA29" s="289">
        <v>1.3380000000000001</v>
      </c>
      <c r="AB29" s="388">
        <v>0.47</v>
      </c>
      <c r="AC29" s="388">
        <v>5.0000000000000001E-3</v>
      </c>
      <c r="AD29" s="587">
        <v>50</v>
      </c>
      <c r="AE29" s="588" t="s">
        <v>2208</v>
      </c>
      <c r="AF29" s="588" t="s">
        <v>2225</v>
      </c>
      <c r="AG29" s="289">
        <v>0.64200000000000002</v>
      </c>
      <c r="AH29" s="388">
        <v>0.63500000000000001</v>
      </c>
      <c r="AI29" s="289">
        <v>1.036</v>
      </c>
      <c r="AJ29" s="388">
        <v>0.39900000000000002</v>
      </c>
      <c r="AK29" s="589">
        <v>5.0000000000000001E-3</v>
      </c>
      <c r="AL29" s="590" t="s">
        <v>2226</v>
      </c>
      <c r="AM29" s="290">
        <v>6</v>
      </c>
      <c r="AN29" s="588" t="s">
        <v>2227</v>
      </c>
      <c r="AO29" s="289">
        <v>1.2849999999999999</v>
      </c>
      <c r="AP29" s="388">
        <v>0.28499999999999998</v>
      </c>
      <c r="AQ29" s="589">
        <v>3.3333333333333335E-3</v>
      </c>
    </row>
    <row r="30" spans="1:43" s="290" customFormat="1" ht="18">
      <c r="A30" s="290" t="s">
        <v>602</v>
      </c>
      <c r="B30" s="290" t="s">
        <v>2180</v>
      </c>
      <c r="C30" s="290" t="s">
        <v>2180</v>
      </c>
      <c r="D30" s="587">
        <v>78</v>
      </c>
      <c r="E30" s="290">
        <v>10</v>
      </c>
      <c r="F30" s="588" t="s">
        <v>2229</v>
      </c>
      <c r="G30" s="289">
        <v>1.5489999999999999</v>
      </c>
      <c r="H30" s="388">
        <v>0.14899999999999999</v>
      </c>
      <c r="I30" s="589">
        <v>1.1111111111111111E-3</v>
      </c>
      <c r="J30" s="290">
        <v>0</v>
      </c>
      <c r="K30" s="588" t="s">
        <v>1457</v>
      </c>
      <c r="L30" s="588" t="s">
        <v>1457</v>
      </c>
      <c r="M30" s="289" t="s">
        <v>1457</v>
      </c>
      <c r="N30" s="388" t="s">
        <v>1457</v>
      </c>
      <c r="O30" s="289" t="s">
        <v>1457</v>
      </c>
      <c r="P30" s="388" t="s">
        <v>1457</v>
      </c>
      <c r="Q30" s="388" t="s">
        <v>1457</v>
      </c>
      <c r="R30" s="590" t="s">
        <v>2230</v>
      </c>
      <c r="S30" s="388" t="s">
        <v>1457</v>
      </c>
      <c r="T30" s="388" t="s">
        <v>1457</v>
      </c>
      <c r="U30" s="388" t="s">
        <v>1457</v>
      </c>
      <c r="V30" s="388" t="s">
        <v>1457</v>
      </c>
      <c r="W30" s="589" t="s">
        <v>1457</v>
      </c>
      <c r="X30" s="290">
        <v>0</v>
      </c>
      <c r="Y30" s="588" t="s">
        <v>1457</v>
      </c>
      <c r="Z30" s="588" t="s">
        <v>1457</v>
      </c>
      <c r="AA30" s="289" t="s">
        <v>1457</v>
      </c>
      <c r="AB30" s="388" t="s">
        <v>1457</v>
      </c>
      <c r="AC30" s="588" t="s">
        <v>1457</v>
      </c>
      <c r="AD30" s="587">
        <v>0</v>
      </c>
      <c r="AE30" s="588" t="s">
        <v>1457</v>
      </c>
      <c r="AF30" s="588" t="s">
        <v>1457</v>
      </c>
      <c r="AG30" s="289" t="s">
        <v>1457</v>
      </c>
      <c r="AH30" s="388" t="s">
        <v>1457</v>
      </c>
      <c r="AI30" s="289" t="s">
        <v>1457</v>
      </c>
      <c r="AJ30" s="388" t="s">
        <v>1457</v>
      </c>
      <c r="AK30" s="589" t="s">
        <v>1457</v>
      </c>
      <c r="AL30" s="590" t="s">
        <v>2186</v>
      </c>
      <c r="AM30" s="388" t="s">
        <v>1457</v>
      </c>
      <c r="AN30" s="388" t="s">
        <v>1457</v>
      </c>
      <c r="AO30" s="388" t="s">
        <v>1457</v>
      </c>
      <c r="AP30" s="388" t="s">
        <v>1457</v>
      </c>
      <c r="AQ30" s="589" t="s">
        <v>1457</v>
      </c>
    </row>
    <row r="31" spans="1:43" s="290" customFormat="1" ht="18">
      <c r="A31" s="290" t="s">
        <v>602</v>
      </c>
      <c r="B31" s="290" t="s">
        <v>609</v>
      </c>
      <c r="C31" s="290" t="s">
        <v>610</v>
      </c>
      <c r="D31" s="587">
        <v>2</v>
      </c>
      <c r="E31" s="588" t="s">
        <v>1457</v>
      </c>
      <c r="F31" s="588" t="s">
        <v>1457</v>
      </c>
      <c r="G31" s="289" t="s">
        <v>1457</v>
      </c>
      <c r="H31" s="388" t="s">
        <v>1457</v>
      </c>
      <c r="I31" s="589" t="s">
        <v>1457</v>
      </c>
      <c r="J31" s="290">
        <v>0</v>
      </c>
      <c r="K31" s="588" t="s">
        <v>1457</v>
      </c>
      <c r="L31" s="588" t="s">
        <v>1457</v>
      </c>
      <c r="M31" s="289" t="s">
        <v>1457</v>
      </c>
      <c r="N31" s="388" t="s">
        <v>1457</v>
      </c>
      <c r="O31" s="289" t="s">
        <v>1457</v>
      </c>
      <c r="P31" s="388" t="s">
        <v>1457</v>
      </c>
      <c r="Q31" s="388" t="s">
        <v>1457</v>
      </c>
      <c r="R31" s="590" t="s">
        <v>2231</v>
      </c>
      <c r="S31" s="388" t="s">
        <v>1457</v>
      </c>
      <c r="T31" s="388" t="s">
        <v>1457</v>
      </c>
      <c r="U31" s="388" t="s">
        <v>1457</v>
      </c>
      <c r="V31" s="388" t="s">
        <v>1457</v>
      </c>
      <c r="W31" s="589" t="s">
        <v>1457</v>
      </c>
      <c r="X31" s="290">
        <v>0</v>
      </c>
      <c r="Y31" s="588" t="s">
        <v>1457</v>
      </c>
      <c r="Z31" s="588" t="s">
        <v>1457</v>
      </c>
      <c r="AA31" s="289" t="s">
        <v>1457</v>
      </c>
      <c r="AB31" s="388" t="s">
        <v>1457</v>
      </c>
      <c r="AC31" s="588" t="s">
        <v>1457</v>
      </c>
      <c r="AD31" s="587">
        <v>0</v>
      </c>
      <c r="AE31" s="588" t="s">
        <v>1457</v>
      </c>
      <c r="AF31" s="588" t="s">
        <v>1457</v>
      </c>
      <c r="AG31" s="289" t="s">
        <v>1457</v>
      </c>
      <c r="AH31" s="388" t="s">
        <v>1457</v>
      </c>
      <c r="AI31" s="289" t="s">
        <v>1457</v>
      </c>
      <c r="AJ31" s="388" t="s">
        <v>1457</v>
      </c>
      <c r="AK31" s="589" t="s">
        <v>1457</v>
      </c>
      <c r="AL31" s="590" t="s">
        <v>2186</v>
      </c>
      <c r="AM31" s="388" t="s">
        <v>1457</v>
      </c>
      <c r="AN31" s="388" t="s">
        <v>1457</v>
      </c>
      <c r="AO31" s="388" t="s">
        <v>1457</v>
      </c>
      <c r="AP31" s="388" t="s">
        <v>1457</v>
      </c>
      <c r="AQ31" s="589" t="s">
        <v>1457</v>
      </c>
    </row>
    <row r="32" spans="1:43" s="290" customFormat="1" ht="18">
      <c r="A32" s="290" t="s">
        <v>602</v>
      </c>
      <c r="B32" s="290" t="s">
        <v>603</v>
      </c>
      <c r="C32" s="290" t="s">
        <v>151</v>
      </c>
      <c r="D32" s="587">
        <v>76</v>
      </c>
      <c r="E32" s="290">
        <v>10</v>
      </c>
      <c r="F32" s="588" t="s">
        <v>2232</v>
      </c>
      <c r="G32" s="289">
        <v>3.1429999999999998</v>
      </c>
      <c r="H32" s="388">
        <v>3.2799999999999999E-3</v>
      </c>
      <c r="I32" s="589">
        <v>1.1111111111111111E-3</v>
      </c>
      <c r="J32" s="290">
        <v>0</v>
      </c>
      <c r="K32" s="588" t="s">
        <v>1457</v>
      </c>
      <c r="L32" s="588" t="s">
        <v>1457</v>
      </c>
      <c r="M32" s="289" t="s">
        <v>1457</v>
      </c>
      <c r="N32" s="388" t="s">
        <v>1457</v>
      </c>
      <c r="O32" s="289" t="s">
        <v>1457</v>
      </c>
      <c r="P32" s="388" t="s">
        <v>1457</v>
      </c>
      <c r="Q32" s="388" t="s">
        <v>1457</v>
      </c>
      <c r="R32" s="590" t="s">
        <v>2233</v>
      </c>
      <c r="S32" s="388" t="s">
        <v>1457</v>
      </c>
      <c r="T32" s="388" t="s">
        <v>1457</v>
      </c>
      <c r="U32" s="388" t="s">
        <v>1457</v>
      </c>
      <c r="V32" s="388" t="s">
        <v>1457</v>
      </c>
      <c r="W32" s="589" t="s">
        <v>1457</v>
      </c>
      <c r="X32" s="290">
        <v>0</v>
      </c>
      <c r="Y32" s="588" t="s">
        <v>1457</v>
      </c>
      <c r="Z32" s="588" t="s">
        <v>1457</v>
      </c>
      <c r="AA32" s="289" t="s">
        <v>1457</v>
      </c>
      <c r="AB32" s="388" t="s">
        <v>1457</v>
      </c>
      <c r="AC32" s="588" t="s">
        <v>1457</v>
      </c>
      <c r="AD32" s="587">
        <v>0</v>
      </c>
      <c r="AE32" s="588" t="s">
        <v>1457</v>
      </c>
      <c r="AF32" s="588" t="s">
        <v>1457</v>
      </c>
      <c r="AG32" s="289" t="s">
        <v>1457</v>
      </c>
      <c r="AH32" s="388" t="s">
        <v>1457</v>
      </c>
      <c r="AI32" s="289" t="s">
        <v>1457</v>
      </c>
      <c r="AJ32" s="388" t="s">
        <v>1457</v>
      </c>
      <c r="AK32" s="589" t="s">
        <v>1457</v>
      </c>
      <c r="AL32" s="590" t="s">
        <v>2186</v>
      </c>
      <c r="AM32" s="388" t="s">
        <v>1457</v>
      </c>
      <c r="AN32" s="388" t="s">
        <v>1457</v>
      </c>
      <c r="AO32" s="388" t="s">
        <v>1457</v>
      </c>
      <c r="AP32" s="388" t="s">
        <v>1457</v>
      </c>
      <c r="AQ32" s="589" t="s">
        <v>1457</v>
      </c>
    </row>
    <row r="33" spans="1:43" s="290" customFormat="1" ht="18">
      <c r="A33" s="290" t="s">
        <v>588</v>
      </c>
      <c r="B33" s="290" t="s">
        <v>150</v>
      </c>
      <c r="C33" s="290" t="s">
        <v>151</v>
      </c>
      <c r="D33" s="587">
        <v>83</v>
      </c>
      <c r="E33" s="290">
        <v>14</v>
      </c>
      <c r="F33" s="588" t="s">
        <v>2234</v>
      </c>
      <c r="G33" s="289">
        <v>1.623</v>
      </c>
      <c r="H33" s="388">
        <v>9.98E-2</v>
      </c>
      <c r="I33" s="589">
        <v>5.4945054945054945E-4</v>
      </c>
      <c r="J33" s="290">
        <v>5</v>
      </c>
      <c r="K33" s="588" t="s">
        <v>1457</v>
      </c>
      <c r="L33" s="588" t="s">
        <v>1457</v>
      </c>
      <c r="M33" s="289" t="s">
        <v>1457</v>
      </c>
      <c r="N33" s="388" t="s">
        <v>1457</v>
      </c>
      <c r="O33" s="289" t="s">
        <v>1457</v>
      </c>
      <c r="P33" s="388" t="s">
        <v>1457</v>
      </c>
      <c r="Q33" s="388" t="s">
        <v>1457</v>
      </c>
      <c r="R33" s="590" t="s">
        <v>2235</v>
      </c>
      <c r="S33" s="388" t="s">
        <v>1457</v>
      </c>
      <c r="T33" s="388" t="s">
        <v>1457</v>
      </c>
      <c r="U33" s="388" t="s">
        <v>1457</v>
      </c>
      <c r="V33" s="388" t="s">
        <v>1457</v>
      </c>
      <c r="W33" s="589" t="s">
        <v>1457</v>
      </c>
      <c r="X33" s="290">
        <v>0</v>
      </c>
      <c r="Y33" s="588" t="s">
        <v>1457</v>
      </c>
      <c r="Z33" s="588" t="s">
        <v>1457</v>
      </c>
      <c r="AA33" s="289" t="s">
        <v>1457</v>
      </c>
      <c r="AB33" s="388" t="s">
        <v>1457</v>
      </c>
      <c r="AC33" s="588" t="s">
        <v>1457</v>
      </c>
      <c r="AD33" s="587">
        <v>0</v>
      </c>
      <c r="AE33" s="588" t="s">
        <v>1457</v>
      </c>
      <c r="AF33" s="588" t="s">
        <v>1457</v>
      </c>
      <c r="AG33" s="289" t="s">
        <v>1457</v>
      </c>
      <c r="AH33" s="388" t="s">
        <v>1457</v>
      </c>
      <c r="AI33" s="289" t="s">
        <v>1457</v>
      </c>
      <c r="AJ33" s="388" t="s">
        <v>1457</v>
      </c>
      <c r="AK33" s="589" t="s">
        <v>1457</v>
      </c>
      <c r="AL33" s="590" t="s">
        <v>2186</v>
      </c>
      <c r="AM33" s="388" t="s">
        <v>1457</v>
      </c>
      <c r="AN33" s="388" t="s">
        <v>1457</v>
      </c>
      <c r="AO33" s="388" t="s">
        <v>1457</v>
      </c>
      <c r="AP33" s="388" t="s">
        <v>1457</v>
      </c>
      <c r="AQ33" s="589" t="s">
        <v>1457</v>
      </c>
    </row>
    <row r="34" spans="1:43" s="290" customFormat="1" ht="18">
      <c r="A34" s="290" t="s">
        <v>76</v>
      </c>
      <c r="B34" s="290" t="s">
        <v>2180</v>
      </c>
      <c r="C34" s="290" t="s">
        <v>2180</v>
      </c>
      <c r="D34" s="587">
        <v>7</v>
      </c>
      <c r="E34" s="588" t="s">
        <v>2213</v>
      </c>
      <c r="F34" s="588" t="s">
        <v>2219</v>
      </c>
      <c r="G34" s="289">
        <v>1.66</v>
      </c>
      <c r="H34" s="388">
        <v>0.29899999999999999</v>
      </c>
      <c r="I34" s="589">
        <v>1.6666666666666666E-2</v>
      </c>
      <c r="J34" s="290">
        <v>11</v>
      </c>
      <c r="K34" s="588">
        <v>4</v>
      </c>
      <c r="L34" s="588" t="s">
        <v>2222</v>
      </c>
      <c r="M34" s="289">
        <v>2.081</v>
      </c>
      <c r="N34" s="388">
        <v>0.191</v>
      </c>
      <c r="O34" s="289">
        <v>2.4769999999999999</v>
      </c>
      <c r="P34" s="388">
        <v>0.14599999999999999</v>
      </c>
      <c r="Q34" s="388">
        <v>8.3333333333333332E-3</v>
      </c>
      <c r="R34" s="590" t="s">
        <v>2223</v>
      </c>
      <c r="S34" s="290">
        <v>5</v>
      </c>
      <c r="T34" s="588" t="s">
        <v>2236</v>
      </c>
      <c r="U34" s="289">
        <v>3.2480000000000002</v>
      </c>
      <c r="V34" s="388">
        <v>4.7E-2</v>
      </c>
      <c r="W34" s="589">
        <v>5.0000000000000001E-3</v>
      </c>
      <c r="X34" s="290">
        <v>0</v>
      </c>
      <c r="Y34" s="588" t="s">
        <v>1457</v>
      </c>
      <c r="Z34" s="588" t="s">
        <v>1457</v>
      </c>
      <c r="AA34" s="289" t="s">
        <v>1457</v>
      </c>
      <c r="AB34" s="388" t="s">
        <v>1457</v>
      </c>
      <c r="AC34" s="588" t="s">
        <v>1457</v>
      </c>
      <c r="AD34" s="587">
        <v>14</v>
      </c>
      <c r="AE34" s="588" t="s">
        <v>2237</v>
      </c>
      <c r="AF34" s="588" t="s">
        <v>2238</v>
      </c>
      <c r="AG34" s="289">
        <v>1.4590000000000001</v>
      </c>
      <c r="AH34" s="388">
        <v>0.28399999999999997</v>
      </c>
      <c r="AI34" s="289">
        <v>1.792</v>
      </c>
      <c r="AJ34" s="388">
        <v>0.21199999999999999</v>
      </c>
      <c r="AK34" s="589">
        <v>8.3333333333333332E-3</v>
      </c>
      <c r="AL34" s="590" t="s">
        <v>2239</v>
      </c>
      <c r="AM34" s="388" t="s">
        <v>1457</v>
      </c>
      <c r="AN34" s="388" t="s">
        <v>1457</v>
      </c>
      <c r="AO34" s="388" t="s">
        <v>1457</v>
      </c>
      <c r="AP34" s="388" t="s">
        <v>1457</v>
      </c>
      <c r="AQ34" s="589" t="s">
        <v>1457</v>
      </c>
    </row>
    <row r="35" spans="1:43" s="290" customFormat="1" ht="18">
      <c r="A35" s="290" t="s">
        <v>76</v>
      </c>
      <c r="B35" s="290" t="s">
        <v>1582</v>
      </c>
      <c r="C35" s="290" t="s">
        <v>2240</v>
      </c>
      <c r="D35" s="587">
        <v>0</v>
      </c>
      <c r="E35" s="588" t="s">
        <v>1457</v>
      </c>
      <c r="F35" s="588" t="s">
        <v>1457</v>
      </c>
      <c r="G35" s="289" t="s">
        <v>1457</v>
      </c>
      <c r="H35" s="388" t="s">
        <v>1457</v>
      </c>
      <c r="I35" s="589" t="s">
        <v>1457</v>
      </c>
      <c r="J35" s="290">
        <v>1</v>
      </c>
      <c r="K35" s="588" t="s">
        <v>1457</v>
      </c>
      <c r="L35" s="588" t="s">
        <v>1457</v>
      </c>
      <c r="M35" s="289" t="s">
        <v>1457</v>
      </c>
      <c r="N35" s="388" t="s">
        <v>1457</v>
      </c>
      <c r="O35" s="289" t="s">
        <v>1457</v>
      </c>
      <c r="P35" s="388" t="s">
        <v>1457</v>
      </c>
      <c r="Q35" s="388" t="s">
        <v>1457</v>
      </c>
      <c r="R35" s="590" t="s">
        <v>2187</v>
      </c>
      <c r="S35" s="388" t="s">
        <v>1457</v>
      </c>
      <c r="T35" s="388" t="s">
        <v>1457</v>
      </c>
      <c r="U35" s="388" t="s">
        <v>1457</v>
      </c>
      <c r="V35" s="388" t="s">
        <v>1457</v>
      </c>
      <c r="W35" s="589" t="s">
        <v>1457</v>
      </c>
      <c r="X35" s="290">
        <v>0</v>
      </c>
      <c r="Y35" s="588" t="s">
        <v>1457</v>
      </c>
      <c r="Z35" s="588" t="s">
        <v>1457</v>
      </c>
      <c r="AA35" s="289" t="s">
        <v>1457</v>
      </c>
      <c r="AB35" s="388" t="s">
        <v>1457</v>
      </c>
      <c r="AC35" s="588" t="s">
        <v>1457</v>
      </c>
      <c r="AD35" s="587">
        <v>0</v>
      </c>
      <c r="AE35" s="588" t="s">
        <v>1457</v>
      </c>
      <c r="AF35" s="588" t="s">
        <v>1457</v>
      </c>
      <c r="AG35" s="289" t="s">
        <v>1457</v>
      </c>
      <c r="AH35" s="388" t="s">
        <v>1457</v>
      </c>
      <c r="AI35" s="289" t="s">
        <v>1457</v>
      </c>
      <c r="AJ35" s="388" t="s">
        <v>1457</v>
      </c>
      <c r="AK35" s="589" t="s">
        <v>1457</v>
      </c>
      <c r="AL35" s="590" t="s">
        <v>2186</v>
      </c>
      <c r="AM35" s="388" t="s">
        <v>1457</v>
      </c>
      <c r="AN35" s="388" t="s">
        <v>1457</v>
      </c>
      <c r="AO35" s="388" t="s">
        <v>1457</v>
      </c>
      <c r="AP35" s="388" t="s">
        <v>1457</v>
      </c>
      <c r="AQ35" s="589" t="s">
        <v>1457</v>
      </c>
    </row>
    <row r="36" spans="1:43" s="290" customFormat="1" ht="18">
      <c r="A36" s="290" t="s">
        <v>76</v>
      </c>
      <c r="B36" s="290" t="s">
        <v>517</v>
      </c>
      <c r="C36" s="290" t="s">
        <v>101</v>
      </c>
      <c r="D36" s="587">
        <v>0</v>
      </c>
      <c r="E36" s="588" t="s">
        <v>1457</v>
      </c>
      <c r="F36" s="588" t="s">
        <v>1457</v>
      </c>
      <c r="G36" s="289" t="s">
        <v>1457</v>
      </c>
      <c r="H36" s="388" t="s">
        <v>1457</v>
      </c>
      <c r="I36" s="589" t="s">
        <v>1457</v>
      </c>
      <c r="J36" s="290">
        <v>1</v>
      </c>
      <c r="K36" s="588" t="s">
        <v>1457</v>
      </c>
      <c r="L36" s="588" t="s">
        <v>1457</v>
      </c>
      <c r="M36" s="289" t="s">
        <v>1457</v>
      </c>
      <c r="N36" s="388" t="s">
        <v>1457</v>
      </c>
      <c r="O36" s="289" t="s">
        <v>1457</v>
      </c>
      <c r="P36" s="388" t="s">
        <v>1457</v>
      </c>
      <c r="Q36" s="388" t="s">
        <v>1457</v>
      </c>
      <c r="R36" s="590" t="s">
        <v>2187</v>
      </c>
      <c r="S36" s="388" t="s">
        <v>1457</v>
      </c>
      <c r="T36" s="388" t="s">
        <v>1457</v>
      </c>
      <c r="U36" s="388" t="s">
        <v>1457</v>
      </c>
      <c r="V36" s="388" t="s">
        <v>1457</v>
      </c>
      <c r="W36" s="589" t="s">
        <v>1457</v>
      </c>
      <c r="X36" s="290">
        <v>0</v>
      </c>
      <c r="Y36" s="588" t="s">
        <v>1457</v>
      </c>
      <c r="Z36" s="588" t="s">
        <v>1457</v>
      </c>
      <c r="AA36" s="289" t="s">
        <v>1457</v>
      </c>
      <c r="AB36" s="388" t="s">
        <v>1457</v>
      </c>
      <c r="AC36" s="588" t="s">
        <v>1457</v>
      </c>
      <c r="AD36" s="587">
        <v>0</v>
      </c>
      <c r="AE36" s="588" t="s">
        <v>1457</v>
      </c>
      <c r="AF36" s="588" t="s">
        <v>1457</v>
      </c>
      <c r="AG36" s="289" t="s">
        <v>1457</v>
      </c>
      <c r="AH36" s="388" t="s">
        <v>1457</v>
      </c>
      <c r="AI36" s="289" t="s">
        <v>1457</v>
      </c>
      <c r="AJ36" s="388" t="s">
        <v>1457</v>
      </c>
      <c r="AK36" s="589" t="s">
        <v>1457</v>
      </c>
      <c r="AL36" s="590" t="s">
        <v>2186</v>
      </c>
      <c r="AM36" s="388" t="s">
        <v>1457</v>
      </c>
      <c r="AN36" s="388" t="s">
        <v>1457</v>
      </c>
      <c r="AO36" s="388" t="s">
        <v>1457</v>
      </c>
      <c r="AP36" s="388" t="s">
        <v>1457</v>
      </c>
      <c r="AQ36" s="589" t="s">
        <v>1457</v>
      </c>
    </row>
    <row r="37" spans="1:43" s="290" customFormat="1" ht="18">
      <c r="A37" s="290" t="s">
        <v>76</v>
      </c>
      <c r="B37" s="290" t="s">
        <v>344</v>
      </c>
      <c r="C37" s="290" t="s">
        <v>345</v>
      </c>
      <c r="D37" s="587">
        <v>0</v>
      </c>
      <c r="E37" s="588" t="s">
        <v>1457</v>
      </c>
      <c r="F37" s="588" t="s">
        <v>1457</v>
      </c>
      <c r="G37" s="289" t="s">
        <v>1457</v>
      </c>
      <c r="H37" s="388" t="s">
        <v>1457</v>
      </c>
      <c r="I37" s="589" t="s">
        <v>1457</v>
      </c>
      <c r="J37" s="290">
        <v>5</v>
      </c>
      <c r="K37" s="588" t="s">
        <v>1457</v>
      </c>
      <c r="L37" s="588" t="s">
        <v>1457</v>
      </c>
      <c r="M37" s="289" t="s">
        <v>1457</v>
      </c>
      <c r="N37" s="388" t="s">
        <v>1457</v>
      </c>
      <c r="O37" s="289" t="s">
        <v>1457</v>
      </c>
      <c r="P37" s="388" t="s">
        <v>1457</v>
      </c>
      <c r="Q37" s="388" t="s">
        <v>1457</v>
      </c>
      <c r="R37" s="590" t="s">
        <v>2216</v>
      </c>
      <c r="S37" s="388" t="s">
        <v>1457</v>
      </c>
      <c r="T37" s="388" t="s">
        <v>1457</v>
      </c>
      <c r="U37" s="388" t="s">
        <v>1457</v>
      </c>
      <c r="V37" s="388" t="s">
        <v>1457</v>
      </c>
      <c r="W37" s="589" t="s">
        <v>1457</v>
      </c>
      <c r="X37" s="290">
        <v>0</v>
      </c>
      <c r="Y37" s="588" t="s">
        <v>1457</v>
      </c>
      <c r="Z37" s="588" t="s">
        <v>1457</v>
      </c>
      <c r="AA37" s="289" t="s">
        <v>1457</v>
      </c>
      <c r="AB37" s="388" t="s">
        <v>1457</v>
      </c>
      <c r="AC37" s="588" t="s">
        <v>1457</v>
      </c>
      <c r="AD37" s="587">
        <v>8</v>
      </c>
      <c r="AE37" s="588" t="s">
        <v>2213</v>
      </c>
      <c r="AF37" s="588" t="s">
        <v>2241</v>
      </c>
      <c r="AG37" s="289">
        <v>0.23</v>
      </c>
      <c r="AH37" s="388">
        <v>0.80300000000000005</v>
      </c>
      <c r="AI37" s="289">
        <v>0.28499999999999998</v>
      </c>
      <c r="AJ37" s="388">
        <v>0.76400000000000001</v>
      </c>
      <c r="AK37" s="589" t="s">
        <v>1457</v>
      </c>
      <c r="AL37" s="590" t="s">
        <v>2242</v>
      </c>
      <c r="AM37" s="388" t="s">
        <v>1457</v>
      </c>
      <c r="AN37" s="388" t="s">
        <v>1457</v>
      </c>
      <c r="AO37" s="388" t="s">
        <v>1457</v>
      </c>
      <c r="AP37" s="388" t="s">
        <v>1457</v>
      </c>
      <c r="AQ37" s="589" t="s">
        <v>1457</v>
      </c>
    </row>
    <row r="38" spans="1:43" s="290" customFormat="1" ht="18">
      <c r="A38" s="290" t="s">
        <v>76</v>
      </c>
      <c r="B38" s="290" t="s">
        <v>524</v>
      </c>
      <c r="C38" s="290" t="s">
        <v>525</v>
      </c>
      <c r="D38" s="587">
        <v>2</v>
      </c>
      <c r="E38" s="588" t="s">
        <v>1457</v>
      </c>
      <c r="F38" s="588" t="s">
        <v>1457</v>
      </c>
      <c r="G38" s="289" t="s">
        <v>1457</v>
      </c>
      <c r="H38" s="388" t="s">
        <v>1457</v>
      </c>
      <c r="I38" s="589" t="s">
        <v>1457</v>
      </c>
      <c r="J38" s="290">
        <v>0</v>
      </c>
      <c r="K38" s="588" t="s">
        <v>1457</v>
      </c>
      <c r="L38" s="588" t="s">
        <v>1457</v>
      </c>
      <c r="M38" s="289" t="s">
        <v>1457</v>
      </c>
      <c r="N38" s="388" t="s">
        <v>1457</v>
      </c>
      <c r="O38" s="289" t="s">
        <v>1457</v>
      </c>
      <c r="P38" s="388" t="s">
        <v>1457</v>
      </c>
      <c r="Q38" s="388" t="s">
        <v>1457</v>
      </c>
      <c r="R38" s="590" t="s">
        <v>2231</v>
      </c>
      <c r="S38" s="388" t="s">
        <v>1457</v>
      </c>
      <c r="T38" s="388" t="s">
        <v>1457</v>
      </c>
      <c r="U38" s="388" t="s">
        <v>1457</v>
      </c>
      <c r="V38" s="388" t="s">
        <v>1457</v>
      </c>
      <c r="W38" s="589" t="s">
        <v>1457</v>
      </c>
      <c r="X38" s="290">
        <v>0</v>
      </c>
      <c r="Y38" s="588" t="s">
        <v>1457</v>
      </c>
      <c r="Z38" s="588" t="s">
        <v>1457</v>
      </c>
      <c r="AA38" s="289" t="s">
        <v>1457</v>
      </c>
      <c r="AB38" s="388" t="s">
        <v>1457</v>
      </c>
      <c r="AC38" s="588" t="s">
        <v>1457</v>
      </c>
      <c r="AD38" s="587">
        <v>0</v>
      </c>
      <c r="AE38" s="588" t="s">
        <v>1457</v>
      </c>
      <c r="AF38" s="588" t="s">
        <v>1457</v>
      </c>
      <c r="AG38" s="289" t="s">
        <v>1457</v>
      </c>
      <c r="AH38" s="388" t="s">
        <v>1457</v>
      </c>
      <c r="AI38" s="289" t="s">
        <v>1457</v>
      </c>
      <c r="AJ38" s="388" t="s">
        <v>1457</v>
      </c>
      <c r="AK38" s="589" t="s">
        <v>1457</v>
      </c>
      <c r="AL38" s="590" t="s">
        <v>2186</v>
      </c>
      <c r="AM38" s="388" t="s">
        <v>1457</v>
      </c>
      <c r="AN38" s="388" t="s">
        <v>1457</v>
      </c>
      <c r="AO38" s="388" t="s">
        <v>1457</v>
      </c>
      <c r="AP38" s="388" t="s">
        <v>1457</v>
      </c>
      <c r="AQ38" s="589" t="s">
        <v>1457</v>
      </c>
    </row>
    <row r="39" spans="1:43" s="290" customFormat="1" ht="18">
      <c r="A39" s="290" t="s">
        <v>76</v>
      </c>
      <c r="B39" s="290" t="s">
        <v>524</v>
      </c>
      <c r="C39" s="290" t="s">
        <v>527</v>
      </c>
      <c r="D39" s="587">
        <v>1</v>
      </c>
      <c r="E39" s="588" t="s">
        <v>1457</v>
      </c>
      <c r="F39" s="588" t="s">
        <v>1457</v>
      </c>
      <c r="G39" s="289" t="s">
        <v>1457</v>
      </c>
      <c r="H39" s="388" t="s">
        <v>1457</v>
      </c>
      <c r="I39" s="589" t="s">
        <v>1457</v>
      </c>
      <c r="J39" s="290">
        <v>3</v>
      </c>
      <c r="K39" s="588" t="s">
        <v>1457</v>
      </c>
      <c r="L39" s="588" t="s">
        <v>1457</v>
      </c>
      <c r="M39" s="289" t="s">
        <v>1457</v>
      </c>
      <c r="N39" s="388" t="s">
        <v>1457</v>
      </c>
      <c r="O39" s="289" t="s">
        <v>1457</v>
      </c>
      <c r="P39" s="388" t="s">
        <v>1457</v>
      </c>
      <c r="Q39" s="388" t="s">
        <v>1457</v>
      </c>
      <c r="R39" s="590" t="s">
        <v>2181</v>
      </c>
      <c r="S39" s="388" t="s">
        <v>1457</v>
      </c>
      <c r="T39" s="388" t="s">
        <v>1457</v>
      </c>
      <c r="U39" s="388" t="s">
        <v>1457</v>
      </c>
      <c r="V39" s="388" t="s">
        <v>1457</v>
      </c>
      <c r="W39" s="589" t="s">
        <v>1457</v>
      </c>
      <c r="X39" s="290">
        <v>0</v>
      </c>
      <c r="Y39" s="588" t="s">
        <v>1457</v>
      </c>
      <c r="Z39" s="588" t="s">
        <v>1457</v>
      </c>
      <c r="AA39" s="289" t="s">
        <v>1457</v>
      </c>
      <c r="AB39" s="388" t="s">
        <v>1457</v>
      </c>
      <c r="AC39" s="588" t="s">
        <v>1457</v>
      </c>
      <c r="AD39" s="587">
        <v>3</v>
      </c>
      <c r="AE39" s="588" t="s">
        <v>1457</v>
      </c>
      <c r="AF39" s="588" t="s">
        <v>1457</v>
      </c>
      <c r="AG39" s="289" t="s">
        <v>1457</v>
      </c>
      <c r="AH39" s="388" t="s">
        <v>1457</v>
      </c>
      <c r="AI39" s="289" t="s">
        <v>1457</v>
      </c>
      <c r="AJ39" s="388" t="s">
        <v>1457</v>
      </c>
      <c r="AK39" s="589" t="s">
        <v>1457</v>
      </c>
      <c r="AL39" s="590" t="s">
        <v>2212</v>
      </c>
      <c r="AM39" s="388" t="s">
        <v>1457</v>
      </c>
      <c r="AN39" s="388" t="s">
        <v>1457</v>
      </c>
      <c r="AO39" s="388" t="s">
        <v>1457</v>
      </c>
      <c r="AP39" s="388" t="s">
        <v>1457</v>
      </c>
      <c r="AQ39" s="589" t="s">
        <v>1457</v>
      </c>
    </row>
    <row r="40" spans="1:43" s="290" customFormat="1" ht="18">
      <c r="A40" s="290" t="s">
        <v>76</v>
      </c>
      <c r="B40" s="290" t="s">
        <v>529</v>
      </c>
      <c r="C40" s="290" t="s">
        <v>530</v>
      </c>
      <c r="D40" s="587">
        <v>0</v>
      </c>
      <c r="E40" s="588" t="s">
        <v>1457</v>
      </c>
      <c r="F40" s="588" t="s">
        <v>1457</v>
      </c>
      <c r="G40" s="289" t="s">
        <v>1457</v>
      </c>
      <c r="H40" s="388" t="s">
        <v>1457</v>
      </c>
      <c r="I40" s="589" t="s">
        <v>1457</v>
      </c>
      <c r="J40" s="290">
        <v>0</v>
      </c>
      <c r="K40" s="588" t="s">
        <v>1457</v>
      </c>
      <c r="L40" s="588" t="s">
        <v>1457</v>
      </c>
      <c r="M40" s="289" t="s">
        <v>1457</v>
      </c>
      <c r="N40" s="388" t="s">
        <v>1457</v>
      </c>
      <c r="O40" s="289" t="s">
        <v>1457</v>
      </c>
      <c r="P40" s="388" t="s">
        <v>1457</v>
      </c>
      <c r="Q40" s="388" t="s">
        <v>1457</v>
      </c>
      <c r="R40" s="590" t="s">
        <v>2186</v>
      </c>
      <c r="S40" s="388" t="s">
        <v>1457</v>
      </c>
      <c r="T40" s="388" t="s">
        <v>1457</v>
      </c>
      <c r="U40" s="388" t="s">
        <v>1457</v>
      </c>
      <c r="V40" s="388" t="s">
        <v>1457</v>
      </c>
      <c r="W40" s="589" t="s">
        <v>1457</v>
      </c>
      <c r="X40" s="290">
        <v>0</v>
      </c>
      <c r="Y40" s="588" t="s">
        <v>1457</v>
      </c>
      <c r="Z40" s="588" t="s">
        <v>1457</v>
      </c>
      <c r="AA40" s="289" t="s">
        <v>1457</v>
      </c>
      <c r="AB40" s="388" t="s">
        <v>1457</v>
      </c>
      <c r="AC40" s="588" t="s">
        <v>1457</v>
      </c>
      <c r="AD40" s="587">
        <v>0</v>
      </c>
      <c r="AE40" s="588" t="s">
        <v>1457</v>
      </c>
      <c r="AF40" s="588" t="s">
        <v>1457</v>
      </c>
      <c r="AG40" s="289" t="s">
        <v>1457</v>
      </c>
      <c r="AH40" s="388" t="s">
        <v>1457</v>
      </c>
      <c r="AI40" s="289" t="s">
        <v>1457</v>
      </c>
      <c r="AJ40" s="388" t="s">
        <v>1457</v>
      </c>
      <c r="AK40" s="589" t="s">
        <v>1457</v>
      </c>
      <c r="AL40" s="590" t="s">
        <v>2186</v>
      </c>
      <c r="AM40" s="388" t="s">
        <v>1457</v>
      </c>
      <c r="AN40" s="388" t="s">
        <v>1457</v>
      </c>
      <c r="AO40" s="388" t="s">
        <v>1457</v>
      </c>
      <c r="AP40" s="388" t="s">
        <v>1457</v>
      </c>
      <c r="AQ40" s="589" t="s">
        <v>1457</v>
      </c>
    </row>
    <row r="41" spans="1:43" s="290" customFormat="1" ht="18">
      <c r="A41" s="290" t="s">
        <v>76</v>
      </c>
      <c r="B41" s="290" t="s">
        <v>95</v>
      </c>
      <c r="C41" s="290" t="s">
        <v>96</v>
      </c>
      <c r="D41" s="587">
        <v>4</v>
      </c>
      <c r="E41" s="588" t="s">
        <v>1457</v>
      </c>
      <c r="F41" s="588" t="s">
        <v>1457</v>
      </c>
      <c r="G41" s="289" t="s">
        <v>1457</v>
      </c>
      <c r="H41" s="388" t="s">
        <v>1457</v>
      </c>
      <c r="I41" s="589" t="s">
        <v>1457</v>
      </c>
      <c r="J41" s="290">
        <v>1</v>
      </c>
      <c r="K41" s="588" t="s">
        <v>1457</v>
      </c>
      <c r="L41" s="588" t="s">
        <v>1457</v>
      </c>
      <c r="M41" s="289" t="s">
        <v>1457</v>
      </c>
      <c r="N41" s="388" t="s">
        <v>1457</v>
      </c>
      <c r="O41" s="289" t="s">
        <v>1457</v>
      </c>
      <c r="P41" s="388" t="s">
        <v>1457</v>
      </c>
      <c r="Q41" s="388" t="s">
        <v>1457</v>
      </c>
      <c r="R41" s="590" t="s">
        <v>2243</v>
      </c>
      <c r="S41" s="388" t="s">
        <v>1457</v>
      </c>
      <c r="T41" s="388" t="s">
        <v>1457</v>
      </c>
      <c r="U41" s="388" t="s">
        <v>1457</v>
      </c>
      <c r="V41" s="388" t="s">
        <v>1457</v>
      </c>
      <c r="W41" s="589" t="s">
        <v>1457</v>
      </c>
      <c r="X41" s="290">
        <v>0</v>
      </c>
      <c r="Y41" s="588" t="s">
        <v>1457</v>
      </c>
      <c r="Z41" s="588" t="s">
        <v>1457</v>
      </c>
      <c r="AA41" s="289" t="s">
        <v>1457</v>
      </c>
      <c r="AB41" s="388" t="s">
        <v>1457</v>
      </c>
      <c r="AC41" s="588" t="s">
        <v>1457</v>
      </c>
      <c r="AD41" s="587">
        <v>0</v>
      </c>
      <c r="AE41" s="588" t="s">
        <v>1457</v>
      </c>
      <c r="AF41" s="588" t="s">
        <v>1457</v>
      </c>
      <c r="AG41" s="289" t="s">
        <v>1457</v>
      </c>
      <c r="AH41" s="388" t="s">
        <v>1457</v>
      </c>
      <c r="AI41" s="289" t="s">
        <v>1457</v>
      </c>
      <c r="AJ41" s="388" t="s">
        <v>1457</v>
      </c>
      <c r="AK41" s="589" t="s">
        <v>1457</v>
      </c>
      <c r="AL41" s="590" t="s">
        <v>2186</v>
      </c>
      <c r="AM41" s="388" t="s">
        <v>1457</v>
      </c>
      <c r="AN41" s="388" t="s">
        <v>1457</v>
      </c>
      <c r="AO41" s="388" t="s">
        <v>1457</v>
      </c>
      <c r="AP41" s="388" t="s">
        <v>1457</v>
      </c>
      <c r="AQ41" s="589" t="s">
        <v>1457</v>
      </c>
    </row>
    <row r="42" spans="1:43" s="290" customFormat="1" ht="18">
      <c r="A42" s="290" t="s">
        <v>605</v>
      </c>
      <c r="B42" s="290" t="s">
        <v>2244</v>
      </c>
      <c r="C42" s="290" t="s">
        <v>151</v>
      </c>
      <c r="D42" s="587">
        <v>0</v>
      </c>
      <c r="E42" s="588" t="s">
        <v>1457</v>
      </c>
      <c r="F42" s="588" t="s">
        <v>1457</v>
      </c>
      <c r="G42" s="289" t="s">
        <v>1457</v>
      </c>
      <c r="H42" s="388" t="s">
        <v>1457</v>
      </c>
      <c r="I42" s="589" t="s">
        <v>1457</v>
      </c>
      <c r="J42" s="290">
        <v>0</v>
      </c>
      <c r="K42" s="588" t="s">
        <v>1457</v>
      </c>
      <c r="L42" s="588" t="s">
        <v>1457</v>
      </c>
      <c r="M42" s="289" t="s">
        <v>1457</v>
      </c>
      <c r="N42" s="388" t="s">
        <v>1457</v>
      </c>
      <c r="O42" s="289" t="s">
        <v>1457</v>
      </c>
      <c r="P42" s="388" t="s">
        <v>1457</v>
      </c>
      <c r="Q42" s="388" t="s">
        <v>1457</v>
      </c>
      <c r="R42" s="590" t="s">
        <v>2186</v>
      </c>
      <c r="S42" s="388" t="s">
        <v>1457</v>
      </c>
      <c r="T42" s="388" t="s">
        <v>1457</v>
      </c>
      <c r="U42" s="388" t="s">
        <v>1457</v>
      </c>
      <c r="V42" s="388" t="s">
        <v>1457</v>
      </c>
      <c r="W42" s="589" t="s">
        <v>1457</v>
      </c>
      <c r="X42" s="290">
        <v>0</v>
      </c>
      <c r="Y42" s="588" t="s">
        <v>1457</v>
      </c>
      <c r="Z42" s="588" t="s">
        <v>1457</v>
      </c>
      <c r="AA42" s="289" t="s">
        <v>1457</v>
      </c>
      <c r="AB42" s="388" t="s">
        <v>1457</v>
      </c>
      <c r="AC42" s="588" t="s">
        <v>1457</v>
      </c>
      <c r="AD42" s="587">
        <v>0</v>
      </c>
      <c r="AE42" s="588" t="s">
        <v>1457</v>
      </c>
      <c r="AF42" s="588" t="s">
        <v>1457</v>
      </c>
      <c r="AG42" s="289" t="s">
        <v>1457</v>
      </c>
      <c r="AH42" s="388" t="s">
        <v>1457</v>
      </c>
      <c r="AI42" s="289" t="s">
        <v>1457</v>
      </c>
      <c r="AJ42" s="388" t="s">
        <v>1457</v>
      </c>
      <c r="AK42" s="589" t="s">
        <v>1457</v>
      </c>
      <c r="AL42" s="590" t="s">
        <v>2186</v>
      </c>
      <c r="AM42" s="388" t="s">
        <v>1457</v>
      </c>
      <c r="AN42" s="388" t="s">
        <v>1457</v>
      </c>
      <c r="AO42" s="388" t="s">
        <v>1457</v>
      </c>
      <c r="AP42" s="388" t="s">
        <v>1457</v>
      </c>
      <c r="AQ42" s="589" t="s">
        <v>1457</v>
      </c>
    </row>
    <row r="43" spans="1:43" s="290" customFormat="1" ht="18">
      <c r="A43" s="290" t="s">
        <v>580</v>
      </c>
      <c r="B43" s="290" t="s">
        <v>2180</v>
      </c>
      <c r="C43" s="290" t="s">
        <v>2180</v>
      </c>
      <c r="D43" s="587">
        <v>0</v>
      </c>
      <c r="E43" s="588" t="s">
        <v>1457</v>
      </c>
      <c r="F43" s="588" t="s">
        <v>1457</v>
      </c>
      <c r="G43" s="289" t="s">
        <v>1457</v>
      </c>
      <c r="H43" s="388" t="s">
        <v>1457</v>
      </c>
      <c r="I43" s="589" t="s">
        <v>1457</v>
      </c>
      <c r="J43" s="290">
        <v>40</v>
      </c>
      <c r="K43" s="588">
        <v>5</v>
      </c>
      <c r="L43" s="588" t="s">
        <v>2245</v>
      </c>
      <c r="M43" s="289">
        <v>1.6970000000000001</v>
      </c>
      <c r="N43" s="388">
        <v>0.17299999999999999</v>
      </c>
      <c r="O43" s="289">
        <v>1.1000000000000001</v>
      </c>
      <c r="P43" s="388">
        <v>0.372</v>
      </c>
      <c r="Q43" s="388">
        <v>5.0000000000000001E-3</v>
      </c>
      <c r="R43" s="590" t="s">
        <v>2246</v>
      </c>
      <c r="S43" s="388" t="s">
        <v>1457</v>
      </c>
      <c r="T43" s="388" t="s">
        <v>1457</v>
      </c>
      <c r="U43" s="388" t="s">
        <v>1457</v>
      </c>
      <c r="V43" s="388" t="s">
        <v>1457</v>
      </c>
      <c r="W43" s="589" t="s">
        <v>1457</v>
      </c>
      <c r="X43" s="290">
        <v>0</v>
      </c>
      <c r="Y43" s="588" t="s">
        <v>1457</v>
      </c>
      <c r="Z43" s="588" t="s">
        <v>1457</v>
      </c>
      <c r="AA43" s="289" t="s">
        <v>1457</v>
      </c>
      <c r="AB43" s="388" t="s">
        <v>1457</v>
      </c>
      <c r="AC43" s="588" t="s">
        <v>1457</v>
      </c>
      <c r="AD43" s="587">
        <v>231</v>
      </c>
      <c r="AE43" s="588" t="s">
        <v>2208</v>
      </c>
      <c r="AF43" s="588" t="s">
        <v>2247</v>
      </c>
      <c r="AG43" s="289">
        <v>0.56999999999999995</v>
      </c>
      <c r="AH43" s="388">
        <v>0.68400000000000005</v>
      </c>
      <c r="AI43" s="289">
        <v>3.59</v>
      </c>
      <c r="AJ43" s="388">
        <v>7.3499999999999998E-3</v>
      </c>
      <c r="AK43" s="589">
        <v>5.0000000000000001E-3</v>
      </c>
      <c r="AL43" s="590" t="s">
        <v>2248</v>
      </c>
      <c r="AM43" s="388" t="s">
        <v>1457</v>
      </c>
      <c r="AN43" s="388" t="s">
        <v>1457</v>
      </c>
      <c r="AO43" s="388" t="s">
        <v>1457</v>
      </c>
      <c r="AP43" s="388" t="s">
        <v>1457</v>
      </c>
      <c r="AQ43" s="589" t="s">
        <v>1457</v>
      </c>
    </row>
    <row r="44" spans="1:43" s="290" customFormat="1" ht="18">
      <c r="A44" s="290" t="s">
        <v>580</v>
      </c>
      <c r="B44" s="290" t="s">
        <v>581</v>
      </c>
      <c r="C44" s="290" t="s">
        <v>151</v>
      </c>
      <c r="D44" s="587">
        <v>0</v>
      </c>
      <c r="E44" s="588" t="s">
        <v>1457</v>
      </c>
      <c r="F44" s="588" t="s">
        <v>1457</v>
      </c>
      <c r="G44" s="289" t="s">
        <v>1457</v>
      </c>
      <c r="H44" s="388" t="s">
        <v>1457</v>
      </c>
      <c r="I44" s="589" t="s">
        <v>1457</v>
      </c>
      <c r="J44" s="290">
        <v>0</v>
      </c>
      <c r="K44" s="588" t="s">
        <v>1457</v>
      </c>
      <c r="L44" s="588" t="s">
        <v>1457</v>
      </c>
      <c r="M44" s="289" t="s">
        <v>1457</v>
      </c>
      <c r="N44" s="388" t="s">
        <v>1457</v>
      </c>
      <c r="O44" s="289" t="s">
        <v>1457</v>
      </c>
      <c r="P44" s="388" t="s">
        <v>1457</v>
      </c>
      <c r="Q44" s="388" t="s">
        <v>1457</v>
      </c>
      <c r="R44" s="590" t="s">
        <v>2186</v>
      </c>
      <c r="S44" s="388" t="s">
        <v>1457</v>
      </c>
      <c r="T44" s="388" t="s">
        <v>1457</v>
      </c>
      <c r="U44" s="388" t="s">
        <v>1457</v>
      </c>
      <c r="V44" s="388" t="s">
        <v>1457</v>
      </c>
      <c r="W44" s="589" t="s">
        <v>1457</v>
      </c>
      <c r="X44" s="290">
        <v>0</v>
      </c>
      <c r="Y44" s="588" t="s">
        <v>1457</v>
      </c>
      <c r="Z44" s="588" t="s">
        <v>1457</v>
      </c>
      <c r="AA44" s="289" t="s">
        <v>1457</v>
      </c>
      <c r="AB44" s="388" t="s">
        <v>1457</v>
      </c>
      <c r="AC44" s="588" t="s">
        <v>1457</v>
      </c>
      <c r="AD44" s="587">
        <v>43</v>
      </c>
      <c r="AE44" s="588" t="s">
        <v>2237</v>
      </c>
      <c r="AF44" s="588" t="s">
        <v>2249</v>
      </c>
      <c r="AG44" s="289">
        <v>3.3000000000000002E-2</v>
      </c>
      <c r="AH44" s="388">
        <v>0.99199999999999999</v>
      </c>
      <c r="AI44" s="289">
        <v>8.4000000000000005E-2</v>
      </c>
      <c r="AJ44" s="388">
        <v>0.96799999999999997</v>
      </c>
      <c r="AK44" s="589">
        <v>8.3333333333333332E-3</v>
      </c>
      <c r="AL44" s="590" t="s">
        <v>2250</v>
      </c>
      <c r="AM44" s="388" t="s">
        <v>1457</v>
      </c>
      <c r="AN44" s="388" t="s">
        <v>1457</v>
      </c>
      <c r="AO44" s="388" t="s">
        <v>1457</v>
      </c>
      <c r="AP44" s="388" t="s">
        <v>1457</v>
      </c>
      <c r="AQ44" s="589" t="s">
        <v>1457</v>
      </c>
    </row>
    <row r="45" spans="1:43" s="290" customFormat="1" ht="18">
      <c r="A45" s="290" t="s">
        <v>580</v>
      </c>
      <c r="B45" s="290" t="s">
        <v>585</v>
      </c>
      <c r="C45" s="290" t="s">
        <v>151</v>
      </c>
      <c r="D45" s="587">
        <v>0</v>
      </c>
      <c r="E45" s="588" t="s">
        <v>1457</v>
      </c>
      <c r="F45" s="588" t="s">
        <v>1457</v>
      </c>
      <c r="G45" s="289" t="s">
        <v>1457</v>
      </c>
      <c r="H45" s="388" t="s">
        <v>1457</v>
      </c>
      <c r="I45" s="589" t="s">
        <v>1457</v>
      </c>
      <c r="J45" s="290">
        <v>40</v>
      </c>
      <c r="K45" s="588">
        <v>5</v>
      </c>
      <c r="L45" s="588" t="s">
        <v>2245</v>
      </c>
      <c r="M45" s="289">
        <v>1.6970000000000001</v>
      </c>
      <c r="N45" s="388">
        <v>0.17299999999999999</v>
      </c>
      <c r="O45" s="289">
        <v>1.1000000000000001</v>
      </c>
      <c r="P45" s="388">
        <v>0.372</v>
      </c>
      <c r="Q45" s="388">
        <v>5.0000000000000001E-3</v>
      </c>
      <c r="R45" s="590" t="s">
        <v>2246</v>
      </c>
      <c r="S45" s="388" t="s">
        <v>1457</v>
      </c>
      <c r="T45" s="388" t="s">
        <v>1457</v>
      </c>
      <c r="U45" s="388" t="s">
        <v>1457</v>
      </c>
      <c r="V45" s="388" t="s">
        <v>1457</v>
      </c>
      <c r="W45" s="589" t="s">
        <v>1457</v>
      </c>
      <c r="X45" s="290">
        <v>0</v>
      </c>
      <c r="Y45" s="588" t="s">
        <v>1457</v>
      </c>
      <c r="Z45" s="588" t="s">
        <v>1457</v>
      </c>
      <c r="AA45" s="289" t="s">
        <v>1457</v>
      </c>
      <c r="AB45" s="388" t="s">
        <v>1457</v>
      </c>
      <c r="AC45" s="588" t="s">
        <v>1457</v>
      </c>
      <c r="AD45" s="587">
        <v>187</v>
      </c>
      <c r="AE45" s="588" t="s">
        <v>2208</v>
      </c>
      <c r="AF45" s="588" t="s">
        <v>2251</v>
      </c>
      <c r="AG45" s="289">
        <v>1.02</v>
      </c>
      <c r="AH45" s="388">
        <v>0.39800000000000002</v>
      </c>
      <c r="AI45" s="289">
        <v>3.7759999999999998</v>
      </c>
      <c r="AJ45" s="388">
        <v>5.64E-3</v>
      </c>
      <c r="AK45" s="589">
        <v>5.0000000000000001E-3</v>
      </c>
      <c r="AL45" s="590" t="s">
        <v>2252</v>
      </c>
      <c r="AM45" s="388" t="s">
        <v>1457</v>
      </c>
      <c r="AN45" s="388" t="s">
        <v>1457</v>
      </c>
      <c r="AO45" s="388" t="s">
        <v>1457</v>
      </c>
      <c r="AP45" s="388" t="s">
        <v>1457</v>
      </c>
      <c r="AQ45" s="589" t="s">
        <v>1457</v>
      </c>
    </row>
    <row r="46" spans="1:43" s="290" customFormat="1" ht="18">
      <c r="A46" s="290" t="s">
        <v>534</v>
      </c>
      <c r="B46" s="290" t="s">
        <v>2180</v>
      </c>
      <c r="C46" s="290" t="s">
        <v>2180</v>
      </c>
      <c r="D46" s="587">
        <v>0</v>
      </c>
      <c r="E46" s="588" t="s">
        <v>1457</v>
      </c>
      <c r="F46" s="588" t="s">
        <v>1457</v>
      </c>
      <c r="G46" s="289" t="s">
        <v>1457</v>
      </c>
      <c r="H46" s="388" t="s">
        <v>1457</v>
      </c>
      <c r="I46" s="589" t="s">
        <v>1457</v>
      </c>
      <c r="J46" s="290">
        <v>13</v>
      </c>
      <c r="K46" s="588">
        <v>4</v>
      </c>
      <c r="L46" s="588" t="s">
        <v>2253</v>
      </c>
      <c r="M46" s="289">
        <v>0.151</v>
      </c>
      <c r="N46" s="388">
        <v>0.92700000000000005</v>
      </c>
      <c r="O46" s="289">
        <v>0.114</v>
      </c>
      <c r="P46" s="388">
        <v>0.95</v>
      </c>
      <c r="Q46" s="388">
        <v>8.3333333333333332E-3</v>
      </c>
      <c r="R46" s="590" t="s">
        <v>2254</v>
      </c>
      <c r="S46" s="388" t="s">
        <v>1457</v>
      </c>
      <c r="T46" s="388" t="s">
        <v>1457</v>
      </c>
      <c r="U46" s="388" t="s">
        <v>1457</v>
      </c>
      <c r="V46" s="388" t="s">
        <v>1457</v>
      </c>
      <c r="W46" s="589" t="s">
        <v>1457</v>
      </c>
      <c r="X46" s="290">
        <v>0</v>
      </c>
      <c r="Y46" s="588" t="s">
        <v>1457</v>
      </c>
      <c r="Z46" s="588" t="s">
        <v>1457</v>
      </c>
      <c r="AA46" s="289" t="s">
        <v>1457</v>
      </c>
      <c r="AB46" s="388" t="s">
        <v>1457</v>
      </c>
      <c r="AC46" s="588" t="s">
        <v>1457</v>
      </c>
      <c r="AD46" s="587">
        <v>11</v>
      </c>
      <c r="AE46" s="588" t="s">
        <v>2237</v>
      </c>
      <c r="AF46" s="588" t="s">
        <v>2222</v>
      </c>
      <c r="AG46" s="289">
        <v>0.433</v>
      </c>
      <c r="AH46" s="388">
        <v>0.73599999999999999</v>
      </c>
      <c r="AI46" s="289">
        <v>6.2850000000000001</v>
      </c>
      <c r="AJ46" s="388">
        <v>2.1299999999999999E-2</v>
      </c>
      <c r="AK46" s="589">
        <v>8.3333333333333332E-3</v>
      </c>
      <c r="AL46" s="590" t="s">
        <v>2215</v>
      </c>
      <c r="AM46" s="388" t="s">
        <v>1457</v>
      </c>
      <c r="AN46" s="388" t="s">
        <v>1457</v>
      </c>
      <c r="AO46" s="388" t="s">
        <v>1457</v>
      </c>
      <c r="AP46" s="388" t="s">
        <v>1457</v>
      </c>
      <c r="AQ46" s="589" t="s">
        <v>1457</v>
      </c>
    </row>
    <row r="47" spans="1:43" s="290" customFormat="1" ht="18">
      <c r="A47" s="290" t="s">
        <v>534</v>
      </c>
      <c r="B47" s="290" t="s">
        <v>539</v>
      </c>
      <c r="C47" s="290" t="s">
        <v>540</v>
      </c>
      <c r="D47" s="587">
        <v>0</v>
      </c>
      <c r="E47" s="588" t="s">
        <v>1457</v>
      </c>
      <c r="F47" s="588" t="s">
        <v>1457</v>
      </c>
      <c r="G47" s="289" t="s">
        <v>1457</v>
      </c>
      <c r="H47" s="388" t="s">
        <v>1457</v>
      </c>
      <c r="I47" s="589" t="s">
        <v>1457</v>
      </c>
      <c r="J47" s="290">
        <v>4</v>
      </c>
      <c r="K47" s="588" t="s">
        <v>1457</v>
      </c>
      <c r="L47" s="588" t="s">
        <v>1457</v>
      </c>
      <c r="M47" s="289" t="s">
        <v>1457</v>
      </c>
      <c r="N47" s="388" t="s">
        <v>1457</v>
      </c>
      <c r="O47" s="289" t="s">
        <v>1457</v>
      </c>
      <c r="P47" s="388" t="s">
        <v>1457</v>
      </c>
      <c r="Q47" s="388" t="s">
        <v>1457</v>
      </c>
      <c r="R47" s="590" t="s">
        <v>2255</v>
      </c>
      <c r="S47" s="388" t="s">
        <v>1457</v>
      </c>
      <c r="T47" s="388" t="s">
        <v>1457</v>
      </c>
      <c r="U47" s="388" t="s">
        <v>1457</v>
      </c>
      <c r="V47" s="388" t="s">
        <v>1457</v>
      </c>
      <c r="W47" s="589" t="s">
        <v>1457</v>
      </c>
      <c r="X47" s="290">
        <v>0</v>
      </c>
      <c r="Y47" s="588" t="s">
        <v>1457</v>
      </c>
      <c r="Z47" s="588" t="s">
        <v>1457</v>
      </c>
      <c r="AA47" s="289" t="s">
        <v>1457</v>
      </c>
      <c r="AB47" s="388" t="s">
        <v>1457</v>
      </c>
      <c r="AC47" s="588" t="s">
        <v>1457</v>
      </c>
      <c r="AD47" s="587">
        <v>7</v>
      </c>
      <c r="AE47" s="588" t="s">
        <v>2213</v>
      </c>
      <c r="AF47" s="588" t="s">
        <v>2219</v>
      </c>
      <c r="AG47" s="289">
        <v>0.40200000000000002</v>
      </c>
      <c r="AH47" s="388">
        <v>0.69399999999999995</v>
      </c>
      <c r="AI47" s="289">
        <v>4.2809999999999997</v>
      </c>
      <c r="AJ47" s="388">
        <v>0.10100000000000001</v>
      </c>
      <c r="AK47" s="589">
        <v>1.6666666666666666E-2</v>
      </c>
      <c r="AL47" s="590" t="s">
        <v>2220</v>
      </c>
      <c r="AM47" s="388" t="s">
        <v>1457</v>
      </c>
      <c r="AN47" s="388" t="s">
        <v>1457</v>
      </c>
      <c r="AO47" s="388" t="s">
        <v>1457</v>
      </c>
      <c r="AP47" s="388" t="s">
        <v>1457</v>
      </c>
      <c r="AQ47" s="589" t="s">
        <v>1457</v>
      </c>
    </row>
    <row r="48" spans="1:43" s="290" customFormat="1" ht="18">
      <c r="A48" s="290" t="s">
        <v>534</v>
      </c>
      <c r="B48" s="290" t="s">
        <v>544</v>
      </c>
      <c r="C48" s="290" t="s">
        <v>151</v>
      </c>
      <c r="D48" s="587">
        <v>0</v>
      </c>
      <c r="E48" s="588" t="s">
        <v>1457</v>
      </c>
      <c r="F48" s="588" t="s">
        <v>1457</v>
      </c>
      <c r="G48" s="289" t="s">
        <v>1457</v>
      </c>
      <c r="H48" s="388" t="s">
        <v>1457</v>
      </c>
      <c r="I48" s="589" t="s">
        <v>1457</v>
      </c>
      <c r="J48" s="290">
        <v>9</v>
      </c>
      <c r="K48" s="588" t="s">
        <v>1457</v>
      </c>
      <c r="L48" s="588" t="s">
        <v>1457</v>
      </c>
      <c r="M48" s="289" t="s">
        <v>1457</v>
      </c>
      <c r="N48" s="388" t="s">
        <v>1457</v>
      </c>
      <c r="O48" s="289" t="s">
        <v>1457</v>
      </c>
      <c r="P48" s="388" t="s">
        <v>1457</v>
      </c>
      <c r="Q48" s="388" t="s">
        <v>1457</v>
      </c>
      <c r="R48" s="590" t="s">
        <v>2256</v>
      </c>
      <c r="S48" s="388" t="s">
        <v>1457</v>
      </c>
      <c r="T48" s="388" t="s">
        <v>1457</v>
      </c>
      <c r="U48" s="388" t="s">
        <v>1457</v>
      </c>
      <c r="V48" s="388" t="s">
        <v>1457</v>
      </c>
      <c r="W48" s="589" t="s">
        <v>1457</v>
      </c>
      <c r="X48" s="290">
        <v>0</v>
      </c>
      <c r="Y48" s="588" t="s">
        <v>1457</v>
      </c>
      <c r="Z48" s="588" t="s">
        <v>1457</v>
      </c>
      <c r="AA48" s="289" t="s">
        <v>1457</v>
      </c>
      <c r="AB48" s="388" t="s">
        <v>1457</v>
      </c>
      <c r="AC48" s="588" t="s">
        <v>1457</v>
      </c>
      <c r="AD48" s="587">
        <v>4</v>
      </c>
      <c r="AE48" s="588" t="s">
        <v>1457</v>
      </c>
      <c r="AF48" s="588" t="s">
        <v>1457</v>
      </c>
      <c r="AG48" s="289" t="s">
        <v>1457</v>
      </c>
      <c r="AH48" s="388" t="s">
        <v>1457</v>
      </c>
      <c r="AI48" s="289" t="s">
        <v>1457</v>
      </c>
      <c r="AJ48" s="388" t="s">
        <v>1457</v>
      </c>
      <c r="AK48" s="589" t="s">
        <v>1457</v>
      </c>
      <c r="AL48" s="590" t="s">
        <v>2255</v>
      </c>
      <c r="AM48" s="388" t="s">
        <v>1457</v>
      </c>
      <c r="AN48" s="388" t="s">
        <v>1457</v>
      </c>
      <c r="AO48" s="388" t="s">
        <v>1457</v>
      </c>
      <c r="AP48" s="388" t="s">
        <v>1457</v>
      </c>
      <c r="AQ48" s="589" t="s">
        <v>1457</v>
      </c>
    </row>
    <row r="49" spans="1:43" s="290" customFormat="1" ht="18">
      <c r="A49" s="290" t="s">
        <v>77</v>
      </c>
      <c r="B49" s="290" t="s">
        <v>2180</v>
      </c>
      <c r="C49" s="290" t="s">
        <v>2180</v>
      </c>
      <c r="D49" s="587">
        <v>0</v>
      </c>
      <c r="E49" s="588" t="s">
        <v>1457</v>
      </c>
      <c r="F49" s="588" t="s">
        <v>1457</v>
      </c>
      <c r="G49" s="289" t="s">
        <v>1457</v>
      </c>
      <c r="H49" s="388" t="s">
        <v>1457</v>
      </c>
      <c r="I49" s="589" t="s">
        <v>1457</v>
      </c>
      <c r="J49" s="290">
        <v>1</v>
      </c>
      <c r="K49" s="588" t="s">
        <v>1457</v>
      </c>
      <c r="L49" s="588" t="s">
        <v>1457</v>
      </c>
      <c r="M49" s="289" t="s">
        <v>1457</v>
      </c>
      <c r="N49" s="388" t="s">
        <v>1457</v>
      </c>
      <c r="O49" s="289" t="s">
        <v>1457</v>
      </c>
      <c r="P49" s="388" t="s">
        <v>1457</v>
      </c>
      <c r="Q49" s="388" t="s">
        <v>1457</v>
      </c>
      <c r="R49" s="590" t="s">
        <v>2187</v>
      </c>
      <c r="S49" s="388" t="s">
        <v>1457</v>
      </c>
      <c r="T49" s="388" t="s">
        <v>1457</v>
      </c>
      <c r="U49" s="388" t="s">
        <v>1457</v>
      </c>
      <c r="V49" s="388" t="s">
        <v>1457</v>
      </c>
      <c r="W49" s="589" t="s">
        <v>1457</v>
      </c>
      <c r="X49" s="290">
        <v>0</v>
      </c>
      <c r="Y49" s="588" t="s">
        <v>1457</v>
      </c>
      <c r="Z49" s="588" t="s">
        <v>1457</v>
      </c>
      <c r="AA49" s="289" t="s">
        <v>1457</v>
      </c>
      <c r="AB49" s="388" t="s">
        <v>1457</v>
      </c>
      <c r="AC49" s="588" t="s">
        <v>1457</v>
      </c>
      <c r="AD49" s="587">
        <v>10</v>
      </c>
      <c r="AE49" s="588" t="s">
        <v>2213</v>
      </c>
      <c r="AF49" s="588" t="s">
        <v>2257</v>
      </c>
      <c r="AG49" s="289">
        <v>0.313</v>
      </c>
      <c r="AH49" s="388">
        <v>0.81599999999999995</v>
      </c>
      <c r="AI49" s="289">
        <v>1.141</v>
      </c>
      <c r="AJ49" s="388">
        <v>0.40600000000000003</v>
      </c>
      <c r="AK49" s="589">
        <v>1.6666666666666666E-2</v>
      </c>
      <c r="AL49" s="590" t="s">
        <v>2258</v>
      </c>
      <c r="AM49" s="388" t="s">
        <v>1457</v>
      </c>
      <c r="AN49" s="388" t="s">
        <v>1457</v>
      </c>
      <c r="AO49" s="388" t="s">
        <v>1457</v>
      </c>
      <c r="AP49" s="388" t="s">
        <v>1457</v>
      </c>
      <c r="AQ49" s="589" t="s">
        <v>1457</v>
      </c>
    </row>
    <row r="50" spans="1:43" s="290" customFormat="1" ht="18">
      <c r="A50" s="290" t="s">
        <v>77</v>
      </c>
      <c r="B50" s="290" t="s">
        <v>1605</v>
      </c>
      <c r="C50" s="290" t="s">
        <v>151</v>
      </c>
      <c r="D50" s="587">
        <v>0</v>
      </c>
      <c r="E50" s="588" t="s">
        <v>1457</v>
      </c>
      <c r="F50" s="588" t="s">
        <v>1457</v>
      </c>
      <c r="G50" s="289" t="s">
        <v>1457</v>
      </c>
      <c r="H50" s="388" t="s">
        <v>1457</v>
      </c>
      <c r="I50" s="589" t="s">
        <v>1457</v>
      </c>
      <c r="J50" s="290">
        <v>1</v>
      </c>
      <c r="K50" s="588" t="s">
        <v>1457</v>
      </c>
      <c r="L50" s="588" t="s">
        <v>1457</v>
      </c>
      <c r="M50" s="289" t="s">
        <v>1457</v>
      </c>
      <c r="N50" s="388" t="s">
        <v>1457</v>
      </c>
      <c r="O50" s="289" t="s">
        <v>1457</v>
      </c>
      <c r="P50" s="388" t="s">
        <v>1457</v>
      </c>
      <c r="Q50" s="388" t="s">
        <v>1457</v>
      </c>
      <c r="R50" s="590" t="s">
        <v>2187</v>
      </c>
      <c r="S50" s="388" t="s">
        <v>1457</v>
      </c>
      <c r="T50" s="388" t="s">
        <v>1457</v>
      </c>
      <c r="U50" s="388" t="s">
        <v>1457</v>
      </c>
      <c r="V50" s="388" t="s">
        <v>1457</v>
      </c>
      <c r="W50" s="589" t="s">
        <v>1457</v>
      </c>
      <c r="X50" s="290">
        <v>0</v>
      </c>
      <c r="Y50" s="588" t="s">
        <v>1457</v>
      </c>
      <c r="Z50" s="588" t="s">
        <v>1457</v>
      </c>
      <c r="AA50" s="289" t="s">
        <v>1457</v>
      </c>
      <c r="AB50" s="388" t="s">
        <v>1457</v>
      </c>
      <c r="AC50" s="588" t="s">
        <v>1457</v>
      </c>
      <c r="AD50" s="587">
        <v>0</v>
      </c>
      <c r="AE50" s="588" t="s">
        <v>1457</v>
      </c>
      <c r="AF50" s="588" t="s">
        <v>1457</v>
      </c>
      <c r="AG50" s="289" t="s">
        <v>1457</v>
      </c>
      <c r="AH50" s="388" t="s">
        <v>1457</v>
      </c>
      <c r="AI50" s="289" t="s">
        <v>1457</v>
      </c>
      <c r="AJ50" s="388" t="s">
        <v>1457</v>
      </c>
      <c r="AK50" s="589" t="s">
        <v>1457</v>
      </c>
      <c r="AL50" s="590" t="s">
        <v>2186</v>
      </c>
      <c r="AM50" s="388" t="s">
        <v>1457</v>
      </c>
      <c r="AN50" s="388" t="s">
        <v>1457</v>
      </c>
      <c r="AO50" s="388" t="s">
        <v>1457</v>
      </c>
      <c r="AP50" s="388" t="s">
        <v>1457</v>
      </c>
      <c r="AQ50" s="589" t="s">
        <v>1457</v>
      </c>
    </row>
    <row r="51" spans="1:43" s="290" customFormat="1" ht="18">
      <c r="A51" s="290" t="s">
        <v>77</v>
      </c>
      <c r="B51" s="290" t="s">
        <v>1304</v>
      </c>
      <c r="C51" s="290" t="s">
        <v>549</v>
      </c>
      <c r="D51" s="587">
        <v>0</v>
      </c>
      <c r="E51" s="588" t="s">
        <v>1457</v>
      </c>
      <c r="F51" s="588" t="s">
        <v>1457</v>
      </c>
      <c r="G51" s="289" t="s">
        <v>1457</v>
      </c>
      <c r="H51" s="388" t="s">
        <v>1457</v>
      </c>
      <c r="I51" s="589" t="s">
        <v>1457</v>
      </c>
      <c r="J51" s="290">
        <v>0</v>
      </c>
      <c r="K51" s="588" t="s">
        <v>1457</v>
      </c>
      <c r="L51" s="588" t="s">
        <v>1457</v>
      </c>
      <c r="M51" s="289" t="s">
        <v>1457</v>
      </c>
      <c r="N51" s="388" t="s">
        <v>1457</v>
      </c>
      <c r="O51" s="289" t="s">
        <v>1457</v>
      </c>
      <c r="P51" s="388" t="s">
        <v>1457</v>
      </c>
      <c r="Q51" s="388" t="s">
        <v>1457</v>
      </c>
      <c r="R51" s="590" t="s">
        <v>2186</v>
      </c>
      <c r="S51" s="388" t="s">
        <v>1457</v>
      </c>
      <c r="T51" s="388" t="s">
        <v>1457</v>
      </c>
      <c r="U51" s="388" t="s">
        <v>1457</v>
      </c>
      <c r="V51" s="388" t="s">
        <v>1457</v>
      </c>
      <c r="W51" s="589" t="s">
        <v>1457</v>
      </c>
      <c r="X51" s="290">
        <v>0</v>
      </c>
      <c r="Y51" s="588" t="s">
        <v>1457</v>
      </c>
      <c r="Z51" s="588" t="s">
        <v>1457</v>
      </c>
      <c r="AA51" s="289" t="s">
        <v>1457</v>
      </c>
      <c r="AB51" s="388" t="s">
        <v>1457</v>
      </c>
      <c r="AC51" s="588" t="s">
        <v>1457</v>
      </c>
      <c r="AD51" s="587">
        <v>8</v>
      </c>
      <c r="AE51" s="588" t="s">
        <v>2213</v>
      </c>
      <c r="AF51" s="588" t="s">
        <v>2259</v>
      </c>
      <c r="AG51" s="289">
        <v>0.16</v>
      </c>
      <c r="AH51" s="388">
        <v>0.91800000000000004</v>
      </c>
      <c r="AI51" s="289">
        <v>0.79700000000000004</v>
      </c>
      <c r="AJ51" s="388">
        <v>0.55600000000000005</v>
      </c>
      <c r="AK51" s="589">
        <v>1.6666666666666666E-2</v>
      </c>
      <c r="AL51" s="590" t="s">
        <v>2242</v>
      </c>
      <c r="AM51" s="388" t="s">
        <v>1457</v>
      </c>
      <c r="AN51" s="388" t="s">
        <v>1457</v>
      </c>
      <c r="AO51" s="388" t="s">
        <v>1457</v>
      </c>
      <c r="AP51" s="388" t="s">
        <v>1457</v>
      </c>
      <c r="AQ51" s="589" t="s">
        <v>1457</v>
      </c>
    </row>
    <row r="52" spans="1:43" s="290" customFormat="1" ht="18">
      <c r="A52" s="290" t="s">
        <v>77</v>
      </c>
      <c r="B52" s="290" t="s">
        <v>1120</v>
      </c>
      <c r="C52" s="290" t="s">
        <v>1120</v>
      </c>
      <c r="D52" s="587">
        <v>0</v>
      </c>
      <c r="E52" s="588" t="s">
        <v>1457</v>
      </c>
      <c r="F52" s="588" t="s">
        <v>1457</v>
      </c>
      <c r="G52" s="289" t="s">
        <v>1457</v>
      </c>
      <c r="H52" s="388" t="s">
        <v>1457</v>
      </c>
      <c r="I52" s="589" t="s">
        <v>1457</v>
      </c>
      <c r="J52" s="290">
        <v>0</v>
      </c>
      <c r="K52" s="588" t="s">
        <v>1457</v>
      </c>
      <c r="L52" s="588" t="s">
        <v>1457</v>
      </c>
      <c r="M52" s="289" t="s">
        <v>1457</v>
      </c>
      <c r="N52" s="388" t="s">
        <v>1457</v>
      </c>
      <c r="O52" s="289" t="s">
        <v>1457</v>
      </c>
      <c r="P52" s="388" t="s">
        <v>1457</v>
      </c>
      <c r="Q52" s="388" t="s">
        <v>1457</v>
      </c>
      <c r="R52" s="590" t="s">
        <v>2186</v>
      </c>
      <c r="S52" s="388" t="s">
        <v>1457</v>
      </c>
      <c r="T52" s="388" t="s">
        <v>1457</v>
      </c>
      <c r="U52" s="388" t="s">
        <v>1457</v>
      </c>
      <c r="V52" s="388" t="s">
        <v>1457</v>
      </c>
      <c r="W52" s="589" t="s">
        <v>1457</v>
      </c>
      <c r="X52" s="290">
        <v>0</v>
      </c>
      <c r="Y52" s="588" t="s">
        <v>1457</v>
      </c>
      <c r="Z52" s="588" t="s">
        <v>1457</v>
      </c>
      <c r="AA52" s="289" t="s">
        <v>1457</v>
      </c>
      <c r="AB52" s="388" t="s">
        <v>1457</v>
      </c>
      <c r="AC52" s="588" t="s">
        <v>1457</v>
      </c>
      <c r="AD52" s="587">
        <v>2</v>
      </c>
      <c r="AE52" s="588" t="s">
        <v>1457</v>
      </c>
      <c r="AF52" s="588" t="s">
        <v>1457</v>
      </c>
      <c r="AG52" s="289" t="s">
        <v>1457</v>
      </c>
      <c r="AH52" s="388" t="s">
        <v>1457</v>
      </c>
      <c r="AI52" s="289" t="s">
        <v>1457</v>
      </c>
      <c r="AJ52" s="388" t="s">
        <v>1457</v>
      </c>
      <c r="AK52" s="589" t="s">
        <v>1457</v>
      </c>
      <c r="AL52" s="590" t="s">
        <v>2184</v>
      </c>
      <c r="AM52" s="388" t="s">
        <v>1457</v>
      </c>
      <c r="AN52" s="388" t="s">
        <v>1457</v>
      </c>
      <c r="AO52" s="388" t="s">
        <v>1457</v>
      </c>
      <c r="AP52" s="388" t="s">
        <v>1457</v>
      </c>
      <c r="AQ52" s="589" t="s">
        <v>1457</v>
      </c>
    </row>
    <row r="53" spans="1:43" s="290" customFormat="1" ht="18">
      <c r="A53" s="290" t="s">
        <v>597</v>
      </c>
      <c r="B53" s="290" t="s">
        <v>2180</v>
      </c>
      <c r="C53" s="290" t="s">
        <v>2180</v>
      </c>
      <c r="D53" s="587">
        <v>0</v>
      </c>
      <c r="E53" s="588" t="s">
        <v>1457</v>
      </c>
      <c r="F53" s="588" t="s">
        <v>1457</v>
      </c>
      <c r="G53" s="289" t="s">
        <v>1457</v>
      </c>
      <c r="H53" s="388" t="s">
        <v>1457</v>
      </c>
      <c r="I53" s="589" t="s">
        <v>1457</v>
      </c>
      <c r="J53" s="290">
        <v>0</v>
      </c>
      <c r="K53" s="588" t="s">
        <v>1457</v>
      </c>
      <c r="L53" s="588" t="s">
        <v>1457</v>
      </c>
      <c r="M53" s="289" t="s">
        <v>1457</v>
      </c>
      <c r="N53" s="388" t="s">
        <v>1457</v>
      </c>
      <c r="O53" s="289" t="s">
        <v>1457</v>
      </c>
      <c r="P53" s="388" t="s">
        <v>1457</v>
      </c>
      <c r="Q53" s="388" t="s">
        <v>1457</v>
      </c>
      <c r="R53" s="590" t="s">
        <v>2186</v>
      </c>
      <c r="S53" s="388" t="s">
        <v>1457</v>
      </c>
      <c r="T53" s="388" t="s">
        <v>1457</v>
      </c>
      <c r="U53" s="388" t="s">
        <v>1457</v>
      </c>
      <c r="V53" s="388" t="s">
        <v>1457</v>
      </c>
      <c r="W53" s="589" t="s">
        <v>1457</v>
      </c>
      <c r="X53" s="290">
        <v>0</v>
      </c>
      <c r="Y53" s="588" t="s">
        <v>1457</v>
      </c>
      <c r="Z53" s="588" t="s">
        <v>1457</v>
      </c>
      <c r="AA53" s="289" t="s">
        <v>1457</v>
      </c>
      <c r="AB53" s="388" t="s">
        <v>1457</v>
      </c>
      <c r="AC53" s="588" t="s">
        <v>1457</v>
      </c>
      <c r="AD53" s="587">
        <v>0</v>
      </c>
      <c r="AE53" s="588" t="s">
        <v>1457</v>
      </c>
      <c r="AF53" s="588" t="s">
        <v>1457</v>
      </c>
      <c r="AG53" s="289" t="s">
        <v>1457</v>
      </c>
      <c r="AH53" s="388" t="s">
        <v>1457</v>
      </c>
      <c r="AI53" s="289" t="s">
        <v>1457</v>
      </c>
      <c r="AJ53" s="388" t="s">
        <v>1457</v>
      </c>
      <c r="AK53" s="589" t="s">
        <v>1457</v>
      </c>
      <c r="AL53" s="590" t="s">
        <v>2186</v>
      </c>
      <c r="AM53" s="388" t="s">
        <v>1457</v>
      </c>
      <c r="AN53" s="388" t="s">
        <v>1457</v>
      </c>
      <c r="AO53" s="388" t="s">
        <v>1457</v>
      </c>
      <c r="AP53" s="388" t="s">
        <v>1457</v>
      </c>
      <c r="AQ53" s="589" t="s">
        <v>1457</v>
      </c>
    </row>
    <row r="54" spans="1:43" s="290" customFormat="1" ht="18">
      <c r="A54" s="290" t="s">
        <v>551</v>
      </c>
      <c r="B54" s="290" t="s">
        <v>117</v>
      </c>
      <c r="C54" s="290" t="s">
        <v>118</v>
      </c>
      <c r="D54" s="587">
        <v>0</v>
      </c>
      <c r="E54" s="588" t="s">
        <v>1457</v>
      </c>
      <c r="F54" s="588" t="s">
        <v>1457</v>
      </c>
      <c r="G54" s="289" t="s">
        <v>1457</v>
      </c>
      <c r="H54" s="388" t="s">
        <v>1457</v>
      </c>
      <c r="I54" s="589" t="s">
        <v>1457</v>
      </c>
      <c r="J54" s="290">
        <v>1</v>
      </c>
      <c r="K54" s="588" t="s">
        <v>1457</v>
      </c>
      <c r="L54" s="588" t="s">
        <v>1457</v>
      </c>
      <c r="M54" s="289" t="s">
        <v>1457</v>
      </c>
      <c r="N54" s="388" t="s">
        <v>1457</v>
      </c>
      <c r="O54" s="289" t="s">
        <v>1457</v>
      </c>
      <c r="P54" s="388" t="s">
        <v>1457</v>
      </c>
      <c r="Q54" s="388" t="s">
        <v>1457</v>
      </c>
      <c r="R54" s="590" t="s">
        <v>2187</v>
      </c>
      <c r="S54" s="388" t="s">
        <v>1457</v>
      </c>
      <c r="T54" s="388" t="s">
        <v>1457</v>
      </c>
      <c r="U54" s="388" t="s">
        <v>1457</v>
      </c>
      <c r="V54" s="388" t="s">
        <v>1457</v>
      </c>
      <c r="W54" s="589" t="s">
        <v>1457</v>
      </c>
      <c r="X54" s="290">
        <v>0</v>
      </c>
      <c r="Y54" s="588" t="s">
        <v>1457</v>
      </c>
      <c r="Z54" s="588" t="s">
        <v>1457</v>
      </c>
      <c r="AA54" s="289" t="s">
        <v>1457</v>
      </c>
      <c r="AB54" s="388" t="s">
        <v>1457</v>
      </c>
      <c r="AC54" s="588" t="s">
        <v>1457</v>
      </c>
      <c r="AD54" s="587">
        <v>10</v>
      </c>
      <c r="AE54" s="588" t="s">
        <v>2237</v>
      </c>
      <c r="AF54" s="588" t="s">
        <v>2260</v>
      </c>
      <c r="AG54" s="289">
        <v>5.7270000000000003</v>
      </c>
      <c r="AH54" s="388">
        <v>9.0200000000000002E-2</v>
      </c>
      <c r="AI54" s="289">
        <v>1.1339999999999999</v>
      </c>
      <c r="AJ54" s="388">
        <v>0.498</v>
      </c>
      <c r="AK54" s="589">
        <v>8.3333333333333332E-3</v>
      </c>
      <c r="AL54" s="590" t="s">
        <v>2258</v>
      </c>
      <c r="AM54" s="388" t="s">
        <v>1457</v>
      </c>
      <c r="AN54" s="388" t="s">
        <v>1457</v>
      </c>
      <c r="AO54" s="388" t="s">
        <v>1457</v>
      </c>
      <c r="AP54" s="388" t="s">
        <v>1457</v>
      </c>
      <c r="AQ54" s="589" t="s">
        <v>1457</v>
      </c>
    </row>
    <row r="55" spans="1:43" s="290" customFormat="1" ht="18">
      <c r="A55" s="290" t="s">
        <v>246</v>
      </c>
      <c r="B55" s="290" t="s">
        <v>247</v>
      </c>
      <c r="C55" s="290" t="s">
        <v>248</v>
      </c>
      <c r="D55" s="587">
        <v>2</v>
      </c>
      <c r="E55" s="588" t="s">
        <v>1457</v>
      </c>
      <c r="F55" s="588" t="s">
        <v>1457</v>
      </c>
      <c r="G55" s="289" t="s">
        <v>1457</v>
      </c>
      <c r="H55" s="388" t="s">
        <v>1457</v>
      </c>
      <c r="I55" s="589" t="s">
        <v>1457</v>
      </c>
      <c r="J55" s="290">
        <v>0</v>
      </c>
      <c r="K55" s="588" t="s">
        <v>1457</v>
      </c>
      <c r="L55" s="588" t="s">
        <v>1457</v>
      </c>
      <c r="M55" s="289" t="s">
        <v>1457</v>
      </c>
      <c r="N55" s="388" t="s">
        <v>1457</v>
      </c>
      <c r="O55" s="289" t="s">
        <v>1457</v>
      </c>
      <c r="P55" s="388" t="s">
        <v>1457</v>
      </c>
      <c r="Q55" s="388" t="s">
        <v>1457</v>
      </c>
      <c r="R55" s="590" t="s">
        <v>2231</v>
      </c>
      <c r="S55" s="388" t="s">
        <v>1457</v>
      </c>
      <c r="T55" s="388" t="s">
        <v>1457</v>
      </c>
      <c r="U55" s="388" t="s">
        <v>1457</v>
      </c>
      <c r="V55" s="388" t="s">
        <v>1457</v>
      </c>
      <c r="W55" s="589" t="s">
        <v>1457</v>
      </c>
      <c r="X55" s="290">
        <v>0</v>
      </c>
      <c r="Y55" s="588" t="s">
        <v>1457</v>
      </c>
      <c r="Z55" s="588" t="s">
        <v>1457</v>
      </c>
      <c r="AA55" s="289" t="s">
        <v>1457</v>
      </c>
      <c r="AB55" s="388" t="s">
        <v>1457</v>
      </c>
      <c r="AC55" s="588" t="s">
        <v>1457</v>
      </c>
      <c r="AD55" s="587">
        <v>0</v>
      </c>
      <c r="AE55" s="588" t="s">
        <v>1457</v>
      </c>
      <c r="AF55" s="588" t="s">
        <v>1457</v>
      </c>
      <c r="AG55" s="289" t="s">
        <v>1457</v>
      </c>
      <c r="AH55" s="388" t="s">
        <v>1457</v>
      </c>
      <c r="AI55" s="289" t="s">
        <v>1457</v>
      </c>
      <c r="AJ55" s="388" t="s">
        <v>1457</v>
      </c>
      <c r="AK55" s="589" t="s">
        <v>1457</v>
      </c>
      <c r="AL55" s="590" t="s">
        <v>2186</v>
      </c>
      <c r="AM55" s="388" t="s">
        <v>1457</v>
      </c>
      <c r="AN55" s="388" t="s">
        <v>1457</v>
      </c>
      <c r="AO55" s="388" t="s">
        <v>1457</v>
      </c>
      <c r="AP55" s="388" t="s">
        <v>1457</v>
      </c>
      <c r="AQ55" s="589" t="s">
        <v>1457</v>
      </c>
    </row>
    <row r="56" spans="1:43" s="290" customFormat="1" ht="18">
      <c r="A56" s="290" t="s">
        <v>187</v>
      </c>
      <c r="B56" s="290" t="s">
        <v>188</v>
      </c>
      <c r="C56" s="290" t="s">
        <v>189</v>
      </c>
      <c r="D56" s="587">
        <v>2</v>
      </c>
      <c r="E56" s="588" t="s">
        <v>1457</v>
      </c>
      <c r="F56" s="588" t="s">
        <v>1457</v>
      </c>
      <c r="G56" s="289" t="s">
        <v>1457</v>
      </c>
      <c r="H56" s="388" t="s">
        <v>1457</v>
      </c>
      <c r="I56" s="589" t="s">
        <v>1457</v>
      </c>
      <c r="J56" s="290">
        <v>2</v>
      </c>
      <c r="K56" s="588" t="s">
        <v>1457</v>
      </c>
      <c r="L56" s="588" t="s">
        <v>1457</v>
      </c>
      <c r="M56" s="289" t="s">
        <v>1457</v>
      </c>
      <c r="N56" s="388" t="s">
        <v>1457</v>
      </c>
      <c r="O56" s="289" t="s">
        <v>1457</v>
      </c>
      <c r="P56" s="388" t="s">
        <v>1457</v>
      </c>
      <c r="Q56" s="388" t="s">
        <v>1457</v>
      </c>
      <c r="R56" s="590" t="s">
        <v>2196</v>
      </c>
      <c r="S56" s="388" t="s">
        <v>1457</v>
      </c>
      <c r="T56" s="388" t="s">
        <v>1457</v>
      </c>
      <c r="U56" s="388" t="s">
        <v>1457</v>
      </c>
      <c r="V56" s="388" t="s">
        <v>1457</v>
      </c>
      <c r="W56" s="589" t="s">
        <v>1457</v>
      </c>
      <c r="X56" s="290">
        <v>0</v>
      </c>
      <c r="Y56" s="588" t="s">
        <v>1457</v>
      </c>
      <c r="Z56" s="588" t="s">
        <v>1457</v>
      </c>
      <c r="AA56" s="289" t="s">
        <v>1457</v>
      </c>
      <c r="AB56" s="388" t="s">
        <v>1457</v>
      </c>
      <c r="AC56" s="588" t="s">
        <v>1457</v>
      </c>
      <c r="AD56" s="587">
        <v>2</v>
      </c>
      <c r="AE56" s="588" t="s">
        <v>1457</v>
      </c>
      <c r="AF56" s="588" t="s">
        <v>1457</v>
      </c>
      <c r="AG56" s="289" t="s">
        <v>1457</v>
      </c>
      <c r="AH56" s="388" t="s">
        <v>1457</v>
      </c>
      <c r="AI56" s="289" t="s">
        <v>1457</v>
      </c>
      <c r="AJ56" s="388" t="s">
        <v>1457</v>
      </c>
      <c r="AK56" s="589" t="s">
        <v>1457</v>
      </c>
      <c r="AL56" s="590" t="s">
        <v>2184</v>
      </c>
      <c r="AM56" s="388" t="s">
        <v>1457</v>
      </c>
      <c r="AN56" s="388" t="s">
        <v>1457</v>
      </c>
      <c r="AO56" s="388" t="s">
        <v>1457</v>
      </c>
      <c r="AP56" s="388" t="s">
        <v>1457</v>
      </c>
      <c r="AQ56" s="589" t="s">
        <v>1457</v>
      </c>
    </row>
    <row r="57" spans="1:43" s="290" customFormat="1" ht="18">
      <c r="A57" s="290" t="s">
        <v>80</v>
      </c>
      <c r="B57" s="290" t="s">
        <v>2180</v>
      </c>
      <c r="C57" s="290" t="s">
        <v>2180</v>
      </c>
      <c r="D57" s="587">
        <v>0</v>
      </c>
      <c r="E57" s="588" t="s">
        <v>1457</v>
      </c>
      <c r="F57" s="588" t="s">
        <v>1457</v>
      </c>
      <c r="G57" s="289" t="s">
        <v>1457</v>
      </c>
      <c r="H57" s="388" t="s">
        <v>1457</v>
      </c>
      <c r="I57" s="589" t="s">
        <v>1457</v>
      </c>
      <c r="J57" s="290">
        <v>5</v>
      </c>
      <c r="K57" s="588" t="s">
        <v>1457</v>
      </c>
      <c r="L57" s="588" t="s">
        <v>1457</v>
      </c>
      <c r="M57" s="289" t="s">
        <v>1457</v>
      </c>
      <c r="N57" s="388" t="s">
        <v>1457</v>
      </c>
      <c r="O57" s="289" t="s">
        <v>1457</v>
      </c>
      <c r="P57" s="388" t="s">
        <v>1457</v>
      </c>
      <c r="Q57" s="388" t="s">
        <v>1457</v>
      </c>
      <c r="R57" s="590" t="s">
        <v>2216</v>
      </c>
      <c r="S57" s="388" t="s">
        <v>1457</v>
      </c>
      <c r="T57" s="388" t="s">
        <v>1457</v>
      </c>
      <c r="U57" s="388" t="s">
        <v>1457</v>
      </c>
      <c r="V57" s="388" t="s">
        <v>1457</v>
      </c>
      <c r="W57" s="589" t="s">
        <v>1457</v>
      </c>
      <c r="X57" s="290">
        <v>0</v>
      </c>
      <c r="Y57" s="588" t="s">
        <v>1457</v>
      </c>
      <c r="Z57" s="588" t="s">
        <v>1457</v>
      </c>
      <c r="AA57" s="289" t="s">
        <v>1457</v>
      </c>
      <c r="AB57" s="388" t="s">
        <v>1457</v>
      </c>
      <c r="AC57" s="588" t="s">
        <v>1457</v>
      </c>
      <c r="AD57" s="587">
        <v>2</v>
      </c>
      <c r="AE57" s="588" t="s">
        <v>1457</v>
      </c>
      <c r="AF57" s="588" t="s">
        <v>1457</v>
      </c>
      <c r="AG57" s="289" t="s">
        <v>1457</v>
      </c>
      <c r="AH57" s="388" t="s">
        <v>1457</v>
      </c>
      <c r="AI57" s="289" t="s">
        <v>1457</v>
      </c>
      <c r="AJ57" s="388" t="s">
        <v>1457</v>
      </c>
      <c r="AK57" s="589" t="s">
        <v>1457</v>
      </c>
      <c r="AL57" s="590" t="s">
        <v>2184</v>
      </c>
      <c r="AM57" s="388" t="s">
        <v>1457</v>
      </c>
      <c r="AN57" s="388" t="s">
        <v>1457</v>
      </c>
      <c r="AO57" s="388" t="s">
        <v>1457</v>
      </c>
      <c r="AP57" s="388" t="s">
        <v>1457</v>
      </c>
      <c r="AQ57" s="589" t="s">
        <v>1457</v>
      </c>
    </row>
    <row r="58" spans="1:43" s="290" customFormat="1" ht="18">
      <c r="A58" s="290" t="s">
        <v>80</v>
      </c>
      <c r="B58" s="290" t="s">
        <v>557</v>
      </c>
      <c r="C58" s="290" t="s">
        <v>558</v>
      </c>
      <c r="D58" s="587">
        <v>0</v>
      </c>
      <c r="E58" s="588" t="s">
        <v>1457</v>
      </c>
      <c r="F58" s="588" t="s">
        <v>1457</v>
      </c>
      <c r="G58" s="289" t="s">
        <v>1457</v>
      </c>
      <c r="H58" s="388" t="s">
        <v>1457</v>
      </c>
      <c r="I58" s="589" t="s">
        <v>1457</v>
      </c>
      <c r="J58" s="290">
        <v>1</v>
      </c>
      <c r="K58" s="588" t="s">
        <v>1457</v>
      </c>
      <c r="L58" s="588" t="s">
        <v>1457</v>
      </c>
      <c r="M58" s="289" t="s">
        <v>1457</v>
      </c>
      <c r="N58" s="388" t="s">
        <v>1457</v>
      </c>
      <c r="O58" s="289" t="s">
        <v>1457</v>
      </c>
      <c r="P58" s="388" t="s">
        <v>1457</v>
      </c>
      <c r="Q58" s="388" t="s">
        <v>1457</v>
      </c>
      <c r="R58" s="590" t="s">
        <v>2187</v>
      </c>
      <c r="S58" s="388" t="s">
        <v>1457</v>
      </c>
      <c r="T58" s="388" t="s">
        <v>1457</v>
      </c>
      <c r="U58" s="388" t="s">
        <v>1457</v>
      </c>
      <c r="V58" s="388" t="s">
        <v>1457</v>
      </c>
      <c r="W58" s="589" t="s">
        <v>1457</v>
      </c>
      <c r="X58" s="290">
        <v>0</v>
      </c>
      <c r="Y58" s="588" t="s">
        <v>1457</v>
      </c>
      <c r="Z58" s="588" t="s">
        <v>1457</v>
      </c>
      <c r="AA58" s="289" t="s">
        <v>1457</v>
      </c>
      <c r="AB58" s="388" t="s">
        <v>1457</v>
      </c>
      <c r="AC58" s="588" t="s">
        <v>1457</v>
      </c>
      <c r="AD58" s="587">
        <v>0</v>
      </c>
      <c r="AE58" s="588" t="s">
        <v>1457</v>
      </c>
      <c r="AF58" s="588" t="s">
        <v>1457</v>
      </c>
      <c r="AG58" s="289" t="s">
        <v>1457</v>
      </c>
      <c r="AH58" s="388" t="s">
        <v>1457</v>
      </c>
      <c r="AI58" s="289" t="s">
        <v>1457</v>
      </c>
      <c r="AJ58" s="388" t="s">
        <v>1457</v>
      </c>
      <c r="AK58" s="589" t="s">
        <v>1457</v>
      </c>
      <c r="AL58" s="590" t="s">
        <v>2186</v>
      </c>
      <c r="AM58" s="388" t="s">
        <v>1457</v>
      </c>
      <c r="AN58" s="388" t="s">
        <v>1457</v>
      </c>
      <c r="AO58" s="388" t="s">
        <v>1457</v>
      </c>
      <c r="AP58" s="388" t="s">
        <v>1457</v>
      </c>
      <c r="AQ58" s="589" t="s">
        <v>1457</v>
      </c>
    </row>
    <row r="59" spans="1:43" s="290" customFormat="1" ht="18">
      <c r="A59" s="290" t="s">
        <v>80</v>
      </c>
      <c r="B59" s="290" t="s">
        <v>132</v>
      </c>
      <c r="C59" s="290" t="s">
        <v>133</v>
      </c>
      <c r="D59" s="587">
        <v>0</v>
      </c>
      <c r="E59" s="588" t="s">
        <v>1457</v>
      </c>
      <c r="F59" s="588" t="s">
        <v>1457</v>
      </c>
      <c r="G59" s="289" t="s">
        <v>1457</v>
      </c>
      <c r="H59" s="388" t="s">
        <v>1457</v>
      </c>
      <c r="I59" s="589" t="s">
        <v>1457</v>
      </c>
      <c r="J59" s="290">
        <v>4</v>
      </c>
      <c r="K59" s="588" t="s">
        <v>1457</v>
      </c>
      <c r="L59" s="588" t="s">
        <v>1457</v>
      </c>
      <c r="M59" s="289" t="s">
        <v>1457</v>
      </c>
      <c r="N59" s="388" t="s">
        <v>1457</v>
      </c>
      <c r="O59" s="289" t="s">
        <v>1457</v>
      </c>
      <c r="P59" s="388" t="s">
        <v>1457</v>
      </c>
      <c r="Q59" s="388" t="s">
        <v>1457</v>
      </c>
      <c r="R59" s="590" t="s">
        <v>2255</v>
      </c>
      <c r="S59" s="388" t="s">
        <v>1457</v>
      </c>
      <c r="T59" s="388" t="s">
        <v>1457</v>
      </c>
      <c r="U59" s="388" t="s">
        <v>1457</v>
      </c>
      <c r="V59" s="388" t="s">
        <v>1457</v>
      </c>
      <c r="W59" s="589" t="s">
        <v>1457</v>
      </c>
      <c r="X59" s="290">
        <v>0</v>
      </c>
      <c r="Y59" s="588" t="s">
        <v>1457</v>
      </c>
      <c r="Z59" s="588" t="s">
        <v>1457</v>
      </c>
      <c r="AA59" s="289" t="s">
        <v>1457</v>
      </c>
      <c r="AB59" s="388" t="s">
        <v>1457</v>
      </c>
      <c r="AC59" s="588" t="s">
        <v>1457</v>
      </c>
      <c r="AD59" s="587">
        <v>2</v>
      </c>
      <c r="AE59" s="588" t="s">
        <v>1457</v>
      </c>
      <c r="AF59" s="588" t="s">
        <v>1457</v>
      </c>
      <c r="AG59" s="289" t="s">
        <v>1457</v>
      </c>
      <c r="AH59" s="388" t="s">
        <v>1457</v>
      </c>
      <c r="AI59" s="289" t="s">
        <v>1457</v>
      </c>
      <c r="AJ59" s="388" t="s">
        <v>1457</v>
      </c>
      <c r="AK59" s="589" t="s">
        <v>1457</v>
      </c>
      <c r="AL59" s="590" t="s">
        <v>2184</v>
      </c>
      <c r="AM59" s="388" t="s">
        <v>1457</v>
      </c>
      <c r="AN59" s="388" t="s">
        <v>1457</v>
      </c>
      <c r="AO59" s="388" t="s">
        <v>1457</v>
      </c>
      <c r="AP59" s="388" t="s">
        <v>1457</v>
      </c>
      <c r="AQ59" s="589" t="s">
        <v>1457</v>
      </c>
    </row>
    <row r="60" spans="1:43" s="317" customFormat="1" ht="17"/>
    <row r="61" spans="1:43" s="317" customFormat="1" ht="17"/>
    <row r="62" spans="1:43" s="317" customFormat="1" ht="17"/>
    <row r="63" spans="1:43" s="317" customFormat="1" ht="17"/>
    <row r="64" spans="1:43" s="317" customFormat="1" ht="17"/>
    <row r="65" s="317" customFormat="1" ht="17"/>
  </sheetData>
  <mergeCells count="14">
    <mergeCell ref="R3:T3"/>
    <mergeCell ref="D3:F3"/>
    <mergeCell ref="G3:H3"/>
    <mergeCell ref="J3:L3"/>
    <mergeCell ref="M3:N3"/>
    <mergeCell ref="O3:P3"/>
    <mergeCell ref="AL3:AN3"/>
    <mergeCell ref="AO3:AP3"/>
    <mergeCell ref="U3:V3"/>
    <mergeCell ref="X3:Z3"/>
    <mergeCell ref="AA3:AB3"/>
    <mergeCell ref="AD3:AF3"/>
    <mergeCell ref="AG3:AH3"/>
    <mergeCell ref="AI3:AJ3"/>
  </mergeCells>
  <pageMargins left="0.7" right="0.7" top="0.75" bottom="0.75" header="0.3" footer="0.3"/>
  <pageSetup scale="48" fitToWidth="3"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3E738-25B3-3F42-9EDC-539310B26F76}">
  <dimension ref="A1:W580"/>
  <sheetViews>
    <sheetView workbookViewId="0">
      <pane ySplit="1" topLeftCell="A264" activePane="bottomLeft" state="frozen"/>
      <selection pane="bottomLeft" activeCell="B284" sqref="B284"/>
    </sheetView>
  </sheetViews>
  <sheetFormatPr baseColWidth="10" defaultColWidth="10.5" defaultRowHeight="18"/>
  <cols>
    <col min="1" max="1" width="27" style="103" bestFit="1" customWidth="1"/>
    <col min="2" max="2" width="16.33203125" style="103" bestFit="1" customWidth="1"/>
    <col min="3" max="3" width="25.5" style="103" bestFit="1" customWidth="1"/>
    <col min="4" max="4" width="8" style="103" customWidth="1"/>
    <col min="5" max="5" width="29.83203125" style="103" bestFit="1" customWidth="1"/>
    <col min="6" max="6" width="11.5" style="103" bestFit="1" customWidth="1"/>
    <col min="7" max="7" width="12.83203125" style="103" customWidth="1"/>
    <col min="8" max="8" width="52.5" style="103" bestFit="1" customWidth="1"/>
    <col min="9" max="9" width="11.5" style="103" bestFit="1" customWidth="1"/>
    <col min="10" max="10" width="56.5" style="103" customWidth="1"/>
    <col min="11" max="11" width="73" style="103" customWidth="1"/>
    <col min="12" max="17" width="10.83203125" style="103"/>
    <col min="18" max="18" width="81.5" style="103" customWidth="1"/>
    <col min="19" max="19" width="10.83203125" style="2"/>
    <col min="20" max="23" width="10.5" style="2"/>
    <col min="24" max="16384" width="10.5" style="69"/>
  </cols>
  <sheetData>
    <row r="1" spans="1:23" s="142" customFormat="1" ht="23">
      <c r="A1" s="141" t="s">
        <v>430</v>
      </c>
      <c r="B1" s="141" t="s">
        <v>431</v>
      </c>
      <c r="C1" s="141" t="s">
        <v>2261</v>
      </c>
      <c r="D1" s="141" t="s">
        <v>228</v>
      </c>
      <c r="E1" s="141" t="s">
        <v>2262</v>
      </c>
      <c r="F1" s="141" t="s">
        <v>2263</v>
      </c>
      <c r="G1" s="141" t="s">
        <v>168</v>
      </c>
      <c r="H1" s="141" t="s">
        <v>2264</v>
      </c>
      <c r="I1" s="141" t="s">
        <v>2265</v>
      </c>
      <c r="J1" s="141" t="s">
        <v>2266</v>
      </c>
      <c r="K1" s="141" t="s">
        <v>2267</v>
      </c>
      <c r="L1" s="141" t="s">
        <v>2268</v>
      </c>
      <c r="M1" s="141" t="s">
        <v>69</v>
      </c>
      <c r="N1" s="141" t="s">
        <v>68</v>
      </c>
      <c r="O1" s="141" t="s">
        <v>67</v>
      </c>
      <c r="P1" s="141" t="s">
        <v>2269</v>
      </c>
      <c r="Q1" s="141" t="s">
        <v>70</v>
      </c>
      <c r="R1" s="141" t="s">
        <v>2270</v>
      </c>
      <c r="S1" s="141" t="s">
        <v>2271</v>
      </c>
      <c r="T1" s="141"/>
      <c r="U1" s="141"/>
      <c r="V1" s="141"/>
      <c r="W1" s="141"/>
    </row>
    <row r="2" spans="1:23">
      <c r="A2" s="103" t="s">
        <v>218</v>
      </c>
      <c r="B2" s="103" t="s">
        <v>389</v>
      </c>
      <c r="C2" s="103" t="s">
        <v>1243</v>
      </c>
      <c r="D2" s="103" t="s">
        <v>1474</v>
      </c>
      <c r="E2" s="103" t="s">
        <v>2272</v>
      </c>
      <c r="F2" s="103" t="s">
        <v>2273</v>
      </c>
      <c r="G2" s="103" t="s">
        <v>2274</v>
      </c>
      <c r="I2" s="103" t="s">
        <v>2275</v>
      </c>
      <c r="J2" s="103" t="s">
        <v>2276</v>
      </c>
      <c r="M2" s="103">
        <v>0.93259999999999998</v>
      </c>
      <c r="O2" s="103" t="s">
        <v>487</v>
      </c>
      <c r="P2" s="103">
        <v>39</v>
      </c>
      <c r="Q2" s="2">
        <v>26</v>
      </c>
      <c r="R2" s="226" t="s">
        <v>2277</v>
      </c>
      <c r="U2" s="69"/>
      <c r="V2" s="69"/>
      <c r="W2" s="69"/>
    </row>
    <row r="3" spans="1:23">
      <c r="A3" s="103" t="s">
        <v>218</v>
      </c>
      <c r="B3" s="103" t="s">
        <v>389</v>
      </c>
      <c r="C3" s="103" t="s">
        <v>1243</v>
      </c>
      <c r="D3" s="103" t="s">
        <v>1474</v>
      </c>
      <c r="E3" s="103" t="s">
        <v>2272</v>
      </c>
      <c r="F3" s="103" t="s">
        <v>2273</v>
      </c>
      <c r="G3" s="103" t="s">
        <v>2278</v>
      </c>
      <c r="I3" s="103" t="s">
        <v>2275</v>
      </c>
      <c r="J3" s="103" t="s">
        <v>2279</v>
      </c>
      <c r="M3" s="103">
        <v>0.95289999999999997</v>
      </c>
      <c r="O3" s="103" t="s">
        <v>487</v>
      </c>
      <c r="P3" s="103">
        <v>31</v>
      </c>
      <c r="Q3" s="2">
        <v>20</v>
      </c>
      <c r="R3" s="226" t="s">
        <v>2277</v>
      </c>
      <c r="U3" s="69"/>
      <c r="V3" s="69"/>
      <c r="W3" s="69"/>
    </row>
    <row r="4" spans="1:23">
      <c r="A4" s="103" t="s">
        <v>218</v>
      </c>
      <c r="B4" s="103" t="s">
        <v>389</v>
      </c>
      <c r="C4" s="103" t="s">
        <v>1243</v>
      </c>
      <c r="D4" s="103" t="s">
        <v>1474</v>
      </c>
      <c r="E4" s="103" t="s">
        <v>2272</v>
      </c>
      <c r="F4" s="103" t="s">
        <v>2273</v>
      </c>
      <c r="G4" s="103" t="s">
        <v>2280</v>
      </c>
      <c r="I4" s="103" t="s">
        <v>2275</v>
      </c>
      <c r="J4" s="103" t="s">
        <v>2281</v>
      </c>
      <c r="M4" s="103">
        <v>0.94199999999999995</v>
      </c>
      <c r="O4" s="103" t="s">
        <v>487</v>
      </c>
      <c r="P4" s="103">
        <v>35</v>
      </c>
      <c r="Q4" s="2">
        <v>24</v>
      </c>
      <c r="R4" s="226" t="s">
        <v>2277</v>
      </c>
      <c r="U4" s="69"/>
      <c r="V4" s="69"/>
      <c r="W4" s="69"/>
    </row>
    <row r="5" spans="1:23">
      <c r="A5" s="103" t="s">
        <v>218</v>
      </c>
      <c r="B5" s="103" t="s">
        <v>389</v>
      </c>
      <c r="C5" s="103" t="s">
        <v>1243</v>
      </c>
      <c r="D5" s="103" t="s">
        <v>1474</v>
      </c>
      <c r="E5" s="103" t="s">
        <v>2272</v>
      </c>
      <c r="F5" s="103" t="s">
        <v>2273</v>
      </c>
      <c r="G5" s="103" t="s">
        <v>2282</v>
      </c>
      <c r="I5" s="103" t="s">
        <v>2275</v>
      </c>
      <c r="J5" s="103" t="s">
        <v>2283</v>
      </c>
      <c r="M5" s="103">
        <v>0.9415</v>
      </c>
      <c r="O5" s="103" t="s">
        <v>487</v>
      </c>
      <c r="P5" s="103">
        <v>35</v>
      </c>
      <c r="Q5" s="2">
        <v>24</v>
      </c>
      <c r="R5" s="226" t="s">
        <v>2277</v>
      </c>
      <c r="U5" s="69"/>
      <c r="V5" s="69"/>
      <c r="W5" s="69"/>
    </row>
    <row r="6" spans="1:23">
      <c r="A6" s="103" t="s">
        <v>218</v>
      </c>
      <c r="B6" s="103" t="s">
        <v>389</v>
      </c>
      <c r="C6" s="103" t="s">
        <v>1243</v>
      </c>
      <c r="D6" s="103" t="s">
        <v>1474</v>
      </c>
      <c r="E6" s="103" t="s">
        <v>2272</v>
      </c>
      <c r="F6" s="103" t="s">
        <v>2273</v>
      </c>
      <c r="G6" s="103" t="s">
        <v>2284</v>
      </c>
      <c r="I6" s="103" t="s">
        <v>2275</v>
      </c>
      <c r="J6" s="103" t="s">
        <v>2285</v>
      </c>
      <c r="M6" s="103">
        <v>0.95299999999999996</v>
      </c>
      <c r="O6" s="103" t="s">
        <v>487</v>
      </c>
      <c r="P6" s="103">
        <v>31</v>
      </c>
      <c r="Q6" s="2">
        <v>20</v>
      </c>
      <c r="R6" s="226" t="s">
        <v>2277</v>
      </c>
      <c r="U6" s="69"/>
      <c r="V6" s="69"/>
      <c r="W6" s="69"/>
    </row>
    <row r="7" spans="1:23">
      <c r="A7" s="103" t="s">
        <v>218</v>
      </c>
      <c r="B7" s="103" t="s">
        <v>389</v>
      </c>
      <c r="C7" s="103" t="s">
        <v>1243</v>
      </c>
      <c r="D7" s="103" t="s">
        <v>1474</v>
      </c>
      <c r="E7" s="103" t="s">
        <v>2272</v>
      </c>
      <c r="F7" s="103" t="s">
        <v>2273</v>
      </c>
      <c r="G7" s="103" t="s">
        <v>2286</v>
      </c>
      <c r="I7" s="103" t="s">
        <v>2275</v>
      </c>
      <c r="J7" s="103" t="s">
        <v>2287</v>
      </c>
      <c r="M7" s="103">
        <v>0.93469999999999998</v>
      </c>
      <c r="O7" s="103" t="s">
        <v>487</v>
      </c>
      <c r="P7" s="103">
        <v>38</v>
      </c>
      <c r="Q7" s="2">
        <v>22</v>
      </c>
      <c r="R7" s="226" t="s">
        <v>2277</v>
      </c>
      <c r="U7" s="69"/>
      <c r="V7" s="69"/>
      <c r="W7" s="69"/>
    </row>
    <row r="8" spans="1:23">
      <c r="A8" s="103" t="s">
        <v>218</v>
      </c>
      <c r="B8" s="103" t="s">
        <v>389</v>
      </c>
      <c r="C8" s="103" t="s">
        <v>1243</v>
      </c>
      <c r="D8" s="103" t="s">
        <v>1474</v>
      </c>
      <c r="E8" s="103" t="s">
        <v>2272</v>
      </c>
      <c r="F8" s="103" t="s">
        <v>2273</v>
      </c>
      <c r="G8" s="103" t="s">
        <v>2288</v>
      </c>
      <c r="I8" s="103" t="s">
        <v>2275</v>
      </c>
      <c r="J8" s="103" t="s">
        <v>2289</v>
      </c>
      <c r="M8" s="103">
        <v>0.9456</v>
      </c>
      <c r="O8" s="103" t="s">
        <v>487</v>
      </c>
      <c r="P8" s="103">
        <v>34</v>
      </c>
      <c r="Q8" s="2">
        <v>22</v>
      </c>
      <c r="R8" s="226" t="s">
        <v>2277</v>
      </c>
      <c r="U8" s="69"/>
      <c r="V8" s="69"/>
      <c r="W8" s="69"/>
    </row>
    <row r="9" spans="1:23">
      <c r="A9" s="103" t="s">
        <v>218</v>
      </c>
      <c r="B9" s="103" t="s">
        <v>389</v>
      </c>
      <c r="C9" s="103" t="s">
        <v>1243</v>
      </c>
      <c r="D9" s="103" t="s">
        <v>1474</v>
      </c>
      <c r="E9" s="103" t="s">
        <v>2272</v>
      </c>
      <c r="F9" s="103" t="s">
        <v>2273</v>
      </c>
      <c r="G9" s="103" t="s">
        <v>2290</v>
      </c>
      <c r="I9" s="103" t="s">
        <v>2275</v>
      </c>
      <c r="J9" s="103" t="s">
        <v>2291</v>
      </c>
      <c r="M9" s="103">
        <v>0.92859999999999998</v>
      </c>
      <c r="O9" s="103" t="s">
        <v>487</v>
      </c>
      <c r="P9" s="103">
        <v>40</v>
      </c>
      <c r="Q9" s="2">
        <v>25</v>
      </c>
      <c r="R9" s="226" t="s">
        <v>2277</v>
      </c>
      <c r="U9" s="69"/>
      <c r="V9" s="69"/>
      <c r="W9" s="69"/>
    </row>
    <row r="10" spans="1:23">
      <c r="A10" s="103" t="s">
        <v>218</v>
      </c>
      <c r="B10" s="103" t="s">
        <v>389</v>
      </c>
      <c r="C10" s="103" t="s">
        <v>1243</v>
      </c>
      <c r="D10" s="103" t="s">
        <v>1474</v>
      </c>
      <c r="E10" s="103" t="s">
        <v>2272</v>
      </c>
      <c r="F10" s="103" t="s">
        <v>2273</v>
      </c>
      <c r="G10" s="103" t="s">
        <v>2292</v>
      </c>
      <c r="I10" s="103" t="s">
        <v>2275</v>
      </c>
      <c r="J10" s="103" t="s">
        <v>2293</v>
      </c>
      <c r="M10" s="103">
        <v>0.93169999999999997</v>
      </c>
      <c r="O10" s="103" t="s">
        <v>487</v>
      </c>
      <c r="P10" s="103">
        <v>39</v>
      </c>
      <c r="Q10" s="2">
        <v>24</v>
      </c>
      <c r="R10" s="226" t="s">
        <v>2277</v>
      </c>
      <c r="U10" s="69"/>
      <c r="V10" s="69"/>
      <c r="W10" s="69"/>
    </row>
    <row r="11" spans="1:23">
      <c r="A11" s="103" t="s">
        <v>218</v>
      </c>
      <c r="B11" s="103" t="s">
        <v>389</v>
      </c>
      <c r="C11" s="103" t="s">
        <v>1243</v>
      </c>
      <c r="D11" s="103" t="s">
        <v>1474</v>
      </c>
      <c r="E11" s="103" t="s">
        <v>2272</v>
      </c>
      <c r="F11" s="103" t="s">
        <v>2273</v>
      </c>
      <c r="G11" s="103" t="s">
        <v>2294</v>
      </c>
      <c r="I11" s="103" t="s">
        <v>2275</v>
      </c>
      <c r="J11" s="103" t="s">
        <v>2295</v>
      </c>
      <c r="M11" s="103">
        <v>0.94340000000000002</v>
      </c>
      <c r="O11" s="103" t="s">
        <v>487</v>
      </c>
      <c r="P11" s="103">
        <v>35</v>
      </c>
      <c r="Q11" s="2">
        <v>23</v>
      </c>
      <c r="R11" s="226" t="s">
        <v>2277</v>
      </c>
      <c r="U11" s="69"/>
      <c r="V11" s="69"/>
      <c r="W11" s="69"/>
    </row>
    <row r="12" spans="1:23">
      <c r="A12" s="103" t="s">
        <v>218</v>
      </c>
      <c r="B12" s="103" t="s">
        <v>389</v>
      </c>
      <c r="C12" s="103" t="s">
        <v>1243</v>
      </c>
      <c r="D12" s="103" t="s">
        <v>1474</v>
      </c>
      <c r="E12" s="103" t="s">
        <v>2272</v>
      </c>
      <c r="F12" s="103" t="s">
        <v>2273</v>
      </c>
      <c r="G12" s="103" t="s">
        <v>2296</v>
      </c>
      <c r="I12" s="103" t="s">
        <v>2275</v>
      </c>
      <c r="J12" s="103" t="s">
        <v>2297</v>
      </c>
      <c r="M12" s="103">
        <v>0.95899999999999996</v>
      </c>
      <c r="O12" s="103" t="s">
        <v>487</v>
      </c>
      <c r="P12" s="103">
        <v>29</v>
      </c>
      <c r="Q12" s="2">
        <v>18</v>
      </c>
      <c r="R12" s="226" t="s">
        <v>2277</v>
      </c>
      <c r="U12" s="69"/>
      <c r="V12" s="69"/>
      <c r="W12" s="69"/>
    </row>
    <row r="13" spans="1:23">
      <c r="A13" s="103" t="s">
        <v>218</v>
      </c>
      <c r="B13" s="103" t="s">
        <v>389</v>
      </c>
      <c r="C13" s="103" t="s">
        <v>1243</v>
      </c>
      <c r="D13" s="103" t="s">
        <v>1474</v>
      </c>
      <c r="E13" s="103" t="s">
        <v>2272</v>
      </c>
      <c r="F13" s="103" t="s">
        <v>2273</v>
      </c>
      <c r="G13" s="103" t="s">
        <v>2298</v>
      </c>
      <c r="I13" s="103" t="s">
        <v>2275</v>
      </c>
      <c r="J13" s="103" t="s">
        <v>2299</v>
      </c>
      <c r="M13" s="103">
        <v>0.96040000000000003</v>
      </c>
      <c r="O13" s="103" t="s">
        <v>487</v>
      </c>
      <c r="P13" s="103">
        <v>28</v>
      </c>
      <c r="Q13" s="2">
        <v>18</v>
      </c>
      <c r="R13" s="226" t="s">
        <v>2277</v>
      </c>
      <c r="U13" s="69"/>
      <c r="V13" s="69"/>
      <c r="W13" s="69"/>
    </row>
    <row r="14" spans="1:23">
      <c r="A14" s="103" t="s">
        <v>218</v>
      </c>
      <c r="B14" s="103" t="s">
        <v>389</v>
      </c>
      <c r="C14" s="103" t="s">
        <v>1243</v>
      </c>
      <c r="D14" s="103" t="s">
        <v>1474</v>
      </c>
      <c r="E14" s="103" t="s">
        <v>2272</v>
      </c>
      <c r="F14" s="103" t="s">
        <v>2273</v>
      </c>
      <c r="G14" s="103" t="s">
        <v>2300</v>
      </c>
      <c r="I14" s="103" t="s">
        <v>2275</v>
      </c>
      <c r="J14" s="103" t="s">
        <v>2301</v>
      </c>
      <c r="M14" s="103">
        <v>0.9274</v>
      </c>
      <c r="O14" s="103" t="s">
        <v>487</v>
      </c>
      <c r="P14" s="103">
        <v>40</v>
      </c>
      <c r="Q14" s="2">
        <v>27</v>
      </c>
      <c r="R14" s="226" t="s">
        <v>2277</v>
      </c>
      <c r="U14" s="69"/>
      <c r="V14" s="69"/>
      <c r="W14" s="69"/>
    </row>
    <row r="15" spans="1:23">
      <c r="A15" s="103" t="s">
        <v>218</v>
      </c>
      <c r="B15" s="103" t="s">
        <v>389</v>
      </c>
      <c r="C15" s="103" t="s">
        <v>1243</v>
      </c>
      <c r="D15" s="103" t="s">
        <v>1474</v>
      </c>
      <c r="E15" s="103" t="s">
        <v>2272</v>
      </c>
      <c r="F15" s="103" t="s">
        <v>2273</v>
      </c>
      <c r="G15" s="103" t="s">
        <v>2302</v>
      </c>
      <c r="I15" s="103" t="s">
        <v>2275</v>
      </c>
      <c r="J15" s="103" t="s">
        <v>2303</v>
      </c>
      <c r="M15" s="103">
        <v>0.95289999999999997</v>
      </c>
      <c r="O15" s="103" t="s">
        <v>487</v>
      </c>
      <c r="P15" s="103">
        <v>31</v>
      </c>
      <c r="Q15" s="2">
        <v>19</v>
      </c>
      <c r="R15" s="226" t="s">
        <v>2277</v>
      </c>
      <c r="U15" s="69"/>
      <c r="V15" s="69"/>
      <c r="W15" s="69"/>
    </row>
    <row r="16" spans="1:23">
      <c r="A16" s="103" t="s">
        <v>218</v>
      </c>
      <c r="B16" s="103" t="s">
        <v>389</v>
      </c>
      <c r="C16" s="103" t="s">
        <v>1243</v>
      </c>
      <c r="D16" s="103" t="s">
        <v>1474</v>
      </c>
      <c r="E16" s="103" t="s">
        <v>2272</v>
      </c>
      <c r="F16" s="103" t="s">
        <v>2273</v>
      </c>
      <c r="G16" s="103" t="s">
        <v>2304</v>
      </c>
      <c r="I16" s="103" t="s">
        <v>2275</v>
      </c>
      <c r="J16" s="103" t="s">
        <v>2305</v>
      </c>
      <c r="M16" s="103">
        <v>0.93389999999999995</v>
      </c>
      <c r="O16" s="103" t="s">
        <v>487</v>
      </c>
      <c r="P16" s="103">
        <v>38</v>
      </c>
      <c r="Q16" s="2">
        <v>21</v>
      </c>
      <c r="R16" s="226" t="s">
        <v>2277</v>
      </c>
      <c r="U16" s="69"/>
      <c r="V16" s="69"/>
      <c r="W16" s="69"/>
    </row>
    <row r="17" spans="1:23">
      <c r="A17" s="103" t="s">
        <v>218</v>
      </c>
      <c r="B17" s="103" t="s">
        <v>389</v>
      </c>
      <c r="C17" s="103" t="s">
        <v>1243</v>
      </c>
      <c r="D17" s="103" t="s">
        <v>1474</v>
      </c>
      <c r="E17" s="103" t="s">
        <v>2272</v>
      </c>
      <c r="F17" s="103" t="s">
        <v>2273</v>
      </c>
      <c r="G17" s="103" t="s">
        <v>2306</v>
      </c>
      <c r="I17" s="103" t="s">
        <v>2275</v>
      </c>
      <c r="J17" s="103" t="s">
        <v>2307</v>
      </c>
      <c r="M17" s="103">
        <v>0.4703</v>
      </c>
      <c r="O17" s="103" t="s">
        <v>487</v>
      </c>
      <c r="P17" s="103">
        <v>149</v>
      </c>
      <c r="Q17" s="2">
        <v>109</v>
      </c>
      <c r="R17" s="226" t="s">
        <v>2277</v>
      </c>
      <c r="U17" s="69"/>
      <c r="V17" s="69"/>
      <c r="W17" s="69"/>
    </row>
    <row r="18" spans="1:23">
      <c r="A18" s="103" t="s">
        <v>218</v>
      </c>
      <c r="B18" s="103" t="s">
        <v>389</v>
      </c>
      <c r="C18" s="103" t="s">
        <v>1243</v>
      </c>
      <c r="D18" s="103" t="s">
        <v>1474</v>
      </c>
      <c r="E18" s="103" t="s">
        <v>2272</v>
      </c>
      <c r="F18" s="103" t="s">
        <v>2273</v>
      </c>
      <c r="G18" s="103" t="s">
        <v>2308</v>
      </c>
      <c r="I18" s="103" t="s">
        <v>2275</v>
      </c>
      <c r="J18" s="103" t="s">
        <v>2309</v>
      </c>
      <c r="M18" s="103">
        <v>0.95289999999999997</v>
      </c>
      <c r="O18" s="103" t="s">
        <v>487</v>
      </c>
      <c r="P18" s="103">
        <v>31</v>
      </c>
      <c r="Q18" s="2">
        <v>20</v>
      </c>
      <c r="R18" s="226" t="s">
        <v>2277</v>
      </c>
      <c r="U18" s="69"/>
      <c r="V18" s="69"/>
      <c r="W18" s="69"/>
    </row>
    <row r="19" spans="1:23">
      <c r="A19" s="103" t="s">
        <v>218</v>
      </c>
      <c r="B19" s="103" t="s">
        <v>389</v>
      </c>
      <c r="C19" s="103" t="s">
        <v>1243</v>
      </c>
      <c r="D19" s="103" t="s">
        <v>1474</v>
      </c>
      <c r="E19" s="103" t="s">
        <v>2272</v>
      </c>
      <c r="F19" s="103" t="s">
        <v>2273</v>
      </c>
      <c r="G19" s="103" t="s">
        <v>2310</v>
      </c>
      <c r="I19" s="103" t="s">
        <v>2275</v>
      </c>
      <c r="J19" s="103" t="s">
        <v>2311</v>
      </c>
      <c r="M19" s="103">
        <v>0.94020000000000004</v>
      </c>
      <c r="O19" s="103" t="s">
        <v>487</v>
      </c>
      <c r="P19" s="103">
        <v>36</v>
      </c>
      <c r="Q19" s="2">
        <v>22</v>
      </c>
      <c r="R19" s="226" t="s">
        <v>2277</v>
      </c>
      <c r="U19" s="69"/>
      <c r="V19" s="69"/>
      <c r="W19" s="69"/>
    </row>
    <row r="20" spans="1:23">
      <c r="A20" s="103" t="s">
        <v>218</v>
      </c>
      <c r="B20" s="103" t="s">
        <v>389</v>
      </c>
      <c r="C20" s="103" t="s">
        <v>1243</v>
      </c>
      <c r="D20" s="103" t="s">
        <v>1474</v>
      </c>
      <c r="E20" s="103" t="s">
        <v>2272</v>
      </c>
      <c r="F20" s="103" t="s">
        <v>2273</v>
      </c>
      <c r="G20" s="103" t="s">
        <v>2312</v>
      </c>
      <c r="I20" s="103" t="s">
        <v>2275</v>
      </c>
      <c r="J20" s="103" t="s">
        <v>2313</v>
      </c>
      <c r="M20" s="103">
        <v>0.92030000000000001</v>
      </c>
      <c r="O20" s="103" t="s">
        <v>487</v>
      </c>
      <c r="P20" s="103">
        <v>43</v>
      </c>
      <c r="Q20" s="2">
        <v>25</v>
      </c>
      <c r="R20" s="226" t="s">
        <v>2277</v>
      </c>
      <c r="U20" s="69"/>
      <c r="V20" s="69"/>
      <c r="W20" s="69"/>
    </row>
    <row r="21" spans="1:23">
      <c r="A21" s="103" t="s">
        <v>218</v>
      </c>
      <c r="B21" s="103" t="s">
        <v>389</v>
      </c>
      <c r="C21" s="103" t="s">
        <v>1243</v>
      </c>
      <c r="D21" s="103" t="s">
        <v>1474</v>
      </c>
      <c r="E21" s="103" t="s">
        <v>2272</v>
      </c>
      <c r="F21" s="103" t="s">
        <v>2273</v>
      </c>
      <c r="G21" s="103" t="s">
        <v>2314</v>
      </c>
      <c r="I21" s="103" t="s">
        <v>2275</v>
      </c>
      <c r="J21" s="103" t="s">
        <v>2315</v>
      </c>
      <c r="M21" s="103">
        <v>0.91269999999999996</v>
      </c>
      <c r="O21" s="103" t="s">
        <v>487</v>
      </c>
      <c r="P21" s="103">
        <v>45</v>
      </c>
      <c r="Q21" s="2">
        <v>29</v>
      </c>
      <c r="R21" s="226" t="s">
        <v>2277</v>
      </c>
      <c r="U21" s="69"/>
      <c r="V21" s="69"/>
      <c r="W21" s="69"/>
    </row>
    <row r="22" spans="1:23">
      <c r="A22" s="103" t="s">
        <v>218</v>
      </c>
      <c r="B22" s="103" t="s">
        <v>389</v>
      </c>
      <c r="C22" s="103" t="s">
        <v>1243</v>
      </c>
      <c r="D22" s="103" t="s">
        <v>1474</v>
      </c>
      <c r="E22" s="103" t="s">
        <v>2272</v>
      </c>
      <c r="F22" s="103" t="s">
        <v>2273</v>
      </c>
      <c r="G22" s="103" t="s">
        <v>2316</v>
      </c>
      <c r="I22" s="103" t="s">
        <v>2275</v>
      </c>
      <c r="J22" s="103" t="s">
        <v>2317</v>
      </c>
      <c r="M22" s="103">
        <v>0.89219999999999999</v>
      </c>
      <c r="O22" s="103" t="s">
        <v>487</v>
      </c>
      <c r="P22" s="103">
        <v>51</v>
      </c>
      <c r="Q22" s="2">
        <v>28</v>
      </c>
      <c r="R22" s="226" t="s">
        <v>2277</v>
      </c>
      <c r="U22" s="69"/>
      <c r="V22" s="69"/>
      <c r="W22" s="69"/>
    </row>
    <row r="23" spans="1:23">
      <c r="A23" s="103" t="s">
        <v>218</v>
      </c>
      <c r="B23" s="103" t="s">
        <v>389</v>
      </c>
      <c r="C23" s="103" t="s">
        <v>1243</v>
      </c>
      <c r="D23" s="103" t="s">
        <v>1474</v>
      </c>
      <c r="E23" s="103" t="s">
        <v>2272</v>
      </c>
      <c r="F23" s="103" t="s">
        <v>2273</v>
      </c>
      <c r="G23" s="103" t="s">
        <v>2318</v>
      </c>
      <c r="I23" s="103" t="s">
        <v>2275</v>
      </c>
      <c r="J23" s="103" t="s">
        <v>2319</v>
      </c>
      <c r="M23" s="103">
        <v>0.91869999999999996</v>
      </c>
      <c r="O23" s="103" t="s">
        <v>487</v>
      </c>
      <c r="P23" s="103">
        <v>43</v>
      </c>
      <c r="Q23" s="2">
        <v>30</v>
      </c>
      <c r="R23" s="226" t="s">
        <v>2277</v>
      </c>
      <c r="U23" s="69"/>
      <c r="V23" s="69"/>
      <c r="W23" s="69"/>
    </row>
    <row r="24" spans="1:23">
      <c r="A24" s="103" t="s">
        <v>218</v>
      </c>
      <c r="B24" s="103" t="s">
        <v>389</v>
      </c>
      <c r="C24" s="103" t="s">
        <v>1243</v>
      </c>
      <c r="D24" s="103" t="s">
        <v>1474</v>
      </c>
      <c r="E24" s="103" t="s">
        <v>2272</v>
      </c>
      <c r="F24" s="103" t="s">
        <v>2273</v>
      </c>
      <c r="G24" s="103" t="s">
        <v>2320</v>
      </c>
      <c r="I24" s="103" t="s">
        <v>2275</v>
      </c>
      <c r="J24" s="103" t="s">
        <v>2321</v>
      </c>
      <c r="M24" s="103">
        <v>0.54339999999999999</v>
      </c>
      <c r="O24" s="103" t="s">
        <v>487</v>
      </c>
      <c r="P24" s="103">
        <v>134</v>
      </c>
      <c r="Q24" s="2">
        <v>96</v>
      </c>
      <c r="R24" s="226" t="s">
        <v>2277</v>
      </c>
      <c r="U24" s="69"/>
      <c r="V24" s="69"/>
      <c r="W24" s="69"/>
    </row>
    <row r="25" spans="1:23">
      <c r="A25" s="103" t="s">
        <v>218</v>
      </c>
      <c r="B25" s="103" t="s">
        <v>389</v>
      </c>
      <c r="C25" s="103" t="s">
        <v>1243</v>
      </c>
      <c r="D25" s="103" t="s">
        <v>1474</v>
      </c>
      <c r="E25" s="103" t="s">
        <v>2272</v>
      </c>
      <c r="F25" s="103" t="s">
        <v>2273</v>
      </c>
      <c r="G25" s="103" t="s">
        <v>2322</v>
      </c>
      <c r="I25" s="103" t="s">
        <v>2275</v>
      </c>
      <c r="J25" s="103" t="s">
        <v>2323</v>
      </c>
      <c r="M25" s="103">
        <v>0.9405</v>
      </c>
      <c r="O25" s="103" t="s">
        <v>487</v>
      </c>
      <c r="P25" s="103">
        <v>36</v>
      </c>
      <c r="Q25" s="2">
        <v>24</v>
      </c>
      <c r="R25" s="226" t="s">
        <v>2277</v>
      </c>
      <c r="U25" s="69"/>
      <c r="V25" s="69"/>
      <c r="W25" s="69"/>
    </row>
    <row r="26" spans="1:23">
      <c r="A26" s="103" t="s">
        <v>218</v>
      </c>
      <c r="B26" s="103" t="s">
        <v>389</v>
      </c>
      <c r="C26" s="103" t="s">
        <v>1243</v>
      </c>
      <c r="D26" s="103" t="s">
        <v>1474</v>
      </c>
      <c r="E26" s="103" t="s">
        <v>2272</v>
      </c>
      <c r="F26" s="103" t="s">
        <v>2273</v>
      </c>
      <c r="G26" s="103" t="s">
        <v>2324</v>
      </c>
      <c r="I26" s="103" t="s">
        <v>2275</v>
      </c>
      <c r="J26" s="103" t="s">
        <v>2325</v>
      </c>
      <c r="M26" s="103">
        <v>0.93069999999999997</v>
      </c>
      <c r="O26" s="103" t="s">
        <v>487</v>
      </c>
      <c r="P26" s="103">
        <v>39</v>
      </c>
      <c r="Q26" s="2">
        <v>26</v>
      </c>
      <c r="R26" s="226" t="s">
        <v>2277</v>
      </c>
      <c r="U26" s="69"/>
      <c r="V26" s="69"/>
      <c r="W26" s="69"/>
    </row>
    <row r="27" spans="1:23">
      <c r="A27" s="103" t="s">
        <v>218</v>
      </c>
      <c r="B27" s="103" t="s">
        <v>389</v>
      </c>
      <c r="C27" s="103" t="s">
        <v>1243</v>
      </c>
      <c r="D27" s="103" t="s">
        <v>1474</v>
      </c>
      <c r="E27" s="103" t="s">
        <v>2272</v>
      </c>
      <c r="F27" s="103" t="s">
        <v>2273</v>
      </c>
      <c r="G27" s="103" t="s">
        <v>2326</v>
      </c>
      <c r="I27" s="103" t="s">
        <v>2275</v>
      </c>
      <c r="J27" s="103" t="s">
        <v>2327</v>
      </c>
      <c r="M27" s="103">
        <v>0.94179999999999997</v>
      </c>
      <c r="O27" s="103" t="s">
        <v>487</v>
      </c>
      <c r="P27" s="103">
        <v>35</v>
      </c>
      <c r="Q27" s="2">
        <v>22</v>
      </c>
      <c r="R27" s="226" t="s">
        <v>2277</v>
      </c>
      <c r="U27" s="69"/>
      <c r="V27" s="69"/>
      <c r="W27" s="69"/>
    </row>
    <row r="28" spans="1:23">
      <c r="A28" s="103" t="s">
        <v>218</v>
      </c>
      <c r="B28" s="103" t="s">
        <v>389</v>
      </c>
      <c r="C28" s="103" t="s">
        <v>1243</v>
      </c>
      <c r="D28" s="103" t="s">
        <v>1474</v>
      </c>
      <c r="E28" s="103" t="s">
        <v>2272</v>
      </c>
      <c r="F28" s="103" t="s">
        <v>2273</v>
      </c>
      <c r="G28" s="103" t="s">
        <v>2328</v>
      </c>
      <c r="I28" s="103" t="s">
        <v>2275</v>
      </c>
      <c r="J28" s="103" t="s">
        <v>2329</v>
      </c>
      <c r="M28" s="103">
        <v>0.92390000000000005</v>
      </c>
      <c r="O28" s="103" t="s">
        <v>487</v>
      </c>
      <c r="P28" s="103">
        <v>41</v>
      </c>
      <c r="Q28" s="2">
        <v>28</v>
      </c>
      <c r="R28" s="226" t="s">
        <v>2277</v>
      </c>
      <c r="U28" s="69"/>
      <c r="V28" s="69"/>
      <c r="W28" s="69"/>
    </row>
    <row r="29" spans="1:23">
      <c r="A29" s="103" t="s">
        <v>218</v>
      </c>
      <c r="B29" s="103" t="s">
        <v>389</v>
      </c>
      <c r="C29" s="103" t="s">
        <v>1243</v>
      </c>
      <c r="D29" s="103" t="s">
        <v>1474</v>
      </c>
      <c r="E29" s="103" t="s">
        <v>2272</v>
      </c>
      <c r="F29" s="103" t="s">
        <v>2273</v>
      </c>
      <c r="G29" s="103" t="s">
        <v>2330</v>
      </c>
      <c r="I29" s="103" t="s">
        <v>2275</v>
      </c>
      <c r="J29" s="103" t="s">
        <v>2331</v>
      </c>
      <c r="M29" s="103">
        <v>0.9294</v>
      </c>
      <c r="O29" s="103" t="s">
        <v>487</v>
      </c>
      <c r="P29" s="103">
        <v>40</v>
      </c>
      <c r="Q29" s="2">
        <v>26</v>
      </c>
      <c r="R29" s="226" t="s">
        <v>2277</v>
      </c>
      <c r="U29" s="69"/>
      <c r="V29" s="69"/>
      <c r="W29" s="69"/>
    </row>
    <row r="30" spans="1:23">
      <c r="A30" s="103" t="s">
        <v>218</v>
      </c>
      <c r="B30" s="103" t="s">
        <v>389</v>
      </c>
      <c r="C30" s="103" t="s">
        <v>1243</v>
      </c>
      <c r="D30" s="103" t="s">
        <v>1474</v>
      </c>
      <c r="E30" s="103" t="s">
        <v>2272</v>
      </c>
      <c r="F30" s="103" t="s">
        <v>2273</v>
      </c>
      <c r="G30" s="103" t="s">
        <v>2332</v>
      </c>
      <c r="I30" s="103" t="s">
        <v>2275</v>
      </c>
      <c r="J30" s="103" t="s">
        <v>2333</v>
      </c>
      <c r="M30" s="103">
        <v>0.91180000000000005</v>
      </c>
      <c r="O30" s="103" t="s">
        <v>487</v>
      </c>
      <c r="P30" s="103">
        <v>45</v>
      </c>
      <c r="Q30" s="2">
        <v>32</v>
      </c>
      <c r="R30" s="226" t="s">
        <v>2277</v>
      </c>
      <c r="U30" s="69"/>
      <c r="V30" s="69"/>
      <c r="W30" s="69"/>
    </row>
    <row r="31" spans="1:23">
      <c r="A31" s="103" t="s">
        <v>218</v>
      </c>
      <c r="B31" s="103" t="s">
        <v>389</v>
      </c>
      <c r="C31" s="103" t="s">
        <v>1243</v>
      </c>
      <c r="D31" s="103" t="s">
        <v>1474</v>
      </c>
      <c r="E31" s="103" t="s">
        <v>2272</v>
      </c>
      <c r="F31" s="103" t="s">
        <v>2273</v>
      </c>
      <c r="G31" s="103" t="s">
        <v>2334</v>
      </c>
      <c r="I31" s="103" t="s">
        <v>2275</v>
      </c>
      <c r="J31" s="103" t="s">
        <v>2335</v>
      </c>
      <c r="M31" s="103">
        <v>0.84870000000000001</v>
      </c>
      <c r="O31" s="103" t="s">
        <v>487</v>
      </c>
      <c r="P31" s="103">
        <v>63</v>
      </c>
      <c r="Q31" s="2">
        <v>43</v>
      </c>
      <c r="R31" s="226" t="s">
        <v>2277</v>
      </c>
      <c r="U31" s="69"/>
      <c r="V31" s="69"/>
      <c r="W31" s="69"/>
    </row>
    <row r="32" spans="1:23">
      <c r="A32" s="103" t="s">
        <v>218</v>
      </c>
      <c r="B32" s="103" t="s">
        <v>389</v>
      </c>
      <c r="C32" s="103" t="s">
        <v>1243</v>
      </c>
      <c r="D32" s="103" t="s">
        <v>1474</v>
      </c>
      <c r="E32" s="103" t="s">
        <v>2272</v>
      </c>
      <c r="F32" s="103" t="s">
        <v>2273</v>
      </c>
      <c r="G32" s="103" t="s">
        <v>634</v>
      </c>
      <c r="I32" s="103" t="s">
        <v>2275</v>
      </c>
      <c r="J32" s="103" t="s">
        <v>2336</v>
      </c>
      <c r="M32" s="103">
        <v>0.96289999999999998</v>
      </c>
      <c r="O32" s="103" t="s">
        <v>487</v>
      </c>
      <c r="P32" s="103">
        <v>28</v>
      </c>
      <c r="Q32" s="2">
        <v>17</v>
      </c>
      <c r="R32" s="226" t="s">
        <v>2277</v>
      </c>
      <c r="U32" s="69"/>
      <c r="V32" s="69"/>
      <c r="W32" s="69"/>
    </row>
    <row r="33" spans="1:23">
      <c r="A33" s="103" t="s">
        <v>218</v>
      </c>
      <c r="B33" s="103" t="s">
        <v>389</v>
      </c>
      <c r="C33" s="103" t="s">
        <v>1243</v>
      </c>
      <c r="D33" s="103" t="s">
        <v>1474</v>
      </c>
      <c r="E33" s="103" t="s">
        <v>2272</v>
      </c>
      <c r="F33" s="103" t="s">
        <v>2273</v>
      </c>
      <c r="G33" s="103" t="s">
        <v>2337</v>
      </c>
      <c r="I33" s="103" t="s">
        <v>2275</v>
      </c>
      <c r="J33" s="103" t="s">
        <v>2338</v>
      </c>
      <c r="M33" s="103">
        <v>0.92789999999999995</v>
      </c>
      <c r="O33" s="103" t="s">
        <v>487</v>
      </c>
      <c r="P33" s="103">
        <v>39</v>
      </c>
      <c r="Q33" s="2">
        <v>23</v>
      </c>
      <c r="R33" s="226" t="s">
        <v>2277</v>
      </c>
      <c r="U33" s="69"/>
      <c r="V33" s="69"/>
      <c r="W33" s="69"/>
    </row>
    <row r="34" spans="1:23">
      <c r="A34" s="103" t="s">
        <v>218</v>
      </c>
      <c r="B34" s="103" t="s">
        <v>389</v>
      </c>
      <c r="C34" s="103" t="s">
        <v>1243</v>
      </c>
      <c r="D34" s="103" t="s">
        <v>1474</v>
      </c>
      <c r="E34" s="103" t="s">
        <v>2272</v>
      </c>
      <c r="F34" s="103" t="s">
        <v>2273</v>
      </c>
      <c r="G34" s="103" t="s">
        <v>2339</v>
      </c>
      <c r="I34" s="103" t="s">
        <v>2275</v>
      </c>
      <c r="J34" s="103" t="s">
        <v>2340</v>
      </c>
      <c r="M34" s="103">
        <v>0.95430000000000004</v>
      </c>
      <c r="O34" s="103" t="s">
        <v>487</v>
      </c>
      <c r="P34" s="103">
        <v>31</v>
      </c>
      <c r="Q34" s="2">
        <v>19</v>
      </c>
      <c r="R34" s="226" t="s">
        <v>2277</v>
      </c>
      <c r="U34" s="69"/>
      <c r="V34" s="69"/>
      <c r="W34" s="69"/>
    </row>
    <row r="35" spans="1:23">
      <c r="A35" s="103" t="s">
        <v>218</v>
      </c>
      <c r="B35" s="103" t="s">
        <v>389</v>
      </c>
      <c r="C35" s="103" t="s">
        <v>1243</v>
      </c>
      <c r="D35" s="103" t="s">
        <v>1474</v>
      </c>
      <c r="E35" s="103" t="s">
        <v>2272</v>
      </c>
      <c r="F35" s="103" t="s">
        <v>2273</v>
      </c>
      <c r="G35" s="103" t="s">
        <v>2341</v>
      </c>
      <c r="I35" s="103" t="s">
        <v>2275</v>
      </c>
      <c r="J35" s="103" t="s">
        <v>2342</v>
      </c>
      <c r="M35" s="103">
        <v>0.95960000000000001</v>
      </c>
      <c r="O35" s="103" t="s">
        <v>487</v>
      </c>
      <c r="P35" s="103">
        <v>29</v>
      </c>
      <c r="Q35" s="2">
        <v>18</v>
      </c>
      <c r="R35" s="226" t="s">
        <v>2277</v>
      </c>
      <c r="U35" s="69"/>
      <c r="V35" s="69"/>
      <c r="W35" s="69"/>
    </row>
    <row r="36" spans="1:23">
      <c r="A36" s="103" t="s">
        <v>218</v>
      </c>
      <c r="B36" s="103" t="s">
        <v>389</v>
      </c>
      <c r="C36" s="103" t="s">
        <v>1243</v>
      </c>
      <c r="D36" s="103" t="s">
        <v>1474</v>
      </c>
      <c r="E36" s="103" t="s">
        <v>2272</v>
      </c>
      <c r="F36" s="103" t="s">
        <v>2273</v>
      </c>
      <c r="G36" s="103" t="s">
        <v>2343</v>
      </c>
      <c r="I36" s="103" t="s">
        <v>2275</v>
      </c>
      <c r="J36" s="103" t="s">
        <v>2344</v>
      </c>
      <c r="M36" s="103">
        <v>0.94969999999999999</v>
      </c>
      <c r="O36" s="103" t="s">
        <v>487</v>
      </c>
      <c r="P36" s="103">
        <v>33</v>
      </c>
      <c r="Q36" s="2">
        <v>21</v>
      </c>
      <c r="R36" s="226" t="s">
        <v>2277</v>
      </c>
      <c r="U36" s="69"/>
      <c r="V36" s="69"/>
      <c r="W36" s="69"/>
    </row>
    <row r="37" spans="1:23">
      <c r="A37" s="103" t="s">
        <v>218</v>
      </c>
      <c r="B37" s="103" t="s">
        <v>389</v>
      </c>
      <c r="C37" s="103" t="s">
        <v>1243</v>
      </c>
      <c r="D37" s="103" t="s">
        <v>1474</v>
      </c>
      <c r="E37" s="103" t="s">
        <v>2272</v>
      </c>
      <c r="F37" s="103" t="s">
        <v>2273</v>
      </c>
      <c r="G37" s="103" t="s">
        <v>2345</v>
      </c>
      <c r="I37" s="103" t="s">
        <v>2275</v>
      </c>
      <c r="J37" s="103" t="s">
        <v>2346</v>
      </c>
      <c r="M37" s="103">
        <v>0.94089999999999996</v>
      </c>
      <c r="O37" s="103" t="s">
        <v>487</v>
      </c>
      <c r="P37" s="103">
        <v>36</v>
      </c>
      <c r="Q37" s="2">
        <v>23</v>
      </c>
      <c r="R37" s="226" t="s">
        <v>2277</v>
      </c>
      <c r="U37" s="69"/>
      <c r="V37" s="69"/>
      <c r="W37" s="69"/>
    </row>
    <row r="38" spans="1:23">
      <c r="A38" s="103" t="s">
        <v>218</v>
      </c>
      <c r="B38" s="103" t="s">
        <v>389</v>
      </c>
      <c r="C38" s="103" t="s">
        <v>1243</v>
      </c>
      <c r="D38" s="103" t="s">
        <v>1474</v>
      </c>
      <c r="E38" s="103" t="s">
        <v>2272</v>
      </c>
      <c r="F38" s="103" t="s">
        <v>2273</v>
      </c>
      <c r="G38" s="103" t="s">
        <v>2347</v>
      </c>
      <c r="I38" s="103" t="s">
        <v>2275</v>
      </c>
      <c r="J38" s="103" t="s">
        <v>2348</v>
      </c>
      <c r="M38" s="103">
        <v>0.84530000000000005</v>
      </c>
      <c r="O38" s="103" t="s">
        <v>487</v>
      </c>
      <c r="P38" s="103">
        <v>64</v>
      </c>
      <c r="Q38" s="2">
        <v>46</v>
      </c>
      <c r="R38" s="226" t="s">
        <v>2277</v>
      </c>
      <c r="U38" s="69"/>
      <c r="V38" s="69"/>
      <c r="W38" s="69"/>
    </row>
    <row r="39" spans="1:23">
      <c r="A39" s="103" t="s">
        <v>218</v>
      </c>
      <c r="B39" s="103" t="s">
        <v>389</v>
      </c>
      <c r="C39" s="103" t="s">
        <v>1243</v>
      </c>
      <c r="D39" s="103" t="s">
        <v>1474</v>
      </c>
      <c r="E39" s="103" t="s">
        <v>2272</v>
      </c>
      <c r="F39" s="103" t="s">
        <v>2273</v>
      </c>
      <c r="G39" s="103" t="s">
        <v>2349</v>
      </c>
      <c r="I39" s="103" t="s">
        <v>2275</v>
      </c>
      <c r="J39" s="103" t="s">
        <v>2350</v>
      </c>
      <c r="M39" s="103">
        <v>0.95669999999999999</v>
      </c>
      <c r="O39" s="103" t="s">
        <v>487</v>
      </c>
      <c r="P39" s="103">
        <v>30</v>
      </c>
      <c r="Q39" s="2">
        <v>19</v>
      </c>
      <c r="R39" s="226" t="s">
        <v>2277</v>
      </c>
      <c r="U39" s="69"/>
      <c r="V39" s="69"/>
      <c r="W39" s="69"/>
    </row>
    <row r="40" spans="1:23">
      <c r="A40" s="103" t="s">
        <v>218</v>
      </c>
      <c r="B40" s="103" t="s">
        <v>389</v>
      </c>
      <c r="C40" s="103" t="s">
        <v>1243</v>
      </c>
      <c r="D40" s="103" t="s">
        <v>1474</v>
      </c>
      <c r="E40" s="103" t="s">
        <v>2272</v>
      </c>
      <c r="F40" s="103" t="s">
        <v>2273</v>
      </c>
      <c r="G40" s="103" t="s">
        <v>2351</v>
      </c>
      <c r="I40" s="103" t="s">
        <v>2275</v>
      </c>
      <c r="J40" s="103" t="s">
        <v>2352</v>
      </c>
      <c r="M40" s="103">
        <v>0.92310000000000003</v>
      </c>
      <c r="O40" s="103" t="s">
        <v>487</v>
      </c>
      <c r="P40" s="103">
        <v>42</v>
      </c>
      <c r="Q40" s="2">
        <v>26</v>
      </c>
      <c r="R40" s="226" t="s">
        <v>2277</v>
      </c>
      <c r="U40" s="69"/>
      <c r="V40" s="69"/>
      <c r="W40" s="69"/>
    </row>
    <row r="41" spans="1:23">
      <c r="A41" s="103" t="s">
        <v>218</v>
      </c>
      <c r="B41" s="103" t="s">
        <v>389</v>
      </c>
      <c r="C41" s="103" t="s">
        <v>1243</v>
      </c>
      <c r="D41" s="103" t="s">
        <v>1474</v>
      </c>
      <c r="E41" s="103" t="s">
        <v>2272</v>
      </c>
      <c r="F41" s="103" t="s">
        <v>2273</v>
      </c>
      <c r="G41" s="103" t="s">
        <v>2353</v>
      </c>
      <c r="I41" s="103" t="s">
        <v>2275</v>
      </c>
      <c r="J41" s="103" t="s">
        <v>2354</v>
      </c>
      <c r="M41" s="103">
        <v>0.95450000000000002</v>
      </c>
      <c r="O41" s="103" t="s">
        <v>487</v>
      </c>
      <c r="P41" s="103">
        <v>31</v>
      </c>
      <c r="Q41" s="2">
        <v>20</v>
      </c>
      <c r="R41" s="226" t="s">
        <v>2277</v>
      </c>
      <c r="U41" s="69"/>
      <c r="V41" s="69"/>
      <c r="W41" s="69"/>
    </row>
    <row r="42" spans="1:23">
      <c r="A42" s="103" t="s">
        <v>218</v>
      </c>
      <c r="B42" s="103" t="s">
        <v>389</v>
      </c>
      <c r="C42" s="103" t="s">
        <v>1243</v>
      </c>
      <c r="D42" s="103" t="s">
        <v>1474</v>
      </c>
      <c r="E42" s="103" t="s">
        <v>2272</v>
      </c>
      <c r="F42" s="103" t="s">
        <v>2273</v>
      </c>
      <c r="G42" s="103" t="s">
        <v>2355</v>
      </c>
      <c r="I42" s="103" t="s">
        <v>2275</v>
      </c>
      <c r="J42" s="103" t="s">
        <v>2356</v>
      </c>
      <c r="M42" s="103">
        <v>0.94640000000000002</v>
      </c>
      <c r="O42" s="103" t="s">
        <v>487</v>
      </c>
      <c r="P42" s="103">
        <v>34</v>
      </c>
      <c r="Q42" s="2">
        <v>22</v>
      </c>
      <c r="R42" s="226" t="s">
        <v>2277</v>
      </c>
      <c r="U42" s="69"/>
      <c r="V42" s="69"/>
      <c r="W42" s="69"/>
    </row>
    <row r="43" spans="1:23">
      <c r="A43" s="103" t="s">
        <v>218</v>
      </c>
      <c r="B43" s="103" t="s">
        <v>389</v>
      </c>
      <c r="C43" s="103" t="s">
        <v>1243</v>
      </c>
      <c r="D43" s="103" t="s">
        <v>1474</v>
      </c>
      <c r="E43" s="103" t="s">
        <v>2272</v>
      </c>
      <c r="F43" s="103" t="s">
        <v>2273</v>
      </c>
      <c r="G43" s="103" t="s">
        <v>2357</v>
      </c>
      <c r="I43" s="103" t="s">
        <v>2275</v>
      </c>
      <c r="J43" s="103" t="s">
        <v>2358</v>
      </c>
      <c r="M43" s="103">
        <v>0.94789999999999996</v>
      </c>
      <c r="O43" s="103" t="s">
        <v>487</v>
      </c>
      <c r="P43" s="103">
        <v>33</v>
      </c>
      <c r="Q43" s="2">
        <v>22</v>
      </c>
      <c r="R43" s="226" t="s">
        <v>2277</v>
      </c>
      <c r="U43" s="69"/>
      <c r="V43" s="69"/>
      <c r="W43" s="69"/>
    </row>
    <row r="44" spans="1:23">
      <c r="A44" s="103" t="s">
        <v>218</v>
      </c>
      <c r="B44" s="103" t="s">
        <v>389</v>
      </c>
      <c r="C44" s="103" t="s">
        <v>1243</v>
      </c>
      <c r="D44" s="103" t="s">
        <v>1474</v>
      </c>
      <c r="E44" s="103" t="s">
        <v>2272</v>
      </c>
      <c r="F44" s="103" t="s">
        <v>2273</v>
      </c>
      <c r="G44" s="103" t="s">
        <v>2359</v>
      </c>
      <c r="I44" s="103" t="s">
        <v>2275</v>
      </c>
      <c r="J44" s="103" t="s">
        <v>2360</v>
      </c>
      <c r="M44" s="103">
        <v>0.9224</v>
      </c>
      <c r="O44" s="103" t="s">
        <v>487</v>
      </c>
      <c r="P44" s="103">
        <v>42</v>
      </c>
      <c r="Q44" s="2">
        <v>26</v>
      </c>
      <c r="R44" s="226" t="s">
        <v>2277</v>
      </c>
      <c r="U44" s="69"/>
      <c r="V44" s="69"/>
      <c r="W44" s="69"/>
    </row>
    <row r="45" spans="1:23">
      <c r="A45" s="103" t="s">
        <v>218</v>
      </c>
      <c r="B45" s="103" t="s">
        <v>389</v>
      </c>
      <c r="C45" s="103" t="s">
        <v>1243</v>
      </c>
      <c r="D45" s="103" t="s">
        <v>1474</v>
      </c>
      <c r="E45" s="103" t="s">
        <v>2272</v>
      </c>
      <c r="F45" s="103" t="s">
        <v>2273</v>
      </c>
      <c r="G45" s="103" t="s">
        <v>2361</v>
      </c>
      <c r="I45" s="103" t="s">
        <v>2275</v>
      </c>
      <c r="J45" s="103" t="s">
        <v>2362</v>
      </c>
      <c r="M45" s="103">
        <v>0.88719999999999999</v>
      </c>
      <c r="O45" s="103" t="s">
        <v>487</v>
      </c>
      <c r="P45" s="103">
        <v>52</v>
      </c>
      <c r="Q45" s="2">
        <v>36</v>
      </c>
      <c r="R45" s="226" t="s">
        <v>2277</v>
      </c>
      <c r="U45" s="69"/>
      <c r="V45" s="69"/>
      <c r="W45" s="69"/>
    </row>
    <row r="46" spans="1:23">
      <c r="A46" s="103" t="s">
        <v>218</v>
      </c>
      <c r="B46" s="103" t="s">
        <v>389</v>
      </c>
      <c r="C46" s="103" t="s">
        <v>1243</v>
      </c>
      <c r="D46" s="103" t="s">
        <v>1474</v>
      </c>
      <c r="E46" s="103" t="s">
        <v>2272</v>
      </c>
      <c r="F46" s="103" t="s">
        <v>2273</v>
      </c>
      <c r="G46" s="103" t="s">
        <v>2363</v>
      </c>
      <c r="I46" s="103" t="s">
        <v>2275</v>
      </c>
      <c r="J46" s="103" t="s">
        <v>2364</v>
      </c>
      <c r="M46" s="103">
        <v>0.94359999999999999</v>
      </c>
      <c r="O46" s="103" t="s">
        <v>487</v>
      </c>
      <c r="P46" s="103">
        <v>35</v>
      </c>
      <c r="Q46" s="2">
        <v>23</v>
      </c>
      <c r="R46" s="226" t="s">
        <v>2277</v>
      </c>
      <c r="U46" s="69"/>
      <c r="V46" s="69"/>
      <c r="W46" s="69"/>
    </row>
    <row r="47" spans="1:23">
      <c r="A47" s="103" t="s">
        <v>218</v>
      </c>
      <c r="B47" s="103" t="s">
        <v>221</v>
      </c>
      <c r="C47" s="103" t="s">
        <v>1243</v>
      </c>
      <c r="D47" s="103" t="s">
        <v>1474</v>
      </c>
      <c r="E47" s="103" t="s">
        <v>2272</v>
      </c>
      <c r="F47" s="103" t="s">
        <v>2273</v>
      </c>
      <c r="G47" s="103" t="s">
        <v>2274</v>
      </c>
      <c r="I47" s="103" t="s">
        <v>2275</v>
      </c>
      <c r="J47" s="103" t="s">
        <v>2365</v>
      </c>
      <c r="M47" s="103">
        <v>0.92989999999999995</v>
      </c>
      <c r="O47" s="103" t="s">
        <v>487</v>
      </c>
      <c r="P47" s="103">
        <v>34</v>
      </c>
      <c r="Q47" s="2">
        <v>24</v>
      </c>
      <c r="R47" s="226" t="s">
        <v>2277</v>
      </c>
      <c r="U47" s="69"/>
      <c r="V47" s="69"/>
      <c r="W47" s="69"/>
    </row>
    <row r="48" spans="1:23">
      <c r="A48" s="103" t="s">
        <v>218</v>
      </c>
      <c r="B48" s="103" t="s">
        <v>221</v>
      </c>
      <c r="C48" s="103" t="s">
        <v>1243</v>
      </c>
      <c r="D48" s="103" t="s">
        <v>1474</v>
      </c>
      <c r="E48" s="103" t="s">
        <v>2272</v>
      </c>
      <c r="F48" s="103" t="s">
        <v>2273</v>
      </c>
      <c r="G48" s="103" t="s">
        <v>2278</v>
      </c>
      <c r="I48" s="103" t="s">
        <v>2275</v>
      </c>
      <c r="J48" s="103" t="s">
        <v>2366</v>
      </c>
      <c r="M48" s="103">
        <v>0.9526</v>
      </c>
      <c r="O48" s="103" t="s">
        <v>487</v>
      </c>
      <c r="P48" s="103">
        <v>27</v>
      </c>
      <c r="Q48" s="2">
        <v>17</v>
      </c>
      <c r="R48" s="226" t="s">
        <v>2277</v>
      </c>
      <c r="U48" s="69"/>
      <c r="V48" s="69"/>
      <c r="W48" s="69"/>
    </row>
    <row r="49" spans="1:23">
      <c r="A49" s="103" t="s">
        <v>218</v>
      </c>
      <c r="B49" s="103" t="s">
        <v>221</v>
      </c>
      <c r="C49" s="103" t="s">
        <v>1243</v>
      </c>
      <c r="D49" s="103" t="s">
        <v>1474</v>
      </c>
      <c r="E49" s="103" t="s">
        <v>2272</v>
      </c>
      <c r="F49" s="103" t="s">
        <v>2273</v>
      </c>
      <c r="G49" s="103" t="s">
        <v>2280</v>
      </c>
      <c r="I49" s="103" t="s">
        <v>2275</v>
      </c>
      <c r="J49" s="103" t="s">
        <v>2367</v>
      </c>
      <c r="M49" s="103">
        <v>0.93479999999999996</v>
      </c>
      <c r="O49" s="103" t="s">
        <v>487</v>
      </c>
      <c r="P49" s="103">
        <v>33</v>
      </c>
      <c r="Q49" s="2">
        <v>23</v>
      </c>
      <c r="R49" s="226" t="s">
        <v>2277</v>
      </c>
      <c r="U49" s="69"/>
      <c r="V49" s="69"/>
      <c r="W49" s="69"/>
    </row>
    <row r="50" spans="1:23">
      <c r="A50" s="103" t="s">
        <v>218</v>
      </c>
      <c r="B50" s="103" t="s">
        <v>221</v>
      </c>
      <c r="C50" s="103" t="s">
        <v>1243</v>
      </c>
      <c r="D50" s="103" t="s">
        <v>1474</v>
      </c>
      <c r="E50" s="103" t="s">
        <v>2272</v>
      </c>
      <c r="F50" s="103" t="s">
        <v>2273</v>
      </c>
      <c r="G50" s="103" t="s">
        <v>2282</v>
      </c>
      <c r="I50" s="103" t="s">
        <v>2275</v>
      </c>
      <c r="J50" s="103" t="s">
        <v>2368</v>
      </c>
      <c r="M50" s="103">
        <v>0.94330000000000003</v>
      </c>
      <c r="O50" s="103" t="s">
        <v>487</v>
      </c>
      <c r="P50" s="103">
        <v>30</v>
      </c>
      <c r="Q50" s="2">
        <v>21</v>
      </c>
      <c r="R50" s="226" t="s">
        <v>2277</v>
      </c>
      <c r="U50" s="69"/>
      <c r="V50" s="69"/>
      <c r="W50" s="69"/>
    </row>
    <row r="51" spans="1:23">
      <c r="A51" s="103" t="s">
        <v>218</v>
      </c>
      <c r="B51" s="103" t="s">
        <v>221</v>
      </c>
      <c r="C51" s="103" t="s">
        <v>1243</v>
      </c>
      <c r="D51" s="103" t="s">
        <v>1474</v>
      </c>
      <c r="E51" s="103" t="s">
        <v>2272</v>
      </c>
      <c r="F51" s="103" t="s">
        <v>2273</v>
      </c>
      <c r="G51" s="103" t="s">
        <v>2284</v>
      </c>
      <c r="I51" s="103" t="s">
        <v>2275</v>
      </c>
      <c r="J51" s="103" t="s">
        <v>2369</v>
      </c>
      <c r="M51" s="103">
        <v>0.95089999999999997</v>
      </c>
      <c r="O51" s="103" t="s">
        <v>487</v>
      </c>
      <c r="P51" s="103">
        <v>32</v>
      </c>
      <c r="Q51" s="2">
        <v>22</v>
      </c>
      <c r="R51" s="226" t="s">
        <v>2277</v>
      </c>
      <c r="U51" s="69"/>
      <c r="V51" s="69"/>
      <c r="W51" s="69"/>
    </row>
    <row r="52" spans="1:23">
      <c r="A52" s="103" t="s">
        <v>218</v>
      </c>
      <c r="B52" s="103" t="s">
        <v>221</v>
      </c>
      <c r="C52" s="103" t="s">
        <v>1243</v>
      </c>
      <c r="D52" s="103" t="s">
        <v>1474</v>
      </c>
      <c r="E52" s="103" t="s">
        <v>2272</v>
      </c>
      <c r="F52" s="103" t="s">
        <v>2273</v>
      </c>
      <c r="G52" s="103" t="s">
        <v>2286</v>
      </c>
      <c r="I52" s="103" t="s">
        <v>2275</v>
      </c>
      <c r="J52" s="103" t="s">
        <v>2370</v>
      </c>
      <c r="M52" s="103">
        <v>0.93799999999999994</v>
      </c>
      <c r="O52" s="103" t="s">
        <v>487</v>
      </c>
      <c r="P52" s="103">
        <v>29</v>
      </c>
      <c r="Q52" s="2">
        <v>23</v>
      </c>
      <c r="R52" s="226" t="s">
        <v>2277</v>
      </c>
      <c r="U52" s="69"/>
      <c r="V52" s="69"/>
      <c r="W52" s="69"/>
    </row>
    <row r="53" spans="1:23">
      <c r="A53" s="103" t="s">
        <v>218</v>
      </c>
      <c r="B53" s="103" t="s">
        <v>221</v>
      </c>
      <c r="C53" s="103" t="s">
        <v>1243</v>
      </c>
      <c r="D53" s="103" t="s">
        <v>1474</v>
      </c>
      <c r="E53" s="103" t="s">
        <v>2272</v>
      </c>
      <c r="F53" s="103" t="s">
        <v>2273</v>
      </c>
      <c r="G53" s="103" t="s">
        <v>2288</v>
      </c>
      <c r="I53" s="103" t="s">
        <v>2275</v>
      </c>
      <c r="J53" s="103" t="s">
        <v>2371</v>
      </c>
      <c r="M53" s="103">
        <v>0.94499999999999995</v>
      </c>
      <c r="O53" s="103" t="s">
        <v>487</v>
      </c>
      <c r="P53" s="103">
        <v>33</v>
      </c>
      <c r="Q53" s="2">
        <v>32</v>
      </c>
      <c r="R53" s="226" t="s">
        <v>2277</v>
      </c>
      <c r="U53" s="69"/>
      <c r="V53" s="69"/>
      <c r="W53" s="69"/>
    </row>
    <row r="54" spans="1:23">
      <c r="A54" s="103" t="s">
        <v>218</v>
      </c>
      <c r="B54" s="103" t="s">
        <v>221</v>
      </c>
      <c r="C54" s="103" t="s">
        <v>1243</v>
      </c>
      <c r="D54" s="103" t="s">
        <v>1474</v>
      </c>
      <c r="E54" s="103" t="s">
        <v>2272</v>
      </c>
      <c r="F54" s="103" t="s">
        <v>2273</v>
      </c>
      <c r="G54" s="103" t="s">
        <v>2290</v>
      </c>
      <c r="I54" s="103" t="s">
        <v>2275</v>
      </c>
      <c r="J54" s="103" t="s">
        <v>2372</v>
      </c>
      <c r="M54" s="103">
        <v>0.91830000000000001</v>
      </c>
      <c r="O54" s="103" t="s">
        <v>487</v>
      </c>
      <c r="P54" s="103">
        <v>40</v>
      </c>
      <c r="Q54" s="2">
        <v>27</v>
      </c>
      <c r="R54" s="226" t="s">
        <v>2277</v>
      </c>
      <c r="U54" s="69"/>
      <c r="V54" s="69"/>
      <c r="W54" s="69"/>
    </row>
    <row r="55" spans="1:23">
      <c r="A55" s="103" t="s">
        <v>218</v>
      </c>
      <c r="B55" s="103" t="s">
        <v>221</v>
      </c>
      <c r="C55" s="103" t="s">
        <v>1243</v>
      </c>
      <c r="D55" s="103" t="s">
        <v>1474</v>
      </c>
      <c r="E55" s="103" t="s">
        <v>2272</v>
      </c>
      <c r="F55" s="103" t="s">
        <v>2273</v>
      </c>
      <c r="G55" s="103" t="s">
        <v>2292</v>
      </c>
      <c r="I55" s="103" t="s">
        <v>2275</v>
      </c>
      <c r="J55" s="103" t="s">
        <v>2373</v>
      </c>
      <c r="M55" s="103">
        <v>0.92600000000000005</v>
      </c>
      <c r="O55" s="103" t="s">
        <v>487</v>
      </c>
      <c r="P55" s="103">
        <v>37</v>
      </c>
      <c r="Q55" s="2">
        <v>24</v>
      </c>
      <c r="R55" s="226" t="s">
        <v>2277</v>
      </c>
      <c r="U55" s="69"/>
      <c r="V55" s="69"/>
      <c r="W55" s="69"/>
    </row>
    <row r="56" spans="1:23">
      <c r="A56" s="103" t="s">
        <v>218</v>
      </c>
      <c r="B56" s="103" t="s">
        <v>221</v>
      </c>
      <c r="C56" s="103" t="s">
        <v>1243</v>
      </c>
      <c r="D56" s="103" t="s">
        <v>1474</v>
      </c>
      <c r="E56" s="103" t="s">
        <v>2272</v>
      </c>
      <c r="F56" s="103" t="s">
        <v>2273</v>
      </c>
      <c r="G56" s="103" t="s">
        <v>2294</v>
      </c>
      <c r="I56" s="103" t="s">
        <v>2275</v>
      </c>
      <c r="J56" s="103" t="s">
        <v>2374</v>
      </c>
      <c r="M56" s="103">
        <v>0.94630000000000003</v>
      </c>
      <c r="O56" s="103" t="s">
        <v>487</v>
      </c>
      <c r="P56" s="103">
        <v>27</v>
      </c>
      <c r="Q56" s="2">
        <v>17</v>
      </c>
      <c r="R56" s="226" t="s">
        <v>2277</v>
      </c>
      <c r="U56" s="69"/>
      <c r="V56" s="69"/>
      <c r="W56" s="69"/>
    </row>
    <row r="57" spans="1:23">
      <c r="A57" s="103" t="s">
        <v>218</v>
      </c>
      <c r="B57" s="103" t="s">
        <v>221</v>
      </c>
      <c r="C57" s="103" t="s">
        <v>1243</v>
      </c>
      <c r="D57" s="103" t="s">
        <v>1474</v>
      </c>
      <c r="E57" s="103" t="s">
        <v>2272</v>
      </c>
      <c r="F57" s="103" t="s">
        <v>2273</v>
      </c>
      <c r="G57" s="103" t="s">
        <v>2296</v>
      </c>
      <c r="I57" s="103" t="s">
        <v>2275</v>
      </c>
      <c r="J57" s="103" t="s">
        <v>2375</v>
      </c>
      <c r="M57" s="103">
        <v>0.95899999999999996</v>
      </c>
      <c r="O57" s="103" t="s">
        <v>487</v>
      </c>
      <c r="P57" s="103">
        <v>27</v>
      </c>
      <c r="Q57" s="2">
        <v>20</v>
      </c>
      <c r="R57" s="226" t="s">
        <v>2277</v>
      </c>
      <c r="U57" s="69"/>
      <c r="V57" s="69"/>
      <c r="W57" s="69"/>
    </row>
    <row r="58" spans="1:23">
      <c r="A58" s="103" t="s">
        <v>218</v>
      </c>
      <c r="B58" s="103" t="s">
        <v>221</v>
      </c>
      <c r="C58" s="103" t="s">
        <v>1243</v>
      </c>
      <c r="D58" s="103" t="s">
        <v>1474</v>
      </c>
      <c r="E58" s="103" t="s">
        <v>2272</v>
      </c>
      <c r="F58" s="103" t="s">
        <v>2273</v>
      </c>
      <c r="G58" s="103" t="s">
        <v>2298</v>
      </c>
      <c r="I58" s="103" t="s">
        <v>2275</v>
      </c>
      <c r="J58" s="103" t="s">
        <v>2376</v>
      </c>
      <c r="M58" s="103">
        <v>0.95960000000000001</v>
      </c>
      <c r="O58" s="103" t="s">
        <v>487</v>
      </c>
      <c r="P58" s="103">
        <v>27</v>
      </c>
      <c r="Q58" s="2">
        <v>19</v>
      </c>
      <c r="R58" s="226" t="s">
        <v>2277</v>
      </c>
      <c r="U58" s="69"/>
      <c r="V58" s="69"/>
      <c r="W58" s="69"/>
    </row>
    <row r="59" spans="1:23">
      <c r="A59" s="103" t="s">
        <v>218</v>
      </c>
      <c r="B59" s="103" t="s">
        <v>221</v>
      </c>
      <c r="C59" s="103" t="s">
        <v>1243</v>
      </c>
      <c r="D59" s="103" t="s">
        <v>1474</v>
      </c>
      <c r="E59" s="103" t="s">
        <v>2272</v>
      </c>
      <c r="F59" s="103" t="s">
        <v>2273</v>
      </c>
      <c r="G59" s="103" t="s">
        <v>2300</v>
      </c>
      <c r="I59" s="103" t="s">
        <v>2275</v>
      </c>
      <c r="J59" s="103" t="s">
        <v>2377</v>
      </c>
      <c r="M59" s="103">
        <v>0.92410000000000003</v>
      </c>
      <c r="O59" s="103" t="s">
        <v>487</v>
      </c>
      <c r="P59" s="103">
        <v>39</v>
      </c>
      <c r="Q59" s="2">
        <v>31</v>
      </c>
      <c r="R59" s="226" t="s">
        <v>2277</v>
      </c>
      <c r="U59" s="69"/>
      <c r="V59" s="69"/>
      <c r="W59" s="69"/>
    </row>
    <row r="60" spans="1:23">
      <c r="A60" s="103" t="s">
        <v>218</v>
      </c>
      <c r="B60" s="103" t="s">
        <v>221</v>
      </c>
      <c r="C60" s="103" t="s">
        <v>1243</v>
      </c>
      <c r="D60" s="103" t="s">
        <v>1474</v>
      </c>
      <c r="E60" s="103" t="s">
        <v>2272</v>
      </c>
      <c r="F60" s="103" t="s">
        <v>2273</v>
      </c>
      <c r="G60" s="103" t="s">
        <v>2302</v>
      </c>
      <c r="I60" s="103" t="s">
        <v>2275</v>
      </c>
      <c r="J60" s="103" t="s">
        <v>2378</v>
      </c>
      <c r="M60" s="103">
        <v>0.95309999999999995</v>
      </c>
      <c r="O60" s="103" t="s">
        <v>487</v>
      </c>
      <c r="P60" s="103">
        <v>29</v>
      </c>
      <c r="Q60" s="2">
        <v>22</v>
      </c>
      <c r="R60" s="226" t="s">
        <v>2277</v>
      </c>
      <c r="U60" s="69"/>
      <c r="V60" s="69"/>
      <c r="W60" s="69"/>
    </row>
    <row r="61" spans="1:23">
      <c r="A61" s="103" t="s">
        <v>218</v>
      </c>
      <c r="B61" s="103" t="s">
        <v>221</v>
      </c>
      <c r="C61" s="103" t="s">
        <v>1243</v>
      </c>
      <c r="D61" s="103" t="s">
        <v>1474</v>
      </c>
      <c r="E61" s="103" t="s">
        <v>2272</v>
      </c>
      <c r="F61" s="103" t="s">
        <v>2273</v>
      </c>
      <c r="G61" s="103" t="s">
        <v>2304</v>
      </c>
      <c r="I61" s="103" t="s">
        <v>2275</v>
      </c>
      <c r="J61" s="103" t="s">
        <v>2379</v>
      </c>
      <c r="M61" s="103">
        <v>0.93899999999999995</v>
      </c>
      <c r="O61" s="103" t="s">
        <v>487</v>
      </c>
      <c r="P61" s="103">
        <v>26</v>
      </c>
      <c r="Q61" s="2">
        <v>20</v>
      </c>
      <c r="R61" s="226" t="s">
        <v>2277</v>
      </c>
      <c r="U61" s="69"/>
      <c r="V61" s="69"/>
      <c r="W61" s="69"/>
    </row>
    <row r="62" spans="1:23">
      <c r="A62" s="103" t="s">
        <v>218</v>
      </c>
      <c r="B62" s="103" t="s">
        <v>221</v>
      </c>
      <c r="C62" s="103" t="s">
        <v>1243</v>
      </c>
      <c r="D62" s="103" t="s">
        <v>1474</v>
      </c>
      <c r="E62" s="103" t="s">
        <v>2272</v>
      </c>
      <c r="F62" s="103" t="s">
        <v>2273</v>
      </c>
      <c r="G62" s="103" t="s">
        <v>2306</v>
      </c>
      <c r="I62" s="103" t="s">
        <v>2275</v>
      </c>
      <c r="J62" s="103" t="s">
        <v>2380</v>
      </c>
      <c r="M62" s="103">
        <v>0.54039999999999999</v>
      </c>
      <c r="O62" s="103" t="s">
        <v>487</v>
      </c>
      <c r="P62" s="103">
        <v>57</v>
      </c>
      <c r="Q62" s="2">
        <v>37</v>
      </c>
      <c r="R62" s="226" t="s">
        <v>2277</v>
      </c>
      <c r="U62" s="69"/>
      <c r="V62" s="69"/>
      <c r="W62" s="69"/>
    </row>
    <row r="63" spans="1:23">
      <c r="A63" s="103" t="s">
        <v>218</v>
      </c>
      <c r="B63" s="103" t="s">
        <v>221</v>
      </c>
      <c r="C63" s="103" t="s">
        <v>1243</v>
      </c>
      <c r="D63" s="103" t="s">
        <v>1474</v>
      </c>
      <c r="E63" s="103" t="s">
        <v>2272</v>
      </c>
      <c r="F63" s="103" t="s">
        <v>2273</v>
      </c>
      <c r="G63" s="103" t="s">
        <v>2308</v>
      </c>
      <c r="I63" s="103" t="s">
        <v>2275</v>
      </c>
      <c r="J63" s="103" t="s">
        <v>2381</v>
      </c>
      <c r="M63" s="103">
        <v>0.95</v>
      </c>
      <c r="O63" s="103" t="s">
        <v>487</v>
      </c>
      <c r="P63" s="103">
        <v>32</v>
      </c>
      <c r="Q63" s="2">
        <v>26</v>
      </c>
      <c r="R63" s="226" t="s">
        <v>2277</v>
      </c>
      <c r="U63" s="69"/>
      <c r="V63" s="69"/>
      <c r="W63" s="69"/>
    </row>
    <row r="64" spans="1:23">
      <c r="A64" s="103" t="s">
        <v>218</v>
      </c>
      <c r="B64" s="103" t="s">
        <v>221</v>
      </c>
      <c r="C64" s="103" t="s">
        <v>1243</v>
      </c>
      <c r="D64" s="103" t="s">
        <v>1474</v>
      </c>
      <c r="E64" s="103" t="s">
        <v>2272</v>
      </c>
      <c r="F64" s="103" t="s">
        <v>2273</v>
      </c>
      <c r="G64" s="103" t="s">
        <v>2310</v>
      </c>
      <c r="I64" s="103" t="s">
        <v>2275</v>
      </c>
      <c r="J64" s="103" t="s">
        <v>2382</v>
      </c>
      <c r="M64" s="103">
        <v>0.93930000000000002</v>
      </c>
      <c r="O64" s="103" t="s">
        <v>487</v>
      </c>
      <c r="P64" s="103">
        <v>35</v>
      </c>
      <c r="Q64" s="2">
        <v>24</v>
      </c>
      <c r="R64" s="226" t="s">
        <v>2277</v>
      </c>
      <c r="U64" s="69"/>
      <c r="V64" s="69"/>
      <c r="W64" s="69"/>
    </row>
    <row r="65" spans="1:23">
      <c r="A65" s="103" t="s">
        <v>218</v>
      </c>
      <c r="B65" s="103" t="s">
        <v>221</v>
      </c>
      <c r="C65" s="103" t="s">
        <v>1243</v>
      </c>
      <c r="D65" s="103" t="s">
        <v>1474</v>
      </c>
      <c r="E65" s="103" t="s">
        <v>2272</v>
      </c>
      <c r="F65" s="103" t="s">
        <v>2273</v>
      </c>
      <c r="G65" s="103" t="s">
        <v>2312</v>
      </c>
      <c r="I65" s="103" t="s">
        <v>2275</v>
      </c>
      <c r="J65" s="103" t="s">
        <v>2383</v>
      </c>
      <c r="M65" s="103">
        <v>0.86639999999999995</v>
      </c>
      <c r="O65" s="103" t="s">
        <v>487</v>
      </c>
      <c r="P65" s="103">
        <v>98</v>
      </c>
      <c r="Q65" s="2">
        <v>28</v>
      </c>
      <c r="R65" s="226" t="s">
        <v>2277</v>
      </c>
      <c r="U65" s="69"/>
      <c r="V65" s="69"/>
      <c r="W65" s="69"/>
    </row>
    <row r="66" spans="1:23">
      <c r="A66" s="103" t="s">
        <v>218</v>
      </c>
      <c r="B66" s="103" t="s">
        <v>221</v>
      </c>
      <c r="C66" s="103" t="s">
        <v>1243</v>
      </c>
      <c r="D66" s="103" t="s">
        <v>1474</v>
      </c>
      <c r="E66" s="103" t="s">
        <v>2272</v>
      </c>
      <c r="F66" s="103" t="s">
        <v>2273</v>
      </c>
      <c r="G66" s="103" t="s">
        <v>2314</v>
      </c>
      <c r="I66" s="103" t="s">
        <v>2275</v>
      </c>
      <c r="J66" s="103" t="s">
        <v>2384</v>
      </c>
      <c r="M66" s="103">
        <v>0.91839999999999999</v>
      </c>
      <c r="O66" s="103" t="s">
        <v>487</v>
      </c>
      <c r="P66" s="103">
        <v>34</v>
      </c>
      <c r="Q66" s="2">
        <v>23</v>
      </c>
      <c r="R66" s="226" t="s">
        <v>2277</v>
      </c>
      <c r="U66" s="69"/>
      <c r="V66" s="69"/>
      <c r="W66" s="69"/>
    </row>
    <row r="67" spans="1:23">
      <c r="A67" s="103" t="s">
        <v>218</v>
      </c>
      <c r="B67" s="103" t="s">
        <v>221</v>
      </c>
      <c r="C67" s="103" t="s">
        <v>1243</v>
      </c>
      <c r="D67" s="103" t="s">
        <v>1474</v>
      </c>
      <c r="E67" s="103" t="s">
        <v>2272</v>
      </c>
      <c r="F67" s="103" t="s">
        <v>2273</v>
      </c>
      <c r="G67" s="103" t="s">
        <v>2316</v>
      </c>
      <c r="I67" s="103" t="s">
        <v>2275</v>
      </c>
      <c r="J67" s="103" t="s">
        <v>2385</v>
      </c>
      <c r="M67" s="103">
        <v>0.89710000000000001</v>
      </c>
      <c r="O67" s="103" t="s">
        <v>487</v>
      </c>
      <c r="P67" s="103">
        <v>39</v>
      </c>
      <c r="Q67" s="2">
        <v>28</v>
      </c>
      <c r="R67" s="226" t="s">
        <v>2277</v>
      </c>
      <c r="U67" s="69"/>
      <c r="V67" s="69"/>
      <c r="W67" s="69"/>
    </row>
    <row r="68" spans="1:23">
      <c r="A68" s="103" t="s">
        <v>218</v>
      </c>
      <c r="B68" s="103" t="s">
        <v>221</v>
      </c>
      <c r="C68" s="103" t="s">
        <v>1243</v>
      </c>
      <c r="D68" s="103" t="s">
        <v>1474</v>
      </c>
      <c r="E68" s="103" t="s">
        <v>2272</v>
      </c>
      <c r="F68" s="103" t="s">
        <v>2273</v>
      </c>
      <c r="G68" s="103" t="s">
        <v>2318</v>
      </c>
      <c r="I68" s="103" t="s">
        <v>2275</v>
      </c>
      <c r="J68" s="103" t="s">
        <v>2386</v>
      </c>
      <c r="M68" s="103">
        <v>0.92190000000000005</v>
      </c>
      <c r="O68" s="103" t="s">
        <v>487</v>
      </c>
      <c r="P68" s="103">
        <v>31</v>
      </c>
      <c r="Q68" s="2">
        <v>23</v>
      </c>
      <c r="R68" s="226" t="s">
        <v>2277</v>
      </c>
      <c r="U68" s="69"/>
      <c r="V68" s="69"/>
      <c r="W68" s="69"/>
    </row>
    <row r="69" spans="1:23">
      <c r="A69" s="103" t="s">
        <v>218</v>
      </c>
      <c r="B69" s="103" t="s">
        <v>221</v>
      </c>
      <c r="C69" s="103" t="s">
        <v>1243</v>
      </c>
      <c r="D69" s="103" t="s">
        <v>1474</v>
      </c>
      <c r="E69" s="103" t="s">
        <v>2272</v>
      </c>
      <c r="F69" s="103" t="s">
        <v>2273</v>
      </c>
      <c r="G69" s="103" t="s">
        <v>2320</v>
      </c>
      <c r="I69" s="103" t="s">
        <v>2275</v>
      </c>
      <c r="J69" s="103" t="s">
        <v>2387</v>
      </c>
      <c r="M69" s="103">
        <v>0.59360000000000002</v>
      </c>
      <c r="O69" s="103" t="s">
        <v>487</v>
      </c>
      <c r="P69" s="103">
        <v>55</v>
      </c>
      <c r="Q69" s="2">
        <v>24</v>
      </c>
      <c r="R69" s="226" t="s">
        <v>2277</v>
      </c>
      <c r="U69" s="69"/>
      <c r="V69" s="69"/>
      <c r="W69" s="69"/>
    </row>
    <row r="70" spans="1:23">
      <c r="A70" s="103" t="s">
        <v>218</v>
      </c>
      <c r="B70" s="103" t="s">
        <v>221</v>
      </c>
      <c r="C70" s="103" t="s">
        <v>1243</v>
      </c>
      <c r="D70" s="103" t="s">
        <v>1474</v>
      </c>
      <c r="E70" s="103" t="s">
        <v>2272</v>
      </c>
      <c r="F70" s="103" t="s">
        <v>2273</v>
      </c>
      <c r="G70" s="103" t="s">
        <v>2322</v>
      </c>
      <c r="I70" s="103" t="s">
        <v>2275</v>
      </c>
      <c r="J70" s="103" t="s">
        <v>2388</v>
      </c>
      <c r="M70" s="103">
        <v>0.93979999999999997</v>
      </c>
      <c r="O70" s="103" t="s">
        <v>487</v>
      </c>
      <c r="P70" s="103">
        <v>36</v>
      </c>
      <c r="Q70" s="2">
        <v>24</v>
      </c>
      <c r="R70" s="226" t="s">
        <v>2277</v>
      </c>
      <c r="U70" s="69"/>
      <c r="V70" s="69"/>
      <c r="W70" s="69"/>
    </row>
    <row r="71" spans="1:23">
      <c r="A71" s="103" t="s">
        <v>218</v>
      </c>
      <c r="B71" s="103" t="s">
        <v>221</v>
      </c>
      <c r="C71" s="103" t="s">
        <v>1243</v>
      </c>
      <c r="D71" s="103" t="s">
        <v>1474</v>
      </c>
      <c r="E71" s="103" t="s">
        <v>2272</v>
      </c>
      <c r="F71" s="103" t="s">
        <v>2273</v>
      </c>
      <c r="G71" s="103" t="s">
        <v>2324</v>
      </c>
      <c r="I71" s="103" t="s">
        <v>2275</v>
      </c>
      <c r="J71" s="103" t="s">
        <v>2389</v>
      </c>
      <c r="M71" s="103">
        <v>0.88790000000000002</v>
      </c>
      <c r="O71" s="103" t="s">
        <v>487</v>
      </c>
      <c r="P71" s="103">
        <v>82</v>
      </c>
      <c r="Q71" s="2">
        <v>27</v>
      </c>
      <c r="R71" s="226" t="s">
        <v>2277</v>
      </c>
      <c r="U71" s="69"/>
      <c r="V71" s="69"/>
      <c r="W71" s="69"/>
    </row>
    <row r="72" spans="1:23">
      <c r="A72" s="103" t="s">
        <v>218</v>
      </c>
      <c r="B72" s="103" t="s">
        <v>221</v>
      </c>
      <c r="C72" s="103" t="s">
        <v>1243</v>
      </c>
      <c r="D72" s="103" t="s">
        <v>1474</v>
      </c>
      <c r="E72" s="103" t="s">
        <v>2272</v>
      </c>
      <c r="F72" s="103" t="s">
        <v>2273</v>
      </c>
      <c r="G72" s="103" t="s">
        <v>2326</v>
      </c>
      <c r="I72" s="103" t="s">
        <v>2275</v>
      </c>
      <c r="J72" s="103" t="s">
        <v>2390</v>
      </c>
      <c r="M72" s="103">
        <v>0.93559999999999999</v>
      </c>
      <c r="O72" s="103" t="s">
        <v>487</v>
      </c>
      <c r="P72" s="103">
        <v>38</v>
      </c>
      <c r="Q72" s="2">
        <v>25</v>
      </c>
      <c r="R72" s="226" t="s">
        <v>2277</v>
      </c>
      <c r="U72" s="69"/>
      <c r="V72" s="69"/>
      <c r="W72" s="69"/>
    </row>
    <row r="73" spans="1:23">
      <c r="A73" s="103" t="s">
        <v>218</v>
      </c>
      <c r="B73" s="103" t="s">
        <v>221</v>
      </c>
      <c r="C73" s="103" t="s">
        <v>1243</v>
      </c>
      <c r="D73" s="103" t="s">
        <v>1474</v>
      </c>
      <c r="E73" s="103" t="s">
        <v>2272</v>
      </c>
      <c r="F73" s="103" t="s">
        <v>2273</v>
      </c>
      <c r="G73" s="103" t="s">
        <v>2328</v>
      </c>
      <c r="I73" s="103" t="s">
        <v>2275</v>
      </c>
      <c r="J73" s="103" t="s">
        <v>2391</v>
      </c>
      <c r="M73" s="103">
        <v>0.92320000000000002</v>
      </c>
      <c r="O73" s="103" t="s">
        <v>487</v>
      </c>
      <c r="P73" s="103">
        <v>36</v>
      </c>
      <c r="Q73" s="2">
        <v>24</v>
      </c>
      <c r="R73" s="226" t="s">
        <v>2277</v>
      </c>
      <c r="U73" s="69"/>
      <c r="V73" s="69"/>
      <c r="W73" s="69"/>
    </row>
    <row r="74" spans="1:23">
      <c r="A74" s="103" t="s">
        <v>218</v>
      </c>
      <c r="B74" s="103" t="s">
        <v>221</v>
      </c>
      <c r="C74" s="103" t="s">
        <v>1243</v>
      </c>
      <c r="D74" s="103" t="s">
        <v>1474</v>
      </c>
      <c r="E74" s="103" t="s">
        <v>2272</v>
      </c>
      <c r="F74" s="103" t="s">
        <v>2273</v>
      </c>
      <c r="G74" s="103" t="s">
        <v>2330</v>
      </c>
      <c r="I74" s="103" t="s">
        <v>2275</v>
      </c>
      <c r="J74" s="103" t="s">
        <v>2392</v>
      </c>
      <c r="M74" s="103">
        <v>0.93120000000000003</v>
      </c>
      <c r="O74" s="103" t="s">
        <v>487</v>
      </c>
      <c r="P74" s="103">
        <v>34</v>
      </c>
      <c r="Q74" s="2">
        <v>23</v>
      </c>
      <c r="R74" s="226" t="s">
        <v>2277</v>
      </c>
      <c r="U74" s="69"/>
      <c r="V74" s="69"/>
      <c r="W74" s="69"/>
    </row>
    <row r="75" spans="1:23">
      <c r="A75" s="103" t="s">
        <v>218</v>
      </c>
      <c r="B75" s="103" t="s">
        <v>221</v>
      </c>
      <c r="C75" s="103" t="s">
        <v>1243</v>
      </c>
      <c r="D75" s="103" t="s">
        <v>1474</v>
      </c>
      <c r="E75" s="103" t="s">
        <v>2272</v>
      </c>
      <c r="F75" s="103" t="s">
        <v>2273</v>
      </c>
      <c r="G75" s="103" t="s">
        <v>2332</v>
      </c>
      <c r="I75" s="103" t="s">
        <v>2275</v>
      </c>
      <c r="J75" s="103" t="s">
        <v>2393</v>
      </c>
      <c r="M75" s="103">
        <v>0.91279999999999994</v>
      </c>
      <c r="O75" s="103" t="s">
        <v>487</v>
      </c>
      <c r="P75" s="103">
        <v>35</v>
      </c>
      <c r="Q75" s="2">
        <v>24</v>
      </c>
      <c r="R75" s="226" t="s">
        <v>2277</v>
      </c>
      <c r="U75" s="69"/>
      <c r="V75" s="69"/>
      <c r="W75" s="69"/>
    </row>
    <row r="76" spans="1:23">
      <c r="A76" s="103" t="s">
        <v>218</v>
      </c>
      <c r="B76" s="103" t="s">
        <v>221</v>
      </c>
      <c r="C76" s="103" t="s">
        <v>1243</v>
      </c>
      <c r="D76" s="103" t="s">
        <v>1474</v>
      </c>
      <c r="E76" s="103" t="s">
        <v>2272</v>
      </c>
      <c r="F76" s="103" t="s">
        <v>2273</v>
      </c>
      <c r="G76" s="103" t="s">
        <v>2334</v>
      </c>
      <c r="I76" s="103" t="s">
        <v>2275</v>
      </c>
      <c r="J76" s="103" t="s">
        <v>2394</v>
      </c>
      <c r="M76" s="103">
        <v>0.85489999999999999</v>
      </c>
      <c r="O76" s="103" t="s">
        <v>487</v>
      </c>
      <c r="P76" s="103">
        <v>45</v>
      </c>
      <c r="Q76" s="2">
        <v>36</v>
      </c>
      <c r="R76" s="226" t="s">
        <v>2277</v>
      </c>
      <c r="U76" s="69"/>
      <c r="V76" s="69"/>
      <c r="W76" s="69"/>
    </row>
    <row r="77" spans="1:23">
      <c r="A77" s="103" t="s">
        <v>218</v>
      </c>
      <c r="B77" s="103" t="s">
        <v>221</v>
      </c>
      <c r="C77" s="103" t="s">
        <v>1243</v>
      </c>
      <c r="D77" s="103" t="s">
        <v>1474</v>
      </c>
      <c r="E77" s="103" t="s">
        <v>2272</v>
      </c>
      <c r="F77" s="103" t="s">
        <v>2273</v>
      </c>
      <c r="G77" s="103" t="s">
        <v>634</v>
      </c>
      <c r="I77" s="103" t="s">
        <v>2275</v>
      </c>
      <c r="J77" s="103" t="s">
        <v>2395</v>
      </c>
      <c r="M77" s="103">
        <v>0.96299999999999997</v>
      </c>
      <c r="O77" s="103" t="s">
        <v>487</v>
      </c>
      <c r="P77" s="103">
        <v>25</v>
      </c>
      <c r="Q77" s="2">
        <v>18</v>
      </c>
      <c r="R77" s="226" t="s">
        <v>2277</v>
      </c>
      <c r="U77" s="69"/>
      <c r="V77" s="69"/>
      <c r="W77" s="69"/>
    </row>
    <row r="78" spans="1:23">
      <c r="A78" s="103" t="s">
        <v>218</v>
      </c>
      <c r="B78" s="103" t="s">
        <v>221</v>
      </c>
      <c r="C78" s="103" t="s">
        <v>1243</v>
      </c>
      <c r="D78" s="103" t="s">
        <v>1474</v>
      </c>
      <c r="E78" s="103" t="s">
        <v>2272</v>
      </c>
      <c r="F78" s="103" t="s">
        <v>2273</v>
      </c>
      <c r="G78" s="103" t="s">
        <v>2337</v>
      </c>
      <c r="I78" s="103" t="s">
        <v>2275</v>
      </c>
      <c r="J78" s="103" t="s">
        <v>2396</v>
      </c>
      <c r="M78" s="103">
        <v>0.93059999999999998</v>
      </c>
      <c r="O78" s="103" t="s">
        <v>487</v>
      </c>
      <c r="P78" s="103">
        <v>33</v>
      </c>
      <c r="Q78" s="2">
        <v>24</v>
      </c>
      <c r="R78" s="226" t="s">
        <v>2277</v>
      </c>
      <c r="U78" s="69"/>
      <c r="V78" s="69"/>
      <c r="W78" s="69"/>
    </row>
    <row r="79" spans="1:23">
      <c r="A79" s="103" t="s">
        <v>218</v>
      </c>
      <c r="B79" s="103" t="s">
        <v>221</v>
      </c>
      <c r="C79" s="103" t="s">
        <v>1243</v>
      </c>
      <c r="D79" s="103" t="s">
        <v>1474</v>
      </c>
      <c r="E79" s="103" t="s">
        <v>2272</v>
      </c>
      <c r="F79" s="103" t="s">
        <v>2273</v>
      </c>
      <c r="G79" s="103" t="s">
        <v>2339</v>
      </c>
      <c r="I79" s="103" t="s">
        <v>2275</v>
      </c>
      <c r="J79" s="103" t="s">
        <v>2397</v>
      </c>
      <c r="M79" s="103">
        <v>0.95599999999999996</v>
      </c>
      <c r="O79" s="103" t="s">
        <v>487</v>
      </c>
      <c r="P79" s="103">
        <v>23</v>
      </c>
      <c r="Q79" s="2">
        <v>19</v>
      </c>
      <c r="R79" s="226" t="s">
        <v>2277</v>
      </c>
      <c r="U79" s="69"/>
      <c r="V79" s="69"/>
      <c r="W79" s="69"/>
    </row>
    <row r="80" spans="1:23">
      <c r="A80" s="103" t="s">
        <v>218</v>
      </c>
      <c r="B80" s="103" t="s">
        <v>221</v>
      </c>
      <c r="C80" s="103" t="s">
        <v>1243</v>
      </c>
      <c r="D80" s="103" t="s">
        <v>1474</v>
      </c>
      <c r="E80" s="103" t="s">
        <v>2272</v>
      </c>
      <c r="F80" s="103" t="s">
        <v>2273</v>
      </c>
      <c r="G80" s="103" t="s">
        <v>2341</v>
      </c>
      <c r="I80" s="103" t="s">
        <v>2275</v>
      </c>
      <c r="J80" s="103" t="s">
        <v>2398</v>
      </c>
      <c r="M80" s="103">
        <v>0.96</v>
      </c>
      <c r="O80" s="103" t="s">
        <v>487</v>
      </c>
      <c r="P80" s="103">
        <v>26</v>
      </c>
      <c r="Q80" s="2">
        <v>20</v>
      </c>
      <c r="R80" s="226" t="s">
        <v>2277</v>
      </c>
      <c r="U80" s="69"/>
      <c r="V80" s="69"/>
      <c r="W80" s="69"/>
    </row>
    <row r="81" spans="1:23">
      <c r="A81" s="103" t="s">
        <v>218</v>
      </c>
      <c r="B81" s="103" t="s">
        <v>221</v>
      </c>
      <c r="C81" s="103" t="s">
        <v>1243</v>
      </c>
      <c r="D81" s="103" t="s">
        <v>1474</v>
      </c>
      <c r="E81" s="103" t="s">
        <v>2272</v>
      </c>
      <c r="F81" s="103" t="s">
        <v>2273</v>
      </c>
      <c r="G81" s="103" t="s">
        <v>2343</v>
      </c>
      <c r="I81" s="103" t="s">
        <v>2275</v>
      </c>
      <c r="J81" s="103" t="s">
        <v>2399</v>
      </c>
      <c r="M81" s="103">
        <v>0.94940000000000002</v>
      </c>
      <c r="O81" s="103" t="s">
        <v>487</v>
      </c>
      <c r="P81" s="103">
        <v>31</v>
      </c>
      <c r="Q81" s="2">
        <v>21</v>
      </c>
      <c r="R81" s="226" t="s">
        <v>2277</v>
      </c>
      <c r="U81" s="69"/>
      <c r="V81" s="69"/>
      <c r="W81" s="69"/>
    </row>
    <row r="82" spans="1:23">
      <c r="A82" s="103" t="s">
        <v>218</v>
      </c>
      <c r="B82" s="103" t="s">
        <v>221</v>
      </c>
      <c r="C82" s="103" t="s">
        <v>1243</v>
      </c>
      <c r="D82" s="103" t="s">
        <v>1474</v>
      </c>
      <c r="E82" s="103" t="s">
        <v>2272</v>
      </c>
      <c r="F82" s="103" t="s">
        <v>2273</v>
      </c>
      <c r="G82" s="103" t="s">
        <v>2345</v>
      </c>
      <c r="I82" s="103" t="s">
        <v>2275</v>
      </c>
      <c r="J82" s="103" t="s">
        <v>2400</v>
      </c>
      <c r="M82" s="103">
        <v>0.93469999999999998</v>
      </c>
      <c r="O82" s="103" t="s">
        <v>487</v>
      </c>
      <c r="P82" s="103">
        <v>42</v>
      </c>
      <c r="Q82" s="2">
        <v>28</v>
      </c>
      <c r="R82" s="226" t="s">
        <v>2277</v>
      </c>
      <c r="U82" s="69"/>
      <c r="V82" s="69"/>
      <c r="W82" s="69"/>
    </row>
    <row r="83" spans="1:23">
      <c r="A83" s="103" t="s">
        <v>218</v>
      </c>
      <c r="B83" s="103" t="s">
        <v>221</v>
      </c>
      <c r="C83" s="103" t="s">
        <v>1243</v>
      </c>
      <c r="D83" s="103" t="s">
        <v>1474</v>
      </c>
      <c r="E83" s="103" t="s">
        <v>2272</v>
      </c>
      <c r="F83" s="103" t="s">
        <v>2273</v>
      </c>
      <c r="G83" s="103" t="s">
        <v>2347</v>
      </c>
      <c r="I83" s="103" t="s">
        <v>2275</v>
      </c>
      <c r="J83" s="103" t="s">
        <v>2401</v>
      </c>
      <c r="M83" s="103">
        <v>0.85129999999999995</v>
      </c>
      <c r="O83" s="103" t="s">
        <v>487</v>
      </c>
      <c r="P83" s="103">
        <v>46</v>
      </c>
      <c r="Q83" s="2">
        <v>21</v>
      </c>
      <c r="R83" s="226" t="s">
        <v>2277</v>
      </c>
      <c r="U83" s="69"/>
      <c r="V83" s="69"/>
      <c r="W83" s="69"/>
    </row>
    <row r="84" spans="1:23">
      <c r="A84" s="103" t="s">
        <v>218</v>
      </c>
      <c r="B84" s="103" t="s">
        <v>221</v>
      </c>
      <c r="C84" s="103" t="s">
        <v>1243</v>
      </c>
      <c r="D84" s="103" t="s">
        <v>1474</v>
      </c>
      <c r="E84" s="103" t="s">
        <v>2272</v>
      </c>
      <c r="F84" s="103" t="s">
        <v>2273</v>
      </c>
      <c r="G84" s="103" t="s">
        <v>2349</v>
      </c>
      <c r="I84" s="103" t="s">
        <v>2275</v>
      </c>
      <c r="J84" s="103" t="s">
        <v>2402</v>
      </c>
      <c r="M84" s="103">
        <v>0.95479999999999998</v>
      </c>
      <c r="O84" s="103" t="s">
        <v>487</v>
      </c>
      <c r="P84" s="103">
        <v>30</v>
      </c>
      <c r="Q84" s="2">
        <v>29</v>
      </c>
      <c r="R84" s="226" t="s">
        <v>2277</v>
      </c>
      <c r="U84" s="69"/>
      <c r="V84" s="69"/>
      <c r="W84" s="69"/>
    </row>
    <row r="85" spans="1:23">
      <c r="A85" s="103" t="s">
        <v>218</v>
      </c>
      <c r="B85" s="103" t="s">
        <v>221</v>
      </c>
      <c r="C85" s="103" t="s">
        <v>1243</v>
      </c>
      <c r="D85" s="103" t="s">
        <v>1474</v>
      </c>
      <c r="E85" s="103" t="s">
        <v>2272</v>
      </c>
      <c r="F85" s="103" t="s">
        <v>2273</v>
      </c>
      <c r="G85" s="103" t="s">
        <v>2351</v>
      </c>
      <c r="I85" s="103" t="s">
        <v>2275</v>
      </c>
      <c r="J85" s="103" t="s">
        <v>2403</v>
      </c>
      <c r="M85" s="103">
        <v>0.91930000000000001</v>
      </c>
      <c r="O85" s="103" t="s">
        <v>487</v>
      </c>
      <c r="P85" s="103">
        <v>42</v>
      </c>
      <c r="Q85" s="2">
        <v>23</v>
      </c>
      <c r="R85" s="226" t="s">
        <v>2277</v>
      </c>
      <c r="U85" s="69"/>
      <c r="V85" s="69"/>
      <c r="W85" s="69"/>
    </row>
    <row r="86" spans="1:23">
      <c r="A86" s="103" t="s">
        <v>218</v>
      </c>
      <c r="B86" s="103" t="s">
        <v>221</v>
      </c>
      <c r="C86" s="103" t="s">
        <v>1243</v>
      </c>
      <c r="D86" s="103" t="s">
        <v>1474</v>
      </c>
      <c r="E86" s="103" t="s">
        <v>2272</v>
      </c>
      <c r="F86" s="103" t="s">
        <v>2273</v>
      </c>
      <c r="G86" s="103" t="s">
        <v>2353</v>
      </c>
      <c r="I86" s="103" t="s">
        <v>2275</v>
      </c>
      <c r="J86" s="103" t="s">
        <v>2404</v>
      </c>
      <c r="M86" s="103">
        <v>0.94940000000000002</v>
      </c>
      <c r="O86" s="103" t="s">
        <v>487</v>
      </c>
      <c r="P86" s="103">
        <v>31</v>
      </c>
      <c r="Q86" s="2">
        <v>23</v>
      </c>
      <c r="R86" s="226" t="s">
        <v>2277</v>
      </c>
      <c r="U86" s="69"/>
      <c r="V86" s="69"/>
      <c r="W86" s="69"/>
    </row>
    <row r="87" spans="1:23">
      <c r="A87" s="103" t="s">
        <v>218</v>
      </c>
      <c r="B87" s="103" t="s">
        <v>221</v>
      </c>
      <c r="C87" s="103" t="s">
        <v>1243</v>
      </c>
      <c r="D87" s="103" t="s">
        <v>1474</v>
      </c>
      <c r="E87" s="103" t="s">
        <v>2272</v>
      </c>
      <c r="F87" s="103" t="s">
        <v>2273</v>
      </c>
      <c r="G87" s="103" t="s">
        <v>2355</v>
      </c>
      <c r="I87" s="103" t="s">
        <v>2275</v>
      </c>
      <c r="J87" s="103" t="s">
        <v>2405</v>
      </c>
      <c r="M87" s="103">
        <v>0.94289999999999996</v>
      </c>
      <c r="O87" s="103" t="s">
        <v>487</v>
      </c>
      <c r="P87" s="103">
        <v>36</v>
      </c>
      <c r="Q87" s="2">
        <v>18</v>
      </c>
      <c r="R87" s="226" t="s">
        <v>2277</v>
      </c>
      <c r="U87" s="69"/>
      <c r="V87" s="69"/>
      <c r="W87" s="69"/>
    </row>
    <row r="88" spans="1:23">
      <c r="A88" s="103" t="s">
        <v>218</v>
      </c>
      <c r="B88" s="103" t="s">
        <v>221</v>
      </c>
      <c r="C88" s="103" t="s">
        <v>1243</v>
      </c>
      <c r="D88" s="103" t="s">
        <v>1474</v>
      </c>
      <c r="E88" s="103" t="s">
        <v>2272</v>
      </c>
      <c r="F88" s="103" t="s">
        <v>2273</v>
      </c>
      <c r="G88" s="103" t="s">
        <v>2357</v>
      </c>
      <c r="I88" s="103" t="s">
        <v>2275</v>
      </c>
      <c r="J88" s="103" t="s">
        <v>2406</v>
      </c>
      <c r="M88" s="103">
        <v>0.95120000000000005</v>
      </c>
      <c r="O88" s="103" t="s">
        <v>487</v>
      </c>
      <c r="P88" s="103">
        <v>25</v>
      </c>
      <c r="Q88" s="2">
        <v>26</v>
      </c>
      <c r="R88" s="226" t="s">
        <v>2277</v>
      </c>
      <c r="U88" s="69"/>
      <c r="V88" s="69"/>
      <c r="W88" s="69"/>
    </row>
    <row r="89" spans="1:23">
      <c r="A89" s="103" t="s">
        <v>218</v>
      </c>
      <c r="B89" s="103" t="s">
        <v>221</v>
      </c>
      <c r="C89" s="103" t="s">
        <v>1243</v>
      </c>
      <c r="D89" s="103" t="s">
        <v>1474</v>
      </c>
      <c r="E89" s="103" t="s">
        <v>2272</v>
      </c>
      <c r="F89" s="103" t="s">
        <v>2273</v>
      </c>
      <c r="G89" s="103" t="s">
        <v>2359</v>
      </c>
      <c r="I89" s="103" t="s">
        <v>2275</v>
      </c>
      <c r="J89" s="103" t="s">
        <v>2407</v>
      </c>
      <c r="M89" s="103">
        <v>0.9163</v>
      </c>
      <c r="O89" s="103" t="s">
        <v>487</v>
      </c>
      <c r="P89" s="103">
        <v>47</v>
      </c>
      <c r="Q89" s="2">
        <v>35</v>
      </c>
      <c r="R89" s="226" t="s">
        <v>2277</v>
      </c>
      <c r="U89" s="69"/>
      <c r="V89" s="69"/>
      <c r="W89" s="69"/>
    </row>
    <row r="90" spans="1:23">
      <c r="A90" s="103" t="s">
        <v>218</v>
      </c>
      <c r="B90" s="103" t="s">
        <v>221</v>
      </c>
      <c r="C90" s="103" t="s">
        <v>1243</v>
      </c>
      <c r="D90" s="103" t="s">
        <v>1474</v>
      </c>
      <c r="E90" s="103" t="s">
        <v>2272</v>
      </c>
      <c r="F90" s="103" t="s">
        <v>2273</v>
      </c>
      <c r="G90" s="103" t="s">
        <v>2361</v>
      </c>
      <c r="I90" s="103" t="s">
        <v>2275</v>
      </c>
      <c r="J90" s="103" t="s">
        <v>2408</v>
      </c>
      <c r="M90" s="103">
        <v>0.89190000000000003</v>
      </c>
      <c r="O90" s="103" t="s">
        <v>487</v>
      </c>
      <c r="P90" s="103">
        <v>38</v>
      </c>
      <c r="Q90" s="2">
        <v>30</v>
      </c>
      <c r="R90" s="226" t="s">
        <v>2277</v>
      </c>
      <c r="U90" s="69"/>
      <c r="V90" s="69"/>
      <c r="W90" s="69"/>
    </row>
    <row r="91" spans="1:23">
      <c r="A91" s="103" t="s">
        <v>218</v>
      </c>
      <c r="B91" s="103" t="s">
        <v>221</v>
      </c>
      <c r="C91" s="103" t="s">
        <v>1243</v>
      </c>
      <c r="D91" s="103" t="s">
        <v>1474</v>
      </c>
      <c r="E91" s="103" t="s">
        <v>2272</v>
      </c>
      <c r="F91" s="103" t="s">
        <v>2273</v>
      </c>
      <c r="G91" s="103" t="s">
        <v>2363</v>
      </c>
      <c r="I91" s="103" t="s">
        <v>2275</v>
      </c>
      <c r="J91" s="103" t="s">
        <v>2409</v>
      </c>
      <c r="M91" s="103">
        <v>0.94610000000000005</v>
      </c>
      <c r="O91" s="103" t="s">
        <v>487</v>
      </c>
      <c r="P91" s="103">
        <v>25</v>
      </c>
      <c r="Q91" s="2">
        <v>22</v>
      </c>
      <c r="R91" s="226" t="s">
        <v>2277</v>
      </c>
      <c r="U91" s="69"/>
      <c r="V91" s="69"/>
      <c r="W91" s="69"/>
    </row>
    <row r="92" spans="1:23">
      <c r="A92" s="103" t="s">
        <v>218</v>
      </c>
      <c r="B92" s="103" t="s">
        <v>1121</v>
      </c>
      <c r="C92" s="103" t="s">
        <v>1243</v>
      </c>
      <c r="D92" s="103" t="s">
        <v>1474</v>
      </c>
      <c r="E92" s="103" t="s">
        <v>2272</v>
      </c>
      <c r="F92" s="103" t="s">
        <v>2273</v>
      </c>
      <c r="G92" s="103" t="s">
        <v>2274</v>
      </c>
      <c r="I92" s="103" t="s">
        <v>2275</v>
      </c>
      <c r="J92" s="103" t="s">
        <v>2410</v>
      </c>
      <c r="M92" s="103">
        <v>0.95850000000000002</v>
      </c>
      <c r="O92" s="103" t="s">
        <v>487</v>
      </c>
      <c r="P92" s="103">
        <v>20</v>
      </c>
      <c r="Q92" s="2">
        <v>14</v>
      </c>
      <c r="R92" s="226" t="s">
        <v>2277</v>
      </c>
      <c r="U92" s="69"/>
      <c r="V92" s="69"/>
      <c r="W92" s="69"/>
    </row>
    <row r="93" spans="1:23">
      <c r="A93" s="103" t="s">
        <v>218</v>
      </c>
      <c r="B93" s="103" t="s">
        <v>1121</v>
      </c>
      <c r="C93" s="103" t="s">
        <v>1243</v>
      </c>
      <c r="D93" s="103" t="s">
        <v>1474</v>
      </c>
      <c r="E93" s="103" t="s">
        <v>2272</v>
      </c>
      <c r="F93" s="103" t="s">
        <v>2273</v>
      </c>
      <c r="G93" s="103" t="s">
        <v>2278</v>
      </c>
      <c r="I93" s="103" t="s">
        <v>2275</v>
      </c>
      <c r="J93" s="103" t="s">
        <v>2411</v>
      </c>
      <c r="M93" s="103">
        <v>0.91500000000000004</v>
      </c>
      <c r="O93" s="103" t="s">
        <v>487</v>
      </c>
      <c r="P93" s="103">
        <v>30</v>
      </c>
      <c r="Q93" s="2">
        <v>20</v>
      </c>
      <c r="R93" s="226" t="s">
        <v>2277</v>
      </c>
      <c r="U93" s="69"/>
      <c r="V93" s="69"/>
      <c r="W93" s="69"/>
    </row>
    <row r="94" spans="1:23">
      <c r="A94" s="103" t="s">
        <v>218</v>
      </c>
      <c r="B94" s="103" t="s">
        <v>1121</v>
      </c>
      <c r="C94" s="103" t="s">
        <v>1243</v>
      </c>
      <c r="D94" s="103" t="s">
        <v>1474</v>
      </c>
      <c r="E94" s="103" t="s">
        <v>2272</v>
      </c>
      <c r="F94" s="103" t="s">
        <v>2273</v>
      </c>
      <c r="G94" s="103" t="s">
        <v>2280</v>
      </c>
      <c r="I94" s="103" t="s">
        <v>2275</v>
      </c>
      <c r="J94" s="103" t="s">
        <v>2412</v>
      </c>
      <c r="M94" s="103">
        <v>0.94430000000000003</v>
      </c>
      <c r="O94" s="103" t="s">
        <v>487</v>
      </c>
      <c r="P94" s="103">
        <v>24</v>
      </c>
      <c r="Q94" s="2">
        <v>14</v>
      </c>
      <c r="R94" s="226" t="s">
        <v>2277</v>
      </c>
      <c r="U94" s="69"/>
      <c r="V94" s="69"/>
      <c r="W94" s="69"/>
    </row>
    <row r="95" spans="1:23">
      <c r="A95" s="103" t="s">
        <v>218</v>
      </c>
      <c r="B95" s="103" t="s">
        <v>1121</v>
      </c>
      <c r="C95" s="103" t="s">
        <v>1243</v>
      </c>
      <c r="D95" s="103" t="s">
        <v>1474</v>
      </c>
      <c r="E95" s="103" t="s">
        <v>2272</v>
      </c>
      <c r="F95" s="103" t="s">
        <v>2273</v>
      </c>
      <c r="G95" s="103" t="s">
        <v>2282</v>
      </c>
      <c r="I95" s="103" t="s">
        <v>2275</v>
      </c>
      <c r="J95" s="103" t="s">
        <v>2413</v>
      </c>
      <c r="M95" s="103">
        <v>0.88649999999999995</v>
      </c>
      <c r="O95" s="103" t="s">
        <v>487</v>
      </c>
      <c r="P95" s="103">
        <v>36</v>
      </c>
      <c r="Q95" s="2">
        <v>22</v>
      </c>
      <c r="R95" s="226" t="s">
        <v>2277</v>
      </c>
      <c r="U95" s="69"/>
      <c r="V95" s="69"/>
      <c r="W95" s="69"/>
    </row>
    <row r="96" spans="1:23">
      <c r="A96" s="103" t="s">
        <v>218</v>
      </c>
      <c r="B96" s="103" t="s">
        <v>1121</v>
      </c>
      <c r="C96" s="103" t="s">
        <v>1243</v>
      </c>
      <c r="D96" s="103" t="s">
        <v>1474</v>
      </c>
      <c r="E96" s="103" t="s">
        <v>2272</v>
      </c>
      <c r="F96" s="103" t="s">
        <v>2273</v>
      </c>
      <c r="G96" s="103" t="s">
        <v>2284</v>
      </c>
      <c r="I96" s="103" t="s">
        <v>2275</v>
      </c>
      <c r="J96" s="103" t="s">
        <v>2414</v>
      </c>
      <c r="M96" s="103">
        <v>0.93979999999999997</v>
      </c>
      <c r="O96" s="103" t="s">
        <v>487</v>
      </c>
      <c r="P96" s="103">
        <v>25</v>
      </c>
      <c r="Q96" s="2">
        <v>16</v>
      </c>
      <c r="R96" s="226" t="s">
        <v>2277</v>
      </c>
      <c r="U96" s="69"/>
      <c r="V96" s="69"/>
      <c r="W96" s="69"/>
    </row>
    <row r="97" spans="1:23">
      <c r="A97" s="103" t="s">
        <v>218</v>
      </c>
      <c r="B97" s="103" t="s">
        <v>1121</v>
      </c>
      <c r="C97" s="103" t="s">
        <v>1243</v>
      </c>
      <c r="D97" s="103" t="s">
        <v>1474</v>
      </c>
      <c r="E97" s="103" t="s">
        <v>2272</v>
      </c>
      <c r="F97" s="103" t="s">
        <v>2273</v>
      </c>
      <c r="G97" s="103" t="s">
        <v>2286</v>
      </c>
      <c r="I97" s="103" t="s">
        <v>2275</v>
      </c>
      <c r="J97" s="103" t="s">
        <v>2415</v>
      </c>
      <c r="M97" s="103">
        <v>0.92700000000000005</v>
      </c>
      <c r="O97" s="103" t="s">
        <v>487</v>
      </c>
      <c r="P97" s="103">
        <v>28</v>
      </c>
      <c r="Q97" s="2">
        <v>17</v>
      </c>
      <c r="R97" s="226" t="s">
        <v>2277</v>
      </c>
      <c r="U97" s="69"/>
      <c r="V97" s="69"/>
      <c r="W97" s="69"/>
    </row>
    <row r="98" spans="1:23">
      <c r="A98" s="103" t="s">
        <v>218</v>
      </c>
      <c r="B98" s="103" t="s">
        <v>1121</v>
      </c>
      <c r="C98" s="103" t="s">
        <v>1243</v>
      </c>
      <c r="D98" s="103" t="s">
        <v>1474</v>
      </c>
      <c r="E98" s="103" t="s">
        <v>2272</v>
      </c>
      <c r="F98" s="103" t="s">
        <v>2273</v>
      </c>
      <c r="G98" s="103" t="s">
        <v>2288</v>
      </c>
      <c r="I98" s="103" t="s">
        <v>2275</v>
      </c>
      <c r="J98" s="103" t="s">
        <v>2416</v>
      </c>
      <c r="M98" s="103">
        <v>0.90290000000000004</v>
      </c>
      <c r="O98" s="103" t="s">
        <v>487</v>
      </c>
      <c r="P98" s="103">
        <v>33</v>
      </c>
      <c r="Q98" s="2">
        <v>21</v>
      </c>
      <c r="R98" s="226" t="s">
        <v>2277</v>
      </c>
      <c r="U98" s="69"/>
      <c r="V98" s="69"/>
      <c r="W98" s="69"/>
    </row>
    <row r="99" spans="1:23">
      <c r="A99" s="103" t="s">
        <v>218</v>
      </c>
      <c r="B99" s="103" t="s">
        <v>1121</v>
      </c>
      <c r="C99" s="103" t="s">
        <v>1243</v>
      </c>
      <c r="D99" s="103" t="s">
        <v>1474</v>
      </c>
      <c r="E99" s="103" t="s">
        <v>2272</v>
      </c>
      <c r="F99" s="103" t="s">
        <v>2273</v>
      </c>
      <c r="G99" s="103" t="s">
        <v>2290</v>
      </c>
      <c r="I99" s="103" t="s">
        <v>2275</v>
      </c>
      <c r="J99" s="103" t="s">
        <v>2417</v>
      </c>
      <c r="M99" s="103">
        <v>0.95240000000000002</v>
      </c>
      <c r="O99" s="103" t="s">
        <v>487</v>
      </c>
      <c r="P99" s="103">
        <v>22</v>
      </c>
      <c r="Q99" s="2">
        <v>17</v>
      </c>
      <c r="R99" s="226" t="s">
        <v>2277</v>
      </c>
      <c r="U99" s="69"/>
      <c r="V99" s="69"/>
      <c r="W99" s="69"/>
    </row>
    <row r="100" spans="1:23">
      <c r="A100" s="103" t="s">
        <v>218</v>
      </c>
      <c r="B100" s="103" t="s">
        <v>1121</v>
      </c>
      <c r="C100" s="103" t="s">
        <v>1243</v>
      </c>
      <c r="D100" s="103" t="s">
        <v>1474</v>
      </c>
      <c r="E100" s="103" t="s">
        <v>2272</v>
      </c>
      <c r="F100" s="103" t="s">
        <v>2273</v>
      </c>
      <c r="G100" s="103" t="s">
        <v>2292</v>
      </c>
      <c r="I100" s="103" t="s">
        <v>2275</v>
      </c>
      <c r="J100" s="103" t="s">
        <v>2418</v>
      </c>
      <c r="M100" s="103">
        <v>0.94579999999999997</v>
      </c>
      <c r="O100" s="103" t="s">
        <v>487</v>
      </c>
      <c r="P100" s="103">
        <v>23</v>
      </c>
      <c r="Q100" s="2">
        <v>18</v>
      </c>
      <c r="R100" s="226" t="s">
        <v>2277</v>
      </c>
      <c r="U100" s="69"/>
      <c r="V100" s="69"/>
      <c r="W100" s="69"/>
    </row>
    <row r="101" spans="1:23">
      <c r="A101" s="103" t="s">
        <v>218</v>
      </c>
      <c r="B101" s="103" t="s">
        <v>1121</v>
      </c>
      <c r="C101" s="103" t="s">
        <v>1243</v>
      </c>
      <c r="D101" s="103" t="s">
        <v>1474</v>
      </c>
      <c r="E101" s="103" t="s">
        <v>2272</v>
      </c>
      <c r="F101" s="103" t="s">
        <v>2273</v>
      </c>
      <c r="G101" s="103" t="s">
        <v>2294</v>
      </c>
      <c r="I101" s="103" t="s">
        <v>2275</v>
      </c>
      <c r="J101" s="103" t="s">
        <v>2419</v>
      </c>
      <c r="M101" s="103">
        <v>0.91379999999999995</v>
      </c>
      <c r="O101" s="103" t="s">
        <v>487</v>
      </c>
      <c r="P101" s="103">
        <v>30</v>
      </c>
      <c r="Q101" s="2">
        <v>21</v>
      </c>
      <c r="R101" s="226" t="s">
        <v>2277</v>
      </c>
      <c r="U101" s="69"/>
      <c r="V101" s="69"/>
      <c r="W101" s="69"/>
    </row>
    <row r="102" spans="1:23">
      <c r="A102" s="103" t="s">
        <v>218</v>
      </c>
      <c r="B102" s="103" t="s">
        <v>1121</v>
      </c>
      <c r="C102" s="103" t="s">
        <v>1243</v>
      </c>
      <c r="D102" s="103" t="s">
        <v>1474</v>
      </c>
      <c r="E102" s="103" t="s">
        <v>2272</v>
      </c>
      <c r="F102" s="103" t="s">
        <v>2273</v>
      </c>
      <c r="G102" s="103" t="s">
        <v>2296</v>
      </c>
      <c r="I102" s="103" t="s">
        <v>2275</v>
      </c>
      <c r="J102" s="103" t="s">
        <v>2420</v>
      </c>
      <c r="M102" s="103">
        <v>0.87409999999999999</v>
      </c>
      <c r="O102" s="103" t="s">
        <v>487</v>
      </c>
      <c r="P102" s="103">
        <v>38</v>
      </c>
      <c r="Q102" s="2">
        <v>27</v>
      </c>
      <c r="R102" s="226" t="s">
        <v>2277</v>
      </c>
      <c r="U102" s="69"/>
      <c r="V102" s="69"/>
      <c r="W102" s="69"/>
    </row>
    <row r="103" spans="1:23">
      <c r="A103" s="103" t="s">
        <v>218</v>
      </c>
      <c r="B103" s="103" t="s">
        <v>1121</v>
      </c>
      <c r="C103" s="103" t="s">
        <v>1243</v>
      </c>
      <c r="D103" s="103" t="s">
        <v>1474</v>
      </c>
      <c r="E103" s="103" t="s">
        <v>2272</v>
      </c>
      <c r="F103" s="103" t="s">
        <v>2273</v>
      </c>
      <c r="G103" s="103" t="s">
        <v>2298</v>
      </c>
      <c r="I103" s="103" t="s">
        <v>2275</v>
      </c>
      <c r="J103" s="103" t="s">
        <v>2421</v>
      </c>
      <c r="M103" s="103">
        <v>0.91500000000000004</v>
      </c>
      <c r="O103" s="103" t="s">
        <v>487</v>
      </c>
      <c r="P103" s="103">
        <v>30</v>
      </c>
      <c r="Q103" s="2">
        <v>21</v>
      </c>
      <c r="R103" s="226" t="s">
        <v>2277</v>
      </c>
      <c r="U103" s="69"/>
      <c r="V103" s="69"/>
      <c r="W103" s="69"/>
    </row>
    <row r="104" spans="1:23">
      <c r="A104" s="103" t="s">
        <v>218</v>
      </c>
      <c r="B104" s="103" t="s">
        <v>1121</v>
      </c>
      <c r="C104" s="103" t="s">
        <v>1243</v>
      </c>
      <c r="D104" s="103" t="s">
        <v>1474</v>
      </c>
      <c r="E104" s="103" t="s">
        <v>2272</v>
      </c>
      <c r="F104" s="103" t="s">
        <v>2273</v>
      </c>
      <c r="G104" s="103" t="s">
        <v>2300</v>
      </c>
      <c r="I104" s="103" t="s">
        <v>2275</v>
      </c>
      <c r="J104" s="103" t="s">
        <v>2422</v>
      </c>
      <c r="M104" s="103">
        <v>0.77659999999999996</v>
      </c>
      <c r="O104" s="103" t="s">
        <v>487</v>
      </c>
      <c r="P104" s="103">
        <v>53</v>
      </c>
      <c r="Q104" s="2">
        <v>33</v>
      </c>
      <c r="R104" s="226" t="s">
        <v>2277</v>
      </c>
      <c r="U104" s="69"/>
      <c r="V104" s="69"/>
      <c r="W104" s="69"/>
    </row>
    <row r="105" spans="1:23">
      <c r="A105" s="103" t="s">
        <v>218</v>
      </c>
      <c r="B105" s="103" t="s">
        <v>1121</v>
      </c>
      <c r="C105" s="103" t="s">
        <v>1243</v>
      </c>
      <c r="D105" s="103" t="s">
        <v>1474</v>
      </c>
      <c r="E105" s="103" t="s">
        <v>2272</v>
      </c>
      <c r="F105" s="103" t="s">
        <v>2273</v>
      </c>
      <c r="G105" s="103" t="s">
        <v>2302</v>
      </c>
      <c r="I105" s="103" t="s">
        <v>2275</v>
      </c>
      <c r="J105" s="103" t="s">
        <v>2423</v>
      </c>
      <c r="M105" s="103">
        <v>0.91139999999999999</v>
      </c>
      <c r="O105" s="103" t="s">
        <v>487</v>
      </c>
      <c r="P105" s="103">
        <v>31</v>
      </c>
      <c r="Q105" s="2">
        <v>20</v>
      </c>
      <c r="R105" s="226" t="s">
        <v>2277</v>
      </c>
      <c r="U105" s="69"/>
      <c r="V105" s="69"/>
      <c r="W105" s="69"/>
    </row>
    <row r="106" spans="1:23">
      <c r="A106" s="103" t="s">
        <v>218</v>
      </c>
      <c r="B106" s="103" t="s">
        <v>1121</v>
      </c>
      <c r="C106" s="103" t="s">
        <v>1243</v>
      </c>
      <c r="D106" s="103" t="s">
        <v>1474</v>
      </c>
      <c r="E106" s="103" t="s">
        <v>2272</v>
      </c>
      <c r="F106" s="103" t="s">
        <v>2273</v>
      </c>
      <c r="G106" s="103" t="s">
        <v>2304</v>
      </c>
      <c r="I106" s="103" t="s">
        <v>2275</v>
      </c>
      <c r="J106" s="103" t="s">
        <v>2424</v>
      </c>
      <c r="M106" s="103">
        <v>0.93530000000000002</v>
      </c>
      <c r="O106" s="103" t="s">
        <v>487</v>
      </c>
      <c r="P106" s="103">
        <v>26</v>
      </c>
      <c r="Q106" s="2">
        <v>16</v>
      </c>
      <c r="R106" s="226" t="s">
        <v>2277</v>
      </c>
      <c r="U106" s="69"/>
      <c r="V106" s="69"/>
      <c r="W106" s="69"/>
    </row>
    <row r="107" spans="1:23">
      <c r="A107" s="103" t="s">
        <v>218</v>
      </c>
      <c r="B107" s="103" t="s">
        <v>1121</v>
      </c>
      <c r="C107" s="103" t="s">
        <v>1243</v>
      </c>
      <c r="D107" s="103" t="s">
        <v>1474</v>
      </c>
      <c r="E107" s="103" t="s">
        <v>2272</v>
      </c>
      <c r="F107" s="103" t="s">
        <v>2273</v>
      </c>
      <c r="G107" s="103" t="s">
        <v>2306</v>
      </c>
      <c r="I107" s="103" t="s">
        <v>2275</v>
      </c>
      <c r="J107" s="103" t="s">
        <v>2425</v>
      </c>
      <c r="M107" s="103">
        <v>0.8236</v>
      </c>
      <c r="O107" s="103" t="s">
        <v>487</v>
      </c>
      <c r="P107" s="103">
        <v>46</v>
      </c>
      <c r="Q107" s="2">
        <v>30</v>
      </c>
      <c r="R107" s="226" t="s">
        <v>2277</v>
      </c>
      <c r="U107" s="69"/>
      <c r="V107" s="69"/>
      <c r="W107" s="69"/>
    </row>
    <row r="108" spans="1:23">
      <c r="A108" s="103" t="s">
        <v>218</v>
      </c>
      <c r="B108" s="103" t="s">
        <v>1121</v>
      </c>
      <c r="C108" s="103" t="s">
        <v>1243</v>
      </c>
      <c r="D108" s="103" t="s">
        <v>1474</v>
      </c>
      <c r="E108" s="103" t="s">
        <v>2272</v>
      </c>
      <c r="F108" s="103" t="s">
        <v>2273</v>
      </c>
      <c r="G108" s="103" t="s">
        <v>2308</v>
      </c>
      <c r="I108" s="103" t="s">
        <v>2275</v>
      </c>
      <c r="J108" s="103" t="s">
        <v>2426</v>
      </c>
      <c r="M108" s="103">
        <v>0.9577</v>
      </c>
      <c r="O108" s="103" t="s">
        <v>487</v>
      </c>
      <c r="P108" s="103">
        <v>20</v>
      </c>
      <c r="Q108" s="2">
        <v>16</v>
      </c>
      <c r="R108" s="226" t="s">
        <v>2277</v>
      </c>
      <c r="U108" s="69"/>
      <c r="V108" s="69"/>
      <c r="W108" s="69"/>
    </row>
    <row r="109" spans="1:23">
      <c r="A109" s="103" t="s">
        <v>218</v>
      </c>
      <c r="B109" s="103" t="s">
        <v>1121</v>
      </c>
      <c r="C109" s="103" t="s">
        <v>1243</v>
      </c>
      <c r="D109" s="103" t="s">
        <v>1474</v>
      </c>
      <c r="E109" s="103" t="s">
        <v>2272</v>
      </c>
      <c r="F109" s="103" t="s">
        <v>2273</v>
      </c>
      <c r="G109" s="103" t="s">
        <v>2310</v>
      </c>
      <c r="I109" s="103" t="s">
        <v>2275</v>
      </c>
      <c r="J109" s="103" t="s">
        <v>2427</v>
      </c>
      <c r="M109" s="103">
        <v>0.94630000000000003</v>
      </c>
      <c r="O109" s="103" t="s">
        <v>487</v>
      </c>
      <c r="P109" s="103">
        <v>23</v>
      </c>
      <c r="Q109" s="2">
        <v>16</v>
      </c>
      <c r="R109" s="226" t="s">
        <v>2277</v>
      </c>
      <c r="U109" s="69"/>
      <c r="V109" s="69"/>
      <c r="W109" s="69"/>
    </row>
    <row r="110" spans="1:23">
      <c r="A110" s="103" t="s">
        <v>218</v>
      </c>
      <c r="B110" s="103" t="s">
        <v>1121</v>
      </c>
      <c r="C110" s="103" t="s">
        <v>1243</v>
      </c>
      <c r="D110" s="103" t="s">
        <v>1474</v>
      </c>
      <c r="E110" s="103" t="s">
        <v>2272</v>
      </c>
      <c r="F110" s="103" t="s">
        <v>2273</v>
      </c>
      <c r="G110" s="103" t="s">
        <v>2312</v>
      </c>
      <c r="I110" s="103" t="s">
        <v>2275</v>
      </c>
      <c r="J110" s="103" t="s">
        <v>2428</v>
      </c>
      <c r="M110" s="103">
        <v>0.91600000000000004</v>
      </c>
      <c r="O110" s="103" t="s">
        <v>487</v>
      </c>
      <c r="P110" s="103">
        <v>31</v>
      </c>
      <c r="Q110" s="2">
        <v>21</v>
      </c>
      <c r="R110" s="226" t="s">
        <v>2277</v>
      </c>
      <c r="U110" s="69"/>
      <c r="V110" s="69"/>
      <c r="W110" s="69"/>
    </row>
    <row r="111" spans="1:23">
      <c r="A111" s="103" t="s">
        <v>218</v>
      </c>
      <c r="B111" s="103" t="s">
        <v>1121</v>
      </c>
      <c r="C111" s="103" t="s">
        <v>1243</v>
      </c>
      <c r="D111" s="103" t="s">
        <v>1474</v>
      </c>
      <c r="E111" s="103" t="s">
        <v>2272</v>
      </c>
      <c r="F111" s="103" t="s">
        <v>2273</v>
      </c>
      <c r="G111" s="103" t="s">
        <v>2314</v>
      </c>
      <c r="I111" s="103" t="s">
        <v>2275</v>
      </c>
      <c r="J111" s="103" t="s">
        <v>2429</v>
      </c>
      <c r="M111" s="103">
        <v>0.85250000000000004</v>
      </c>
      <c r="O111" s="103" t="s">
        <v>487</v>
      </c>
      <c r="P111" s="103">
        <v>42</v>
      </c>
      <c r="Q111" s="2">
        <v>22</v>
      </c>
      <c r="R111" s="226" t="s">
        <v>2277</v>
      </c>
      <c r="U111" s="69"/>
      <c r="V111" s="69"/>
      <c r="W111" s="69"/>
    </row>
    <row r="112" spans="1:23">
      <c r="A112" s="103" t="s">
        <v>218</v>
      </c>
      <c r="B112" s="103" t="s">
        <v>1121</v>
      </c>
      <c r="C112" s="103" t="s">
        <v>1243</v>
      </c>
      <c r="D112" s="103" t="s">
        <v>1474</v>
      </c>
      <c r="E112" s="103" t="s">
        <v>2272</v>
      </c>
      <c r="F112" s="103" t="s">
        <v>2273</v>
      </c>
      <c r="G112" s="103" t="s">
        <v>2316</v>
      </c>
      <c r="I112" s="103" t="s">
        <v>2275</v>
      </c>
      <c r="J112" s="103" t="s">
        <v>2430</v>
      </c>
      <c r="M112" s="103">
        <v>0.91890000000000005</v>
      </c>
      <c r="O112" s="103" t="s">
        <v>487</v>
      </c>
      <c r="P112" s="103">
        <v>31</v>
      </c>
      <c r="Q112" s="2">
        <v>21</v>
      </c>
      <c r="R112" s="226" t="s">
        <v>2277</v>
      </c>
      <c r="U112" s="69"/>
      <c r="V112" s="69"/>
      <c r="W112" s="69"/>
    </row>
    <row r="113" spans="1:23">
      <c r="A113" s="103" t="s">
        <v>218</v>
      </c>
      <c r="B113" s="103" t="s">
        <v>1121</v>
      </c>
      <c r="C113" s="103" t="s">
        <v>1243</v>
      </c>
      <c r="D113" s="103" t="s">
        <v>1474</v>
      </c>
      <c r="E113" s="103" t="s">
        <v>2272</v>
      </c>
      <c r="F113" s="103" t="s">
        <v>2273</v>
      </c>
      <c r="G113" s="103" t="s">
        <v>2318</v>
      </c>
      <c r="I113" s="103" t="s">
        <v>2275</v>
      </c>
      <c r="J113" s="103" t="s">
        <v>2431</v>
      </c>
      <c r="M113" s="103">
        <v>0.83120000000000005</v>
      </c>
      <c r="O113" s="103" t="s">
        <v>487</v>
      </c>
      <c r="P113" s="103">
        <v>47</v>
      </c>
      <c r="Q113" s="2">
        <v>29</v>
      </c>
      <c r="R113" s="226" t="s">
        <v>2277</v>
      </c>
      <c r="U113" s="69"/>
      <c r="V113" s="69"/>
      <c r="W113" s="69"/>
    </row>
    <row r="114" spans="1:23">
      <c r="A114" s="103" t="s">
        <v>218</v>
      </c>
      <c r="B114" s="103" t="s">
        <v>1121</v>
      </c>
      <c r="C114" s="103" t="s">
        <v>1243</v>
      </c>
      <c r="D114" s="103" t="s">
        <v>1474</v>
      </c>
      <c r="E114" s="103" t="s">
        <v>2272</v>
      </c>
      <c r="F114" s="103" t="s">
        <v>2273</v>
      </c>
      <c r="G114" s="103" t="s">
        <v>2320</v>
      </c>
      <c r="I114" s="103" t="s">
        <v>2275</v>
      </c>
      <c r="J114" s="103" t="s">
        <v>2432</v>
      </c>
      <c r="M114" s="103">
        <v>0.79759999999999998</v>
      </c>
      <c r="O114" s="103" t="s">
        <v>487</v>
      </c>
      <c r="P114" s="103">
        <v>53</v>
      </c>
      <c r="Q114" s="2">
        <v>34</v>
      </c>
      <c r="R114" s="226" t="s">
        <v>2277</v>
      </c>
      <c r="U114" s="69"/>
      <c r="V114" s="69"/>
      <c r="W114" s="69"/>
    </row>
    <row r="115" spans="1:23">
      <c r="A115" s="103" t="s">
        <v>218</v>
      </c>
      <c r="B115" s="103" t="s">
        <v>1121</v>
      </c>
      <c r="C115" s="103" t="s">
        <v>1243</v>
      </c>
      <c r="D115" s="103" t="s">
        <v>1474</v>
      </c>
      <c r="E115" s="103" t="s">
        <v>2272</v>
      </c>
      <c r="F115" s="103" t="s">
        <v>2273</v>
      </c>
      <c r="G115" s="103" t="s">
        <v>2322</v>
      </c>
      <c r="I115" s="103" t="s">
        <v>2275</v>
      </c>
      <c r="J115" s="103" t="s">
        <v>2433</v>
      </c>
      <c r="M115" s="103">
        <v>0.9173</v>
      </c>
      <c r="O115" s="103" t="s">
        <v>487</v>
      </c>
      <c r="P115" s="103">
        <v>31</v>
      </c>
      <c r="Q115" s="2">
        <v>19</v>
      </c>
      <c r="R115" s="226" t="s">
        <v>2277</v>
      </c>
      <c r="U115" s="69"/>
      <c r="V115" s="69"/>
      <c r="W115" s="69"/>
    </row>
    <row r="116" spans="1:23">
      <c r="A116" s="103" t="s">
        <v>218</v>
      </c>
      <c r="B116" s="103" t="s">
        <v>1121</v>
      </c>
      <c r="C116" s="103" t="s">
        <v>1243</v>
      </c>
      <c r="D116" s="103" t="s">
        <v>1474</v>
      </c>
      <c r="E116" s="103" t="s">
        <v>2272</v>
      </c>
      <c r="F116" s="103" t="s">
        <v>2273</v>
      </c>
      <c r="G116" s="103" t="s">
        <v>2324</v>
      </c>
      <c r="I116" s="103" t="s">
        <v>2275</v>
      </c>
      <c r="J116" s="103" t="s">
        <v>2434</v>
      </c>
      <c r="M116" s="103">
        <v>0.73350000000000004</v>
      </c>
      <c r="O116" s="103" t="s">
        <v>487</v>
      </c>
      <c r="P116" s="103">
        <v>63</v>
      </c>
      <c r="Q116" s="2">
        <v>36</v>
      </c>
      <c r="R116" s="226" t="s">
        <v>2277</v>
      </c>
      <c r="U116" s="69"/>
      <c r="V116" s="69"/>
      <c r="W116" s="69"/>
    </row>
    <row r="117" spans="1:23">
      <c r="A117" s="103" t="s">
        <v>218</v>
      </c>
      <c r="B117" s="103" t="s">
        <v>1121</v>
      </c>
      <c r="C117" s="103" t="s">
        <v>1243</v>
      </c>
      <c r="D117" s="103" t="s">
        <v>1474</v>
      </c>
      <c r="E117" s="103" t="s">
        <v>2272</v>
      </c>
      <c r="F117" s="103" t="s">
        <v>2273</v>
      </c>
      <c r="G117" s="103" t="s">
        <v>2326</v>
      </c>
      <c r="I117" s="103" t="s">
        <v>2275</v>
      </c>
      <c r="J117" s="103" t="s">
        <v>2435</v>
      </c>
      <c r="M117" s="103">
        <v>0.95420000000000005</v>
      </c>
      <c r="O117" s="103" t="s">
        <v>487</v>
      </c>
      <c r="P117" s="103">
        <v>25</v>
      </c>
      <c r="Q117" s="2">
        <v>18</v>
      </c>
      <c r="R117" s="226" t="s">
        <v>2277</v>
      </c>
      <c r="U117" s="69"/>
      <c r="V117" s="69"/>
      <c r="W117" s="69"/>
    </row>
    <row r="118" spans="1:23">
      <c r="A118" s="103" t="s">
        <v>218</v>
      </c>
      <c r="B118" s="103" t="s">
        <v>1121</v>
      </c>
      <c r="C118" s="103" t="s">
        <v>1243</v>
      </c>
      <c r="D118" s="103" t="s">
        <v>1474</v>
      </c>
      <c r="E118" s="103" t="s">
        <v>2272</v>
      </c>
      <c r="F118" s="103" t="s">
        <v>2273</v>
      </c>
      <c r="G118" s="103" t="s">
        <v>2328</v>
      </c>
      <c r="I118" s="103" t="s">
        <v>2275</v>
      </c>
      <c r="J118" s="103" t="s">
        <v>2436</v>
      </c>
      <c r="M118" s="103">
        <v>0.92020000000000002</v>
      </c>
      <c r="O118" s="103" t="s">
        <v>487</v>
      </c>
      <c r="P118" s="103">
        <v>31</v>
      </c>
      <c r="Q118" s="2">
        <v>20</v>
      </c>
      <c r="R118" s="226" t="s">
        <v>2277</v>
      </c>
      <c r="U118" s="69"/>
      <c r="V118" s="69"/>
      <c r="W118" s="69"/>
    </row>
    <row r="119" spans="1:23">
      <c r="A119" s="103" t="s">
        <v>218</v>
      </c>
      <c r="B119" s="103" t="s">
        <v>1121</v>
      </c>
      <c r="C119" s="103" t="s">
        <v>1243</v>
      </c>
      <c r="D119" s="103" t="s">
        <v>1474</v>
      </c>
      <c r="E119" s="103" t="s">
        <v>2272</v>
      </c>
      <c r="F119" s="103" t="s">
        <v>2273</v>
      </c>
      <c r="G119" s="103" t="s">
        <v>2330</v>
      </c>
      <c r="I119" s="103" t="s">
        <v>2275</v>
      </c>
      <c r="J119" s="103" t="s">
        <v>2437</v>
      </c>
      <c r="M119" s="103">
        <v>0.91920000000000002</v>
      </c>
      <c r="O119" s="103" t="s">
        <v>487</v>
      </c>
      <c r="P119" s="103">
        <v>34</v>
      </c>
      <c r="Q119" s="2">
        <v>24</v>
      </c>
      <c r="R119" s="226" t="s">
        <v>2277</v>
      </c>
      <c r="U119" s="69"/>
      <c r="V119" s="69"/>
      <c r="W119" s="69"/>
    </row>
    <row r="120" spans="1:23">
      <c r="A120" s="103" t="s">
        <v>218</v>
      </c>
      <c r="B120" s="103" t="s">
        <v>1121</v>
      </c>
      <c r="C120" s="103" t="s">
        <v>1243</v>
      </c>
      <c r="D120" s="103" t="s">
        <v>1474</v>
      </c>
      <c r="E120" s="103" t="s">
        <v>2272</v>
      </c>
      <c r="F120" s="103" t="s">
        <v>2273</v>
      </c>
      <c r="G120" s="103" t="s">
        <v>2332</v>
      </c>
      <c r="I120" s="103" t="s">
        <v>2275</v>
      </c>
      <c r="J120" s="103" t="s">
        <v>2438</v>
      </c>
      <c r="M120" s="103">
        <v>0.87150000000000005</v>
      </c>
      <c r="O120" s="103" t="s">
        <v>487</v>
      </c>
      <c r="P120" s="103">
        <v>42</v>
      </c>
      <c r="Q120" s="2">
        <v>29</v>
      </c>
      <c r="R120" s="226" t="s">
        <v>2277</v>
      </c>
      <c r="U120" s="69"/>
      <c r="V120" s="69"/>
      <c r="W120" s="69"/>
    </row>
    <row r="121" spans="1:23">
      <c r="A121" s="103" t="s">
        <v>218</v>
      </c>
      <c r="B121" s="103" t="s">
        <v>1121</v>
      </c>
      <c r="C121" s="103" t="s">
        <v>1243</v>
      </c>
      <c r="D121" s="103" t="s">
        <v>1474</v>
      </c>
      <c r="E121" s="103" t="s">
        <v>2272</v>
      </c>
      <c r="F121" s="103" t="s">
        <v>2273</v>
      </c>
      <c r="G121" s="103" t="s">
        <v>2334</v>
      </c>
      <c r="I121" s="103" t="s">
        <v>2275</v>
      </c>
      <c r="J121" s="103" t="s">
        <v>2439</v>
      </c>
      <c r="M121" s="103">
        <v>0.88829999999999998</v>
      </c>
      <c r="O121" s="103" t="s">
        <v>487</v>
      </c>
      <c r="P121" s="103">
        <v>35</v>
      </c>
      <c r="Q121" s="2">
        <v>22</v>
      </c>
      <c r="R121" s="226" t="s">
        <v>2277</v>
      </c>
      <c r="U121" s="69"/>
      <c r="V121" s="69"/>
      <c r="W121" s="69"/>
    </row>
    <row r="122" spans="1:23">
      <c r="A122" s="103" t="s">
        <v>218</v>
      </c>
      <c r="B122" s="103" t="s">
        <v>1121</v>
      </c>
      <c r="C122" s="103" t="s">
        <v>1243</v>
      </c>
      <c r="D122" s="103" t="s">
        <v>1474</v>
      </c>
      <c r="E122" s="103" t="s">
        <v>2272</v>
      </c>
      <c r="F122" s="103" t="s">
        <v>2273</v>
      </c>
      <c r="G122" s="103" t="s">
        <v>634</v>
      </c>
      <c r="I122" s="103" t="s">
        <v>2275</v>
      </c>
      <c r="J122" s="103" t="s">
        <v>2440</v>
      </c>
      <c r="M122" s="103">
        <v>0.92430000000000001</v>
      </c>
      <c r="O122" s="103" t="s">
        <v>487</v>
      </c>
      <c r="P122" s="103">
        <v>28</v>
      </c>
      <c r="Q122" s="2">
        <v>20</v>
      </c>
      <c r="R122" s="226" t="s">
        <v>2277</v>
      </c>
      <c r="U122" s="69"/>
      <c r="V122" s="69"/>
      <c r="W122" s="69"/>
    </row>
    <row r="123" spans="1:23">
      <c r="A123" s="103" t="s">
        <v>218</v>
      </c>
      <c r="B123" s="103" t="s">
        <v>1121</v>
      </c>
      <c r="C123" s="103" t="s">
        <v>1243</v>
      </c>
      <c r="D123" s="103" t="s">
        <v>1474</v>
      </c>
      <c r="E123" s="103" t="s">
        <v>2272</v>
      </c>
      <c r="F123" s="103" t="s">
        <v>2273</v>
      </c>
      <c r="G123" s="103" t="s">
        <v>2337</v>
      </c>
      <c r="I123" s="103" t="s">
        <v>2275</v>
      </c>
      <c r="J123" s="103" t="s">
        <v>2441</v>
      </c>
      <c r="M123" s="103">
        <v>0.9405</v>
      </c>
      <c r="O123" s="103" t="s">
        <v>487</v>
      </c>
      <c r="P123" s="103">
        <v>25</v>
      </c>
      <c r="Q123" s="2">
        <v>18</v>
      </c>
      <c r="R123" s="226" t="s">
        <v>2277</v>
      </c>
      <c r="U123" s="69"/>
      <c r="V123" s="69"/>
      <c r="W123" s="69"/>
    </row>
    <row r="124" spans="1:23">
      <c r="A124" s="103" t="s">
        <v>218</v>
      </c>
      <c r="B124" s="103" t="s">
        <v>1121</v>
      </c>
      <c r="C124" s="103" t="s">
        <v>1243</v>
      </c>
      <c r="D124" s="103" t="s">
        <v>1474</v>
      </c>
      <c r="E124" s="103" t="s">
        <v>2272</v>
      </c>
      <c r="F124" s="103" t="s">
        <v>2273</v>
      </c>
      <c r="G124" s="103" t="s">
        <v>2341</v>
      </c>
      <c r="I124" s="103" t="s">
        <v>2275</v>
      </c>
      <c r="J124" s="103" t="s">
        <v>2442</v>
      </c>
      <c r="M124" s="103">
        <v>0.9718</v>
      </c>
      <c r="O124" s="103" t="s">
        <v>487</v>
      </c>
      <c r="P124" s="103">
        <v>19</v>
      </c>
      <c r="Q124" s="2">
        <v>16</v>
      </c>
      <c r="R124" s="226" t="s">
        <v>2277</v>
      </c>
      <c r="U124" s="69"/>
      <c r="V124" s="69"/>
      <c r="W124" s="69"/>
    </row>
    <row r="125" spans="1:23">
      <c r="A125" s="103" t="s">
        <v>218</v>
      </c>
      <c r="B125" s="103" t="s">
        <v>1121</v>
      </c>
      <c r="C125" s="103" t="s">
        <v>1243</v>
      </c>
      <c r="D125" s="103" t="s">
        <v>1474</v>
      </c>
      <c r="E125" s="103" t="s">
        <v>2272</v>
      </c>
      <c r="F125" s="103" t="s">
        <v>2273</v>
      </c>
      <c r="G125" s="103" t="s">
        <v>2343</v>
      </c>
      <c r="I125" s="103" t="s">
        <v>2275</v>
      </c>
      <c r="J125" s="103" t="s">
        <v>2443</v>
      </c>
      <c r="M125" s="103">
        <v>0.9375</v>
      </c>
      <c r="O125" s="103" t="s">
        <v>487</v>
      </c>
      <c r="P125" s="103">
        <v>30</v>
      </c>
      <c r="Q125" s="2">
        <v>13</v>
      </c>
      <c r="R125" s="226" t="s">
        <v>2277</v>
      </c>
      <c r="U125" s="69"/>
      <c r="V125" s="69"/>
      <c r="W125" s="69"/>
    </row>
    <row r="126" spans="1:23">
      <c r="A126" s="103" t="s">
        <v>218</v>
      </c>
      <c r="B126" s="103" t="s">
        <v>1121</v>
      </c>
      <c r="C126" s="103" t="s">
        <v>1243</v>
      </c>
      <c r="D126" s="103" t="s">
        <v>1474</v>
      </c>
      <c r="E126" s="103" t="s">
        <v>2272</v>
      </c>
      <c r="F126" s="103" t="s">
        <v>2273</v>
      </c>
      <c r="G126" s="103" t="s">
        <v>2345</v>
      </c>
      <c r="I126" s="103" t="s">
        <v>2275</v>
      </c>
      <c r="J126" s="103" t="s">
        <v>2444</v>
      </c>
      <c r="M126" s="103">
        <v>0.94889999999999997</v>
      </c>
      <c r="O126" s="103" t="s">
        <v>487</v>
      </c>
      <c r="P126" s="103">
        <v>25</v>
      </c>
      <c r="Q126" s="2">
        <v>20</v>
      </c>
      <c r="R126" s="226" t="s">
        <v>2277</v>
      </c>
      <c r="U126" s="69"/>
      <c r="V126" s="69"/>
      <c r="W126" s="69"/>
    </row>
    <row r="127" spans="1:23">
      <c r="A127" s="103" t="s">
        <v>218</v>
      </c>
      <c r="B127" s="103" t="s">
        <v>1121</v>
      </c>
      <c r="C127" s="103" t="s">
        <v>1243</v>
      </c>
      <c r="D127" s="103" t="s">
        <v>1474</v>
      </c>
      <c r="E127" s="103" t="s">
        <v>2272</v>
      </c>
      <c r="F127" s="103" t="s">
        <v>2273</v>
      </c>
      <c r="G127" s="103" t="s">
        <v>2347</v>
      </c>
      <c r="I127" s="103" t="s">
        <v>2275</v>
      </c>
      <c r="J127" s="103" t="s">
        <v>2445</v>
      </c>
      <c r="M127" s="103">
        <v>0.86680000000000001</v>
      </c>
      <c r="O127" s="103" t="s">
        <v>487</v>
      </c>
      <c r="P127" s="103">
        <v>39</v>
      </c>
      <c r="Q127" s="2">
        <v>24</v>
      </c>
      <c r="R127" s="226" t="s">
        <v>2277</v>
      </c>
      <c r="U127" s="69"/>
      <c r="V127" s="69"/>
      <c r="W127" s="69"/>
    </row>
    <row r="128" spans="1:23">
      <c r="A128" s="103" t="s">
        <v>218</v>
      </c>
      <c r="B128" s="103" t="s">
        <v>1121</v>
      </c>
      <c r="C128" s="103" t="s">
        <v>1243</v>
      </c>
      <c r="D128" s="103" t="s">
        <v>1474</v>
      </c>
      <c r="E128" s="103" t="s">
        <v>2272</v>
      </c>
      <c r="F128" s="103" t="s">
        <v>2273</v>
      </c>
      <c r="G128" s="103" t="s">
        <v>2349</v>
      </c>
      <c r="I128" s="103" t="s">
        <v>2275</v>
      </c>
      <c r="J128" s="103" t="s">
        <v>2446</v>
      </c>
      <c r="M128" s="103">
        <v>0.92149999999999999</v>
      </c>
      <c r="O128" s="103" t="s">
        <v>487</v>
      </c>
      <c r="P128" s="103">
        <v>29</v>
      </c>
      <c r="Q128" s="2">
        <v>19</v>
      </c>
      <c r="R128" s="226" t="s">
        <v>2277</v>
      </c>
      <c r="U128" s="69"/>
      <c r="V128" s="69"/>
      <c r="W128" s="69"/>
    </row>
    <row r="129" spans="1:23">
      <c r="A129" s="103" t="s">
        <v>218</v>
      </c>
      <c r="B129" s="103" t="s">
        <v>1121</v>
      </c>
      <c r="C129" s="103" t="s">
        <v>1243</v>
      </c>
      <c r="D129" s="103" t="s">
        <v>1474</v>
      </c>
      <c r="E129" s="103" t="s">
        <v>2272</v>
      </c>
      <c r="F129" s="103" t="s">
        <v>2273</v>
      </c>
      <c r="G129" s="103" t="s">
        <v>2351</v>
      </c>
      <c r="I129" s="103" t="s">
        <v>2275</v>
      </c>
      <c r="J129" s="103" t="s">
        <v>2447</v>
      </c>
      <c r="M129" s="103">
        <v>0.91649999999999998</v>
      </c>
      <c r="O129" s="103" t="s">
        <v>487</v>
      </c>
      <c r="P129" s="103">
        <v>30</v>
      </c>
      <c r="Q129" s="2">
        <v>20</v>
      </c>
      <c r="R129" s="226" t="s">
        <v>2277</v>
      </c>
      <c r="U129" s="69"/>
      <c r="V129" s="69"/>
      <c r="W129" s="69"/>
    </row>
    <row r="130" spans="1:23">
      <c r="A130" s="103" t="s">
        <v>218</v>
      </c>
      <c r="B130" s="103" t="s">
        <v>1121</v>
      </c>
      <c r="C130" s="103" t="s">
        <v>1243</v>
      </c>
      <c r="D130" s="103" t="s">
        <v>1474</v>
      </c>
      <c r="E130" s="103" t="s">
        <v>2272</v>
      </c>
      <c r="F130" s="103" t="s">
        <v>2273</v>
      </c>
      <c r="G130" s="103" t="s">
        <v>2353</v>
      </c>
      <c r="I130" s="103" t="s">
        <v>2275</v>
      </c>
      <c r="J130" s="103" t="s">
        <v>2448</v>
      </c>
      <c r="M130" s="103">
        <v>0.89759999999999995</v>
      </c>
      <c r="O130" s="103" t="s">
        <v>487</v>
      </c>
      <c r="P130" s="103">
        <v>34</v>
      </c>
      <c r="Q130" s="2">
        <v>21</v>
      </c>
      <c r="R130" s="226" t="s">
        <v>2277</v>
      </c>
      <c r="U130" s="69"/>
      <c r="V130" s="69"/>
      <c r="W130" s="69"/>
    </row>
    <row r="131" spans="1:23">
      <c r="A131" s="103" t="s">
        <v>218</v>
      </c>
      <c r="B131" s="103" t="s">
        <v>1121</v>
      </c>
      <c r="C131" s="103" t="s">
        <v>1243</v>
      </c>
      <c r="D131" s="103" t="s">
        <v>1474</v>
      </c>
      <c r="E131" s="103" t="s">
        <v>2272</v>
      </c>
      <c r="F131" s="103" t="s">
        <v>2273</v>
      </c>
      <c r="G131" s="103" t="s">
        <v>2355</v>
      </c>
      <c r="I131" s="103" t="s">
        <v>2275</v>
      </c>
      <c r="J131" s="103" t="s">
        <v>2449</v>
      </c>
      <c r="M131" s="103">
        <v>0.93510000000000004</v>
      </c>
      <c r="O131" s="103" t="s">
        <v>487</v>
      </c>
      <c r="P131" s="103">
        <v>26</v>
      </c>
      <c r="Q131" s="2">
        <v>19</v>
      </c>
      <c r="R131" s="226" t="s">
        <v>2277</v>
      </c>
      <c r="U131" s="69"/>
      <c r="V131" s="69"/>
      <c r="W131" s="69"/>
    </row>
    <row r="132" spans="1:23">
      <c r="A132" s="103" t="s">
        <v>218</v>
      </c>
      <c r="B132" s="103" t="s">
        <v>1121</v>
      </c>
      <c r="C132" s="103" t="s">
        <v>1243</v>
      </c>
      <c r="D132" s="103" t="s">
        <v>1474</v>
      </c>
      <c r="E132" s="103" t="s">
        <v>2272</v>
      </c>
      <c r="F132" s="103" t="s">
        <v>2273</v>
      </c>
      <c r="G132" s="103" t="s">
        <v>2357</v>
      </c>
      <c r="I132" s="103" t="s">
        <v>2275</v>
      </c>
      <c r="J132" s="103" t="s">
        <v>2450</v>
      </c>
      <c r="M132" s="103">
        <v>0.91459999999999997</v>
      </c>
      <c r="O132" s="103" t="s">
        <v>487</v>
      </c>
      <c r="P132" s="103">
        <v>30</v>
      </c>
      <c r="Q132" s="2">
        <v>20</v>
      </c>
      <c r="R132" s="226" t="s">
        <v>2277</v>
      </c>
      <c r="U132" s="69"/>
      <c r="V132" s="69"/>
      <c r="W132" s="69"/>
    </row>
    <row r="133" spans="1:23">
      <c r="A133" s="103" t="s">
        <v>218</v>
      </c>
      <c r="B133" s="103" t="s">
        <v>1121</v>
      </c>
      <c r="C133" s="103" t="s">
        <v>1243</v>
      </c>
      <c r="D133" s="103" t="s">
        <v>1474</v>
      </c>
      <c r="E133" s="103" t="s">
        <v>2272</v>
      </c>
      <c r="F133" s="103" t="s">
        <v>2273</v>
      </c>
      <c r="G133" s="103" t="s">
        <v>2359</v>
      </c>
      <c r="I133" s="103" t="s">
        <v>2275</v>
      </c>
      <c r="J133" s="103" t="s">
        <v>2451</v>
      </c>
      <c r="M133" s="103">
        <v>0.91169999999999995</v>
      </c>
      <c r="O133" s="103" t="s">
        <v>487</v>
      </c>
      <c r="P133" s="103">
        <v>31</v>
      </c>
      <c r="Q133" s="2">
        <v>20</v>
      </c>
      <c r="R133" s="226" t="s">
        <v>2277</v>
      </c>
      <c r="U133" s="69"/>
      <c r="V133" s="69"/>
      <c r="W133" s="69"/>
    </row>
    <row r="134" spans="1:23">
      <c r="A134" s="103" t="s">
        <v>218</v>
      </c>
      <c r="B134" s="103" t="s">
        <v>1121</v>
      </c>
      <c r="C134" s="103" t="s">
        <v>1243</v>
      </c>
      <c r="D134" s="103" t="s">
        <v>1474</v>
      </c>
      <c r="E134" s="103" t="s">
        <v>2272</v>
      </c>
      <c r="F134" s="103" t="s">
        <v>2273</v>
      </c>
      <c r="G134" s="103" t="s">
        <v>2361</v>
      </c>
      <c r="I134" s="103" t="s">
        <v>2275</v>
      </c>
      <c r="J134" s="103" t="s">
        <v>2452</v>
      </c>
      <c r="M134" s="103">
        <v>0.90169999999999995</v>
      </c>
      <c r="O134" s="103" t="s">
        <v>487</v>
      </c>
      <c r="P134" s="103">
        <v>3</v>
      </c>
      <c r="Q134" s="2">
        <v>22</v>
      </c>
      <c r="R134" s="226" t="s">
        <v>2277</v>
      </c>
      <c r="U134" s="69"/>
      <c r="V134" s="69"/>
      <c r="W134" s="69"/>
    </row>
    <row r="135" spans="1:23">
      <c r="A135" s="103" t="s">
        <v>218</v>
      </c>
      <c r="B135" s="103" t="s">
        <v>1121</v>
      </c>
      <c r="C135" s="103" t="s">
        <v>1243</v>
      </c>
      <c r="D135" s="103" t="s">
        <v>1474</v>
      </c>
      <c r="E135" s="103" t="s">
        <v>2272</v>
      </c>
      <c r="F135" s="103" t="s">
        <v>2273</v>
      </c>
      <c r="G135" s="103" t="s">
        <v>2363</v>
      </c>
      <c r="I135" s="103" t="s">
        <v>2275</v>
      </c>
      <c r="J135" s="103" t="s">
        <v>2453</v>
      </c>
      <c r="M135" s="103">
        <v>0.91600000000000004</v>
      </c>
      <c r="O135" s="103" t="s">
        <v>487</v>
      </c>
      <c r="P135" s="103">
        <v>30</v>
      </c>
      <c r="Q135" s="2">
        <v>20</v>
      </c>
      <c r="R135" s="226" t="s">
        <v>2277</v>
      </c>
      <c r="U135" s="69"/>
      <c r="V135" s="69"/>
      <c r="W135" s="69"/>
    </row>
    <row r="136" spans="1:23">
      <c r="A136" s="103" t="s">
        <v>218</v>
      </c>
      <c r="C136" s="103" t="s">
        <v>1243</v>
      </c>
      <c r="D136" s="103" t="s">
        <v>1474</v>
      </c>
      <c r="E136" s="103" t="s">
        <v>2272</v>
      </c>
      <c r="F136" s="103" t="s">
        <v>2273</v>
      </c>
      <c r="G136" s="103" t="s">
        <v>2274</v>
      </c>
      <c r="I136" s="103" t="s">
        <v>2275</v>
      </c>
      <c r="J136" s="103" t="s">
        <v>2454</v>
      </c>
      <c r="M136" s="103">
        <v>0.92020000000000002</v>
      </c>
      <c r="O136" s="103" t="s">
        <v>487</v>
      </c>
      <c r="P136" s="103">
        <v>42</v>
      </c>
      <c r="Q136" s="2">
        <v>28</v>
      </c>
      <c r="R136" s="226" t="s">
        <v>2277</v>
      </c>
      <c r="U136" s="69"/>
      <c r="V136" s="69"/>
      <c r="W136" s="69"/>
    </row>
    <row r="137" spans="1:23">
      <c r="A137" s="103" t="s">
        <v>218</v>
      </c>
      <c r="C137" s="103" t="s">
        <v>1243</v>
      </c>
      <c r="D137" s="103" t="s">
        <v>1474</v>
      </c>
      <c r="E137" s="103" t="s">
        <v>2272</v>
      </c>
      <c r="F137" s="103" t="s">
        <v>2273</v>
      </c>
      <c r="G137" s="103" t="s">
        <v>2278</v>
      </c>
      <c r="I137" s="103" t="s">
        <v>2275</v>
      </c>
      <c r="J137" s="103" t="s">
        <v>2455</v>
      </c>
      <c r="M137" s="103">
        <v>0.94379999999999997</v>
      </c>
      <c r="O137" s="103" t="s">
        <v>487</v>
      </c>
      <c r="P137" s="103">
        <v>34</v>
      </c>
      <c r="Q137" s="2">
        <v>23</v>
      </c>
      <c r="R137" s="226" t="s">
        <v>2277</v>
      </c>
      <c r="U137" s="69"/>
      <c r="V137" s="69"/>
      <c r="W137" s="69"/>
    </row>
    <row r="138" spans="1:23">
      <c r="A138" s="103" t="s">
        <v>218</v>
      </c>
      <c r="C138" s="103" t="s">
        <v>1243</v>
      </c>
      <c r="D138" s="103" t="s">
        <v>1474</v>
      </c>
      <c r="E138" s="103" t="s">
        <v>2272</v>
      </c>
      <c r="F138" s="103" t="s">
        <v>2273</v>
      </c>
      <c r="G138" s="103" t="s">
        <v>2280</v>
      </c>
      <c r="I138" s="103" t="s">
        <v>2275</v>
      </c>
      <c r="J138" s="103" t="s">
        <v>2456</v>
      </c>
      <c r="M138" s="103">
        <v>0.93340000000000001</v>
      </c>
      <c r="O138" s="103" t="s">
        <v>487</v>
      </c>
      <c r="P138" s="103">
        <v>38</v>
      </c>
      <c r="Q138" s="2">
        <v>26</v>
      </c>
      <c r="R138" s="226" t="s">
        <v>2277</v>
      </c>
      <c r="U138" s="69"/>
      <c r="V138" s="69"/>
      <c r="W138" s="69"/>
    </row>
    <row r="139" spans="1:23">
      <c r="A139" s="103" t="s">
        <v>218</v>
      </c>
      <c r="C139" s="103" t="s">
        <v>1243</v>
      </c>
      <c r="D139" s="103" t="s">
        <v>1474</v>
      </c>
      <c r="E139" s="103" t="s">
        <v>2272</v>
      </c>
      <c r="F139" s="103" t="s">
        <v>2273</v>
      </c>
      <c r="G139" s="103" t="s">
        <v>2282</v>
      </c>
      <c r="I139" s="103" t="s">
        <v>2275</v>
      </c>
      <c r="J139" s="103" t="s">
        <v>2457</v>
      </c>
      <c r="M139" s="103">
        <v>0.94010000000000005</v>
      </c>
      <c r="O139" s="103" t="s">
        <v>487</v>
      </c>
      <c r="P139" s="103">
        <v>36</v>
      </c>
      <c r="Q139" s="2">
        <v>25</v>
      </c>
      <c r="R139" s="226" t="s">
        <v>2277</v>
      </c>
      <c r="U139" s="69"/>
      <c r="V139" s="69"/>
      <c r="W139" s="69"/>
    </row>
    <row r="140" spans="1:23">
      <c r="A140" s="103" t="s">
        <v>218</v>
      </c>
      <c r="C140" s="103" t="s">
        <v>1243</v>
      </c>
      <c r="D140" s="103" t="s">
        <v>1474</v>
      </c>
      <c r="E140" s="103" t="s">
        <v>2272</v>
      </c>
      <c r="F140" s="103" t="s">
        <v>2273</v>
      </c>
      <c r="G140" s="103" t="s">
        <v>2284</v>
      </c>
      <c r="I140" s="103" t="s">
        <v>2275</v>
      </c>
      <c r="J140" s="103" t="s">
        <v>2458</v>
      </c>
      <c r="M140" s="103">
        <v>0.94579999999999997</v>
      </c>
      <c r="O140" s="103" t="s">
        <v>487</v>
      </c>
      <c r="P140" s="103">
        <v>34</v>
      </c>
      <c r="Q140" s="2">
        <v>22</v>
      </c>
      <c r="R140" s="226" t="s">
        <v>2277</v>
      </c>
      <c r="U140" s="69"/>
      <c r="V140" s="69"/>
      <c r="W140" s="69"/>
    </row>
    <row r="141" spans="1:23">
      <c r="A141" s="103" t="s">
        <v>218</v>
      </c>
      <c r="C141" s="103" t="s">
        <v>1243</v>
      </c>
      <c r="D141" s="103" t="s">
        <v>1474</v>
      </c>
      <c r="E141" s="103" t="s">
        <v>2272</v>
      </c>
      <c r="F141" s="103" t="s">
        <v>2273</v>
      </c>
      <c r="G141" s="103" t="s">
        <v>2286</v>
      </c>
      <c r="I141" s="103" t="s">
        <v>2275</v>
      </c>
      <c r="J141" s="103" t="s">
        <v>2459</v>
      </c>
      <c r="M141" s="103">
        <v>0.93759999999999999</v>
      </c>
      <c r="O141" s="103" t="s">
        <v>487</v>
      </c>
      <c r="P141" s="103">
        <v>37</v>
      </c>
      <c r="Q141" s="2">
        <v>23</v>
      </c>
      <c r="R141" s="226" t="s">
        <v>2277</v>
      </c>
      <c r="U141" s="69"/>
      <c r="V141" s="69"/>
      <c r="W141" s="69"/>
    </row>
    <row r="142" spans="1:23">
      <c r="A142" s="103" t="s">
        <v>218</v>
      </c>
      <c r="C142" s="103" t="s">
        <v>1243</v>
      </c>
      <c r="D142" s="103" t="s">
        <v>1474</v>
      </c>
      <c r="E142" s="103" t="s">
        <v>2272</v>
      </c>
      <c r="F142" s="103" t="s">
        <v>2273</v>
      </c>
      <c r="G142" s="103" t="s">
        <v>2288</v>
      </c>
      <c r="I142" s="103" t="s">
        <v>2275</v>
      </c>
      <c r="J142" s="103" t="s">
        <v>2460</v>
      </c>
      <c r="M142" s="103">
        <v>0.94489999999999996</v>
      </c>
      <c r="O142" s="103" t="s">
        <v>487</v>
      </c>
      <c r="P142" s="103">
        <v>34</v>
      </c>
      <c r="Q142" s="2">
        <v>23</v>
      </c>
      <c r="R142" s="226" t="s">
        <v>2277</v>
      </c>
      <c r="U142" s="69"/>
      <c r="V142" s="69"/>
      <c r="W142" s="69"/>
    </row>
    <row r="143" spans="1:23">
      <c r="A143" s="103" t="s">
        <v>218</v>
      </c>
      <c r="C143" s="103" t="s">
        <v>1243</v>
      </c>
      <c r="D143" s="103" t="s">
        <v>1474</v>
      </c>
      <c r="E143" s="103" t="s">
        <v>2272</v>
      </c>
      <c r="F143" s="103" t="s">
        <v>2273</v>
      </c>
      <c r="G143" s="103" t="s">
        <v>2290</v>
      </c>
      <c r="I143" s="103" t="s">
        <v>2275</v>
      </c>
      <c r="J143" s="103" t="s">
        <v>2461</v>
      </c>
      <c r="M143" s="103">
        <v>0.91820000000000002</v>
      </c>
      <c r="O143" s="103" t="s">
        <v>487</v>
      </c>
      <c r="P143" s="103">
        <v>43</v>
      </c>
      <c r="Q143" s="2">
        <v>28</v>
      </c>
      <c r="R143" s="226" t="s">
        <v>2277</v>
      </c>
      <c r="U143" s="69"/>
      <c r="V143" s="69"/>
      <c r="W143" s="69"/>
    </row>
    <row r="144" spans="1:23">
      <c r="A144" s="103" t="s">
        <v>218</v>
      </c>
      <c r="C144" s="103" t="s">
        <v>1243</v>
      </c>
      <c r="D144" s="103" t="s">
        <v>1474</v>
      </c>
      <c r="E144" s="103" t="s">
        <v>2272</v>
      </c>
      <c r="F144" s="103" t="s">
        <v>2273</v>
      </c>
      <c r="G144" s="103" t="s">
        <v>2292</v>
      </c>
      <c r="I144" s="103" t="s">
        <v>2275</v>
      </c>
      <c r="J144" s="103" t="s">
        <v>2462</v>
      </c>
      <c r="M144" s="103">
        <v>0.92859999999999998</v>
      </c>
      <c r="O144" s="103" t="s">
        <v>487</v>
      </c>
      <c r="P144" s="103">
        <v>40</v>
      </c>
      <c r="Q144" s="2">
        <v>26</v>
      </c>
      <c r="R144" s="226" t="s">
        <v>2277</v>
      </c>
      <c r="U144" s="69"/>
      <c r="V144" s="69"/>
      <c r="W144" s="69"/>
    </row>
    <row r="145" spans="1:23">
      <c r="A145" s="103" t="s">
        <v>218</v>
      </c>
      <c r="C145" s="103" t="s">
        <v>1243</v>
      </c>
      <c r="D145" s="103" t="s">
        <v>1474</v>
      </c>
      <c r="E145" s="103" t="s">
        <v>2272</v>
      </c>
      <c r="F145" s="103" t="s">
        <v>2273</v>
      </c>
      <c r="G145" s="103" t="s">
        <v>2294</v>
      </c>
      <c r="I145" s="103" t="s">
        <v>2275</v>
      </c>
      <c r="J145" s="103" t="s">
        <v>2463</v>
      </c>
      <c r="M145" s="103">
        <v>0.93600000000000005</v>
      </c>
      <c r="O145" s="103" t="s">
        <v>487</v>
      </c>
      <c r="P145" s="103">
        <v>37</v>
      </c>
      <c r="Q145" s="2">
        <v>25</v>
      </c>
      <c r="R145" s="226" t="s">
        <v>2277</v>
      </c>
      <c r="U145" s="69"/>
      <c r="V145" s="69"/>
      <c r="W145" s="69"/>
    </row>
    <row r="146" spans="1:23">
      <c r="A146" s="103" t="s">
        <v>218</v>
      </c>
      <c r="C146" s="103" t="s">
        <v>1243</v>
      </c>
      <c r="D146" s="103" t="s">
        <v>1474</v>
      </c>
      <c r="E146" s="103" t="s">
        <v>2272</v>
      </c>
      <c r="F146" s="103" t="s">
        <v>2273</v>
      </c>
      <c r="G146" s="103" t="s">
        <v>2296</v>
      </c>
      <c r="I146" s="103" t="s">
        <v>2275</v>
      </c>
      <c r="J146" s="103" t="s">
        <v>2464</v>
      </c>
      <c r="M146" s="103">
        <v>0.9506</v>
      </c>
      <c r="O146" s="103" t="s">
        <v>487</v>
      </c>
      <c r="P146" s="103">
        <v>32</v>
      </c>
      <c r="Q146" s="2">
        <v>21</v>
      </c>
      <c r="R146" s="226" t="s">
        <v>2277</v>
      </c>
      <c r="U146" s="69"/>
      <c r="V146" s="69"/>
      <c r="W146" s="69"/>
    </row>
    <row r="147" spans="1:23">
      <c r="A147" s="103" t="s">
        <v>218</v>
      </c>
      <c r="C147" s="103" t="s">
        <v>1243</v>
      </c>
      <c r="D147" s="103" t="s">
        <v>1474</v>
      </c>
      <c r="E147" s="103" t="s">
        <v>2272</v>
      </c>
      <c r="F147" s="103" t="s">
        <v>2273</v>
      </c>
      <c r="G147" s="103" t="s">
        <v>2298</v>
      </c>
      <c r="I147" s="103" t="s">
        <v>2275</v>
      </c>
      <c r="J147" s="103" t="s">
        <v>2465</v>
      </c>
      <c r="M147" s="103">
        <v>0.95799999999999996</v>
      </c>
      <c r="O147" s="103" t="s">
        <v>487</v>
      </c>
      <c r="P147" s="103">
        <v>29</v>
      </c>
      <c r="Q147" s="2">
        <v>19</v>
      </c>
      <c r="R147" s="226" t="s">
        <v>2277</v>
      </c>
      <c r="U147" s="69"/>
      <c r="V147" s="69"/>
      <c r="W147" s="69"/>
    </row>
    <row r="148" spans="1:23">
      <c r="A148" s="103" t="s">
        <v>218</v>
      </c>
      <c r="C148" s="103" t="s">
        <v>1243</v>
      </c>
      <c r="D148" s="103" t="s">
        <v>1474</v>
      </c>
      <c r="E148" s="103" t="s">
        <v>2272</v>
      </c>
      <c r="F148" s="103" t="s">
        <v>2273</v>
      </c>
      <c r="G148" s="103" t="s">
        <v>2300</v>
      </c>
      <c r="I148" s="103" t="s">
        <v>2275</v>
      </c>
      <c r="J148" s="103" t="s">
        <v>2466</v>
      </c>
      <c r="M148" s="103">
        <v>0.91910000000000003</v>
      </c>
      <c r="O148" s="103" t="s">
        <v>487</v>
      </c>
      <c r="P148" s="103">
        <v>43</v>
      </c>
      <c r="Q148" s="2">
        <v>28</v>
      </c>
      <c r="R148" s="226" t="s">
        <v>2277</v>
      </c>
      <c r="U148" s="69"/>
      <c r="V148" s="69"/>
      <c r="W148" s="69"/>
    </row>
    <row r="149" spans="1:23">
      <c r="A149" s="103" t="s">
        <v>218</v>
      </c>
      <c r="C149" s="103" t="s">
        <v>1243</v>
      </c>
      <c r="D149" s="103" t="s">
        <v>1474</v>
      </c>
      <c r="E149" s="103" t="s">
        <v>2272</v>
      </c>
      <c r="F149" s="103" t="s">
        <v>2273</v>
      </c>
      <c r="G149" s="103" t="s">
        <v>2302</v>
      </c>
      <c r="I149" s="103" t="s">
        <v>2275</v>
      </c>
      <c r="J149" s="103" t="s">
        <v>2467</v>
      </c>
      <c r="M149" s="103">
        <v>0.9526</v>
      </c>
      <c r="O149" s="103" t="s">
        <v>487</v>
      </c>
      <c r="P149" s="103">
        <v>31</v>
      </c>
      <c r="Q149" s="2">
        <v>20</v>
      </c>
      <c r="R149" s="226" t="s">
        <v>2277</v>
      </c>
      <c r="U149" s="69"/>
      <c r="V149" s="69"/>
      <c r="W149" s="69"/>
    </row>
    <row r="150" spans="1:23">
      <c r="A150" s="103" t="s">
        <v>218</v>
      </c>
      <c r="C150" s="103" t="s">
        <v>1243</v>
      </c>
      <c r="D150" s="103" t="s">
        <v>1474</v>
      </c>
      <c r="E150" s="103" t="s">
        <v>2272</v>
      </c>
      <c r="F150" s="103" t="s">
        <v>2273</v>
      </c>
      <c r="G150" s="103" t="s">
        <v>2304</v>
      </c>
      <c r="I150" s="103" t="s">
        <v>2275</v>
      </c>
      <c r="J150" s="103" t="s">
        <v>2468</v>
      </c>
      <c r="M150" s="103">
        <v>0.94130000000000003</v>
      </c>
      <c r="O150" s="103" t="s">
        <v>487</v>
      </c>
      <c r="P150" s="103">
        <v>35</v>
      </c>
      <c r="Q150" s="2">
        <v>21</v>
      </c>
      <c r="R150" s="226" t="s">
        <v>2277</v>
      </c>
      <c r="U150" s="69"/>
      <c r="V150" s="69"/>
      <c r="W150" s="69"/>
    </row>
    <row r="151" spans="1:23">
      <c r="A151" s="103" t="s">
        <v>218</v>
      </c>
      <c r="C151" s="103" t="s">
        <v>1243</v>
      </c>
      <c r="D151" s="103" t="s">
        <v>1474</v>
      </c>
      <c r="E151" s="103" t="s">
        <v>2272</v>
      </c>
      <c r="F151" s="103" t="s">
        <v>2273</v>
      </c>
      <c r="G151" s="103" t="s">
        <v>2306</v>
      </c>
      <c r="I151" s="103" t="s">
        <v>2275</v>
      </c>
      <c r="J151" s="103" t="s">
        <v>2469</v>
      </c>
      <c r="M151" s="103">
        <v>0.57909999999999995</v>
      </c>
      <c r="O151" s="103" t="s">
        <v>487</v>
      </c>
      <c r="P151" s="103">
        <v>156</v>
      </c>
      <c r="Q151" s="2">
        <v>150</v>
      </c>
      <c r="R151" s="226" t="s">
        <v>2277</v>
      </c>
      <c r="U151" s="69"/>
      <c r="V151" s="69"/>
      <c r="W151" s="69"/>
    </row>
    <row r="152" spans="1:23">
      <c r="A152" s="103" t="s">
        <v>218</v>
      </c>
      <c r="C152" s="103" t="s">
        <v>1243</v>
      </c>
      <c r="D152" s="103" t="s">
        <v>1474</v>
      </c>
      <c r="E152" s="103" t="s">
        <v>2272</v>
      </c>
      <c r="F152" s="103" t="s">
        <v>2273</v>
      </c>
      <c r="G152" s="103" t="s">
        <v>2308</v>
      </c>
      <c r="I152" s="103" t="s">
        <v>2275</v>
      </c>
      <c r="J152" s="103" t="s">
        <v>2470</v>
      </c>
      <c r="M152" s="103">
        <v>0.94889999999999997</v>
      </c>
      <c r="O152" s="103" t="s">
        <v>487</v>
      </c>
      <c r="P152" s="103">
        <v>33</v>
      </c>
      <c r="Q152" s="2">
        <v>22</v>
      </c>
      <c r="R152" s="226" t="s">
        <v>2277</v>
      </c>
      <c r="U152" s="69"/>
      <c r="V152" s="69"/>
      <c r="W152" s="69"/>
    </row>
    <row r="153" spans="1:23">
      <c r="A153" s="103" t="s">
        <v>218</v>
      </c>
      <c r="C153" s="103" t="s">
        <v>1243</v>
      </c>
      <c r="D153" s="103" t="s">
        <v>1474</v>
      </c>
      <c r="E153" s="103" t="s">
        <v>2272</v>
      </c>
      <c r="F153" s="103" t="s">
        <v>2273</v>
      </c>
      <c r="G153" s="103" t="s">
        <v>2310</v>
      </c>
      <c r="I153" s="103" t="s">
        <v>2275</v>
      </c>
      <c r="J153" s="103" t="s">
        <v>2471</v>
      </c>
      <c r="M153" s="103">
        <v>0.93689999999999996</v>
      </c>
      <c r="O153" s="103" t="s">
        <v>487</v>
      </c>
      <c r="P153" s="103">
        <v>37</v>
      </c>
      <c r="Q153" s="2">
        <v>24</v>
      </c>
      <c r="R153" s="226" t="s">
        <v>2277</v>
      </c>
      <c r="U153" s="69"/>
      <c r="V153" s="69"/>
      <c r="W153" s="69"/>
    </row>
    <row r="154" spans="1:23">
      <c r="A154" s="103" t="s">
        <v>218</v>
      </c>
      <c r="C154" s="103" t="s">
        <v>1243</v>
      </c>
      <c r="D154" s="103" t="s">
        <v>1474</v>
      </c>
      <c r="E154" s="103" t="s">
        <v>2272</v>
      </c>
      <c r="F154" s="103" t="s">
        <v>2273</v>
      </c>
      <c r="G154" s="103" t="s">
        <v>2312</v>
      </c>
      <c r="I154" s="103" t="s">
        <v>2275</v>
      </c>
      <c r="J154" s="103" t="s">
        <v>2472</v>
      </c>
      <c r="M154" s="103">
        <v>0.87270000000000003</v>
      </c>
      <c r="O154" s="103" t="s">
        <v>487</v>
      </c>
      <c r="P154" s="103">
        <v>58</v>
      </c>
      <c r="Q154" s="2">
        <v>28</v>
      </c>
      <c r="R154" s="226" t="s">
        <v>2277</v>
      </c>
      <c r="U154" s="69"/>
      <c r="V154" s="69"/>
      <c r="W154" s="69"/>
    </row>
    <row r="155" spans="1:23">
      <c r="A155" s="103" t="s">
        <v>218</v>
      </c>
      <c r="C155" s="103" t="s">
        <v>1243</v>
      </c>
      <c r="D155" s="103" t="s">
        <v>1474</v>
      </c>
      <c r="E155" s="103" t="s">
        <v>2272</v>
      </c>
      <c r="F155" s="103" t="s">
        <v>2273</v>
      </c>
      <c r="G155" s="103" t="s">
        <v>2314</v>
      </c>
      <c r="I155" s="103" t="s">
        <v>2275</v>
      </c>
      <c r="J155" s="103" t="s">
        <v>2473</v>
      </c>
      <c r="M155" s="103">
        <v>0.91890000000000005</v>
      </c>
      <c r="O155" s="103" t="s">
        <v>487</v>
      </c>
      <c r="P155" s="103">
        <v>47</v>
      </c>
      <c r="Q155" s="2">
        <v>33</v>
      </c>
      <c r="R155" s="226" t="s">
        <v>2277</v>
      </c>
      <c r="U155" s="69"/>
      <c r="V155" s="69"/>
      <c r="W155" s="69"/>
    </row>
    <row r="156" spans="1:23">
      <c r="A156" s="103" t="s">
        <v>218</v>
      </c>
      <c r="C156" s="103" t="s">
        <v>1243</v>
      </c>
      <c r="D156" s="103" t="s">
        <v>1474</v>
      </c>
      <c r="E156" s="103" t="s">
        <v>2272</v>
      </c>
      <c r="F156" s="103" t="s">
        <v>2273</v>
      </c>
      <c r="G156" s="103" t="s">
        <v>2316</v>
      </c>
      <c r="I156" s="103" t="s">
        <v>2275</v>
      </c>
      <c r="J156" s="103" t="s">
        <v>2474</v>
      </c>
      <c r="M156" s="103">
        <v>0.90469999999999995</v>
      </c>
      <c r="O156" s="103" t="s">
        <v>487</v>
      </c>
      <c r="P156" s="103">
        <v>48</v>
      </c>
      <c r="Q156" s="2">
        <v>28</v>
      </c>
      <c r="R156" s="226" t="s">
        <v>2277</v>
      </c>
      <c r="U156" s="69"/>
      <c r="V156" s="69"/>
      <c r="W156" s="69"/>
    </row>
    <row r="157" spans="1:23">
      <c r="A157" s="103" t="s">
        <v>218</v>
      </c>
      <c r="C157" s="103" t="s">
        <v>1243</v>
      </c>
      <c r="D157" s="103" t="s">
        <v>1474</v>
      </c>
      <c r="E157" s="103" t="s">
        <v>2272</v>
      </c>
      <c r="F157" s="103" t="s">
        <v>2273</v>
      </c>
      <c r="G157" s="103" t="s">
        <v>2318</v>
      </c>
      <c r="I157" s="103" t="s">
        <v>2275</v>
      </c>
      <c r="J157" s="103" t="s">
        <v>2475</v>
      </c>
      <c r="M157" s="103">
        <v>0.92310000000000003</v>
      </c>
      <c r="O157" s="103" t="s">
        <v>487</v>
      </c>
      <c r="P157" s="103">
        <v>50</v>
      </c>
      <c r="Q157" s="2">
        <v>36</v>
      </c>
      <c r="R157" s="226" t="s">
        <v>2277</v>
      </c>
      <c r="U157" s="69"/>
      <c r="V157" s="69"/>
      <c r="W157" s="69"/>
    </row>
    <row r="158" spans="1:23">
      <c r="A158" s="103" t="s">
        <v>218</v>
      </c>
      <c r="C158" s="103" t="s">
        <v>1243</v>
      </c>
      <c r="D158" s="103" t="s">
        <v>1474</v>
      </c>
      <c r="E158" s="103" t="s">
        <v>2272</v>
      </c>
      <c r="F158" s="103" t="s">
        <v>2273</v>
      </c>
      <c r="G158" s="103" t="s">
        <v>2320</v>
      </c>
      <c r="I158" s="103" t="s">
        <v>2275</v>
      </c>
      <c r="J158" s="103" t="s">
        <v>2476</v>
      </c>
      <c r="M158" s="103">
        <v>0.62190000000000001</v>
      </c>
      <c r="O158" s="103" t="s">
        <v>487</v>
      </c>
      <c r="P158" s="103">
        <v>156</v>
      </c>
      <c r="Q158" s="2">
        <v>185</v>
      </c>
      <c r="R158" s="226" t="s">
        <v>2277</v>
      </c>
      <c r="U158" s="69"/>
      <c r="V158" s="69"/>
      <c r="W158" s="69"/>
    </row>
    <row r="159" spans="1:23">
      <c r="A159" s="103" t="s">
        <v>218</v>
      </c>
      <c r="C159" s="103" t="s">
        <v>1243</v>
      </c>
      <c r="D159" s="103" t="s">
        <v>1474</v>
      </c>
      <c r="E159" s="103" t="s">
        <v>2272</v>
      </c>
      <c r="F159" s="103" t="s">
        <v>2273</v>
      </c>
      <c r="G159" s="103" t="s">
        <v>2322</v>
      </c>
      <c r="I159" s="103" t="s">
        <v>2275</v>
      </c>
      <c r="J159" s="103" t="s">
        <v>2477</v>
      </c>
      <c r="M159" s="103">
        <v>0.94010000000000005</v>
      </c>
      <c r="O159" s="103" t="s">
        <v>487</v>
      </c>
      <c r="P159" s="103">
        <v>36</v>
      </c>
      <c r="Q159" s="2">
        <v>24</v>
      </c>
      <c r="R159" s="226" t="s">
        <v>2277</v>
      </c>
      <c r="U159" s="69"/>
      <c r="V159" s="69"/>
      <c r="W159" s="69"/>
    </row>
    <row r="160" spans="1:23">
      <c r="A160" s="103" t="s">
        <v>218</v>
      </c>
      <c r="C160" s="103" t="s">
        <v>1243</v>
      </c>
      <c r="D160" s="103" t="s">
        <v>1474</v>
      </c>
      <c r="E160" s="103" t="s">
        <v>2272</v>
      </c>
      <c r="F160" s="103" t="s">
        <v>2273</v>
      </c>
      <c r="G160" s="103" t="s">
        <v>2324</v>
      </c>
      <c r="I160" s="103" t="s">
        <v>2275</v>
      </c>
      <c r="J160" s="103" t="s">
        <v>2478</v>
      </c>
      <c r="M160" s="103">
        <v>0.88500000000000001</v>
      </c>
      <c r="O160" s="103" t="s">
        <v>487</v>
      </c>
      <c r="P160" s="103">
        <v>53</v>
      </c>
      <c r="Q160" s="2">
        <v>29</v>
      </c>
      <c r="R160" s="226" t="s">
        <v>2277</v>
      </c>
      <c r="U160" s="69"/>
      <c r="V160" s="69"/>
      <c r="W160" s="69"/>
    </row>
    <row r="161" spans="1:23">
      <c r="A161" s="103" t="s">
        <v>218</v>
      </c>
      <c r="C161" s="103" t="s">
        <v>1243</v>
      </c>
      <c r="D161" s="103" t="s">
        <v>1474</v>
      </c>
      <c r="E161" s="103" t="s">
        <v>2272</v>
      </c>
      <c r="F161" s="103" t="s">
        <v>2273</v>
      </c>
      <c r="G161" s="103" t="s">
        <v>2326</v>
      </c>
      <c r="I161" s="103" t="s">
        <v>2275</v>
      </c>
      <c r="J161" s="103" t="s">
        <v>2479</v>
      </c>
      <c r="M161" s="103">
        <v>0.93489999999999995</v>
      </c>
      <c r="O161" s="103" t="s">
        <v>487</v>
      </c>
      <c r="P161" s="103">
        <v>38</v>
      </c>
      <c r="Q161" s="2">
        <v>25</v>
      </c>
      <c r="R161" s="226" t="s">
        <v>2277</v>
      </c>
      <c r="U161" s="69"/>
      <c r="V161" s="69"/>
      <c r="W161" s="69"/>
    </row>
    <row r="162" spans="1:23">
      <c r="A162" s="103" t="s">
        <v>218</v>
      </c>
      <c r="C162" s="103" t="s">
        <v>1243</v>
      </c>
      <c r="D162" s="103" t="s">
        <v>1474</v>
      </c>
      <c r="E162" s="103" t="s">
        <v>2272</v>
      </c>
      <c r="F162" s="103" t="s">
        <v>2273</v>
      </c>
      <c r="G162" s="103" t="s">
        <v>2328</v>
      </c>
      <c r="I162" s="103" t="s">
        <v>2275</v>
      </c>
      <c r="J162" s="103" t="s">
        <v>2480</v>
      </c>
      <c r="M162" s="103">
        <v>0.92490000000000006</v>
      </c>
      <c r="O162" s="103" t="s">
        <v>487</v>
      </c>
      <c r="P162" s="103">
        <v>50</v>
      </c>
      <c r="Q162" s="2">
        <v>36</v>
      </c>
      <c r="R162" s="226" t="s">
        <v>2277</v>
      </c>
      <c r="U162" s="69"/>
      <c r="V162" s="69"/>
      <c r="W162" s="69"/>
    </row>
    <row r="163" spans="1:23">
      <c r="A163" s="103" t="s">
        <v>218</v>
      </c>
      <c r="C163" s="103" t="s">
        <v>1243</v>
      </c>
      <c r="D163" s="103" t="s">
        <v>1474</v>
      </c>
      <c r="E163" s="103" t="s">
        <v>2272</v>
      </c>
      <c r="F163" s="103" t="s">
        <v>2273</v>
      </c>
      <c r="G163" s="103" t="s">
        <v>2330</v>
      </c>
      <c r="I163" s="103" t="s">
        <v>2275</v>
      </c>
      <c r="J163" s="103" t="s">
        <v>2481</v>
      </c>
      <c r="M163" s="103">
        <v>0.93359999999999999</v>
      </c>
      <c r="O163" s="103" t="s">
        <v>487</v>
      </c>
      <c r="P163" s="103">
        <v>53</v>
      </c>
      <c r="Q163" s="2">
        <v>28</v>
      </c>
      <c r="R163" s="226" t="s">
        <v>2277</v>
      </c>
      <c r="U163" s="69"/>
      <c r="V163" s="69"/>
      <c r="W163" s="69"/>
    </row>
    <row r="164" spans="1:23">
      <c r="A164" s="103" t="s">
        <v>218</v>
      </c>
      <c r="C164" s="103" t="s">
        <v>1243</v>
      </c>
      <c r="D164" s="103" t="s">
        <v>1474</v>
      </c>
      <c r="E164" s="103" t="s">
        <v>2272</v>
      </c>
      <c r="F164" s="103" t="s">
        <v>2273</v>
      </c>
      <c r="G164" s="103" t="s">
        <v>2332</v>
      </c>
      <c r="I164" s="103" t="s">
        <v>2275</v>
      </c>
      <c r="J164" s="103" t="s">
        <v>2482</v>
      </c>
      <c r="M164" s="103">
        <v>0.91769999999999996</v>
      </c>
      <c r="O164" s="103" t="s">
        <v>487</v>
      </c>
      <c r="P164" s="103">
        <v>59</v>
      </c>
      <c r="Q164" s="2">
        <v>45</v>
      </c>
      <c r="R164" s="226" t="s">
        <v>2277</v>
      </c>
      <c r="U164" s="69"/>
      <c r="V164" s="69"/>
      <c r="W164" s="69"/>
    </row>
    <row r="165" spans="1:23">
      <c r="A165" s="103" t="s">
        <v>218</v>
      </c>
      <c r="C165" s="103" t="s">
        <v>1243</v>
      </c>
      <c r="D165" s="103" t="s">
        <v>1474</v>
      </c>
      <c r="E165" s="103" t="s">
        <v>2272</v>
      </c>
      <c r="F165" s="103" t="s">
        <v>2273</v>
      </c>
      <c r="G165" s="103" t="s">
        <v>2334</v>
      </c>
      <c r="I165" s="103" t="s">
        <v>2275</v>
      </c>
      <c r="J165" s="103" t="s">
        <v>2483</v>
      </c>
      <c r="M165" s="103">
        <v>0.81759999999999999</v>
      </c>
      <c r="O165" s="103" t="s">
        <v>487</v>
      </c>
      <c r="P165" s="103">
        <v>71</v>
      </c>
      <c r="Q165" s="2">
        <v>48</v>
      </c>
      <c r="R165" s="226" t="s">
        <v>2277</v>
      </c>
      <c r="U165" s="69"/>
      <c r="V165" s="69"/>
      <c r="W165" s="69"/>
    </row>
    <row r="166" spans="1:23">
      <c r="A166" s="103" t="s">
        <v>218</v>
      </c>
      <c r="C166" s="103" t="s">
        <v>1243</v>
      </c>
      <c r="D166" s="103" t="s">
        <v>1474</v>
      </c>
      <c r="E166" s="103" t="s">
        <v>2272</v>
      </c>
      <c r="F166" s="103" t="s">
        <v>2273</v>
      </c>
      <c r="G166" s="103" t="s">
        <v>634</v>
      </c>
      <c r="I166" s="103" t="s">
        <v>2275</v>
      </c>
      <c r="J166" s="103" t="s">
        <v>2484</v>
      </c>
      <c r="M166" s="103">
        <v>0.94779999999999998</v>
      </c>
      <c r="O166" s="103" t="s">
        <v>487</v>
      </c>
      <c r="P166" s="103">
        <v>33</v>
      </c>
      <c r="Q166" s="2">
        <v>22</v>
      </c>
      <c r="R166" s="226" t="s">
        <v>2277</v>
      </c>
      <c r="U166" s="69"/>
      <c r="V166" s="69"/>
      <c r="W166" s="69"/>
    </row>
    <row r="167" spans="1:23">
      <c r="A167" s="103" t="s">
        <v>218</v>
      </c>
      <c r="C167" s="103" t="s">
        <v>1243</v>
      </c>
      <c r="D167" s="103" t="s">
        <v>1474</v>
      </c>
      <c r="E167" s="103" t="s">
        <v>2272</v>
      </c>
      <c r="F167" s="103" t="s">
        <v>2273</v>
      </c>
      <c r="G167" s="103" t="s">
        <v>2337</v>
      </c>
      <c r="I167" s="103" t="s">
        <v>2275</v>
      </c>
      <c r="J167" s="103" t="s">
        <v>2485</v>
      </c>
      <c r="M167" s="103">
        <v>0.93210000000000004</v>
      </c>
      <c r="O167" s="103" t="s">
        <v>487</v>
      </c>
      <c r="P167" s="103">
        <v>39</v>
      </c>
      <c r="Q167" s="2">
        <v>24</v>
      </c>
      <c r="R167" s="226" t="s">
        <v>2277</v>
      </c>
      <c r="U167" s="69"/>
      <c r="V167" s="69"/>
      <c r="W167" s="69"/>
    </row>
    <row r="168" spans="1:23">
      <c r="A168" s="103" t="s">
        <v>218</v>
      </c>
      <c r="C168" s="103" t="s">
        <v>1243</v>
      </c>
      <c r="D168" s="103" t="s">
        <v>1474</v>
      </c>
      <c r="E168" s="103" t="s">
        <v>2272</v>
      </c>
      <c r="F168" s="103" t="s">
        <v>2273</v>
      </c>
      <c r="G168" s="103" t="s">
        <v>2339</v>
      </c>
      <c r="I168" s="103" t="s">
        <v>2275</v>
      </c>
      <c r="J168" s="103" t="s">
        <v>2486</v>
      </c>
      <c r="M168" s="103">
        <v>0.95879999999999999</v>
      </c>
      <c r="O168" s="103" t="s">
        <v>487</v>
      </c>
      <c r="P168" s="103">
        <v>32</v>
      </c>
      <c r="Q168" s="2">
        <v>19</v>
      </c>
      <c r="R168" s="226" t="s">
        <v>2277</v>
      </c>
      <c r="U168" s="69"/>
      <c r="V168" s="69"/>
      <c r="W168" s="69"/>
    </row>
    <row r="169" spans="1:23">
      <c r="A169" s="103" t="s">
        <v>218</v>
      </c>
      <c r="C169" s="103" t="s">
        <v>1243</v>
      </c>
      <c r="D169" s="103" t="s">
        <v>1474</v>
      </c>
      <c r="E169" s="103" t="s">
        <v>2272</v>
      </c>
      <c r="F169" s="103" t="s">
        <v>2273</v>
      </c>
      <c r="G169" s="103" t="s">
        <v>2341</v>
      </c>
      <c r="I169" s="103" t="s">
        <v>2275</v>
      </c>
      <c r="J169" s="103" t="s">
        <v>2487</v>
      </c>
      <c r="M169" s="103">
        <v>0.9577</v>
      </c>
      <c r="O169" s="103" t="s">
        <v>487</v>
      </c>
      <c r="P169" s="103">
        <v>50</v>
      </c>
      <c r="Q169" s="2">
        <v>19</v>
      </c>
      <c r="R169" s="226" t="s">
        <v>2277</v>
      </c>
      <c r="U169" s="69"/>
      <c r="V169" s="69"/>
      <c r="W169" s="69"/>
    </row>
    <row r="170" spans="1:23">
      <c r="A170" s="103" t="s">
        <v>218</v>
      </c>
      <c r="C170" s="103" t="s">
        <v>1243</v>
      </c>
      <c r="D170" s="103" t="s">
        <v>1474</v>
      </c>
      <c r="E170" s="103" t="s">
        <v>2272</v>
      </c>
      <c r="F170" s="103" t="s">
        <v>2273</v>
      </c>
      <c r="G170" s="103" t="s">
        <v>2343</v>
      </c>
      <c r="I170" s="103" t="s">
        <v>2275</v>
      </c>
      <c r="J170" s="103" t="s">
        <v>2488</v>
      </c>
      <c r="M170" s="103">
        <v>0.94379999999999997</v>
      </c>
      <c r="O170" s="103" t="s">
        <v>487</v>
      </c>
      <c r="P170" s="103">
        <v>46</v>
      </c>
      <c r="Q170" s="2">
        <v>23</v>
      </c>
      <c r="R170" s="226" t="s">
        <v>2277</v>
      </c>
      <c r="U170" s="69"/>
      <c r="V170" s="69"/>
      <c r="W170" s="69"/>
    </row>
    <row r="171" spans="1:23">
      <c r="A171" s="103" t="s">
        <v>218</v>
      </c>
      <c r="C171" s="103" t="s">
        <v>1243</v>
      </c>
      <c r="D171" s="103" t="s">
        <v>1474</v>
      </c>
      <c r="E171" s="103" t="s">
        <v>2272</v>
      </c>
      <c r="F171" s="103" t="s">
        <v>2273</v>
      </c>
      <c r="G171" s="103" t="s">
        <v>2345</v>
      </c>
      <c r="I171" s="103" t="s">
        <v>2275</v>
      </c>
      <c r="J171" s="103" t="s">
        <v>2489</v>
      </c>
      <c r="M171" s="103">
        <v>0.93169999999999997</v>
      </c>
      <c r="O171" s="103" t="s">
        <v>487</v>
      </c>
      <c r="P171" s="103">
        <v>41</v>
      </c>
      <c r="Q171" s="2">
        <v>26</v>
      </c>
      <c r="R171" s="226" t="s">
        <v>2277</v>
      </c>
      <c r="U171" s="69"/>
      <c r="V171" s="69"/>
      <c r="W171" s="69"/>
    </row>
    <row r="172" spans="1:23">
      <c r="A172" s="103" t="s">
        <v>218</v>
      </c>
      <c r="C172" s="103" t="s">
        <v>1243</v>
      </c>
      <c r="D172" s="103" t="s">
        <v>1474</v>
      </c>
      <c r="E172" s="103" t="s">
        <v>2272</v>
      </c>
      <c r="F172" s="103" t="s">
        <v>2273</v>
      </c>
      <c r="G172" s="103" t="s">
        <v>2347</v>
      </c>
      <c r="I172" s="103" t="s">
        <v>2275</v>
      </c>
      <c r="J172" s="103" t="s">
        <v>2490</v>
      </c>
      <c r="M172" s="103">
        <v>0.79139999999999999</v>
      </c>
      <c r="O172" s="103" t="s">
        <v>487</v>
      </c>
      <c r="P172" s="103">
        <v>77</v>
      </c>
      <c r="Q172" s="2">
        <v>55</v>
      </c>
      <c r="R172" s="226" t="s">
        <v>2277</v>
      </c>
      <c r="U172" s="69"/>
      <c r="V172" s="69"/>
      <c r="W172" s="69"/>
    </row>
    <row r="173" spans="1:23">
      <c r="A173" s="103" t="s">
        <v>218</v>
      </c>
      <c r="C173" s="103" t="s">
        <v>1243</v>
      </c>
      <c r="D173" s="103" t="s">
        <v>1474</v>
      </c>
      <c r="E173" s="103" t="s">
        <v>2272</v>
      </c>
      <c r="F173" s="103" t="s">
        <v>2273</v>
      </c>
      <c r="G173" s="103" t="s">
        <v>2349</v>
      </c>
      <c r="I173" s="103" t="s">
        <v>2275</v>
      </c>
      <c r="J173" s="103" t="s">
        <v>2491</v>
      </c>
      <c r="M173" s="103">
        <v>0.94889999999999997</v>
      </c>
      <c r="O173" s="103" t="s">
        <v>487</v>
      </c>
      <c r="P173" s="103">
        <v>33</v>
      </c>
      <c r="Q173" s="2">
        <v>22</v>
      </c>
      <c r="R173" s="226" t="s">
        <v>2277</v>
      </c>
      <c r="U173" s="69"/>
      <c r="V173" s="69"/>
      <c r="W173" s="69"/>
    </row>
    <row r="174" spans="1:23">
      <c r="A174" s="103" t="s">
        <v>218</v>
      </c>
      <c r="C174" s="103" t="s">
        <v>1243</v>
      </c>
      <c r="D174" s="103" t="s">
        <v>1474</v>
      </c>
      <c r="E174" s="103" t="s">
        <v>2272</v>
      </c>
      <c r="F174" s="103" t="s">
        <v>2273</v>
      </c>
      <c r="G174" s="103" t="s">
        <v>2351</v>
      </c>
      <c r="I174" s="103" t="s">
        <v>2275</v>
      </c>
      <c r="J174" s="103" t="s">
        <v>2492</v>
      </c>
      <c r="M174" s="103">
        <v>0.90910000000000002</v>
      </c>
      <c r="O174" s="103" t="s">
        <v>487</v>
      </c>
      <c r="P174" s="103">
        <v>46</v>
      </c>
      <c r="Q174" s="2">
        <v>31</v>
      </c>
      <c r="R174" s="226" t="s">
        <v>2277</v>
      </c>
      <c r="U174" s="69"/>
      <c r="V174" s="69"/>
      <c r="W174" s="69"/>
    </row>
    <row r="175" spans="1:23">
      <c r="A175" s="103" t="s">
        <v>218</v>
      </c>
      <c r="C175" s="103" t="s">
        <v>1243</v>
      </c>
      <c r="D175" s="103" t="s">
        <v>1474</v>
      </c>
      <c r="E175" s="103" t="s">
        <v>2272</v>
      </c>
      <c r="F175" s="103" t="s">
        <v>2273</v>
      </c>
      <c r="G175" s="103" t="s">
        <v>2353</v>
      </c>
      <c r="I175" s="103" t="s">
        <v>2275</v>
      </c>
      <c r="J175" s="103" t="s">
        <v>2493</v>
      </c>
      <c r="M175" s="103">
        <v>0.93049999999999999</v>
      </c>
      <c r="O175" s="103" t="s">
        <v>487</v>
      </c>
      <c r="P175" s="103">
        <v>39</v>
      </c>
      <c r="Q175" s="2">
        <v>26</v>
      </c>
      <c r="R175" s="226" t="s">
        <v>2277</v>
      </c>
      <c r="U175" s="69"/>
      <c r="V175" s="69"/>
      <c r="W175" s="69"/>
    </row>
    <row r="176" spans="1:23">
      <c r="A176" s="103" t="s">
        <v>218</v>
      </c>
      <c r="C176" s="103" t="s">
        <v>1243</v>
      </c>
      <c r="D176" s="103" t="s">
        <v>1474</v>
      </c>
      <c r="E176" s="103" t="s">
        <v>2272</v>
      </c>
      <c r="F176" s="103" t="s">
        <v>2273</v>
      </c>
      <c r="G176" s="103" t="s">
        <v>2355</v>
      </c>
      <c r="I176" s="103" t="s">
        <v>2275</v>
      </c>
      <c r="J176" s="103" t="s">
        <v>2494</v>
      </c>
      <c r="M176" s="103">
        <v>0.94440000000000002</v>
      </c>
      <c r="O176" s="103" t="s">
        <v>487</v>
      </c>
      <c r="P176" s="103">
        <v>34</v>
      </c>
      <c r="Q176" s="2">
        <v>23</v>
      </c>
      <c r="R176" s="226" t="s">
        <v>2277</v>
      </c>
      <c r="U176" s="69"/>
      <c r="V176" s="69"/>
      <c r="W176" s="69"/>
    </row>
    <row r="177" spans="1:23">
      <c r="A177" s="103" t="s">
        <v>218</v>
      </c>
      <c r="C177" s="103" t="s">
        <v>1243</v>
      </c>
      <c r="D177" s="103" t="s">
        <v>1474</v>
      </c>
      <c r="E177" s="103" t="s">
        <v>2272</v>
      </c>
      <c r="F177" s="103" t="s">
        <v>2273</v>
      </c>
      <c r="G177" s="103" t="s">
        <v>2357</v>
      </c>
      <c r="I177" s="103" t="s">
        <v>2275</v>
      </c>
      <c r="J177" s="103" t="s">
        <v>2495</v>
      </c>
      <c r="M177" s="103">
        <v>0.94369999999999998</v>
      </c>
      <c r="O177" s="103" t="s">
        <v>487</v>
      </c>
      <c r="P177" s="103">
        <v>35</v>
      </c>
      <c r="Q177" s="2">
        <v>24</v>
      </c>
      <c r="R177" s="226" t="s">
        <v>2277</v>
      </c>
      <c r="U177" s="69"/>
      <c r="V177" s="69"/>
      <c r="W177" s="69"/>
    </row>
    <row r="178" spans="1:23">
      <c r="A178" s="103" t="s">
        <v>218</v>
      </c>
      <c r="C178" s="103" t="s">
        <v>1243</v>
      </c>
      <c r="D178" s="103" t="s">
        <v>1474</v>
      </c>
      <c r="E178" s="103" t="s">
        <v>2272</v>
      </c>
      <c r="F178" s="103" t="s">
        <v>2273</v>
      </c>
      <c r="G178" s="103" t="s">
        <v>2359</v>
      </c>
      <c r="I178" s="103" t="s">
        <v>2275</v>
      </c>
      <c r="J178" s="103" t="s">
        <v>2496</v>
      </c>
      <c r="M178" s="103">
        <v>0.91759999999999997</v>
      </c>
      <c r="O178" s="103" t="s">
        <v>487</v>
      </c>
      <c r="P178" s="103">
        <v>43</v>
      </c>
      <c r="Q178" s="2">
        <v>27</v>
      </c>
      <c r="R178" s="226" t="s">
        <v>2277</v>
      </c>
      <c r="U178" s="69"/>
      <c r="V178" s="69"/>
      <c r="W178" s="69"/>
    </row>
    <row r="179" spans="1:23">
      <c r="A179" s="103" t="s">
        <v>218</v>
      </c>
      <c r="C179" s="103" t="s">
        <v>1243</v>
      </c>
      <c r="D179" s="103" t="s">
        <v>1474</v>
      </c>
      <c r="E179" s="103" t="s">
        <v>2272</v>
      </c>
      <c r="F179" s="103" t="s">
        <v>2273</v>
      </c>
      <c r="G179" s="103" t="s">
        <v>2361</v>
      </c>
      <c r="I179" s="103" t="s">
        <v>2275</v>
      </c>
      <c r="J179" s="103" t="s">
        <v>2497</v>
      </c>
      <c r="M179" s="103">
        <v>0.87360000000000004</v>
      </c>
      <c r="O179" s="103" t="s">
        <v>487</v>
      </c>
      <c r="P179" s="103">
        <v>56</v>
      </c>
      <c r="Q179" s="2">
        <v>38</v>
      </c>
      <c r="R179" s="226" t="s">
        <v>2277</v>
      </c>
      <c r="U179" s="69"/>
      <c r="V179" s="69"/>
      <c r="W179" s="69"/>
    </row>
    <row r="180" spans="1:23">
      <c r="A180" s="103" t="s">
        <v>218</v>
      </c>
      <c r="C180" s="103" t="s">
        <v>1243</v>
      </c>
      <c r="D180" s="103" t="s">
        <v>1474</v>
      </c>
      <c r="E180" s="103" t="s">
        <v>2272</v>
      </c>
      <c r="F180" s="103" t="s">
        <v>2273</v>
      </c>
      <c r="G180" s="103" t="s">
        <v>2363</v>
      </c>
      <c r="I180" s="103" t="s">
        <v>2275</v>
      </c>
      <c r="J180" s="103" t="s">
        <v>2498</v>
      </c>
      <c r="M180" s="103">
        <v>0.93779999999999997</v>
      </c>
      <c r="O180" s="103" t="s">
        <v>487</v>
      </c>
      <c r="P180" s="103">
        <v>37</v>
      </c>
      <c r="Q180" s="2">
        <v>25</v>
      </c>
      <c r="R180" s="226" t="s">
        <v>2277</v>
      </c>
      <c r="U180" s="69"/>
      <c r="V180" s="69"/>
      <c r="W180" s="69"/>
    </row>
    <row r="181" spans="1:23">
      <c r="A181" s="103" t="s">
        <v>218</v>
      </c>
      <c r="C181" s="103" t="s">
        <v>2499</v>
      </c>
      <c r="D181" s="103" t="s">
        <v>1474</v>
      </c>
      <c r="E181" s="103" t="s">
        <v>2272</v>
      </c>
      <c r="F181" s="103" t="s">
        <v>2273</v>
      </c>
      <c r="G181" s="103" t="s">
        <v>2274</v>
      </c>
      <c r="H181" s="103" t="s">
        <v>2500</v>
      </c>
      <c r="I181" s="103" t="s">
        <v>2275</v>
      </c>
      <c r="J181" s="103" t="s">
        <v>2501</v>
      </c>
      <c r="M181" s="103">
        <v>0.92810000000000004</v>
      </c>
      <c r="O181" s="103" t="s">
        <v>487</v>
      </c>
      <c r="P181" s="103">
        <v>41</v>
      </c>
      <c r="Q181" s="2">
        <v>27</v>
      </c>
      <c r="R181" s="226" t="s">
        <v>2277</v>
      </c>
      <c r="U181" s="69"/>
      <c r="V181" s="69"/>
      <c r="W181" s="69"/>
    </row>
    <row r="182" spans="1:23">
      <c r="A182" s="103" t="s">
        <v>218</v>
      </c>
      <c r="C182" s="103" t="s">
        <v>2499</v>
      </c>
      <c r="D182" s="103" t="s">
        <v>1474</v>
      </c>
      <c r="E182" s="103" t="s">
        <v>2272</v>
      </c>
      <c r="F182" s="103" t="s">
        <v>2273</v>
      </c>
      <c r="G182" s="103" t="s">
        <v>2278</v>
      </c>
      <c r="H182" s="103" t="s">
        <v>2502</v>
      </c>
      <c r="I182" s="103" t="s">
        <v>2275</v>
      </c>
      <c r="J182" s="103" t="s">
        <v>2503</v>
      </c>
      <c r="M182" s="103">
        <v>0.9546</v>
      </c>
      <c r="O182" s="103" t="s">
        <v>487</v>
      </c>
      <c r="P182" s="103">
        <v>31</v>
      </c>
      <c r="Q182" s="2">
        <v>20</v>
      </c>
      <c r="R182" s="226" t="s">
        <v>2277</v>
      </c>
      <c r="U182" s="69"/>
      <c r="V182" s="69"/>
      <c r="W182" s="69"/>
    </row>
    <row r="183" spans="1:23">
      <c r="A183" s="103" t="s">
        <v>218</v>
      </c>
      <c r="C183" s="103" t="s">
        <v>2499</v>
      </c>
      <c r="D183" s="103" t="s">
        <v>1474</v>
      </c>
      <c r="E183" s="103" t="s">
        <v>2272</v>
      </c>
      <c r="F183" s="103" t="s">
        <v>2273</v>
      </c>
      <c r="G183" s="103" t="s">
        <v>2280</v>
      </c>
      <c r="H183" s="103" t="s">
        <v>2504</v>
      </c>
      <c r="I183" s="103" t="s">
        <v>2275</v>
      </c>
      <c r="J183" s="103" t="s">
        <v>2505</v>
      </c>
      <c r="M183" s="103">
        <v>0.93430000000000002</v>
      </c>
      <c r="O183" s="103" t="s">
        <v>487</v>
      </c>
      <c r="P183" s="103">
        <v>39</v>
      </c>
      <c r="Q183" s="2">
        <v>26</v>
      </c>
      <c r="R183" s="226" t="s">
        <v>2277</v>
      </c>
      <c r="U183" s="69"/>
      <c r="V183" s="69"/>
      <c r="W183" s="69"/>
    </row>
    <row r="184" spans="1:23">
      <c r="A184" s="103" t="s">
        <v>218</v>
      </c>
      <c r="C184" s="103" t="s">
        <v>2499</v>
      </c>
      <c r="D184" s="103" t="s">
        <v>1474</v>
      </c>
      <c r="E184" s="103" t="s">
        <v>2272</v>
      </c>
      <c r="F184" s="103" t="s">
        <v>2273</v>
      </c>
      <c r="G184" s="103" t="s">
        <v>2282</v>
      </c>
      <c r="I184" s="103" t="s">
        <v>2275</v>
      </c>
      <c r="J184" s="103" t="s">
        <v>2506</v>
      </c>
      <c r="M184" s="103">
        <v>0.94210000000000005</v>
      </c>
      <c r="O184" s="103" t="s">
        <v>487</v>
      </c>
      <c r="P184" s="103">
        <v>36</v>
      </c>
      <c r="Q184" s="2">
        <v>25</v>
      </c>
      <c r="R184" s="226" t="s">
        <v>2277</v>
      </c>
      <c r="U184" s="69"/>
      <c r="V184" s="69"/>
      <c r="W184" s="69"/>
    </row>
    <row r="185" spans="1:23">
      <c r="A185" s="103" t="s">
        <v>218</v>
      </c>
      <c r="C185" s="103" t="s">
        <v>2499</v>
      </c>
      <c r="D185" s="103" t="s">
        <v>1474</v>
      </c>
      <c r="E185" s="103" t="s">
        <v>2272</v>
      </c>
      <c r="F185" s="103" t="s">
        <v>2273</v>
      </c>
      <c r="G185" s="103" t="s">
        <v>2284</v>
      </c>
      <c r="H185" s="103" t="s">
        <v>2507</v>
      </c>
      <c r="I185" s="103" t="s">
        <v>2275</v>
      </c>
      <c r="J185" s="103" t="s">
        <v>2508</v>
      </c>
      <c r="M185" s="103">
        <v>0.94840000000000002</v>
      </c>
      <c r="O185" s="103" t="s">
        <v>487</v>
      </c>
      <c r="P185" s="103">
        <v>34</v>
      </c>
      <c r="Q185" s="2">
        <v>22</v>
      </c>
      <c r="R185" s="226" t="s">
        <v>2277</v>
      </c>
      <c r="U185" s="69"/>
      <c r="V185" s="69"/>
      <c r="W185" s="69"/>
    </row>
    <row r="186" spans="1:23">
      <c r="A186" s="103" t="s">
        <v>218</v>
      </c>
      <c r="C186" s="103" t="s">
        <v>2499</v>
      </c>
      <c r="D186" s="103" t="s">
        <v>1474</v>
      </c>
      <c r="E186" s="103" t="s">
        <v>2272</v>
      </c>
      <c r="F186" s="103" t="s">
        <v>2273</v>
      </c>
      <c r="G186" s="103" t="s">
        <v>2286</v>
      </c>
      <c r="I186" s="103" t="s">
        <v>2275</v>
      </c>
      <c r="J186" s="103" t="s">
        <v>2509</v>
      </c>
      <c r="M186" s="103">
        <v>0.94259999999999999</v>
      </c>
      <c r="O186" s="103" t="s">
        <v>487</v>
      </c>
      <c r="P186" s="103">
        <v>36</v>
      </c>
      <c r="Q186" s="2">
        <v>22</v>
      </c>
      <c r="R186" s="226" t="s">
        <v>2277</v>
      </c>
      <c r="U186" s="69"/>
      <c r="V186" s="69"/>
      <c r="W186" s="69"/>
    </row>
    <row r="187" spans="1:23">
      <c r="A187" s="103" t="s">
        <v>218</v>
      </c>
      <c r="C187" s="103" t="s">
        <v>2499</v>
      </c>
      <c r="D187" s="103" t="s">
        <v>1474</v>
      </c>
      <c r="E187" s="103" t="s">
        <v>2272</v>
      </c>
      <c r="F187" s="103" t="s">
        <v>2273</v>
      </c>
      <c r="G187" s="103" t="s">
        <v>2288</v>
      </c>
      <c r="I187" s="103" t="s">
        <v>2275</v>
      </c>
      <c r="J187" s="103" t="s">
        <v>2510</v>
      </c>
      <c r="M187" s="103">
        <v>0.94620000000000004</v>
      </c>
      <c r="O187" s="103" t="s">
        <v>487</v>
      </c>
      <c r="P187" s="103">
        <v>34</v>
      </c>
      <c r="Q187" s="2">
        <v>23</v>
      </c>
      <c r="R187" s="226" t="s">
        <v>2277</v>
      </c>
      <c r="U187" s="69"/>
      <c r="V187" s="69"/>
      <c r="W187" s="69"/>
    </row>
    <row r="188" spans="1:23">
      <c r="A188" s="103" t="s">
        <v>218</v>
      </c>
      <c r="C188" s="103" t="s">
        <v>2499</v>
      </c>
      <c r="D188" s="103" t="s">
        <v>1474</v>
      </c>
      <c r="E188" s="103" t="s">
        <v>2272</v>
      </c>
      <c r="F188" s="103" t="s">
        <v>2273</v>
      </c>
      <c r="G188" s="103" t="s">
        <v>2290</v>
      </c>
      <c r="H188" s="103" t="s">
        <v>2511</v>
      </c>
      <c r="I188" s="103" t="s">
        <v>2275</v>
      </c>
      <c r="J188" s="103" t="s">
        <v>2512</v>
      </c>
      <c r="M188" s="103">
        <v>0.9173</v>
      </c>
      <c r="O188" s="103" t="s">
        <v>487</v>
      </c>
      <c r="P188" s="103">
        <v>44</v>
      </c>
      <c r="Q188" s="2">
        <v>28</v>
      </c>
      <c r="R188" s="226" t="s">
        <v>2277</v>
      </c>
      <c r="U188" s="69"/>
      <c r="V188" s="69"/>
      <c r="W188" s="69"/>
    </row>
    <row r="189" spans="1:23">
      <c r="A189" s="103" t="s">
        <v>218</v>
      </c>
      <c r="C189" s="103" t="s">
        <v>2499</v>
      </c>
      <c r="D189" s="103" t="s">
        <v>1474</v>
      </c>
      <c r="E189" s="103" t="s">
        <v>2272</v>
      </c>
      <c r="F189" s="103" t="s">
        <v>2273</v>
      </c>
      <c r="G189" s="103" t="s">
        <v>2292</v>
      </c>
      <c r="H189" s="103" t="s">
        <v>2513</v>
      </c>
      <c r="I189" s="103" t="s">
        <v>2275</v>
      </c>
      <c r="J189" s="103" t="s">
        <v>2514</v>
      </c>
      <c r="M189" s="103">
        <v>0.92810000000000004</v>
      </c>
      <c r="O189" s="103" t="s">
        <v>487</v>
      </c>
      <c r="P189" s="103">
        <v>41</v>
      </c>
      <c r="Q189" s="2">
        <v>26</v>
      </c>
      <c r="R189" s="226" t="s">
        <v>2277</v>
      </c>
      <c r="U189" s="69"/>
      <c r="V189" s="69"/>
      <c r="W189" s="69"/>
    </row>
    <row r="190" spans="1:23">
      <c r="A190" s="103" t="s">
        <v>218</v>
      </c>
      <c r="C190" s="103" t="s">
        <v>2499</v>
      </c>
      <c r="D190" s="103" t="s">
        <v>1474</v>
      </c>
      <c r="E190" s="103" t="s">
        <v>2272</v>
      </c>
      <c r="F190" s="103" t="s">
        <v>2273</v>
      </c>
      <c r="G190" s="103" t="s">
        <v>2294</v>
      </c>
      <c r="H190" s="103" t="s">
        <v>2515</v>
      </c>
      <c r="I190" s="103" t="s">
        <v>2275</v>
      </c>
      <c r="J190" s="103" t="s">
        <v>2516</v>
      </c>
      <c r="M190" s="103">
        <v>0.94650000000000001</v>
      </c>
      <c r="O190" s="103" t="s">
        <v>487</v>
      </c>
      <c r="P190" s="103">
        <v>34</v>
      </c>
      <c r="Q190" s="2">
        <v>23</v>
      </c>
      <c r="R190" s="226" t="s">
        <v>2277</v>
      </c>
      <c r="U190" s="69"/>
      <c r="V190" s="69"/>
      <c r="W190" s="69"/>
    </row>
    <row r="191" spans="1:23">
      <c r="A191" s="103" t="s">
        <v>218</v>
      </c>
      <c r="C191" s="103" t="s">
        <v>2499</v>
      </c>
      <c r="D191" s="103" t="s">
        <v>1474</v>
      </c>
      <c r="E191" s="103" t="s">
        <v>2272</v>
      </c>
      <c r="F191" s="103" t="s">
        <v>2273</v>
      </c>
      <c r="G191" s="103" t="s">
        <v>2296</v>
      </c>
      <c r="H191" s="103" t="s">
        <v>2517</v>
      </c>
      <c r="I191" s="103" t="s">
        <v>2275</v>
      </c>
      <c r="J191" s="103" t="s">
        <v>2518</v>
      </c>
      <c r="M191" s="103">
        <v>0.96</v>
      </c>
      <c r="O191" s="103" t="s">
        <v>487</v>
      </c>
      <c r="P191" s="103">
        <v>29</v>
      </c>
      <c r="Q191" s="2">
        <v>19</v>
      </c>
      <c r="R191" s="226" t="s">
        <v>2277</v>
      </c>
      <c r="U191" s="69"/>
      <c r="V191" s="69"/>
      <c r="W191" s="69"/>
    </row>
    <row r="192" spans="1:23">
      <c r="A192" s="103" t="s">
        <v>218</v>
      </c>
      <c r="C192" s="103" t="s">
        <v>2499</v>
      </c>
      <c r="D192" s="103" t="s">
        <v>1474</v>
      </c>
      <c r="E192" s="103" t="s">
        <v>2272</v>
      </c>
      <c r="F192" s="103" t="s">
        <v>2273</v>
      </c>
      <c r="G192" s="103" t="s">
        <v>2298</v>
      </c>
      <c r="H192" s="103" t="s">
        <v>2519</v>
      </c>
      <c r="I192" s="103" t="s">
        <v>2275</v>
      </c>
      <c r="J192" s="103" t="s">
        <v>2520</v>
      </c>
      <c r="M192" s="103">
        <v>0.95989999999999998</v>
      </c>
      <c r="O192" s="103" t="s">
        <v>487</v>
      </c>
      <c r="P192" s="103">
        <v>29</v>
      </c>
      <c r="Q192" s="2">
        <v>19</v>
      </c>
      <c r="R192" s="226" t="s">
        <v>2277</v>
      </c>
      <c r="U192" s="69"/>
      <c r="V192" s="69"/>
      <c r="W192" s="69"/>
    </row>
    <row r="193" spans="1:23">
      <c r="A193" s="103" t="s">
        <v>218</v>
      </c>
      <c r="C193" s="103" t="s">
        <v>2499</v>
      </c>
      <c r="D193" s="103" t="s">
        <v>1474</v>
      </c>
      <c r="E193" s="103" t="s">
        <v>2272</v>
      </c>
      <c r="F193" s="103" t="s">
        <v>2273</v>
      </c>
      <c r="G193" s="103" t="s">
        <v>2300</v>
      </c>
      <c r="I193" s="103" t="s">
        <v>2275</v>
      </c>
      <c r="J193" s="103" t="s">
        <v>2521</v>
      </c>
      <c r="M193" s="103">
        <v>0.92600000000000005</v>
      </c>
      <c r="O193" s="103" t="s">
        <v>487</v>
      </c>
      <c r="P193" s="103">
        <v>41</v>
      </c>
      <c r="Q193" s="2">
        <v>28</v>
      </c>
      <c r="R193" s="226" t="s">
        <v>2277</v>
      </c>
      <c r="U193" s="69"/>
      <c r="V193" s="69"/>
      <c r="W193" s="69"/>
    </row>
    <row r="194" spans="1:23">
      <c r="A194" s="103" t="s">
        <v>218</v>
      </c>
      <c r="C194" s="103" t="s">
        <v>2499</v>
      </c>
      <c r="D194" s="103" t="s">
        <v>1474</v>
      </c>
      <c r="E194" s="103" t="s">
        <v>2272</v>
      </c>
      <c r="F194" s="103" t="s">
        <v>2273</v>
      </c>
      <c r="G194" s="103" t="s">
        <v>2302</v>
      </c>
      <c r="I194" s="103" t="s">
        <v>2275</v>
      </c>
      <c r="J194" s="103" t="s">
        <v>2522</v>
      </c>
      <c r="M194" s="103">
        <v>0.95509999999999995</v>
      </c>
      <c r="O194" s="103" t="s">
        <v>487</v>
      </c>
      <c r="P194" s="103">
        <v>31</v>
      </c>
      <c r="Q194" s="2">
        <v>20</v>
      </c>
      <c r="R194" s="226" t="s">
        <v>2277</v>
      </c>
      <c r="U194" s="69"/>
      <c r="V194" s="69"/>
      <c r="W194" s="69"/>
    </row>
    <row r="195" spans="1:23">
      <c r="A195" s="103" t="s">
        <v>218</v>
      </c>
      <c r="C195" s="103" t="s">
        <v>2499</v>
      </c>
      <c r="D195" s="103" t="s">
        <v>1474</v>
      </c>
      <c r="E195" s="103" t="s">
        <v>2272</v>
      </c>
      <c r="F195" s="103" t="s">
        <v>2273</v>
      </c>
      <c r="G195" s="103" t="s">
        <v>2304</v>
      </c>
      <c r="I195" s="103" t="s">
        <v>2275</v>
      </c>
      <c r="J195" s="103" t="s">
        <v>2523</v>
      </c>
      <c r="M195" s="103">
        <v>0.94169999999999998</v>
      </c>
      <c r="O195" s="103" t="s">
        <v>487</v>
      </c>
      <c r="P195" s="103">
        <v>36</v>
      </c>
      <c r="Q195" s="2">
        <v>21</v>
      </c>
      <c r="R195" s="226" t="s">
        <v>2277</v>
      </c>
      <c r="U195" s="69"/>
      <c r="V195" s="69"/>
      <c r="W195" s="69"/>
    </row>
    <row r="196" spans="1:23">
      <c r="A196" s="103" t="s">
        <v>218</v>
      </c>
      <c r="C196" s="103" t="s">
        <v>2499</v>
      </c>
      <c r="D196" s="103" t="s">
        <v>1474</v>
      </c>
      <c r="E196" s="103" t="s">
        <v>2272</v>
      </c>
      <c r="F196" s="103" t="s">
        <v>2273</v>
      </c>
      <c r="G196" s="103" t="s">
        <v>2306</v>
      </c>
      <c r="H196" s="103" t="s">
        <v>2524</v>
      </c>
      <c r="I196" s="103" t="s">
        <v>2275</v>
      </c>
      <c r="J196" s="103" t="s">
        <v>2525</v>
      </c>
      <c r="M196" s="103">
        <v>0.57909999999999995</v>
      </c>
      <c r="O196" s="103" t="s">
        <v>487</v>
      </c>
      <c r="P196" s="103">
        <v>128</v>
      </c>
      <c r="Q196" s="2">
        <v>93</v>
      </c>
      <c r="R196" s="226" t="s">
        <v>2277</v>
      </c>
      <c r="U196" s="69"/>
      <c r="V196" s="69"/>
      <c r="W196" s="69"/>
    </row>
    <row r="197" spans="1:23">
      <c r="A197" s="103" t="s">
        <v>218</v>
      </c>
      <c r="C197" s="103" t="s">
        <v>2499</v>
      </c>
      <c r="D197" s="103" t="s">
        <v>1474</v>
      </c>
      <c r="E197" s="103" t="s">
        <v>2272</v>
      </c>
      <c r="F197" s="103" t="s">
        <v>2273</v>
      </c>
      <c r="G197" s="103" t="s">
        <v>2308</v>
      </c>
      <c r="H197" s="103" t="s">
        <v>2526</v>
      </c>
      <c r="I197" s="103" t="s">
        <v>2275</v>
      </c>
      <c r="J197" s="103" t="s">
        <v>2527</v>
      </c>
      <c r="M197" s="103">
        <v>0.94979999999999998</v>
      </c>
      <c r="O197" s="103" t="s">
        <v>487</v>
      </c>
      <c r="P197" s="103">
        <v>33</v>
      </c>
      <c r="Q197" s="2">
        <v>22</v>
      </c>
      <c r="R197" s="226" t="s">
        <v>2277</v>
      </c>
      <c r="U197" s="69"/>
      <c r="V197" s="69"/>
      <c r="W197" s="69"/>
    </row>
    <row r="198" spans="1:23">
      <c r="A198" s="103" t="s">
        <v>218</v>
      </c>
      <c r="C198" s="103" t="s">
        <v>2499</v>
      </c>
      <c r="D198" s="103" t="s">
        <v>1474</v>
      </c>
      <c r="E198" s="103" t="s">
        <v>2272</v>
      </c>
      <c r="F198" s="103" t="s">
        <v>2273</v>
      </c>
      <c r="G198" s="103" t="s">
        <v>2310</v>
      </c>
      <c r="H198" s="103" t="s">
        <v>2528</v>
      </c>
      <c r="I198" s="103" t="s">
        <v>2275</v>
      </c>
      <c r="J198" s="103" t="s">
        <v>2529</v>
      </c>
      <c r="M198" s="103">
        <v>0.94010000000000005</v>
      </c>
      <c r="O198" s="103" t="s">
        <v>487</v>
      </c>
      <c r="P198" s="103">
        <v>37</v>
      </c>
      <c r="Q198" s="2">
        <v>23</v>
      </c>
      <c r="R198" s="226" t="s">
        <v>2277</v>
      </c>
      <c r="U198" s="69"/>
      <c r="V198" s="69"/>
      <c r="W198" s="69"/>
    </row>
    <row r="199" spans="1:23">
      <c r="A199" s="103" t="s">
        <v>218</v>
      </c>
      <c r="C199" s="103" t="s">
        <v>2499</v>
      </c>
      <c r="D199" s="103" t="s">
        <v>1474</v>
      </c>
      <c r="E199" s="103" t="s">
        <v>2272</v>
      </c>
      <c r="F199" s="103" t="s">
        <v>2273</v>
      </c>
      <c r="G199" s="103" t="s">
        <v>2312</v>
      </c>
      <c r="I199" s="103" t="s">
        <v>2275</v>
      </c>
      <c r="J199" s="103" t="s">
        <v>2472</v>
      </c>
      <c r="M199" s="103">
        <v>0.87270000000000003</v>
      </c>
      <c r="O199" s="103" t="s">
        <v>487</v>
      </c>
      <c r="P199" s="103">
        <v>58</v>
      </c>
      <c r="Q199" s="2">
        <v>28</v>
      </c>
      <c r="R199" s="226" t="s">
        <v>2277</v>
      </c>
      <c r="U199" s="69"/>
      <c r="V199" s="69"/>
      <c r="W199" s="69"/>
    </row>
    <row r="200" spans="1:23">
      <c r="A200" s="103" t="s">
        <v>218</v>
      </c>
      <c r="C200" s="103" t="s">
        <v>2499</v>
      </c>
      <c r="D200" s="103" t="s">
        <v>1474</v>
      </c>
      <c r="E200" s="103" t="s">
        <v>2272</v>
      </c>
      <c r="F200" s="103" t="s">
        <v>2273</v>
      </c>
      <c r="G200" s="103" t="s">
        <v>2314</v>
      </c>
      <c r="I200" s="103" t="s">
        <v>2275</v>
      </c>
      <c r="J200" s="103" t="s">
        <v>2473</v>
      </c>
      <c r="M200" s="103">
        <v>0.91890000000000005</v>
      </c>
      <c r="O200" s="103" t="s">
        <v>487</v>
      </c>
      <c r="P200" s="103">
        <v>44</v>
      </c>
      <c r="Q200" s="2">
        <v>29</v>
      </c>
      <c r="R200" s="226" t="s">
        <v>2277</v>
      </c>
      <c r="U200" s="69"/>
      <c r="V200" s="69"/>
      <c r="W200" s="69"/>
    </row>
    <row r="201" spans="1:23">
      <c r="A201" s="103" t="s">
        <v>218</v>
      </c>
      <c r="C201" s="103" t="s">
        <v>2499</v>
      </c>
      <c r="D201" s="103" t="s">
        <v>1474</v>
      </c>
      <c r="E201" s="103" t="s">
        <v>2272</v>
      </c>
      <c r="F201" s="103" t="s">
        <v>2273</v>
      </c>
      <c r="G201" s="103" t="s">
        <v>2316</v>
      </c>
      <c r="I201" s="103" t="s">
        <v>2275</v>
      </c>
      <c r="J201" s="103" t="s">
        <v>2530</v>
      </c>
      <c r="M201" s="103">
        <v>0.90469999999999995</v>
      </c>
      <c r="O201" s="103" t="s">
        <v>487</v>
      </c>
      <c r="P201" s="103">
        <v>48</v>
      </c>
      <c r="Q201" s="2">
        <v>28</v>
      </c>
      <c r="R201" s="226" t="s">
        <v>2277</v>
      </c>
      <c r="U201" s="69"/>
      <c r="V201" s="69"/>
      <c r="W201" s="69"/>
    </row>
    <row r="202" spans="1:23">
      <c r="A202" s="103" t="s">
        <v>218</v>
      </c>
      <c r="C202" s="103" t="s">
        <v>2499</v>
      </c>
      <c r="D202" s="103" t="s">
        <v>1474</v>
      </c>
      <c r="E202" s="103" t="s">
        <v>2272</v>
      </c>
      <c r="F202" s="103" t="s">
        <v>2273</v>
      </c>
      <c r="G202" s="103" t="s">
        <v>2318</v>
      </c>
      <c r="I202" s="103" t="s">
        <v>2275</v>
      </c>
      <c r="J202" s="103" t="s">
        <v>2475</v>
      </c>
      <c r="M202" s="103">
        <v>0.92310000000000003</v>
      </c>
      <c r="O202" s="103" t="s">
        <v>487</v>
      </c>
      <c r="P202" s="103">
        <v>42</v>
      </c>
      <c r="Q202" s="2">
        <v>29</v>
      </c>
      <c r="R202" s="226" t="s">
        <v>2277</v>
      </c>
      <c r="U202" s="69"/>
      <c r="V202" s="69"/>
      <c r="W202" s="69"/>
    </row>
    <row r="203" spans="1:23">
      <c r="A203" s="103" t="s">
        <v>218</v>
      </c>
      <c r="C203" s="103" t="s">
        <v>2499</v>
      </c>
      <c r="D203" s="103" t="s">
        <v>1474</v>
      </c>
      <c r="E203" s="103" t="s">
        <v>2272</v>
      </c>
      <c r="F203" s="103" t="s">
        <v>2273</v>
      </c>
      <c r="G203" s="103" t="s">
        <v>2320</v>
      </c>
      <c r="H203" s="103" t="s">
        <v>2531</v>
      </c>
      <c r="I203" s="103" t="s">
        <v>2275</v>
      </c>
      <c r="J203" s="103" t="s">
        <v>2532</v>
      </c>
      <c r="M203" s="103">
        <v>0.62190000000000001</v>
      </c>
      <c r="O203" s="103" t="s">
        <v>487</v>
      </c>
      <c r="P203" s="103">
        <v>119</v>
      </c>
      <c r="Q203" s="2">
        <v>87</v>
      </c>
      <c r="R203" s="226" t="s">
        <v>2277</v>
      </c>
      <c r="U203" s="69"/>
      <c r="V203" s="69"/>
      <c r="W203" s="69"/>
    </row>
    <row r="204" spans="1:23">
      <c r="A204" s="103" t="s">
        <v>218</v>
      </c>
      <c r="C204" s="103" t="s">
        <v>2499</v>
      </c>
      <c r="D204" s="103" t="s">
        <v>1474</v>
      </c>
      <c r="E204" s="103" t="s">
        <v>2272</v>
      </c>
      <c r="F204" s="103" t="s">
        <v>2273</v>
      </c>
      <c r="G204" s="103" t="s">
        <v>2322</v>
      </c>
      <c r="H204" s="103" t="s">
        <v>2533</v>
      </c>
      <c r="I204" s="103" t="s">
        <v>2275</v>
      </c>
      <c r="J204" s="103" t="s">
        <v>2534</v>
      </c>
      <c r="M204" s="103">
        <v>0.94040000000000001</v>
      </c>
      <c r="O204" s="103" t="s">
        <v>487</v>
      </c>
      <c r="P204" s="103">
        <v>36</v>
      </c>
      <c r="Q204" s="2">
        <v>24</v>
      </c>
      <c r="R204" s="226" t="s">
        <v>2277</v>
      </c>
      <c r="U204" s="69"/>
      <c r="V204" s="69"/>
      <c r="W204" s="69"/>
    </row>
    <row r="205" spans="1:23">
      <c r="A205" s="103" t="s">
        <v>218</v>
      </c>
      <c r="C205" s="103" t="s">
        <v>2499</v>
      </c>
      <c r="D205" s="103" t="s">
        <v>1474</v>
      </c>
      <c r="E205" s="103" t="s">
        <v>2272</v>
      </c>
      <c r="F205" s="103" t="s">
        <v>2273</v>
      </c>
      <c r="G205" s="103" t="s">
        <v>2324</v>
      </c>
      <c r="H205" s="103" t="s">
        <v>2535</v>
      </c>
      <c r="I205" s="103" t="s">
        <v>2275</v>
      </c>
      <c r="J205" s="103" t="s">
        <v>2536</v>
      </c>
      <c r="M205" s="103">
        <v>0.89459999999999995</v>
      </c>
      <c r="O205" s="103" t="s">
        <v>487</v>
      </c>
      <c r="P205" s="103">
        <v>51</v>
      </c>
      <c r="Q205" s="2">
        <v>27</v>
      </c>
      <c r="R205" s="226" t="s">
        <v>2277</v>
      </c>
      <c r="U205" s="69"/>
      <c r="V205" s="69"/>
      <c r="W205" s="69"/>
    </row>
    <row r="206" spans="1:23">
      <c r="A206" s="103" t="s">
        <v>218</v>
      </c>
      <c r="C206" s="103" t="s">
        <v>2499</v>
      </c>
      <c r="D206" s="103" t="s">
        <v>1474</v>
      </c>
      <c r="E206" s="103" t="s">
        <v>2272</v>
      </c>
      <c r="F206" s="103" t="s">
        <v>2273</v>
      </c>
      <c r="G206" s="103" t="s">
        <v>2326</v>
      </c>
      <c r="H206" s="103" t="s">
        <v>2537</v>
      </c>
      <c r="I206" s="103" t="s">
        <v>2275</v>
      </c>
      <c r="J206" s="103" t="s">
        <v>2479</v>
      </c>
      <c r="M206" s="103">
        <v>0.93489999999999995</v>
      </c>
      <c r="O206" s="103" t="s">
        <v>487</v>
      </c>
      <c r="P206" s="103">
        <v>38</v>
      </c>
      <c r="Q206" s="2">
        <v>25</v>
      </c>
      <c r="R206" s="226" t="s">
        <v>2277</v>
      </c>
      <c r="U206" s="69"/>
      <c r="V206" s="69"/>
      <c r="W206" s="69"/>
    </row>
    <row r="207" spans="1:23">
      <c r="A207" s="103" t="s">
        <v>218</v>
      </c>
      <c r="C207" s="103" t="s">
        <v>2499</v>
      </c>
      <c r="D207" s="103" t="s">
        <v>1474</v>
      </c>
      <c r="E207" s="103" t="s">
        <v>2272</v>
      </c>
      <c r="F207" s="103" t="s">
        <v>2273</v>
      </c>
      <c r="G207" s="103" t="s">
        <v>2328</v>
      </c>
      <c r="I207" s="103" t="s">
        <v>2275</v>
      </c>
      <c r="J207" s="103" t="s">
        <v>2480</v>
      </c>
      <c r="M207" s="103">
        <v>0.92490000000000006</v>
      </c>
      <c r="O207" s="103" t="s">
        <v>487</v>
      </c>
      <c r="P207" s="103">
        <v>42</v>
      </c>
      <c r="Q207" s="2">
        <v>29</v>
      </c>
      <c r="R207" s="226" t="s">
        <v>2277</v>
      </c>
      <c r="U207" s="69"/>
      <c r="V207" s="69"/>
      <c r="W207" s="69"/>
    </row>
    <row r="208" spans="1:23">
      <c r="A208" s="103" t="s">
        <v>218</v>
      </c>
      <c r="C208" s="103" t="s">
        <v>2499</v>
      </c>
      <c r="D208" s="103" t="s">
        <v>1474</v>
      </c>
      <c r="E208" s="103" t="s">
        <v>2272</v>
      </c>
      <c r="F208" s="103" t="s">
        <v>2273</v>
      </c>
      <c r="G208" s="103" t="s">
        <v>2330</v>
      </c>
      <c r="I208" s="103" t="s">
        <v>2275</v>
      </c>
      <c r="J208" s="103" t="s">
        <v>2481</v>
      </c>
      <c r="M208" s="103">
        <v>0.93359999999999999</v>
      </c>
      <c r="O208" s="103" t="s">
        <v>487</v>
      </c>
      <c r="P208" s="103">
        <v>39</v>
      </c>
      <c r="Q208" s="2">
        <v>26</v>
      </c>
      <c r="R208" s="226" t="s">
        <v>2277</v>
      </c>
      <c r="U208" s="69"/>
      <c r="V208" s="69"/>
      <c r="W208" s="69"/>
    </row>
    <row r="209" spans="1:23">
      <c r="A209" s="103" t="s">
        <v>218</v>
      </c>
      <c r="C209" s="103" t="s">
        <v>2499</v>
      </c>
      <c r="D209" s="103" t="s">
        <v>1474</v>
      </c>
      <c r="E209" s="103" t="s">
        <v>2272</v>
      </c>
      <c r="F209" s="103" t="s">
        <v>2273</v>
      </c>
      <c r="G209" s="103" t="s">
        <v>2332</v>
      </c>
      <c r="I209" s="103" t="s">
        <v>2275</v>
      </c>
      <c r="J209" s="103" t="s">
        <v>2482</v>
      </c>
      <c r="M209" s="103">
        <v>0.91769999999999996</v>
      </c>
      <c r="O209" s="103" t="s">
        <v>487</v>
      </c>
      <c r="P209" s="103">
        <v>44</v>
      </c>
      <c r="Q209" s="2">
        <v>31</v>
      </c>
      <c r="R209" s="226" t="s">
        <v>2277</v>
      </c>
      <c r="U209" s="69"/>
      <c r="V209" s="69"/>
      <c r="W209" s="69"/>
    </row>
    <row r="210" spans="1:23">
      <c r="A210" s="103" t="s">
        <v>218</v>
      </c>
      <c r="C210" s="103" t="s">
        <v>2499</v>
      </c>
      <c r="D210" s="103" t="s">
        <v>1474</v>
      </c>
      <c r="E210" s="103" t="s">
        <v>2272</v>
      </c>
      <c r="F210" s="103" t="s">
        <v>2273</v>
      </c>
      <c r="G210" s="103" t="s">
        <v>2334</v>
      </c>
      <c r="H210" s="103" t="s">
        <v>2538</v>
      </c>
      <c r="I210" s="103" t="s">
        <v>2275</v>
      </c>
      <c r="J210" s="103" t="s">
        <v>2539</v>
      </c>
      <c r="M210" s="103">
        <v>0.85319999999999996</v>
      </c>
      <c r="O210" s="103" t="s">
        <v>487</v>
      </c>
      <c r="P210" s="103">
        <v>63</v>
      </c>
      <c r="Q210" s="2">
        <v>43</v>
      </c>
      <c r="R210" s="226" t="s">
        <v>2277</v>
      </c>
      <c r="U210" s="69"/>
      <c r="V210" s="69"/>
      <c r="W210" s="69"/>
    </row>
    <row r="211" spans="1:23">
      <c r="A211" s="103" t="s">
        <v>218</v>
      </c>
      <c r="C211" s="103" t="s">
        <v>2499</v>
      </c>
      <c r="D211" s="103" t="s">
        <v>1474</v>
      </c>
      <c r="E211" s="103" t="s">
        <v>2272</v>
      </c>
      <c r="F211" s="103" t="s">
        <v>2273</v>
      </c>
      <c r="G211" s="103" t="s">
        <v>634</v>
      </c>
      <c r="H211" s="103" t="s">
        <v>2540</v>
      </c>
      <c r="I211" s="103" t="s">
        <v>2275</v>
      </c>
      <c r="J211" s="103" t="s">
        <v>2541</v>
      </c>
      <c r="M211" s="103">
        <v>0.96379999999999999</v>
      </c>
      <c r="O211" s="103" t="s">
        <v>487</v>
      </c>
      <c r="P211" s="103">
        <v>27</v>
      </c>
      <c r="Q211" s="2">
        <v>18</v>
      </c>
      <c r="R211" s="226" t="s">
        <v>2277</v>
      </c>
      <c r="U211" s="69"/>
      <c r="V211" s="69"/>
      <c r="W211" s="69"/>
    </row>
    <row r="212" spans="1:23">
      <c r="A212" s="103" t="s">
        <v>218</v>
      </c>
      <c r="C212" s="103" t="s">
        <v>2499</v>
      </c>
      <c r="D212" s="103" t="s">
        <v>1474</v>
      </c>
      <c r="E212" s="103" t="s">
        <v>2272</v>
      </c>
      <c r="F212" s="103" t="s">
        <v>2273</v>
      </c>
      <c r="G212" s="103" t="s">
        <v>2337</v>
      </c>
      <c r="H212" s="103" t="s">
        <v>2542</v>
      </c>
      <c r="I212" s="103" t="s">
        <v>2275</v>
      </c>
      <c r="J212" s="103" t="s">
        <v>2543</v>
      </c>
      <c r="M212" s="103">
        <v>0.93389999999999995</v>
      </c>
      <c r="O212" s="103" t="s">
        <v>487</v>
      </c>
      <c r="P212" s="103">
        <v>39</v>
      </c>
      <c r="Q212" s="2">
        <v>24</v>
      </c>
      <c r="R212" s="226" t="s">
        <v>2277</v>
      </c>
      <c r="U212" s="69"/>
      <c r="V212" s="69"/>
      <c r="W212" s="69"/>
    </row>
    <row r="213" spans="1:23">
      <c r="A213" s="103" t="s">
        <v>218</v>
      </c>
      <c r="C213" s="103" t="s">
        <v>2499</v>
      </c>
      <c r="D213" s="103" t="s">
        <v>1474</v>
      </c>
      <c r="E213" s="103" t="s">
        <v>2272</v>
      </c>
      <c r="F213" s="103" t="s">
        <v>2273</v>
      </c>
      <c r="G213" s="103" t="s">
        <v>2339</v>
      </c>
      <c r="H213" s="103" t="s">
        <v>2544</v>
      </c>
      <c r="I213" s="103" t="s">
        <v>2275</v>
      </c>
      <c r="J213" s="103" t="s">
        <v>2486</v>
      </c>
      <c r="M213" s="103">
        <v>0.9587</v>
      </c>
      <c r="O213" s="103" t="s">
        <v>487</v>
      </c>
      <c r="P213" s="103">
        <v>29</v>
      </c>
      <c r="Q213" s="2">
        <v>19</v>
      </c>
      <c r="R213" s="226" t="s">
        <v>2277</v>
      </c>
      <c r="U213" s="69"/>
      <c r="V213" s="69"/>
      <c r="W213" s="69"/>
    </row>
    <row r="214" spans="1:23">
      <c r="A214" s="103" t="s">
        <v>218</v>
      </c>
      <c r="C214" s="103" t="s">
        <v>2499</v>
      </c>
      <c r="D214" s="103" t="s">
        <v>1474</v>
      </c>
      <c r="E214" s="103" t="s">
        <v>2272</v>
      </c>
      <c r="F214" s="103" t="s">
        <v>2273</v>
      </c>
      <c r="G214" s="103" t="s">
        <v>2341</v>
      </c>
      <c r="H214" s="103" t="s">
        <v>2545</v>
      </c>
      <c r="I214" s="103" t="s">
        <v>2275</v>
      </c>
      <c r="J214" s="103" t="s">
        <v>2546</v>
      </c>
      <c r="M214" s="103">
        <v>0.95940000000000003</v>
      </c>
      <c r="O214" s="103" t="s">
        <v>487</v>
      </c>
      <c r="P214" s="103">
        <v>29</v>
      </c>
      <c r="Q214" s="2">
        <v>19</v>
      </c>
      <c r="R214" s="226" t="s">
        <v>2277</v>
      </c>
      <c r="U214" s="69"/>
      <c r="V214" s="69"/>
      <c r="W214" s="69"/>
    </row>
    <row r="215" spans="1:23">
      <c r="A215" s="103" t="s">
        <v>218</v>
      </c>
      <c r="C215" s="103" t="s">
        <v>2499</v>
      </c>
      <c r="D215" s="103" t="s">
        <v>1474</v>
      </c>
      <c r="E215" s="103" t="s">
        <v>2272</v>
      </c>
      <c r="F215" s="103" t="s">
        <v>2273</v>
      </c>
      <c r="G215" s="103" t="s">
        <v>2343</v>
      </c>
      <c r="I215" s="103" t="s">
        <v>2275</v>
      </c>
      <c r="J215" s="103" t="s">
        <v>2547</v>
      </c>
      <c r="M215" s="103">
        <v>0.95020000000000004</v>
      </c>
      <c r="O215" s="103" t="s">
        <v>487</v>
      </c>
      <c r="P215" s="103">
        <v>33</v>
      </c>
      <c r="Q215" s="2">
        <v>21</v>
      </c>
      <c r="R215" s="226" t="s">
        <v>2277</v>
      </c>
      <c r="U215" s="69"/>
      <c r="V215" s="69"/>
      <c r="W215" s="69"/>
    </row>
    <row r="216" spans="1:23">
      <c r="A216" s="103" t="s">
        <v>218</v>
      </c>
      <c r="C216" s="103" t="s">
        <v>2499</v>
      </c>
      <c r="D216" s="103" t="s">
        <v>1474</v>
      </c>
      <c r="E216" s="103" t="s">
        <v>2272</v>
      </c>
      <c r="F216" s="103" t="s">
        <v>2273</v>
      </c>
      <c r="G216" s="103" t="s">
        <v>2345</v>
      </c>
      <c r="I216" s="103" t="s">
        <v>2275</v>
      </c>
      <c r="J216" s="103" t="s">
        <v>2548</v>
      </c>
      <c r="M216" s="103">
        <v>0.93240000000000001</v>
      </c>
      <c r="O216" s="103" t="s">
        <v>487</v>
      </c>
      <c r="P216" s="103">
        <v>39</v>
      </c>
      <c r="Q216" s="2">
        <v>26</v>
      </c>
      <c r="R216" s="226" t="s">
        <v>2277</v>
      </c>
      <c r="U216" s="69"/>
      <c r="V216" s="69"/>
      <c r="W216" s="69"/>
    </row>
    <row r="217" spans="1:23">
      <c r="A217" s="103" t="s">
        <v>218</v>
      </c>
      <c r="C217" s="103" t="s">
        <v>2499</v>
      </c>
      <c r="D217" s="103" t="s">
        <v>1474</v>
      </c>
      <c r="E217" s="103" t="s">
        <v>2272</v>
      </c>
      <c r="F217" s="103" t="s">
        <v>2273</v>
      </c>
      <c r="G217" s="103" t="s">
        <v>2347</v>
      </c>
      <c r="H217" s="103" t="s">
        <v>2549</v>
      </c>
      <c r="I217" s="103" t="s">
        <v>2275</v>
      </c>
      <c r="J217" s="103" t="s">
        <v>2550</v>
      </c>
      <c r="M217" s="103">
        <v>0.86019999999999996</v>
      </c>
      <c r="O217" s="103" t="s">
        <v>487</v>
      </c>
      <c r="P217" s="103">
        <v>61</v>
      </c>
      <c r="Q217" s="2">
        <v>43</v>
      </c>
      <c r="R217" s="226" t="s">
        <v>2277</v>
      </c>
      <c r="U217" s="69"/>
      <c r="V217" s="69"/>
      <c r="W217" s="69"/>
    </row>
    <row r="218" spans="1:23">
      <c r="A218" s="103" t="s">
        <v>218</v>
      </c>
      <c r="C218" s="103" t="s">
        <v>2499</v>
      </c>
      <c r="D218" s="103" t="s">
        <v>1474</v>
      </c>
      <c r="E218" s="103" t="s">
        <v>2272</v>
      </c>
      <c r="F218" s="103" t="s">
        <v>2273</v>
      </c>
      <c r="G218" s="103" t="s">
        <v>2349</v>
      </c>
      <c r="H218" s="103" t="s">
        <v>2551</v>
      </c>
      <c r="I218" s="103" t="s">
        <v>2275</v>
      </c>
      <c r="J218" s="103" t="s">
        <v>2552</v>
      </c>
      <c r="M218" s="103">
        <v>0.95540000000000003</v>
      </c>
      <c r="O218" s="103" t="s">
        <v>487</v>
      </c>
      <c r="P218" s="103">
        <v>31</v>
      </c>
      <c r="Q218" s="2">
        <v>20</v>
      </c>
      <c r="R218" s="226" t="s">
        <v>2277</v>
      </c>
      <c r="U218" s="69"/>
      <c r="V218" s="69"/>
      <c r="W218" s="69"/>
    </row>
    <row r="219" spans="1:23">
      <c r="A219" s="103" t="s">
        <v>218</v>
      </c>
      <c r="C219" s="103" t="s">
        <v>2499</v>
      </c>
      <c r="D219" s="103" t="s">
        <v>1474</v>
      </c>
      <c r="E219" s="103" t="s">
        <v>2272</v>
      </c>
      <c r="F219" s="103" t="s">
        <v>2273</v>
      </c>
      <c r="G219" s="103" t="s">
        <v>2351</v>
      </c>
      <c r="H219" s="103" t="s">
        <v>2553</v>
      </c>
      <c r="I219" s="103" t="s">
        <v>2275</v>
      </c>
      <c r="J219" s="103" t="s">
        <v>2554</v>
      </c>
      <c r="M219" s="103">
        <v>0.91749999999999998</v>
      </c>
      <c r="O219" s="103" t="s">
        <v>487</v>
      </c>
      <c r="P219" s="103">
        <v>44</v>
      </c>
      <c r="Q219" s="2">
        <v>30</v>
      </c>
      <c r="R219" s="226" t="s">
        <v>2277</v>
      </c>
      <c r="U219" s="69"/>
      <c r="V219" s="69"/>
      <c r="W219" s="69"/>
    </row>
    <row r="220" spans="1:23">
      <c r="A220" s="103" t="s">
        <v>218</v>
      </c>
      <c r="C220" s="103" t="s">
        <v>2499</v>
      </c>
      <c r="D220" s="103" t="s">
        <v>1474</v>
      </c>
      <c r="E220" s="103" t="s">
        <v>2272</v>
      </c>
      <c r="F220" s="103" t="s">
        <v>2273</v>
      </c>
      <c r="G220" s="103" t="s">
        <v>2353</v>
      </c>
      <c r="H220" s="103" t="s">
        <v>2555</v>
      </c>
      <c r="I220" s="103" t="s">
        <v>2275</v>
      </c>
      <c r="J220" s="103" t="s">
        <v>2556</v>
      </c>
      <c r="M220" s="103">
        <v>0.94840000000000002</v>
      </c>
      <c r="O220" s="103" t="s">
        <v>487</v>
      </c>
      <c r="P220" s="103">
        <v>34</v>
      </c>
      <c r="Q220" s="2">
        <v>23</v>
      </c>
      <c r="R220" s="226" t="s">
        <v>2277</v>
      </c>
      <c r="U220" s="69"/>
      <c r="V220" s="69"/>
      <c r="W220" s="69"/>
    </row>
    <row r="221" spans="1:23">
      <c r="A221" s="103" t="s">
        <v>218</v>
      </c>
      <c r="C221" s="103" t="s">
        <v>2499</v>
      </c>
      <c r="D221" s="103" t="s">
        <v>1474</v>
      </c>
      <c r="E221" s="103" t="s">
        <v>2272</v>
      </c>
      <c r="F221" s="103" t="s">
        <v>2273</v>
      </c>
      <c r="G221" s="103" t="s">
        <v>2355</v>
      </c>
      <c r="H221" s="103" t="s">
        <v>2557</v>
      </c>
      <c r="I221" s="103" t="s">
        <v>2275</v>
      </c>
      <c r="J221" s="103" t="s">
        <v>2558</v>
      </c>
      <c r="M221" s="103">
        <v>0.94569999999999999</v>
      </c>
      <c r="O221" s="103" t="s">
        <v>487</v>
      </c>
      <c r="P221" s="103">
        <v>35</v>
      </c>
      <c r="Q221" s="2">
        <v>23</v>
      </c>
      <c r="R221" s="226" t="s">
        <v>2277</v>
      </c>
      <c r="U221" s="69"/>
      <c r="V221" s="69"/>
      <c r="W221" s="69"/>
    </row>
    <row r="222" spans="1:23">
      <c r="A222" s="103" t="s">
        <v>218</v>
      </c>
      <c r="C222" s="103" t="s">
        <v>2499</v>
      </c>
      <c r="D222" s="103" t="s">
        <v>1474</v>
      </c>
      <c r="E222" s="103" t="s">
        <v>2272</v>
      </c>
      <c r="F222" s="103" t="s">
        <v>2273</v>
      </c>
      <c r="G222" s="103" t="s">
        <v>2357</v>
      </c>
      <c r="I222" s="103" t="s">
        <v>2275</v>
      </c>
      <c r="J222" s="103" t="s">
        <v>2559</v>
      </c>
      <c r="M222" s="103">
        <v>0.95230000000000004</v>
      </c>
      <c r="O222" s="103" t="s">
        <v>487</v>
      </c>
      <c r="P222" s="103">
        <v>32</v>
      </c>
      <c r="Q222" s="2">
        <v>22</v>
      </c>
      <c r="R222" s="226" t="s">
        <v>2277</v>
      </c>
      <c r="U222" s="69"/>
      <c r="V222" s="69"/>
      <c r="W222" s="69"/>
    </row>
    <row r="223" spans="1:23">
      <c r="A223" s="103" t="s">
        <v>218</v>
      </c>
      <c r="C223" s="103" t="s">
        <v>2499</v>
      </c>
      <c r="D223" s="103" t="s">
        <v>1474</v>
      </c>
      <c r="E223" s="103" t="s">
        <v>2272</v>
      </c>
      <c r="F223" s="103" t="s">
        <v>2273</v>
      </c>
      <c r="G223" s="103" t="s">
        <v>2359</v>
      </c>
      <c r="I223" s="103" t="s">
        <v>2275</v>
      </c>
      <c r="J223" s="103" t="s">
        <v>2560</v>
      </c>
      <c r="M223" s="103">
        <v>0.91790000000000005</v>
      </c>
      <c r="O223" s="103" t="s">
        <v>487</v>
      </c>
      <c r="P223" s="103">
        <v>44</v>
      </c>
      <c r="Q223" s="2">
        <v>27</v>
      </c>
      <c r="R223" s="226" t="s">
        <v>2277</v>
      </c>
      <c r="U223" s="69"/>
      <c r="V223" s="69"/>
      <c r="W223" s="69"/>
    </row>
    <row r="224" spans="1:23">
      <c r="A224" s="103" t="s">
        <v>218</v>
      </c>
      <c r="C224" s="103" t="s">
        <v>2499</v>
      </c>
      <c r="D224" s="103" t="s">
        <v>1474</v>
      </c>
      <c r="E224" s="103" t="s">
        <v>2272</v>
      </c>
      <c r="F224" s="103" t="s">
        <v>2273</v>
      </c>
      <c r="G224" s="103" t="s">
        <v>2361</v>
      </c>
      <c r="H224" s="103" t="s">
        <v>2561</v>
      </c>
      <c r="I224" s="103" t="s">
        <v>2275</v>
      </c>
      <c r="J224" s="103" t="s">
        <v>2562</v>
      </c>
      <c r="M224" s="103">
        <v>0.89280000000000004</v>
      </c>
      <c r="O224" s="103" t="s">
        <v>487</v>
      </c>
      <c r="P224" s="103">
        <v>52</v>
      </c>
      <c r="Q224" s="2">
        <v>35</v>
      </c>
      <c r="R224" s="226" t="s">
        <v>2277</v>
      </c>
      <c r="U224" s="69"/>
      <c r="V224" s="69"/>
      <c r="W224" s="69"/>
    </row>
    <row r="225" spans="1:23">
      <c r="A225" s="103" t="s">
        <v>218</v>
      </c>
      <c r="C225" s="103" t="s">
        <v>2499</v>
      </c>
      <c r="D225" s="103" t="s">
        <v>1474</v>
      </c>
      <c r="E225" s="103" t="s">
        <v>2272</v>
      </c>
      <c r="F225" s="103" t="s">
        <v>2273</v>
      </c>
      <c r="G225" s="103" t="s">
        <v>2363</v>
      </c>
      <c r="I225" s="103" t="s">
        <v>2275</v>
      </c>
      <c r="J225" s="103" t="s">
        <v>2563</v>
      </c>
      <c r="M225" s="103">
        <v>0.94230000000000003</v>
      </c>
      <c r="O225" s="103" t="s">
        <v>487</v>
      </c>
      <c r="P225" s="103">
        <v>36</v>
      </c>
      <c r="Q225" s="2">
        <v>24</v>
      </c>
      <c r="R225" s="226" t="s">
        <v>2277</v>
      </c>
      <c r="U225" s="69"/>
      <c r="V225" s="69"/>
      <c r="W225" s="69"/>
    </row>
    <row r="226" spans="1:23">
      <c r="A226" s="103" t="s">
        <v>2564</v>
      </c>
      <c r="C226" s="103" t="s">
        <v>2565</v>
      </c>
      <c r="D226" s="103" t="s">
        <v>1474</v>
      </c>
      <c r="E226" s="103" t="s">
        <v>2272</v>
      </c>
      <c r="F226" s="103" t="s">
        <v>2273</v>
      </c>
      <c r="G226" s="103" t="s">
        <v>2274</v>
      </c>
      <c r="I226" s="103" t="s">
        <v>2275</v>
      </c>
      <c r="J226" s="103" t="s">
        <v>2566</v>
      </c>
      <c r="M226" s="103">
        <v>0.92410000000000003</v>
      </c>
      <c r="O226" s="103" t="s">
        <v>487</v>
      </c>
      <c r="P226" s="103">
        <v>42</v>
      </c>
      <c r="Q226" s="2">
        <v>28</v>
      </c>
      <c r="R226" s="226" t="s">
        <v>2277</v>
      </c>
      <c r="U226" s="69"/>
      <c r="V226" s="69"/>
      <c r="W226" s="69"/>
    </row>
    <row r="227" spans="1:23">
      <c r="A227" s="103" t="s">
        <v>2564</v>
      </c>
      <c r="C227" s="103" t="s">
        <v>2565</v>
      </c>
      <c r="D227" s="103" t="s">
        <v>1474</v>
      </c>
      <c r="E227" s="103" t="s">
        <v>2272</v>
      </c>
      <c r="F227" s="103" t="s">
        <v>2273</v>
      </c>
      <c r="G227" s="103" t="s">
        <v>2278</v>
      </c>
      <c r="I227" s="103" t="s">
        <v>2275</v>
      </c>
      <c r="J227" s="103" t="s">
        <v>2455</v>
      </c>
      <c r="M227" s="103">
        <v>0.94379999999999997</v>
      </c>
      <c r="O227" s="103" t="s">
        <v>487</v>
      </c>
      <c r="P227" s="103">
        <v>97</v>
      </c>
      <c r="Q227" s="2">
        <v>23</v>
      </c>
      <c r="R227" s="226" t="s">
        <v>2277</v>
      </c>
      <c r="U227" s="69"/>
      <c r="V227" s="69"/>
      <c r="W227" s="69"/>
    </row>
    <row r="228" spans="1:23">
      <c r="A228" s="103" t="s">
        <v>2564</v>
      </c>
      <c r="C228" s="103" t="s">
        <v>2565</v>
      </c>
      <c r="D228" s="103" t="s">
        <v>1474</v>
      </c>
      <c r="E228" s="103" t="s">
        <v>2272</v>
      </c>
      <c r="F228" s="103" t="s">
        <v>2273</v>
      </c>
      <c r="G228" s="103" t="s">
        <v>2280</v>
      </c>
      <c r="I228" s="103" t="s">
        <v>2275</v>
      </c>
      <c r="J228" s="103" t="s">
        <v>2456</v>
      </c>
      <c r="M228" s="103">
        <v>0.93340000000000001</v>
      </c>
      <c r="O228" s="103" t="s">
        <v>487</v>
      </c>
      <c r="P228" s="103">
        <v>99</v>
      </c>
      <c r="Q228" s="2">
        <v>26</v>
      </c>
      <c r="R228" s="226" t="s">
        <v>2277</v>
      </c>
      <c r="U228" s="69"/>
      <c r="V228" s="69"/>
      <c r="W228" s="69"/>
    </row>
    <row r="229" spans="1:23">
      <c r="A229" s="103" t="s">
        <v>2564</v>
      </c>
      <c r="C229" s="103" t="s">
        <v>2565</v>
      </c>
      <c r="D229" s="103" t="s">
        <v>1474</v>
      </c>
      <c r="E229" s="103" t="s">
        <v>2272</v>
      </c>
      <c r="F229" s="103" t="s">
        <v>2273</v>
      </c>
      <c r="G229" s="103" t="s">
        <v>2282</v>
      </c>
      <c r="I229" s="103" t="s">
        <v>2275</v>
      </c>
      <c r="J229" s="103" t="s">
        <v>2567</v>
      </c>
      <c r="M229" s="103">
        <v>0.94289999999999996</v>
      </c>
      <c r="O229" s="103" t="s">
        <v>487</v>
      </c>
      <c r="P229" s="103">
        <v>36</v>
      </c>
      <c r="Q229" s="2">
        <v>25</v>
      </c>
      <c r="R229" s="226" t="s">
        <v>2277</v>
      </c>
      <c r="U229" s="69"/>
      <c r="V229" s="69"/>
      <c r="W229" s="69"/>
    </row>
    <row r="230" spans="1:23">
      <c r="A230" s="103" t="s">
        <v>2564</v>
      </c>
      <c r="C230" s="103" t="s">
        <v>2565</v>
      </c>
      <c r="D230" s="103" t="s">
        <v>1474</v>
      </c>
      <c r="E230" s="103" t="s">
        <v>2272</v>
      </c>
      <c r="F230" s="103" t="s">
        <v>2273</v>
      </c>
      <c r="G230" s="103" t="s">
        <v>2284</v>
      </c>
      <c r="I230" s="103" t="s">
        <v>2275</v>
      </c>
      <c r="J230" s="103" t="s">
        <v>2568</v>
      </c>
      <c r="M230" s="103">
        <v>0.94389999999999996</v>
      </c>
      <c r="O230" s="103" t="s">
        <v>487</v>
      </c>
      <c r="P230" s="103">
        <v>35</v>
      </c>
      <c r="Q230" s="2">
        <v>24</v>
      </c>
      <c r="R230" s="226" t="s">
        <v>2277</v>
      </c>
      <c r="U230" s="69"/>
      <c r="V230" s="69"/>
      <c r="W230" s="69"/>
    </row>
    <row r="231" spans="1:23">
      <c r="A231" s="103" t="s">
        <v>2564</v>
      </c>
      <c r="C231" s="103" t="s">
        <v>2565</v>
      </c>
      <c r="D231" s="103" t="s">
        <v>1474</v>
      </c>
      <c r="E231" s="103" t="s">
        <v>2272</v>
      </c>
      <c r="F231" s="103" t="s">
        <v>2273</v>
      </c>
      <c r="G231" s="103" t="s">
        <v>2286</v>
      </c>
      <c r="I231" s="103" t="s">
        <v>2275</v>
      </c>
      <c r="J231" s="103" t="s">
        <v>2569</v>
      </c>
      <c r="M231" s="103">
        <v>0.94020000000000004</v>
      </c>
      <c r="O231" s="103" t="s">
        <v>487</v>
      </c>
      <c r="P231" s="103">
        <v>37</v>
      </c>
      <c r="Q231" s="2">
        <v>23</v>
      </c>
      <c r="R231" s="226" t="s">
        <v>2277</v>
      </c>
      <c r="U231" s="69"/>
      <c r="V231" s="69"/>
      <c r="W231" s="69"/>
    </row>
    <row r="232" spans="1:23">
      <c r="A232" s="103" t="s">
        <v>2564</v>
      </c>
      <c r="C232" s="103" t="s">
        <v>2565</v>
      </c>
      <c r="D232" s="103" t="s">
        <v>1474</v>
      </c>
      <c r="E232" s="103" t="s">
        <v>2272</v>
      </c>
      <c r="F232" s="103" t="s">
        <v>2273</v>
      </c>
      <c r="G232" s="103" t="s">
        <v>2288</v>
      </c>
      <c r="I232" s="103" t="s">
        <v>2275</v>
      </c>
      <c r="J232" s="103" t="s">
        <v>2570</v>
      </c>
      <c r="M232" s="103">
        <v>0.93730000000000002</v>
      </c>
      <c r="O232" s="103" t="s">
        <v>487</v>
      </c>
      <c r="P232" s="103">
        <v>38</v>
      </c>
      <c r="Q232" s="2">
        <v>26</v>
      </c>
      <c r="R232" s="226" t="s">
        <v>2277</v>
      </c>
      <c r="U232" s="69"/>
      <c r="V232" s="69"/>
      <c r="W232" s="69"/>
    </row>
    <row r="233" spans="1:23">
      <c r="A233" s="103" t="s">
        <v>2564</v>
      </c>
      <c r="C233" s="103" t="s">
        <v>2565</v>
      </c>
      <c r="D233" s="103" t="s">
        <v>1474</v>
      </c>
      <c r="E233" s="103" t="s">
        <v>2272</v>
      </c>
      <c r="F233" s="103" t="s">
        <v>2273</v>
      </c>
      <c r="G233" s="103" t="s">
        <v>2290</v>
      </c>
      <c r="I233" s="103" t="s">
        <v>2275</v>
      </c>
      <c r="J233" s="103" t="s">
        <v>2571</v>
      </c>
      <c r="M233" s="103">
        <v>0.92090000000000005</v>
      </c>
      <c r="O233" s="103" t="s">
        <v>487</v>
      </c>
      <c r="P233" s="103">
        <v>43</v>
      </c>
      <c r="Q233" s="2">
        <v>28</v>
      </c>
      <c r="R233" s="226" t="s">
        <v>2277</v>
      </c>
      <c r="U233" s="69"/>
      <c r="V233" s="69"/>
      <c r="W233" s="69"/>
    </row>
    <row r="234" spans="1:23">
      <c r="A234" s="103" t="s">
        <v>2564</v>
      </c>
      <c r="C234" s="103" t="s">
        <v>2565</v>
      </c>
      <c r="D234" s="103" t="s">
        <v>1474</v>
      </c>
      <c r="E234" s="103" t="s">
        <v>2272</v>
      </c>
      <c r="F234" s="103" t="s">
        <v>2273</v>
      </c>
      <c r="G234" s="103" t="s">
        <v>2292</v>
      </c>
      <c r="I234" s="103" t="s">
        <v>2275</v>
      </c>
      <c r="J234" s="103" t="s">
        <v>2572</v>
      </c>
      <c r="M234" s="103">
        <v>0.91959999999999997</v>
      </c>
      <c r="O234" s="103" t="s">
        <v>487</v>
      </c>
      <c r="P234" s="103">
        <v>44</v>
      </c>
      <c r="Q234" s="2">
        <v>29</v>
      </c>
      <c r="R234" s="226" t="s">
        <v>2277</v>
      </c>
      <c r="U234" s="69"/>
      <c r="V234" s="69"/>
      <c r="W234" s="69"/>
    </row>
    <row r="235" spans="1:23">
      <c r="A235" s="103" t="s">
        <v>2564</v>
      </c>
      <c r="C235" s="103" t="s">
        <v>2565</v>
      </c>
      <c r="D235" s="103" t="s">
        <v>1474</v>
      </c>
      <c r="E235" s="103" t="s">
        <v>2272</v>
      </c>
      <c r="F235" s="103" t="s">
        <v>2273</v>
      </c>
      <c r="G235" s="103" t="s">
        <v>2294</v>
      </c>
      <c r="I235" s="103" t="s">
        <v>2275</v>
      </c>
      <c r="J235" s="103" t="s">
        <v>2573</v>
      </c>
      <c r="M235" s="103">
        <v>0.9415</v>
      </c>
      <c r="O235" s="103" t="s">
        <v>487</v>
      </c>
      <c r="P235" s="103">
        <v>36</v>
      </c>
      <c r="Q235" s="2">
        <v>24</v>
      </c>
      <c r="R235" s="226" t="s">
        <v>2277</v>
      </c>
      <c r="U235" s="69"/>
      <c r="V235" s="69"/>
      <c r="W235" s="69"/>
    </row>
    <row r="236" spans="1:23">
      <c r="A236" s="103" t="s">
        <v>2564</v>
      </c>
      <c r="C236" s="103" t="s">
        <v>2565</v>
      </c>
      <c r="D236" s="103" t="s">
        <v>1474</v>
      </c>
      <c r="E236" s="103" t="s">
        <v>2272</v>
      </c>
      <c r="F236" s="103" t="s">
        <v>2273</v>
      </c>
      <c r="G236" s="103" t="s">
        <v>2296</v>
      </c>
      <c r="I236" s="103" t="s">
        <v>2275</v>
      </c>
      <c r="J236" s="103" t="s">
        <v>2574</v>
      </c>
      <c r="M236" s="103">
        <v>0.9516</v>
      </c>
      <c r="O236" s="103" t="s">
        <v>487</v>
      </c>
      <c r="P236" s="103">
        <v>33</v>
      </c>
      <c r="Q236" s="2">
        <v>22</v>
      </c>
      <c r="R236" s="226" t="s">
        <v>2277</v>
      </c>
      <c r="U236" s="69"/>
      <c r="V236" s="69"/>
      <c r="W236" s="69"/>
    </row>
    <row r="237" spans="1:23">
      <c r="A237" s="103" t="s">
        <v>2564</v>
      </c>
      <c r="C237" s="103" t="s">
        <v>2565</v>
      </c>
      <c r="D237" s="103" t="s">
        <v>1474</v>
      </c>
      <c r="E237" s="103" t="s">
        <v>2272</v>
      </c>
      <c r="F237" s="103" t="s">
        <v>2273</v>
      </c>
      <c r="G237" s="103" t="s">
        <v>2298</v>
      </c>
      <c r="I237" s="103" t="s">
        <v>2275</v>
      </c>
      <c r="J237" s="103" t="s">
        <v>2575</v>
      </c>
      <c r="M237" s="103">
        <v>0.95750000000000002</v>
      </c>
      <c r="O237" s="103" t="s">
        <v>487</v>
      </c>
      <c r="P237" s="103">
        <v>30</v>
      </c>
      <c r="Q237" s="2">
        <v>20</v>
      </c>
      <c r="R237" s="226" t="s">
        <v>2277</v>
      </c>
      <c r="U237" s="69"/>
      <c r="V237" s="69"/>
      <c r="W237" s="69"/>
    </row>
    <row r="238" spans="1:23">
      <c r="A238" s="103" t="s">
        <v>2564</v>
      </c>
      <c r="C238" s="103" t="s">
        <v>2565</v>
      </c>
      <c r="D238" s="103" t="s">
        <v>1474</v>
      </c>
      <c r="E238" s="103" t="s">
        <v>2272</v>
      </c>
      <c r="F238" s="103" t="s">
        <v>2273</v>
      </c>
      <c r="G238" s="103" t="s">
        <v>2300</v>
      </c>
      <c r="I238" s="103" t="s">
        <v>2275</v>
      </c>
      <c r="J238" s="103" t="s">
        <v>2576</v>
      </c>
      <c r="M238" s="103">
        <v>0.9224</v>
      </c>
      <c r="O238" s="103" t="s">
        <v>487</v>
      </c>
      <c r="P238" s="103">
        <v>43</v>
      </c>
      <c r="Q238" s="2">
        <v>29</v>
      </c>
      <c r="R238" s="226" t="s">
        <v>2277</v>
      </c>
      <c r="U238" s="69"/>
      <c r="V238" s="69"/>
      <c r="W238" s="69"/>
    </row>
    <row r="239" spans="1:23">
      <c r="A239" s="103" t="s">
        <v>2564</v>
      </c>
      <c r="C239" s="103" t="s">
        <v>2565</v>
      </c>
      <c r="D239" s="103" t="s">
        <v>1474</v>
      </c>
      <c r="E239" s="103" t="s">
        <v>2272</v>
      </c>
      <c r="F239" s="103" t="s">
        <v>2273</v>
      </c>
      <c r="G239" s="103" t="s">
        <v>2302</v>
      </c>
      <c r="I239" s="103" t="s">
        <v>2275</v>
      </c>
      <c r="J239" s="103" t="s">
        <v>2577</v>
      </c>
      <c r="M239" s="103">
        <v>0.9546</v>
      </c>
      <c r="O239" s="103" t="s">
        <v>487</v>
      </c>
      <c r="P239" s="103">
        <v>31</v>
      </c>
      <c r="Q239" s="2">
        <v>20</v>
      </c>
      <c r="R239" s="226" t="s">
        <v>2277</v>
      </c>
      <c r="U239" s="69"/>
      <c r="V239" s="69"/>
      <c r="W239" s="69"/>
    </row>
    <row r="240" spans="1:23">
      <c r="A240" s="103" t="s">
        <v>2564</v>
      </c>
      <c r="C240" s="103" t="s">
        <v>2565</v>
      </c>
      <c r="D240" s="103" t="s">
        <v>1474</v>
      </c>
      <c r="E240" s="103" t="s">
        <v>2272</v>
      </c>
      <c r="F240" s="103" t="s">
        <v>2273</v>
      </c>
      <c r="G240" s="103" t="s">
        <v>2304</v>
      </c>
      <c r="I240" s="103" t="s">
        <v>2275</v>
      </c>
      <c r="J240" s="103" t="s">
        <v>2578</v>
      </c>
      <c r="M240" s="103">
        <v>0.94379999999999997</v>
      </c>
      <c r="O240" s="103" t="s">
        <v>487</v>
      </c>
      <c r="P240" s="103">
        <v>35</v>
      </c>
      <c r="Q240" s="2">
        <v>21</v>
      </c>
      <c r="R240" s="226" t="s">
        <v>2277</v>
      </c>
      <c r="U240" s="69"/>
      <c r="V240" s="69"/>
      <c r="W240" s="69"/>
    </row>
    <row r="241" spans="1:23">
      <c r="A241" s="103" t="s">
        <v>2564</v>
      </c>
      <c r="C241" s="103" t="s">
        <v>2565</v>
      </c>
      <c r="D241" s="103" t="s">
        <v>1474</v>
      </c>
      <c r="E241" s="103" t="s">
        <v>2272</v>
      </c>
      <c r="F241" s="103" t="s">
        <v>2273</v>
      </c>
      <c r="G241" s="103" t="s">
        <v>2306</v>
      </c>
      <c r="I241" s="103" t="s">
        <v>2275</v>
      </c>
      <c r="J241" s="103" t="s">
        <v>2579</v>
      </c>
      <c r="M241" s="103">
        <v>0.44550000000000001</v>
      </c>
      <c r="O241" s="103" t="s">
        <v>487</v>
      </c>
      <c r="P241" s="103">
        <v>159</v>
      </c>
      <c r="Q241" s="2">
        <v>112</v>
      </c>
      <c r="R241" s="226" t="s">
        <v>2277</v>
      </c>
      <c r="U241" s="69"/>
      <c r="V241" s="69"/>
      <c r="W241" s="69"/>
    </row>
    <row r="242" spans="1:23">
      <c r="A242" s="103" t="s">
        <v>2564</v>
      </c>
      <c r="C242" s="103" t="s">
        <v>2565</v>
      </c>
      <c r="D242" s="103" t="s">
        <v>1474</v>
      </c>
      <c r="E242" s="103" t="s">
        <v>2272</v>
      </c>
      <c r="F242" s="103" t="s">
        <v>2273</v>
      </c>
      <c r="G242" s="103" t="s">
        <v>2308</v>
      </c>
      <c r="I242" s="103" t="s">
        <v>2275</v>
      </c>
      <c r="J242" s="103" t="s">
        <v>2580</v>
      </c>
      <c r="M242" s="103">
        <v>0.95089999999999997</v>
      </c>
      <c r="O242" s="103" t="s">
        <v>487</v>
      </c>
      <c r="P242" s="103">
        <v>3</v>
      </c>
      <c r="Q242" s="2">
        <v>21</v>
      </c>
      <c r="R242" s="226" t="s">
        <v>2277</v>
      </c>
      <c r="U242" s="69"/>
      <c r="V242" s="69"/>
      <c r="W242" s="69"/>
    </row>
    <row r="243" spans="1:23">
      <c r="A243" s="103" t="s">
        <v>2564</v>
      </c>
      <c r="C243" s="103" t="s">
        <v>2565</v>
      </c>
      <c r="D243" s="103" t="s">
        <v>1474</v>
      </c>
      <c r="E243" s="103" t="s">
        <v>2272</v>
      </c>
      <c r="F243" s="103" t="s">
        <v>2273</v>
      </c>
      <c r="G243" s="103" t="s">
        <v>2310</v>
      </c>
      <c r="I243" s="103" t="s">
        <v>2275</v>
      </c>
      <c r="J243" s="103" t="s">
        <v>2581</v>
      </c>
      <c r="M243" s="103">
        <v>0.94040000000000001</v>
      </c>
      <c r="O243" s="103" t="s">
        <v>487</v>
      </c>
      <c r="P243" s="103">
        <v>37</v>
      </c>
      <c r="Q243" s="2">
        <v>24</v>
      </c>
      <c r="R243" s="226" t="s">
        <v>2277</v>
      </c>
      <c r="U243" s="69"/>
      <c r="V243" s="69"/>
      <c r="W243" s="69"/>
    </row>
    <row r="244" spans="1:23">
      <c r="A244" s="103" t="s">
        <v>2564</v>
      </c>
      <c r="C244" s="103" t="s">
        <v>2565</v>
      </c>
      <c r="D244" s="103" t="s">
        <v>1474</v>
      </c>
      <c r="E244" s="103" t="s">
        <v>2272</v>
      </c>
      <c r="F244" s="103" t="s">
        <v>2273</v>
      </c>
      <c r="G244" s="103" t="s">
        <v>2312</v>
      </c>
      <c r="I244" s="103" t="s">
        <v>2275</v>
      </c>
      <c r="J244" s="103" t="s">
        <v>2582</v>
      </c>
      <c r="M244" s="103">
        <v>0.87460000000000004</v>
      </c>
      <c r="O244" s="103" t="s">
        <v>487</v>
      </c>
      <c r="P244" s="103">
        <v>59</v>
      </c>
      <c r="Q244" s="2">
        <v>29</v>
      </c>
      <c r="R244" s="226" t="s">
        <v>2277</v>
      </c>
      <c r="U244" s="69"/>
      <c r="V244" s="69"/>
      <c r="W244" s="69"/>
    </row>
    <row r="245" spans="1:23">
      <c r="A245" s="103" t="s">
        <v>2564</v>
      </c>
      <c r="C245" s="103" t="s">
        <v>2565</v>
      </c>
      <c r="D245" s="103" t="s">
        <v>1474</v>
      </c>
      <c r="E245" s="103" t="s">
        <v>2272</v>
      </c>
      <c r="F245" s="103" t="s">
        <v>2273</v>
      </c>
      <c r="G245" s="103" t="s">
        <v>2314</v>
      </c>
      <c r="I245" s="103" t="s">
        <v>2275</v>
      </c>
      <c r="J245" s="103" t="s">
        <v>2583</v>
      </c>
      <c r="M245" s="103">
        <v>0.90939999999999999</v>
      </c>
      <c r="O245" s="103" t="s">
        <v>487</v>
      </c>
      <c r="P245" s="103">
        <v>47</v>
      </c>
      <c r="Q245" s="2">
        <v>31</v>
      </c>
      <c r="R245" s="226" t="s">
        <v>2277</v>
      </c>
      <c r="U245" s="69"/>
      <c r="V245" s="69"/>
      <c r="W245" s="69"/>
    </row>
    <row r="246" spans="1:23">
      <c r="A246" s="103" t="s">
        <v>2564</v>
      </c>
      <c r="C246" s="103" t="s">
        <v>2565</v>
      </c>
      <c r="D246" s="103" t="s">
        <v>1474</v>
      </c>
      <c r="E246" s="103" t="s">
        <v>2272</v>
      </c>
      <c r="F246" s="103" t="s">
        <v>2273</v>
      </c>
      <c r="G246" s="103" t="s">
        <v>2316</v>
      </c>
      <c r="I246" s="103" t="s">
        <v>2275</v>
      </c>
      <c r="J246" s="103" t="s">
        <v>2584</v>
      </c>
      <c r="M246" s="103">
        <v>0.91269999999999996</v>
      </c>
      <c r="O246" s="103" t="s">
        <v>487</v>
      </c>
      <c r="P246" s="103">
        <v>47</v>
      </c>
      <c r="Q246" s="2">
        <v>26</v>
      </c>
      <c r="R246" s="226" t="s">
        <v>2277</v>
      </c>
      <c r="U246" s="69"/>
      <c r="V246" s="69"/>
      <c r="W246" s="69"/>
    </row>
    <row r="247" spans="1:23">
      <c r="A247" s="103" t="s">
        <v>2564</v>
      </c>
      <c r="C247" s="103" t="s">
        <v>2565</v>
      </c>
      <c r="D247" s="103" t="s">
        <v>1474</v>
      </c>
      <c r="E247" s="103" t="s">
        <v>2272</v>
      </c>
      <c r="F247" s="103" t="s">
        <v>2273</v>
      </c>
      <c r="G247" s="103" t="s">
        <v>2318</v>
      </c>
      <c r="I247" s="103" t="s">
        <v>2275</v>
      </c>
      <c r="J247" s="103" t="s">
        <v>2585</v>
      </c>
      <c r="M247" s="103">
        <v>0.90569999999999995</v>
      </c>
      <c r="O247" s="103" t="s">
        <v>487</v>
      </c>
      <c r="P247" s="103">
        <v>48</v>
      </c>
      <c r="Q247" s="2">
        <v>33</v>
      </c>
      <c r="R247" s="226" t="s">
        <v>2277</v>
      </c>
      <c r="U247" s="69"/>
      <c r="V247" s="69"/>
      <c r="W247" s="69"/>
    </row>
    <row r="248" spans="1:23">
      <c r="A248" s="103" t="s">
        <v>2564</v>
      </c>
      <c r="C248" s="103" t="s">
        <v>2565</v>
      </c>
      <c r="D248" s="103" t="s">
        <v>1474</v>
      </c>
      <c r="E248" s="103" t="s">
        <v>2272</v>
      </c>
      <c r="F248" s="103" t="s">
        <v>2273</v>
      </c>
      <c r="G248" s="103" t="s">
        <v>2320</v>
      </c>
      <c r="I248" s="103" t="s">
        <v>2275</v>
      </c>
      <c r="J248" s="103" t="s">
        <v>2586</v>
      </c>
      <c r="M248" s="103">
        <v>0.4632</v>
      </c>
      <c r="O248" s="103" t="s">
        <v>487</v>
      </c>
      <c r="P248" s="103">
        <v>156</v>
      </c>
      <c r="Q248" s="2">
        <v>113</v>
      </c>
      <c r="R248" s="226" t="s">
        <v>2277</v>
      </c>
      <c r="U248" s="69"/>
      <c r="V248" s="69"/>
      <c r="W248" s="69"/>
    </row>
    <row r="249" spans="1:23">
      <c r="A249" s="103" t="s">
        <v>2564</v>
      </c>
      <c r="C249" s="103" t="s">
        <v>2565</v>
      </c>
      <c r="D249" s="103" t="s">
        <v>1474</v>
      </c>
      <c r="E249" s="103" t="s">
        <v>2272</v>
      </c>
      <c r="F249" s="103" t="s">
        <v>2273</v>
      </c>
      <c r="G249" s="103" t="s">
        <v>2322</v>
      </c>
      <c r="I249" s="103" t="s">
        <v>2275</v>
      </c>
      <c r="J249" s="103" t="s">
        <v>2587</v>
      </c>
      <c r="M249" s="103">
        <v>0.94140000000000001</v>
      </c>
      <c r="O249" s="103" t="s">
        <v>487</v>
      </c>
      <c r="P249" s="103">
        <v>36</v>
      </c>
      <c r="Q249" s="2">
        <v>24</v>
      </c>
      <c r="R249" s="226" t="s">
        <v>2277</v>
      </c>
      <c r="U249" s="69"/>
      <c r="V249" s="69"/>
      <c r="W249" s="69"/>
    </row>
    <row r="250" spans="1:23">
      <c r="A250" s="103" t="s">
        <v>2564</v>
      </c>
      <c r="C250" s="103" t="s">
        <v>2565</v>
      </c>
      <c r="D250" s="103" t="s">
        <v>1474</v>
      </c>
      <c r="E250" s="103" t="s">
        <v>2272</v>
      </c>
      <c r="F250" s="103" t="s">
        <v>2273</v>
      </c>
      <c r="G250" s="103" t="s">
        <v>2324</v>
      </c>
      <c r="I250" s="103" t="s">
        <v>2275</v>
      </c>
      <c r="J250" s="103" t="s">
        <v>2588</v>
      </c>
      <c r="M250" s="103">
        <v>0.89070000000000005</v>
      </c>
      <c r="O250" s="103" t="s">
        <v>487</v>
      </c>
      <c r="P250" s="103">
        <v>53</v>
      </c>
      <c r="Q250" s="2">
        <v>29</v>
      </c>
      <c r="R250" s="226" t="s">
        <v>2277</v>
      </c>
      <c r="U250" s="69"/>
      <c r="V250" s="69"/>
      <c r="W250" s="69"/>
    </row>
    <row r="251" spans="1:23">
      <c r="A251" s="103" t="s">
        <v>2564</v>
      </c>
      <c r="C251" s="103" t="s">
        <v>2565</v>
      </c>
      <c r="D251" s="103" t="s">
        <v>1474</v>
      </c>
      <c r="E251" s="103" t="s">
        <v>2272</v>
      </c>
      <c r="F251" s="103" t="s">
        <v>2273</v>
      </c>
      <c r="G251" s="103" t="s">
        <v>2326</v>
      </c>
      <c r="I251" s="103" t="s">
        <v>2275</v>
      </c>
      <c r="J251" s="103" t="s">
        <v>2589</v>
      </c>
      <c r="M251" s="103">
        <v>0.93479999999999996</v>
      </c>
      <c r="O251" s="103" t="s">
        <v>487</v>
      </c>
      <c r="P251" s="103">
        <v>39</v>
      </c>
      <c r="Q251" s="2">
        <v>26</v>
      </c>
      <c r="R251" s="226" t="s">
        <v>2277</v>
      </c>
      <c r="U251" s="69"/>
      <c r="V251" s="69"/>
      <c r="W251" s="69"/>
    </row>
    <row r="252" spans="1:23">
      <c r="A252" s="103" t="s">
        <v>2564</v>
      </c>
      <c r="C252" s="103" t="s">
        <v>2565</v>
      </c>
      <c r="D252" s="103" t="s">
        <v>1474</v>
      </c>
      <c r="E252" s="103" t="s">
        <v>2272</v>
      </c>
      <c r="F252" s="103" t="s">
        <v>2273</v>
      </c>
      <c r="G252" s="103" t="s">
        <v>2328</v>
      </c>
      <c r="I252" s="103" t="s">
        <v>2275</v>
      </c>
      <c r="J252" s="103" t="s">
        <v>2590</v>
      </c>
      <c r="M252" s="103">
        <v>0.90629999999999999</v>
      </c>
      <c r="O252" s="103" t="s">
        <v>487</v>
      </c>
      <c r="P252" s="103">
        <v>48</v>
      </c>
      <c r="Q252" s="2">
        <v>33</v>
      </c>
      <c r="R252" s="226" t="s">
        <v>2277</v>
      </c>
      <c r="U252" s="69"/>
      <c r="V252" s="69"/>
      <c r="W252" s="69"/>
    </row>
    <row r="253" spans="1:23">
      <c r="A253" s="103" t="s">
        <v>2564</v>
      </c>
      <c r="C253" s="103" t="s">
        <v>2565</v>
      </c>
      <c r="D253" s="103" t="s">
        <v>1474</v>
      </c>
      <c r="E253" s="103" t="s">
        <v>2272</v>
      </c>
      <c r="F253" s="103" t="s">
        <v>2273</v>
      </c>
      <c r="G253" s="103" t="s">
        <v>2330</v>
      </c>
      <c r="I253" s="103" t="s">
        <v>2275</v>
      </c>
      <c r="J253" s="103" t="s">
        <v>2591</v>
      </c>
      <c r="M253" s="103">
        <v>0.8962</v>
      </c>
      <c r="O253" s="103" t="s">
        <v>487</v>
      </c>
      <c r="P253" s="103">
        <v>51</v>
      </c>
      <c r="Q253" s="2">
        <v>30</v>
      </c>
      <c r="R253" s="226" t="s">
        <v>2277</v>
      </c>
      <c r="U253" s="69"/>
      <c r="V253" s="69"/>
      <c r="W253" s="69"/>
    </row>
    <row r="254" spans="1:23">
      <c r="A254" s="103" t="s">
        <v>2564</v>
      </c>
      <c r="C254" s="103" t="s">
        <v>2565</v>
      </c>
      <c r="D254" s="103" t="s">
        <v>1474</v>
      </c>
      <c r="E254" s="103" t="s">
        <v>2272</v>
      </c>
      <c r="F254" s="103" t="s">
        <v>2273</v>
      </c>
      <c r="G254" s="103" t="s">
        <v>2332</v>
      </c>
      <c r="I254" s="103" t="s">
        <v>2275</v>
      </c>
      <c r="J254" s="103" t="s">
        <v>2592</v>
      </c>
      <c r="M254" s="103">
        <v>0.87560000000000004</v>
      </c>
      <c r="O254" s="103" t="s">
        <v>487</v>
      </c>
      <c r="P254" s="103">
        <v>57</v>
      </c>
      <c r="Q254" s="2">
        <v>40</v>
      </c>
      <c r="R254" s="226" t="s">
        <v>2277</v>
      </c>
      <c r="U254" s="69"/>
      <c r="V254" s="69"/>
      <c r="W254" s="69"/>
    </row>
    <row r="255" spans="1:23">
      <c r="A255" s="103" t="s">
        <v>2564</v>
      </c>
      <c r="C255" s="103" t="s">
        <v>2565</v>
      </c>
      <c r="D255" s="103" t="s">
        <v>1474</v>
      </c>
      <c r="E255" s="103" t="s">
        <v>2272</v>
      </c>
      <c r="F255" s="103" t="s">
        <v>2273</v>
      </c>
      <c r="G255" s="103" t="s">
        <v>2334</v>
      </c>
      <c r="I255" s="103" t="s">
        <v>2275</v>
      </c>
      <c r="J255" s="103" t="s">
        <v>2593</v>
      </c>
      <c r="M255" s="103">
        <v>0.83189999999999997</v>
      </c>
      <c r="O255" s="103" t="s">
        <v>487</v>
      </c>
      <c r="P255" s="103">
        <v>69</v>
      </c>
      <c r="Q255" s="2">
        <v>47</v>
      </c>
      <c r="R255" s="226" t="s">
        <v>2277</v>
      </c>
      <c r="U255" s="69"/>
      <c r="V255" s="69"/>
      <c r="W255" s="69"/>
    </row>
    <row r="256" spans="1:23">
      <c r="A256" s="103" t="s">
        <v>2564</v>
      </c>
      <c r="C256" s="103" t="s">
        <v>2565</v>
      </c>
      <c r="D256" s="103" t="s">
        <v>1474</v>
      </c>
      <c r="E256" s="103" t="s">
        <v>2272</v>
      </c>
      <c r="F256" s="103" t="s">
        <v>2273</v>
      </c>
      <c r="G256" s="103" t="s">
        <v>634</v>
      </c>
      <c r="I256" s="103" t="s">
        <v>2275</v>
      </c>
      <c r="J256" s="103" t="s">
        <v>2594</v>
      </c>
      <c r="M256" s="103">
        <v>0.94940000000000002</v>
      </c>
      <c r="O256" s="103" t="s">
        <v>487</v>
      </c>
      <c r="P256" s="103">
        <v>33</v>
      </c>
      <c r="Q256" s="2">
        <v>22</v>
      </c>
      <c r="R256" s="226" t="s">
        <v>2277</v>
      </c>
      <c r="U256" s="69"/>
      <c r="V256" s="69"/>
      <c r="W256" s="69"/>
    </row>
    <row r="257" spans="1:23">
      <c r="A257" s="103" t="s">
        <v>2564</v>
      </c>
      <c r="C257" s="103" t="s">
        <v>2565</v>
      </c>
      <c r="D257" s="103" t="s">
        <v>1474</v>
      </c>
      <c r="E257" s="103" t="s">
        <v>2272</v>
      </c>
      <c r="F257" s="103" t="s">
        <v>2273</v>
      </c>
      <c r="G257" s="103" t="s">
        <v>2337</v>
      </c>
      <c r="I257" s="103" t="s">
        <v>2275</v>
      </c>
      <c r="J257" s="103" t="s">
        <v>2595</v>
      </c>
      <c r="M257" s="103">
        <v>0.93810000000000004</v>
      </c>
      <c r="O257" s="103" t="s">
        <v>487</v>
      </c>
      <c r="P257" s="103">
        <v>37</v>
      </c>
      <c r="Q257" s="2">
        <v>23</v>
      </c>
      <c r="R257" s="226" t="s">
        <v>2277</v>
      </c>
      <c r="U257" s="69"/>
      <c r="V257" s="69"/>
      <c r="W257" s="69"/>
    </row>
    <row r="258" spans="1:23">
      <c r="A258" s="103" t="s">
        <v>2564</v>
      </c>
      <c r="C258" s="103" t="s">
        <v>2565</v>
      </c>
      <c r="D258" s="103" t="s">
        <v>1474</v>
      </c>
      <c r="E258" s="103" t="s">
        <v>2272</v>
      </c>
      <c r="F258" s="103" t="s">
        <v>2273</v>
      </c>
      <c r="G258" s="103" t="s">
        <v>2339</v>
      </c>
      <c r="I258" s="103" t="s">
        <v>2275</v>
      </c>
      <c r="J258" s="103" t="s">
        <v>2596</v>
      </c>
      <c r="M258" s="103">
        <v>0.95940000000000003</v>
      </c>
      <c r="O258" s="103" t="s">
        <v>487</v>
      </c>
      <c r="P258" s="103">
        <v>30</v>
      </c>
      <c r="Q258" s="2">
        <v>20</v>
      </c>
      <c r="R258" s="226" t="s">
        <v>2277</v>
      </c>
      <c r="U258" s="69"/>
      <c r="V258" s="69"/>
      <c r="W258" s="69"/>
    </row>
    <row r="259" spans="1:23">
      <c r="A259" s="103" t="s">
        <v>2564</v>
      </c>
      <c r="C259" s="103" t="s">
        <v>2565</v>
      </c>
      <c r="D259" s="103" t="s">
        <v>1474</v>
      </c>
      <c r="E259" s="103" t="s">
        <v>2272</v>
      </c>
      <c r="F259" s="103" t="s">
        <v>2273</v>
      </c>
      <c r="G259" s="103" t="s">
        <v>2341</v>
      </c>
      <c r="I259" s="103" t="s">
        <v>2275</v>
      </c>
      <c r="J259" s="103" t="s">
        <v>2597</v>
      </c>
      <c r="M259" s="103">
        <v>0.95860000000000001</v>
      </c>
      <c r="O259" s="103" t="s">
        <v>487</v>
      </c>
      <c r="P259" s="103">
        <v>30</v>
      </c>
      <c r="Q259" s="2">
        <v>20</v>
      </c>
      <c r="R259" s="226" t="s">
        <v>2277</v>
      </c>
      <c r="U259" s="69"/>
      <c r="V259" s="69"/>
      <c r="W259" s="69"/>
    </row>
    <row r="260" spans="1:23">
      <c r="A260" s="103" t="s">
        <v>2564</v>
      </c>
      <c r="C260" s="103" t="s">
        <v>2565</v>
      </c>
      <c r="D260" s="103" t="s">
        <v>1474</v>
      </c>
      <c r="E260" s="103" t="s">
        <v>2272</v>
      </c>
      <c r="F260" s="103" t="s">
        <v>2273</v>
      </c>
      <c r="G260" s="103" t="s">
        <v>2343</v>
      </c>
      <c r="I260" s="103" t="s">
        <v>2275</v>
      </c>
      <c r="J260" s="103" t="s">
        <v>2598</v>
      </c>
      <c r="M260" s="103">
        <v>0.94440000000000002</v>
      </c>
      <c r="O260" s="103" t="s">
        <v>487</v>
      </c>
      <c r="P260" s="103">
        <v>35</v>
      </c>
      <c r="Q260" s="2">
        <v>24</v>
      </c>
      <c r="R260" s="226" t="s">
        <v>2277</v>
      </c>
      <c r="U260" s="69"/>
      <c r="V260" s="69"/>
      <c r="W260" s="69"/>
    </row>
    <row r="261" spans="1:23">
      <c r="A261" s="103" t="s">
        <v>2564</v>
      </c>
      <c r="C261" s="103" t="s">
        <v>2565</v>
      </c>
      <c r="D261" s="103" t="s">
        <v>1474</v>
      </c>
      <c r="E261" s="103" t="s">
        <v>2272</v>
      </c>
      <c r="F261" s="103" t="s">
        <v>2273</v>
      </c>
      <c r="G261" s="103" t="s">
        <v>2345</v>
      </c>
      <c r="I261" s="103" t="s">
        <v>2275</v>
      </c>
      <c r="J261" s="103" t="s">
        <v>2599</v>
      </c>
      <c r="M261" s="103">
        <v>0.93779999999999997</v>
      </c>
      <c r="O261" s="103" t="s">
        <v>487</v>
      </c>
      <c r="P261" s="103">
        <v>38</v>
      </c>
      <c r="Q261" s="2">
        <v>25</v>
      </c>
      <c r="R261" s="226" t="s">
        <v>2277</v>
      </c>
      <c r="U261" s="69"/>
      <c r="V261" s="69"/>
      <c r="W261" s="69"/>
    </row>
    <row r="262" spans="1:23">
      <c r="A262" s="103" t="s">
        <v>2564</v>
      </c>
      <c r="C262" s="103" t="s">
        <v>2565</v>
      </c>
      <c r="D262" s="103" t="s">
        <v>1474</v>
      </c>
      <c r="E262" s="103" t="s">
        <v>2272</v>
      </c>
      <c r="F262" s="103" t="s">
        <v>2273</v>
      </c>
      <c r="G262" s="103" t="s">
        <v>2347</v>
      </c>
      <c r="I262" s="103" t="s">
        <v>2275</v>
      </c>
      <c r="J262" s="103" t="s">
        <v>2600</v>
      </c>
      <c r="M262" s="103">
        <v>0.75670000000000004</v>
      </c>
      <c r="O262" s="103" t="s">
        <v>487</v>
      </c>
      <c r="P262" s="103">
        <v>88</v>
      </c>
      <c r="Q262" s="2">
        <v>65</v>
      </c>
      <c r="R262" s="226" t="s">
        <v>2277</v>
      </c>
      <c r="U262" s="69"/>
      <c r="V262" s="69"/>
      <c r="W262" s="69"/>
    </row>
    <row r="263" spans="1:23">
      <c r="A263" s="103" t="s">
        <v>2564</v>
      </c>
      <c r="C263" s="103" t="s">
        <v>2565</v>
      </c>
      <c r="D263" s="103" t="s">
        <v>1474</v>
      </c>
      <c r="E263" s="103" t="s">
        <v>2272</v>
      </c>
      <c r="F263" s="103" t="s">
        <v>2273</v>
      </c>
      <c r="G263" s="103" t="s">
        <v>2349</v>
      </c>
      <c r="I263" s="103" t="s">
        <v>2275</v>
      </c>
      <c r="J263" s="103" t="s">
        <v>2601</v>
      </c>
      <c r="M263" s="103">
        <v>0.95340000000000003</v>
      </c>
      <c r="O263" s="103" t="s">
        <v>487</v>
      </c>
      <c r="P263" s="103">
        <v>32</v>
      </c>
      <c r="Q263" s="2">
        <v>21</v>
      </c>
      <c r="R263" s="226" t="s">
        <v>2277</v>
      </c>
      <c r="U263" s="69"/>
      <c r="V263" s="69"/>
      <c r="W263" s="69"/>
    </row>
    <row r="264" spans="1:23">
      <c r="A264" s="103" t="s">
        <v>2564</v>
      </c>
      <c r="C264" s="103" t="s">
        <v>2565</v>
      </c>
      <c r="D264" s="103" t="s">
        <v>1474</v>
      </c>
      <c r="E264" s="103" t="s">
        <v>2272</v>
      </c>
      <c r="F264" s="103" t="s">
        <v>2273</v>
      </c>
      <c r="G264" s="103" t="s">
        <v>2351</v>
      </c>
      <c r="I264" s="103" t="s">
        <v>2275</v>
      </c>
      <c r="J264" s="103" t="s">
        <v>2602</v>
      </c>
      <c r="M264" s="103">
        <v>0.9153</v>
      </c>
      <c r="O264" s="103" t="s">
        <v>487</v>
      </c>
      <c r="P264" s="103">
        <v>45</v>
      </c>
      <c r="Q264" s="2">
        <v>31</v>
      </c>
      <c r="R264" s="226" t="s">
        <v>2277</v>
      </c>
      <c r="U264" s="69"/>
      <c r="V264" s="69"/>
      <c r="W264" s="69"/>
    </row>
    <row r="265" spans="1:23">
      <c r="A265" s="103" t="s">
        <v>2564</v>
      </c>
      <c r="C265" s="103" t="s">
        <v>2565</v>
      </c>
      <c r="D265" s="103" t="s">
        <v>1474</v>
      </c>
      <c r="E265" s="103" t="s">
        <v>2272</v>
      </c>
      <c r="F265" s="103" t="s">
        <v>2273</v>
      </c>
      <c r="G265" s="103" t="s">
        <v>2353</v>
      </c>
      <c r="I265" s="103" t="s">
        <v>2275</v>
      </c>
      <c r="J265" s="103" t="s">
        <v>2603</v>
      </c>
      <c r="M265" s="103">
        <v>0.92689999999999995</v>
      </c>
      <c r="O265" s="103" t="s">
        <v>487</v>
      </c>
      <c r="P265" s="103">
        <v>41</v>
      </c>
      <c r="Q265" s="2">
        <v>28</v>
      </c>
      <c r="R265" s="226" t="s">
        <v>2277</v>
      </c>
      <c r="U265" s="69"/>
      <c r="V265" s="69"/>
      <c r="W265" s="69"/>
    </row>
    <row r="266" spans="1:23">
      <c r="A266" s="103" t="s">
        <v>2564</v>
      </c>
      <c r="C266" s="103" t="s">
        <v>2565</v>
      </c>
      <c r="D266" s="103" t="s">
        <v>1474</v>
      </c>
      <c r="E266" s="103" t="s">
        <v>2272</v>
      </c>
      <c r="F266" s="103" t="s">
        <v>2273</v>
      </c>
      <c r="G266" s="103" t="s">
        <v>2355</v>
      </c>
      <c r="I266" s="103" t="s">
        <v>2275</v>
      </c>
      <c r="J266" s="103" t="s">
        <v>2604</v>
      </c>
      <c r="M266" s="103">
        <v>0.94499999999999995</v>
      </c>
      <c r="O266" s="103" t="s">
        <v>487</v>
      </c>
      <c r="P266" s="103">
        <v>35</v>
      </c>
      <c r="Q266" s="2">
        <v>24</v>
      </c>
      <c r="R266" s="226" t="s">
        <v>2277</v>
      </c>
      <c r="U266" s="69"/>
      <c r="V266" s="69"/>
      <c r="W266" s="69"/>
    </row>
    <row r="267" spans="1:23">
      <c r="A267" s="103" t="s">
        <v>2564</v>
      </c>
      <c r="C267" s="103" t="s">
        <v>2565</v>
      </c>
      <c r="D267" s="103" t="s">
        <v>1474</v>
      </c>
      <c r="E267" s="103" t="s">
        <v>2272</v>
      </c>
      <c r="F267" s="103" t="s">
        <v>2273</v>
      </c>
      <c r="G267" s="103" t="s">
        <v>2357</v>
      </c>
      <c r="I267" s="103" t="s">
        <v>2275</v>
      </c>
      <c r="J267" s="103" t="s">
        <v>2605</v>
      </c>
      <c r="M267" s="103">
        <v>0.94689999999999996</v>
      </c>
      <c r="O267" s="103" t="s">
        <v>487</v>
      </c>
      <c r="P267" s="103">
        <v>34</v>
      </c>
      <c r="Q267" s="2">
        <v>24</v>
      </c>
      <c r="R267" s="226" t="s">
        <v>2277</v>
      </c>
      <c r="U267" s="69"/>
      <c r="V267" s="69"/>
      <c r="W267" s="69"/>
    </row>
    <row r="268" spans="1:23">
      <c r="A268" s="103" t="s">
        <v>2564</v>
      </c>
      <c r="C268" s="103" t="s">
        <v>2565</v>
      </c>
      <c r="D268" s="103" t="s">
        <v>1474</v>
      </c>
      <c r="E268" s="103" t="s">
        <v>2272</v>
      </c>
      <c r="F268" s="103" t="s">
        <v>2273</v>
      </c>
      <c r="G268" s="103" t="s">
        <v>2359</v>
      </c>
      <c r="I268" s="103" t="s">
        <v>2275</v>
      </c>
      <c r="J268" s="103" t="s">
        <v>2606</v>
      </c>
      <c r="M268" s="103">
        <v>0.92430000000000001</v>
      </c>
      <c r="O268" s="103" t="s">
        <v>487</v>
      </c>
      <c r="P268" s="103">
        <v>42</v>
      </c>
      <c r="Q268" s="2">
        <v>27</v>
      </c>
      <c r="R268" s="226" t="s">
        <v>2277</v>
      </c>
      <c r="U268" s="69"/>
      <c r="V268" s="69"/>
      <c r="W268" s="69"/>
    </row>
    <row r="269" spans="1:23">
      <c r="A269" s="103" t="s">
        <v>2564</v>
      </c>
      <c r="C269" s="103" t="s">
        <v>2565</v>
      </c>
      <c r="D269" s="103" t="s">
        <v>1474</v>
      </c>
      <c r="E269" s="103" t="s">
        <v>2272</v>
      </c>
      <c r="F269" s="103" t="s">
        <v>2273</v>
      </c>
      <c r="G269" s="103" t="s">
        <v>2361</v>
      </c>
      <c r="I269" s="103" t="s">
        <v>2275</v>
      </c>
      <c r="J269" s="103" t="s">
        <v>2607</v>
      </c>
      <c r="M269" s="103">
        <v>0.88249999999999995</v>
      </c>
      <c r="O269" s="103" t="s">
        <v>487</v>
      </c>
      <c r="P269" s="103">
        <v>55</v>
      </c>
      <c r="Q269" s="2">
        <v>38</v>
      </c>
      <c r="R269" s="226" t="s">
        <v>2277</v>
      </c>
      <c r="U269" s="69"/>
      <c r="V269" s="69"/>
      <c r="W269" s="69"/>
    </row>
    <row r="270" spans="1:23">
      <c r="A270" s="103" t="s">
        <v>2564</v>
      </c>
      <c r="C270" s="103" t="s">
        <v>2565</v>
      </c>
      <c r="D270" s="103" t="s">
        <v>1474</v>
      </c>
      <c r="E270" s="103" t="s">
        <v>2272</v>
      </c>
      <c r="F270" s="103" t="s">
        <v>2273</v>
      </c>
      <c r="G270" s="103" t="s">
        <v>2363</v>
      </c>
      <c r="I270" s="103" t="s">
        <v>2275</v>
      </c>
      <c r="J270" s="103" t="s">
        <v>2608</v>
      </c>
      <c r="M270" s="103">
        <v>0.93310000000000004</v>
      </c>
      <c r="O270" s="103" t="s">
        <v>487</v>
      </c>
      <c r="P270" s="103">
        <v>39</v>
      </c>
      <c r="Q270" s="2">
        <v>27</v>
      </c>
      <c r="R270" s="226" t="s">
        <v>2277</v>
      </c>
      <c r="U270" s="69"/>
      <c r="V270" s="69"/>
      <c r="W270" s="69"/>
    </row>
    <row r="271" spans="1:23">
      <c r="A271" s="103" t="s">
        <v>273</v>
      </c>
      <c r="B271" s="103" t="s">
        <v>74</v>
      </c>
      <c r="C271" s="103" t="s">
        <v>1243</v>
      </c>
      <c r="D271" s="103" t="s">
        <v>1474</v>
      </c>
      <c r="E271" s="103" t="s">
        <v>2272</v>
      </c>
      <c r="F271" s="103" t="s">
        <v>2273</v>
      </c>
      <c r="G271" s="103" t="s">
        <v>2609</v>
      </c>
      <c r="H271" s="103" t="s">
        <v>2610</v>
      </c>
      <c r="I271" s="103" t="s">
        <v>2275</v>
      </c>
      <c r="J271" s="103" t="s">
        <v>2611</v>
      </c>
      <c r="M271" s="103">
        <v>0.92159999999999997</v>
      </c>
      <c r="N271" s="103">
        <v>27</v>
      </c>
      <c r="O271" s="103" t="s">
        <v>487</v>
      </c>
      <c r="P271" s="103">
        <v>24</v>
      </c>
      <c r="Q271" s="2">
        <v>17</v>
      </c>
      <c r="R271" s="226" t="s">
        <v>2612</v>
      </c>
      <c r="U271" s="69"/>
      <c r="V271" s="69"/>
      <c r="W271" s="69"/>
    </row>
    <row r="272" spans="1:23">
      <c r="A272" s="103" t="s">
        <v>273</v>
      </c>
      <c r="B272" s="103" t="s">
        <v>74</v>
      </c>
      <c r="C272" s="103" t="s">
        <v>1243</v>
      </c>
      <c r="D272" s="103" t="s">
        <v>1474</v>
      </c>
      <c r="E272" s="103" t="s">
        <v>2272</v>
      </c>
      <c r="F272" s="103" t="s">
        <v>2273</v>
      </c>
      <c r="G272" s="103" t="s">
        <v>2613</v>
      </c>
      <c r="H272" s="103" t="s">
        <v>2614</v>
      </c>
      <c r="I272" s="103" t="s">
        <v>2615</v>
      </c>
      <c r="J272" s="103" t="s">
        <v>2616</v>
      </c>
      <c r="M272" s="103">
        <v>0.75690000000000002</v>
      </c>
      <c r="N272" s="103">
        <v>27</v>
      </c>
      <c r="O272" s="103" t="s">
        <v>487</v>
      </c>
      <c r="P272" s="103">
        <v>44</v>
      </c>
      <c r="Q272" s="2">
        <v>27</v>
      </c>
      <c r="R272" s="226" t="s">
        <v>2612</v>
      </c>
      <c r="U272" s="69"/>
      <c r="V272" s="69"/>
      <c r="W272" s="69"/>
    </row>
    <row r="273" spans="1:23">
      <c r="A273" s="103" t="s">
        <v>273</v>
      </c>
      <c r="B273" s="103" t="s">
        <v>74</v>
      </c>
      <c r="C273" s="103" t="s">
        <v>1243</v>
      </c>
      <c r="D273" s="103" t="s">
        <v>1474</v>
      </c>
      <c r="E273" s="103" t="s">
        <v>2272</v>
      </c>
      <c r="F273" s="103" t="s">
        <v>2617</v>
      </c>
      <c r="G273" s="103" t="s">
        <v>2618</v>
      </c>
      <c r="H273" s="103" t="s">
        <v>2619</v>
      </c>
      <c r="I273" s="103" t="s">
        <v>2615</v>
      </c>
      <c r="J273" s="103" t="s">
        <v>2620</v>
      </c>
      <c r="K273" s="103" t="s">
        <v>2621</v>
      </c>
      <c r="M273" s="103">
        <v>0.96</v>
      </c>
      <c r="N273" s="103">
        <v>26</v>
      </c>
      <c r="O273" s="103" t="s">
        <v>487</v>
      </c>
      <c r="P273" s="103">
        <v>22.9</v>
      </c>
      <c r="Q273" s="2">
        <v>12.4</v>
      </c>
      <c r="R273" s="226" t="s">
        <v>2622</v>
      </c>
      <c r="U273" s="69"/>
      <c r="V273" s="69"/>
      <c r="W273" s="69"/>
    </row>
    <row r="274" spans="1:23">
      <c r="A274" s="103" t="s">
        <v>273</v>
      </c>
      <c r="B274" s="103" t="s">
        <v>74</v>
      </c>
      <c r="C274" s="103" t="s">
        <v>1243</v>
      </c>
      <c r="D274" s="103" t="s">
        <v>1474</v>
      </c>
      <c r="E274" s="103" t="s">
        <v>2272</v>
      </c>
      <c r="F274" s="103" t="s">
        <v>2273</v>
      </c>
      <c r="G274" s="103" t="s">
        <v>2623</v>
      </c>
      <c r="H274" s="103" t="s">
        <v>2624</v>
      </c>
      <c r="I274" s="103" t="s">
        <v>2615</v>
      </c>
      <c r="J274" s="103" t="s">
        <v>2625</v>
      </c>
      <c r="M274" s="103">
        <v>0.88359999999999994</v>
      </c>
      <c r="N274" s="103">
        <v>27</v>
      </c>
      <c r="O274" s="103" t="s">
        <v>487</v>
      </c>
      <c r="P274" s="103">
        <v>30</v>
      </c>
      <c r="Q274" s="2">
        <v>22</v>
      </c>
      <c r="R274" s="226" t="s">
        <v>2612</v>
      </c>
      <c r="U274" s="69"/>
      <c r="V274" s="69"/>
      <c r="W274" s="69"/>
    </row>
    <row r="275" spans="1:23">
      <c r="A275" s="103" t="s">
        <v>273</v>
      </c>
      <c r="B275" s="103" t="s">
        <v>74</v>
      </c>
      <c r="C275" s="103" t="s">
        <v>1243</v>
      </c>
      <c r="D275" s="103" t="s">
        <v>1474</v>
      </c>
      <c r="E275" s="103" t="s">
        <v>2272</v>
      </c>
      <c r="F275" s="103" t="s">
        <v>2617</v>
      </c>
      <c r="G275" s="103" t="s">
        <v>2626</v>
      </c>
      <c r="H275" s="103" t="s">
        <v>2627</v>
      </c>
      <c r="I275" s="103" t="s">
        <v>2615</v>
      </c>
      <c r="J275" s="103" t="s">
        <v>2628</v>
      </c>
      <c r="K275" s="103" t="s">
        <v>2621</v>
      </c>
      <c r="M275" s="103">
        <v>0.97</v>
      </c>
      <c r="N275" s="103">
        <v>27</v>
      </c>
      <c r="O275" s="103" t="s">
        <v>487</v>
      </c>
      <c r="P275" s="103">
        <v>20.8</v>
      </c>
      <c r="Q275" s="2">
        <v>15.5</v>
      </c>
      <c r="R275" s="226" t="s">
        <v>2622</v>
      </c>
      <c r="U275" s="69"/>
      <c r="V275" s="69"/>
      <c r="W275" s="69"/>
    </row>
    <row r="276" spans="1:23">
      <c r="A276" s="103" t="s">
        <v>273</v>
      </c>
      <c r="B276" s="103" t="s">
        <v>74</v>
      </c>
      <c r="C276" s="103" t="s">
        <v>1243</v>
      </c>
      <c r="D276" s="103" t="s">
        <v>1474</v>
      </c>
      <c r="E276" s="103" t="s">
        <v>2272</v>
      </c>
      <c r="F276" s="103" t="s">
        <v>2273</v>
      </c>
      <c r="G276" s="103" t="s">
        <v>290</v>
      </c>
      <c r="H276" s="103" t="s">
        <v>2629</v>
      </c>
      <c r="I276" s="103" t="s">
        <v>2275</v>
      </c>
      <c r="J276" s="103" t="s">
        <v>2630</v>
      </c>
      <c r="M276" s="103">
        <v>0.86490000000000011</v>
      </c>
      <c r="N276" s="103">
        <v>27</v>
      </c>
      <c r="O276" s="103" t="s">
        <v>487</v>
      </c>
      <c r="P276" s="103">
        <v>31</v>
      </c>
      <c r="Q276" s="2">
        <v>21</v>
      </c>
      <c r="R276" s="226" t="s">
        <v>2612</v>
      </c>
      <c r="U276" s="69"/>
      <c r="V276" s="69"/>
      <c r="W276" s="69"/>
    </row>
    <row r="277" spans="1:23">
      <c r="A277" s="103" t="s">
        <v>273</v>
      </c>
      <c r="B277" s="103" t="s">
        <v>74</v>
      </c>
      <c r="C277" s="103" t="s">
        <v>1243</v>
      </c>
      <c r="D277" s="103" t="s">
        <v>1474</v>
      </c>
      <c r="E277" s="103" t="s">
        <v>2272</v>
      </c>
      <c r="F277" s="103" t="s">
        <v>2617</v>
      </c>
      <c r="G277" s="103" t="s">
        <v>2631</v>
      </c>
      <c r="H277" s="103" t="s">
        <v>2632</v>
      </c>
      <c r="I277" s="103" t="s">
        <v>2615</v>
      </c>
      <c r="J277" s="103" t="s">
        <v>2633</v>
      </c>
      <c r="K277" s="103" t="s">
        <v>2621</v>
      </c>
      <c r="M277" s="103">
        <v>0.99</v>
      </c>
      <c r="N277" s="103">
        <v>25</v>
      </c>
      <c r="O277" s="103" t="s">
        <v>487</v>
      </c>
      <c r="P277" s="103">
        <v>13.8</v>
      </c>
      <c r="Q277" s="2">
        <v>8</v>
      </c>
      <c r="R277" s="226" t="s">
        <v>2622</v>
      </c>
      <c r="U277" s="69"/>
      <c r="V277" s="69"/>
      <c r="W277" s="69"/>
    </row>
    <row r="278" spans="1:23">
      <c r="A278" s="103" t="s">
        <v>273</v>
      </c>
      <c r="B278" s="103" t="s">
        <v>74</v>
      </c>
      <c r="C278" s="103" t="s">
        <v>1243</v>
      </c>
      <c r="D278" s="103" t="s">
        <v>1474</v>
      </c>
      <c r="E278" s="103" t="s">
        <v>2272</v>
      </c>
      <c r="F278" s="103" t="s">
        <v>2617</v>
      </c>
      <c r="G278" s="103" t="s">
        <v>401</v>
      </c>
      <c r="H278" s="103" t="s">
        <v>2634</v>
      </c>
      <c r="I278" s="103" t="s">
        <v>2615</v>
      </c>
      <c r="J278" s="103" t="s">
        <v>2635</v>
      </c>
      <c r="K278" s="103" t="s">
        <v>2621</v>
      </c>
      <c r="M278" s="103">
        <v>0.98</v>
      </c>
      <c r="N278" s="103">
        <v>21</v>
      </c>
      <c r="O278" s="103" t="s">
        <v>487</v>
      </c>
      <c r="P278" s="103">
        <v>17</v>
      </c>
      <c r="Q278" s="2">
        <v>12</v>
      </c>
      <c r="R278" s="226" t="s">
        <v>2622</v>
      </c>
      <c r="U278" s="69"/>
      <c r="V278" s="69"/>
      <c r="W278" s="69"/>
    </row>
    <row r="279" spans="1:23">
      <c r="A279" s="103" t="s">
        <v>273</v>
      </c>
      <c r="B279" s="103" t="s">
        <v>74</v>
      </c>
      <c r="C279" s="103" t="s">
        <v>1243</v>
      </c>
      <c r="D279" s="103" t="s">
        <v>1474</v>
      </c>
      <c r="E279" s="103" t="s">
        <v>2272</v>
      </c>
      <c r="F279" s="103" t="s">
        <v>2617</v>
      </c>
      <c r="G279" s="103" t="s">
        <v>2636</v>
      </c>
      <c r="H279" s="103" t="s">
        <v>2637</v>
      </c>
      <c r="I279" s="103" t="s">
        <v>2615</v>
      </c>
      <c r="J279" s="103" t="s">
        <v>2638</v>
      </c>
      <c r="K279" s="103" t="s">
        <v>2621</v>
      </c>
      <c r="M279" s="103">
        <v>0.98</v>
      </c>
      <c r="N279" s="103">
        <v>21</v>
      </c>
      <c r="O279" s="103" t="s">
        <v>487</v>
      </c>
      <c r="P279" s="103">
        <v>17.600000000000001</v>
      </c>
      <c r="Q279" s="2">
        <v>14.1</v>
      </c>
      <c r="R279" s="226" t="s">
        <v>2622</v>
      </c>
      <c r="U279" s="69"/>
      <c r="V279" s="69"/>
      <c r="W279" s="69"/>
    </row>
    <row r="280" spans="1:23">
      <c r="A280" s="103" t="s">
        <v>273</v>
      </c>
      <c r="B280" s="103" t="s">
        <v>74</v>
      </c>
      <c r="C280" s="103" t="s">
        <v>1243</v>
      </c>
      <c r="D280" s="103" t="s">
        <v>1474</v>
      </c>
      <c r="E280" s="103" t="s">
        <v>2272</v>
      </c>
      <c r="F280" s="103" t="s">
        <v>2617</v>
      </c>
      <c r="G280" s="103" t="s">
        <v>394</v>
      </c>
      <c r="H280" s="103" t="s">
        <v>2639</v>
      </c>
      <c r="I280" s="103" t="s">
        <v>2615</v>
      </c>
      <c r="J280" s="103" t="s">
        <v>2640</v>
      </c>
      <c r="K280" s="103" t="s">
        <v>2621</v>
      </c>
      <c r="M280" s="103">
        <v>0.98</v>
      </c>
      <c r="N280" s="103">
        <v>21</v>
      </c>
      <c r="O280" s="103" t="s">
        <v>487</v>
      </c>
      <c r="P280" s="103">
        <v>16.8</v>
      </c>
      <c r="Q280" s="2">
        <v>11.1</v>
      </c>
      <c r="R280" s="226" t="s">
        <v>2622</v>
      </c>
      <c r="U280" s="69"/>
      <c r="V280" s="69"/>
      <c r="W280" s="69"/>
    </row>
    <row r="281" spans="1:23">
      <c r="A281" s="103" t="s">
        <v>273</v>
      </c>
      <c r="B281" s="103" t="s">
        <v>74</v>
      </c>
      <c r="C281" s="103" t="s">
        <v>1243</v>
      </c>
      <c r="D281" s="103" t="s">
        <v>1474</v>
      </c>
      <c r="E281" s="103" t="s">
        <v>2272</v>
      </c>
      <c r="F281" s="103" t="s">
        <v>2617</v>
      </c>
      <c r="G281" s="103" t="s">
        <v>2641</v>
      </c>
      <c r="H281" s="103" t="s">
        <v>2642</v>
      </c>
      <c r="I281" s="103" t="s">
        <v>2615</v>
      </c>
      <c r="J281" s="103" t="s">
        <v>2643</v>
      </c>
      <c r="K281" s="103" t="s">
        <v>2621</v>
      </c>
      <c r="M281" s="103">
        <v>0.98</v>
      </c>
      <c r="N281" s="103">
        <v>22</v>
      </c>
      <c r="O281" s="103" t="s">
        <v>487</v>
      </c>
      <c r="P281" s="103">
        <v>17.399999999999999</v>
      </c>
      <c r="Q281" s="2">
        <v>8.3000000000000007</v>
      </c>
      <c r="R281" s="226" t="s">
        <v>2622</v>
      </c>
      <c r="U281" s="69"/>
      <c r="V281" s="69"/>
      <c r="W281" s="69"/>
    </row>
    <row r="282" spans="1:23">
      <c r="A282" s="103" t="s">
        <v>273</v>
      </c>
      <c r="B282" s="103" t="s">
        <v>74</v>
      </c>
      <c r="C282" s="103" t="s">
        <v>1243</v>
      </c>
      <c r="D282" s="103" t="s">
        <v>1474</v>
      </c>
      <c r="E282" s="103" t="s">
        <v>2272</v>
      </c>
      <c r="F282" s="103" t="s">
        <v>2617</v>
      </c>
      <c r="G282" s="103" t="s">
        <v>136</v>
      </c>
      <c r="H282" s="103" t="s">
        <v>2644</v>
      </c>
      <c r="I282" s="103" t="s">
        <v>2615</v>
      </c>
      <c r="J282" s="103" t="s">
        <v>2645</v>
      </c>
      <c r="K282" s="103" t="s">
        <v>2621</v>
      </c>
      <c r="M282" s="103">
        <v>0.98</v>
      </c>
      <c r="N282" s="103">
        <v>23</v>
      </c>
      <c r="O282" s="103" t="s">
        <v>487</v>
      </c>
      <c r="P282" s="103">
        <v>14.3</v>
      </c>
      <c r="Q282" s="2">
        <v>9.1999999999999993</v>
      </c>
      <c r="R282" s="226" t="s">
        <v>2622</v>
      </c>
      <c r="U282" s="69"/>
      <c r="V282" s="69"/>
      <c r="W282" s="69"/>
    </row>
    <row r="283" spans="1:23">
      <c r="A283" s="103" t="s">
        <v>273</v>
      </c>
      <c r="B283" s="103" t="s">
        <v>74</v>
      </c>
      <c r="C283" s="103" t="s">
        <v>1243</v>
      </c>
      <c r="D283" s="103" t="s">
        <v>1474</v>
      </c>
      <c r="E283" s="103" t="s">
        <v>2272</v>
      </c>
      <c r="F283" s="103" t="s">
        <v>2617</v>
      </c>
      <c r="G283" s="103" t="s">
        <v>2646</v>
      </c>
      <c r="H283" s="103" t="s">
        <v>2647</v>
      </c>
      <c r="I283" s="103" t="s">
        <v>2615</v>
      </c>
      <c r="J283" s="103" t="s">
        <v>2648</v>
      </c>
      <c r="K283" s="103" t="s">
        <v>2621</v>
      </c>
      <c r="M283" s="103">
        <v>0.98</v>
      </c>
      <c r="N283" s="103">
        <v>22</v>
      </c>
      <c r="O283" s="103" t="s">
        <v>487</v>
      </c>
      <c r="P283" s="103">
        <v>23.5</v>
      </c>
      <c r="Q283" s="2">
        <v>15.7</v>
      </c>
      <c r="R283" s="226" t="s">
        <v>2622</v>
      </c>
      <c r="U283" s="69"/>
      <c r="V283" s="69"/>
      <c r="W283" s="69"/>
    </row>
    <row r="284" spans="1:23">
      <c r="A284" s="103" t="s">
        <v>273</v>
      </c>
      <c r="B284" s="103" t="s">
        <v>74</v>
      </c>
      <c r="C284" s="103" t="s">
        <v>1243</v>
      </c>
      <c r="D284" s="103" t="s">
        <v>1474</v>
      </c>
      <c r="E284" s="103" t="s">
        <v>2272</v>
      </c>
      <c r="F284" s="103" t="s">
        <v>2617</v>
      </c>
      <c r="G284" s="103" t="s">
        <v>1164</v>
      </c>
      <c r="H284" s="103" t="s">
        <v>2649</v>
      </c>
      <c r="I284" s="103" t="s">
        <v>2615</v>
      </c>
      <c r="J284" s="103" t="s">
        <v>2650</v>
      </c>
      <c r="K284" s="103" t="s">
        <v>2621</v>
      </c>
      <c r="M284" s="103">
        <v>0.98</v>
      </c>
      <c r="N284" s="103">
        <v>23</v>
      </c>
      <c r="O284" s="103" t="s">
        <v>487</v>
      </c>
      <c r="P284" s="103">
        <v>16.7</v>
      </c>
      <c r="Q284" s="2">
        <v>11.3</v>
      </c>
      <c r="R284" s="226" t="s">
        <v>2622</v>
      </c>
      <c r="U284" s="69"/>
      <c r="V284" s="69"/>
      <c r="W284" s="69"/>
    </row>
    <row r="285" spans="1:23">
      <c r="A285" s="103" t="s">
        <v>273</v>
      </c>
      <c r="B285" s="103" t="s">
        <v>74</v>
      </c>
      <c r="C285" s="103" t="s">
        <v>1243</v>
      </c>
      <c r="D285" s="103" t="s">
        <v>1474</v>
      </c>
      <c r="E285" s="103" t="s">
        <v>2272</v>
      </c>
      <c r="F285" s="103" t="s">
        <v>2617</v>
      </c>
      <c r="G285" s="103" t="s">
        <v>714</v>
      </c>
      <c r="H285" s="103" t="s">
        <v>2651</v>
      </c>
      <c r="I285" s="103" t="s">
        <v>2615</v>
      </c>
      <c r="J285" s="103" t="s">
        <v>2652</v>
      </c>
      <c r="K285" s="103" t="s">
        <v>2621</v>
      </c>
      <c r="M285" s="103">
        <v>0.98</v>
      </c>
      <c r="N285" s="103">
        <v>22</v>
      </c>
      <c r="O285" s="103" t="s">
        <v>487</v>
      </c>
      <c r="P285" s="103">
        <v>17</v>
      </c>
      <c r="Q285" s="2">
        <v>10.6</v>
      </c>
      <c r="R285" s="226" t="s">
        <v>2622</v>
      </c>
      <c r="U285" s="69"/>
      <c r="V285" s="69"/>
      <c r="W285" s="69"/>
    </row>
    <row r="286" spans="1:23">
      <c r="A286" s="103" t="s">
        <v>273</v>
      </c>
      <c r="B286" s="103" t="s">
        <v>74</v>
      </c>
      <c r="C286" s="103" t="s">
        <v>1243</v>
      </c>
      <c r="D286" s="103" t="s">
        <v>1474</v>
      </c>
      <c r="E286" s="103" t="s">
        <v>2272</v>
      </c>
      <c r="F286" s="103" t="s">
        <v>2617</v>
      </c>
      <c r="G286" s="103" t="s">
        <v>2653</v>
      </c>
      <c r="H286" s="103" t="s">
        <v>2654</v>
      </c>
      <c r="I286" s="103" t="s">
        <v>2615</v>
      </c>
      <c r="J286" s="103" t="s">
        <v>2655</v>
      </c>
      <c r="K286" s="103" t="s">
        <v>2621</v>
      </c>
      <c r="M286" s="103">
        <v>0.98</v>
      </c>
      <c r="N286" s="103">
        <v>22</v>
      </c>
      <c r="O286" s="103" t="s">
        <v>487</v>
      </c>
      <c r="P286" s="103">
        <v>14.2</v>
      </c>
      <c r="Q286" s="2">
        <v>9.6999999999999993</v>
      </c>
      <c r="R286" s="226" t="s">
        <v>2622</v>
      </c>
      <c r="U286" s="69"/>
      <c r="V286" s="69"/>
      <c r="W286" s="69"/>
    </row>
    <row r="287" spans="1:23">
      <c r="A287" s="103" t="s">
        <v>273</v>
      </c>
      <c r="B287" s="103" t="s">
        <v>74</v>
      </c>
      <c r="C287" s="103" t="s">
        <v>1243</v>
      </c>
      <c r="D287" s="103" t="s">
        <v>1474</v>
      </c>
      <c r="E287" s="103" t="s">
        <v>2272</v>
      </c>
      <c r="F287" s="103" t="s">
        <v>2617</v>
      </c>
      <c r="G287" s="103" t="s">
        <v>213</v>
      </c>
      <c r="H287" s="103" t="s">
        <v>2656</v>
      </c>
      <c r="I287" s="103" t="s">
        <v>2615</v>
      </c>
      <c r="J287" s="103" t="s">
        <v>2657</v>
      </c>
      <c r="K287" s="103" t="s">
        <v>2621</v>
      </c>
      <c r="M287" s="103">
        <v>0.97</v>
      </c>
      <c r="N287" s="103">
        <v>22</v>
      </c>
      <c r="O287" s="103" t="s">
        <v>487</v>
      </c>
      <c r="P287" s="103">
        <v>20.3</v>
      </c>
      <c r="Q287" s="2">
        <v>9</v>
      </c>
      <c r="R287" s="226" t="s">
        <v>2622</v>
      </c>
      <c r="U287" s="69"/>
      <c r="V287" s="69"/>
      <c r="W287" s="69"/>
    </row>
    <row r="288" spans="1:23">
      <c r="A288" s="103" t="s">
        <v>273</v>
      </c>
      <c r="B288" s="103" t="s">
        <v>74</v>
      </c>
      <c r="C288" s="103" t="s">
        <v>1243</v>
      </c>
      <c r="D288" s="103" t="s">
        <v>1474</v>
      </c>
      <c r="E288" s="103" t="s">
        <v>2272</v>
      </c>
      <c r="F288" s="103" t="s">
        <v>2617</v>
      </c>
      <c r="G288" s="103" t="s">
        <v>121</v>
      </c>
      <c r="H288" s="103" t="s">
        <v>2658</v>
      </c>
      <c r="I288" s="103" t="s">
        <v>2615</v>
      </c>
      <c r="J288" s="103" t="s">
        <v>2659</v>
      </c>
      <c r="K288" s="103" t="s">
        <v>2621</v>
      </c>
      <c r="M288" s="103">
        <v>0.98</v>
      </c>
      <c r="N288" s="103">
        <v>24</v>
      </c>
      <c r="O288" s="103" t="s">
        <v>487</v>
      </c>
      <c r="P288" s="103">
        <v>15.4</v>
      </c>
      <c r="Q288" s="2">
        <v>10.6</v>
      </c>
      <c r="R288" s="226" t="s">
        <v>2622</v>
      </c>
      <c r="U288" s="69"/>
      <c r="V288" s="69"/>
      <c r="W288" s="69"/>
    </row>
    <row r="289" spans="1:23">
      <c r="A289" s="103" t="s">
        <v>273</v>
      </c>
      <c r="B289" s="103" t="s">
        <v>74</v>
      </c>
      <c r="C289" s="103" t="s">
        <v>1243</v>
      </c>
      <c r="D289" s="103" t="s">
        <v>1474</v>
      </c>
      <c r="E289" s="103" t="s">
        <v>2272</v>
      </c>
      <c r="F289" s="103" t="s">
        <v>2617</v>
      </c>
      <c r="G289" s="103" t="s">
        <v>1187</v>
      </c>
      <c r="H289" s="103" t="s">
        <v>2660</v>
      </c>
      <c r="I289" s="103" t="s">
        <v>2615</v>
      </c>
      <c r="J289" s="103" t="s">
        <v>2661</v>
      </c>
      <c r="K289" s="103" t="s">
        <v>2621</v>
      </c>
      <c r="M289" s="103">
        <v>0.97</v>
      </c>
      <c r="N289" s="103">
        <v>24</v>
      </c>
      <c r="O289" s="103" t="s">
        <v>487</v>
      </c>
      <c r="P289" s="103">
        <v>19.3</v>
      </c>
      <c r="Q289" s="2">
        <v>13.1</v>
      </c>
      <c r="R289" s="226" t="s">
        <v>2622</v>
      </c>
      <c r="U289" s="69"/>
      <c r="V289" s="69"/>
      <c r="W289" s="69"/>
    </row>
    <row r="290" spans="1:23">
      <c r="A290" s="103" t="s">
        <v>273</v>
      </c>
      <c r="B290" s="103" t="s">
        <v>74</v>
      </c>
      <c r="C290" s="103" t="s">
        <v>1243</v>
      </c>
      <c r="D290" s="103" t="s">
        <v>1474</v>
      </c>
      <c r="E290" s="103" t="s">
        <v>2272</v>
      </c>
      <c r="F290" s="103" t="s">
        <v>2617</v>
      </c>
      <c r="G290" s="103" t="s">
        <v>710</v>
      </c>
      <c r="H290" s="103" t="s">
        <v>2662</v>
      </c>
      <c r="I290" s="103" t="s">
        <v>2615</v>
      </c>
      <c r="J290" s="103" t="s">
        <v>2663</v>
      </c>
      <c r="K290" s="103" t="s">
        <v>2621</v>
      </c>
      <c r="M290" s="103">
        <v>0.98</v>
      </c>
      <c r="N290" s="103">
        <v>22</v>
      </c>
      <c r="O290" s="103" t="s">
        <v>487</v>
      </c>
      <c r="P290" s="103">
        <v>14.3</v>
      </c>
      <c r="Q290" s="2">
        <v>9.6</v>
      </c>
      <c r="R290" s="226" t="s">
        <v>2622</v>
      </c>
      <c r="U290" s="69"/>
      <c r="V290" s="69"/>
      <c r="W290" s="69"/>
    </row>
    <row r="291" spans="1:23">
      <c r="A291" s="103" t="s">
        <v>273</v>
      </c>
      <c r="B291" s="103" t="s">
        <v>74</v>
      </c>
      <c r="C291" s="103" t="s">
        <v>1243</v>
      </c>
      <c r="D291" s="103" t="s">
        <v>1474</v>
      </c>
      <c r="E291" s="103" t="s">
        <v>2272</v>
      </c>
      <c r="F291" s="103" t="s">
        <v>2617</v>
      </c>
      <c r="G291" s="103" t="s">
        <v>2664</v>
      </c>
      <c r="H291" s="103" t="s">
        <v>2665</v>
      </c>
      <c r="I291" s="103" t="s">
        <v>2615</v>
      </c>
      <c r="J291" s="103" t="s">
        <v>2666</v>
      </c>
      <c r="K291" s="103" t="s">
        <v>2621</v>
      </c>
      <c r="M291" s="103">
        <v>0.98</v>
      </c>
      <c r="N291" s="103">
        <v>22</v>
      </c>
      <c r="O291" s="103" t="s">
        <v>487</v>
      </c>
      <c r="P291" s="103">
        <v>17.7</v>
      </c>
      <c r="Q291" s="2">
        <v>9.1</v>
      </c>
      <c r="R291" s="226" t="s">
        <v>2622</v>
      </c>
      <c r="U291" s="69"/>
      <c r="V291" s="69"/>
      <c r="W291" s="69"/>
    </row>
    <row r="292" spans="1:23">
      <c r="A292" s="103" t="s">
        <v>273</v>
      </c>
      <c r="B292" s="103" t="s">
        <v>74</v>
      </c>
      <c r="C292" s="103" t="s">
        <v>1243</v>
      </c>
      <c r="D292" s="103" t="s">
        <v>1474</v>
      </c>
      <c r="E292" s="103" t="s">
        <v>2272</v>
      </c>
      <c r="F292" s="103" t="s">
        <v>2617</v>
      </c>
      <c r="G292" s="103" t="s">
        <v>660</v>
      </c>
      <c r="H292" s="103" t="s">
        <v>2667</v>
      </c>
      <c r="I292" s="103" t="s">
        <v>2615</v>
      </c>
      <c r="J292" s="103" t="s">
        <v>2668</v>
      </c>
      <c r="K292" s="103" t="s">
        <v>2621</v>
      </c>
      <c r="M292" s="103">
        <v>0.98</v>
      </c>
      <c r="N292" s="103">
        <v>19</v>
      </c>
      <c r="O292" s="103" t="s">
        <v>487</v>
      </c>
      <c r="P292" s="103">
        <v>19.7</v>
      </c>
      <c r="Q292" s="2">
        <v>13.6</v>
      </c>
      <c r="R292" s="226" t="s">
        <v>2622</v>
      </c>
      <c r="U292" s="69"/>
      <c r="V292" s="69"/>
      <c r="W292" s="69"/>
    </row>
    <row r="293" spans="1:23">
      <c r="A293" s="103" t="s">
        <v>273</v>
      </c>
      <c r="B293" s="103" t="s">
        <v>74</v>
      </c>
      <c r="C293" s="103" t="s">
        <v>1243</v>
      </c>
      <c r="D293" s="103" t="s">
        <v>1474</v>
      </c>
      <c r="E293" s="103" t="s">
        <v>2272</v>
      </c>
      <c r="F293" s="103" t="s">
        <v>2617</v>
      </c>
      <c r="G293" s="103" t="s">
        <v>1154</v>
      </c>
      <c r="H293" s="103" t="s">
        <v>2669</v>
      </c>
      <c r="I293" s="103" t="s">
        <v>2615</v>
      </c>
      <c r="J293" s="103" t="s">
        <v>2670</v>
      </c>
      <c r="K293" s="103" t="s">
        <v>2621</v>
      </c>
      <c r="M293" s="103">
        <v>0.97</v>
      </c>
      <c r="N293" s="103">
        <v>21</v>
      </c>
      <c r="O293" s="103" t="s">
        <v>487</v>
      </c>
      <c r="P293" s="103">
        <v>18.8</v>
      </c>
      <c r="Q293" s="2">
        <v>11.5</v>
      </c>
      <c r="R293" s="226" t="s">
        <v>2622</v>
      </c>
      <c r="U293" s="69"/>
      <c r="V293" s="69"/>
      <c r="W293" s="69"/>
    </row>
    <row r="294" spans="1:23">
      <c r="A294" s="103" t="s">
        <v>273</v>
      </c>
      <c r="B294" s="103" t="s">
        <v>74</v>
      </c>
      <c r="C294" s="103" t="s">
        <v>1243</v>
      </c>
      <c r="D294" s="103" t="s">
        <v>1474</v>
      </c>
      <c r="E294" s="103" t="s">
        <v>2272</v>
      </c>
      <c r="F294" s="103" t="s">
        <v>2617</v>
      </c>
      <c r="G294" s="103" t="s">
        <v>691</v>
      </c>
      <c r="H294" s="103" t="s">
        <v>2671</v>
      </c>
      <c r="I294" s="103" t="s">
        <v>2615</v>
      </c>
      <c r="J294" s="103" t="s">
        <v>2672</v>
      </c>
      <c r="K294" s="103" t="s">
        <v>2621</v>
      </c>
      <c r="M294" s="103">
        <v>0.98</v>
      </c>
      <c r="N294" s="103">
        <v>21</v>
      </c>
      <c r="O294" s="103" t="s">
        <v>487</v>
      </c>
      <c r="P294" s="103">
        <v>17.399999999999999</v>
      </c>
      <c r="Q294" s="2">
        <v>11</v>
      </c>
      <c r="R294" s="226" t="s">
        <v>2622</v>
      </c>
      <c r="U294" s="69"/>
      <c r="V294" s="69"/>
      <c r="W294" s="69"/>
    </row>
    <row r="295" spans="1:23">
      <c r="A295" s="103" t="s">
        <v>273</v>
      </c>
      <c r="B295" s="103" t="s">
        <v>74</v>
      </c>
      <c r="C295" s="103" t="s">
        <v>1243</v>
      </c>
      <c r="D295" s="103" t="s">
        <v>1474</v>
      </c>
      <c r="E295" s="103" t="s">
        <v>2272</v>
      </c>
      <c r="F295" s="103" t="s">
        <v>2617</v>
      </c>
      <c r="G295" s="103" t="s">
        <v>2673</v>
      </c>
      <c r="H295" s="103" t="s">
        <v>2674</v>
      </c>
      <c r="I295" s="103" t="s">
        <v>2615</v>
      </c>
      <c r="J295" s="103" t="s">
        <v>2675</v>
      </c>
      <c r="K295" s="103" t="s">
        <v>2621</v>
      </c>
      <c r="M295" s="103">
        <v>0.96</v>
      </c>
      <c r="N295" s="103">
        <v>20</v>
      </c>
      <c r="O295" s="103" t="s">
        <v>487</v>
      </c>
      <c r="P295" s="103">
        <v>22.9</v>
      </c>
      <c r="Q295" s="2">
        <v>15.5</v>
      </c>
      <c r="R295" s="226" t="s">
        <v>2622</v>
      </c>
      <c r="U295" s="69"/>
      <c r="V295" s="69"/>
      <c r="W295" s="69"/>
    </row>
    <row r="296" spans="1:23">
      <c r="A296" s="103" t="s">
        <v>273</v>
      </c>
      <c r="B296" s="103" t="s">
        <v>74</v>
      </c>
      <c r="C296" s="103" t="s">
        <v>1243</v>
      </c>
      <c r="D296" s="103" t="s">
        <v>1474</v>
      </c>
      <c r="E296" s="103" t="s">
        <v>2272</v>
      </c>
      <c r="F296" s="103" t="s">
        <v>2617</v>
      </c>
      <c r="G296" s="103" t="s">
        <v>1205</v>
      </c>
      <c r="H296" s="103" t="s">
        <v>2676</v>
      </c>
      <c r="I296" s="103" t="s">
        <v>2615</v>
      </c>
      <c r="J296" s="103" t="s">
        <v>2677</v>
      </c>
      <c r="K296" s="103" t="s">
        <v>2621</v>
      </c>
      <c r="M296" s="103">
        <v>0.96</v>
      </c>
      <c r="N296" s="103">
        <v>20</v>
      </c>
      <c r="O296" s="103" t="s">
        <v>487</v>
      </c>
      <c r="P296" s="103">
        <v>23.6</v>
      </c>
      <c r="Q296" s="2">
        <v>16.5</v>
      </c>
      <c r="R296" s="226" t="s">
        <v>2622</v>
      </c>
      <c r="U296" s="69"/>
      <c r="V296" s="69"/>
      <c r="W296" s="69"/>
    </row>
    <row r="297" spans="1:23">
      <c r="A297" s="103" t="s">
        <v>273</v>
      </c>
      <c r="B297" s="103" t="s">
        <v>74</v>
      </c>
      <c r="C297" s="103" t="s">
        <v>1243</v>
      </c>
      <c r="D297" s="103" t="s">
        <v>1474</v>
      </c>
      <c r="E297" s="103" t="s">
        <v>2272</v>
      </c>
      <c r="F297" s="103" t="s">
        <v>2617</v>
      </c>
      <c r="G297" s="103" t="s">
        <v>1219</v>
      </c>
      <c r="H297" s="103" t="s">
        <v>2678</v>
      </c>
      <c r="I297" s="103" t="s">
        <v>2615</v>
      </c>
      <c r="J297" s="103" t="s">
        <v>2679</v>
      </c>
      <c r="K297" s="103" t="s">
        <v>2621</v>
      </c>
      <c r="M297" s="103">
        <v>0.99</v>
      </c>
      <c r="N297" s="103">
        <v>20</v>
      </c>
      <c r="O297" s="103" t="s">
        <v>487</v>
      </c>
      <c r="P297" s="103">
        <v>11.8</v>
      </c>
      <c r="Q297" s="2">
        <v>8.9</v>
      </c>
      <c r="R297" s="226" t="s">
        <v>2622</v>
      </c>
      <c r="U297" s="69"/>
      <c r="V297" s="69"/>
      <c r="W297" s="69"/>
    </row>
    <row r="298" spans="1:23">
      <c r="A298" s="103" t="s">
        <v>273</v>
      </c>
      <c r="B298" s="103" t="s">
        <v>74</v>
      </c>
      <c r="C298" s="103" t="s">
        <v>1243</v>
      </c>
      <c r="D298" s="103" t="s">
        <v>1474</v>
      </c>
      <c r="E298" s="103" t="s">
        <v>2272</v>
      </c>
      <c r="F298" s="103" t="s">
        <v>2617</v>
      </c>
      <c r="G298" s="103" t="s">
        <v>1157</v>
      </c>
      <c r="H298" s="103" t="s">
        <v>2680</v>
      </c>
      <c r="I298" s="103" t="s">
        <v>2615</v>
      </c>
      <c r="J298" s="103" t="s">
        <v>2681</v>
      </c>
      <c r="K298" s="103" t="s">
        <v>2621</v>
      </c>
      <c r="M298" s="103">
        <v>0.96</v>
      </c>
      <c r="N298" s="103">
        <v>24</v>
      </c>
      <c r="O298" s="103" t="s">
        <v>487</v>
      </c>
      <c r="P298" s="103">
        <v>22.8</v>
      </c>
      <c r="Q298" s="2">
        <v>14</v>
      </c>
      <c r="R298" s="226" t="s">
        <v>2622</v>
      </c>
      <c r="U298" s="69"/>
      <c r="V298" s="69"/>
      <c r="W298" s="69"/>
    </row>
    <row r="299" spans="1:23">
      <c r="A299" s="103" t="s">
        <v>273</v>
      </c>
      <c r="B299" s="103" t="s">
        <v>76</v>
      </c>
      <c r="C299" s="103" t="s">
        <v>1243</v>
      </c>
      <c r="D299" s="103" t="s">
        <v>1474</v>
      </c>
      <c r="E299" s="103" t="s">
        <v>2272</v>
      </c>
      <c r="F299" s="103" t="s">
        <v>2273</v>
      </c>
      <c r="G299" s="103" t="s">
        <v>2609</v>
      </c>
      <c r="H299" s="103" t="s">
        <v>2610</v>
      </c>
      <c r="I299" s="103" t="s">
        <v>2275</v>
      </c>
      <c r="J299" s="103" t="s">
        <v>2682</v>
      </c>
      <c r="M299" s="103">
        <v>0.84640000000000004</v>
      </c>
      <c r="N299" s="103">
        <v>3</v>
      </c>
      <c r="O299" s="103" t="s">
        <v>487</v>
      </c>
      <c r="P299" s="103">
        <v>54</v>
      </c>
      <c r="Q299" s="2">
        <v>36</v>
      </c>
      <c r="R299" s="226" t="s">
        <v>2612</v>
      </c>
      <c r="U299" s="69"/>
      <c r="V299" s="69"/>
      <c r="W299" s="69"/>
    </row>
    <row r="300" spans="1:23">
      <c r="A300" s="103" t="s">
        <v>273</v>
      </c>
      <c r="B300" s="103" t="s">
        <v>76</v>
      </c>
      <c r="C300" s="103" t="s">
        <v>1243</v>
      </c>
      <c r="E300" s="103" t="s">
        <v>2683</v>
      </c>
      <c r="F300" s="103" t="s">
        <v>2615</v>
      </c>
      <c r="H300" s="103" t="s">
        <v>2684</v>
      </c>
      <c r="I300" s="103" t="s">
        <v>2615</v>
      </c>
      <c r="J300" s="103" t="s">
        <v>2685</v>
      </c>
      <c r="K300" s="103" t="s">
        <v>2686</v>
      </c>
      <c r="M300" s="103">
        <v>0.87490000000000001</v>
      </c>
      <c r="N300" s="103">
        <v>68</v>
      </c>
      <c r="O300" s="103" t="s">
        <v>487</v>
      </c>
      <c r="P300" s="103" t="s">
        <v>487</v>
      </c>
      <c r="Q300" s="2" t="s">
        <v>487</v>
      </c>
      <c r="R300" s="226" t="s">
        <v>2687</v>
      </c>
      <c r="U300" s="69"/>
      <c r="V300" s="69"/>
      <c r="W300" s="69"/>
    </row>
    <row r="301" spans="1:23">
      <c r="A301" s="103" t="s">
        <v>273</v>
      </c>
      <c r="B301" s="103" t="s">
        <v>76</v>
      </c>
      <c r="C301" s="103" t="s">
        <v>1243</v>
      </c>
      <c r="E301" s="103" t="s">
        <v>2683</v>
      </c>
      <c r="F301" s="103" t="s">
        <v>2615</v>
      </c>
      <c r="H301" s="103" t="s">
        <v>2688</v>
      </c>
      <c r="I301" s="103" t="s">
        <v>2615</v>
      </c>
      <c r="J301" s="103" t="s">
        <v>2689</v>
      </c>
      <c r="K301" s="103" t="s">
        <v>2686</v>
      </c>
      <c r="M301" s="103">
        <v>0.82930000000000004</v>
      </c>
      <c r="N301" s="103">
        <v>68</v>
      </c>
      <c r="O301" s="103" t="s">
        <v>487</v>
      </c>
      <c r="P301" s="103" t="s">
        <v>487</v>
      </c>
      <c r="Q301" s="2" t="s">
        <v>487</v>
      </c>
      <c r="R301" s="226" t="s">
        <v>2687</v>
      </c>
      <c r="U301" s="69"/>
      <c r="V301" s="69"/>
      <c r="W301" s="69"/>
    </row>
    <row r="302" spans="1:23">
      <c r="A302" s="103" t="s">
        <v>273</v>
      </c>
      <c r="B302" s="103" t="s">
        <v>76</v>
      </c>
      <c r="C302" s="103" t="s">
        <v>1243</v>
      </c>
      <c r="E302" s="103" t="s">
        <v>2683</v>
      </c>
      <c r="F302" s="103" t="s">
        <v>2615</v>
      </c>
      <c r="H302" s="103" t="s">
        <v>2690</v>
      </c>
      <c r="I302" s="103" t="s">
        <v>2615</v>
      </c>
      <c r="J302" s="103" t="s">
        <v>2691</v>
      </c>
      <c r="K302" s="103" t="s">
        <v>2686</v>
      </c>
      <c r="M302" s="103">
        <v>0.78439999999999999</v>
      </c>
      <c r="N302" s="103">
        <v>68</v>
      </c>
      <c r="O302" s="103" t="s">
        <v>487</v>
      </c>
      <c r="P302" s="103" t="s">
        <v>487</v>
      </c>
      <c r="Q302" s="2" t="s">
        <v>487</v>
      </c>
      <c r="R302" s="226" t="s">
        <v>2687</v>
      </c>
      <c r="U302" s="69"/>
      <c r="V302" s="69"/>
      <c r="W302" s="69"/>
    </row>
    <row r="303" spans="1:23">
      <c r="A303" s="103" t="s">
        <v>273</v>
      </c>
      <c r="B303" s="103" t="s">
        <v>76</v>
      </c>
      <c r="C303" s="103" t="s">
        <v>1243</v>
      </c>
      <c r="E303" s="103" t="s">
        <v>2683</v>
      </c>
      <c r="F303" s="103" t="s">
        <v>2615</v>
      </c>
      <c r="H303" s="103" t="s">
        <v>2692</v>
      </c>
      <c r="I303" s="103" t="s">
        <v>2615</v>
      </c>
      <c r="J303" s="103" t="s">
        <v>2693</v>
      </c>
      <c r="K303" s="103" t="s">
        <v>2686</v>
      </c>
      <c r="M303" s="103">
        <v>0.94889999999999997</v>
      </c>
      <c r="N303" s="103">
        <v>68</v>
      </c>
      <c r="O303" s="103" t="s">
        <v>487</v>
      </c>
      <c r="P303" s="103" t="s">
        <v>487</v>
      </c>
      <c r="Q303" s="2" t="s">
        <v>487</v>
      </c>
      <c r="R303" s="226" t="s">
        <v>2687</v>
      </c>
      <c r="U303" s="69"/>
      <c r="V303" s="69"/>
      <c r="W303" s="69"/>
    </row>
    <row r="304" spans="1:23">
      <c r="A304" s="103" t="s">
        <v>273</v>
      </c>
      <c r="B304" s="103" t="s">
        <v>76</v>
      </c>
      <c r="C304" s="103" t="s">
        <v>1243</v>
      </c>
      <c r="E304" s="103" t="s">
        <v>2683</v>
      </c>
      <c r="F304" s="103" t="s">
        <v>2615</v>
      </c>
      <c r="H304" s="103" t="s">
        <v>2694</v>
      </c>
      <c r="I304" s="103" t="s">
        <v>2615</v>
      </c>
      <c r="J304" s="103" t="s">
        <v>2695</v>
      </c>
      <c r="K304" s="103" t="s">
        <v>2686</v>
      </c>
      <c r="M304" s="103">
        <v>0.62849999999999995</v>
      </c>
      <c r="N304" s="103">
        <v>68</v>
      </c>
      <c r="O304" s="103" t="s">
        <v>487</v>
      </c>
      <c r="P304" s="103" t="s">
        <v>487</v>
      </c>
      <c r="Q304" s="2" t="s">
        <v>487</v>
      </c>
      <c r="R304" s="226" t="s">
        <v>2687</v>
      </c>
      <c r="U304" s="69"/>
      <c r="V304" s="69"/>
      <c r="W304" s="69"/>
    </row>
    <row r="305" spans="1:23">
      <c r="A305" s="103" t="s">
        <v>273</v>
      </c>
      <c r="B305" s="103" t="s">
        <v>76</v>
      </c>
      <c r="C305" s="103" t="s">
        <v>1243</v>
      </c>
      <c r="E305" s="103" t="s">
        <v>2683</v>
      </c>
      <c r="F305" s="103" t="s">
        <v>2615</v>
      </c>
      <c r="H305" s="103" t="s">
        <v>2696</v>
      </c>
      <c r="I305" s="103" t="s">
        <v>2615</v>
      </c>
      <c r="J305" s="103" t="s">
        <v>2697</v>
      </c>
      <c r="K305" s="103" t="s">
        <v>2686</v>
      </c>
      <c r="M305" s="103">
        <v>0.49790000000000001</v>
      </c>
      <c r="N305" s="103">
        <v>68</v>
      </c>
      <c r="O305" s="103" t="s">
        <v>487</v>
      </c>
      <c r="P305" s="103" t="s">
        <v>487</v>
      </c>
      <c r="Q305" s="2" t="s">
        <v>487</v>
      </c>
      <c r="R305" s="226" t="s">
        <v>2687</v>
      </c>
      <c r="U305" s="69"/>
      <c r="V305" s="69"/>
      <c r="W305" s="69"/>
    </row>
    <row r="306" spans="1:23">
      <c r="A306" s="103" t="s">
        <v>273</v>
      </c>
      <c r="B306" s="103" t="s">
        <v>76</v>
      </c>
      <c r="C306" s="103" t="s">
        <v>1243</v>
      </c>
      <c r="E306" s="103" t="s">
        <v>2683</v>
      </c>
      <c r="F306" s="103" t="s">
        <v>2615</v>
      </c>
      <c r="H306" s="103" t="s">
        <v>2698</v>
      </c>
      <c r="I306" s="103" t="s">
        <v>2615</v>
      </c>
      <c r="J306" s="103" t="s">
        <v>2699</v>
      </c>
      <c r="K306" s="103" t="s">
        <v>2686</v>
      </c>
      <c r="M306" s="103">
        <v>0.58130000000000004</v>
      </c>
      <c r="N306" s="103">
        <v>68</v>
      </c>
      <c r="O306" s="103" t="s">
        <v>487</v>
      </c>
      <c r="P306" s="103" t="s">
        <v>487</v>
      </c>
      <c r="Q306" s="2" t="s">
        <v>487</v>
      </c>
      <c r="R306" s="226" t="s">
        <v>2687</v>
      </c>
      <c r="U306" s="69"/>
      <c r="V306" s="69"/>
      <c r="W306" s="69"/>
    </row>
    <row r="307" spans="1:23">
      <c r="A307" s="103" t="s">
        <v>273</v>
      </c>
      <c r="B307" s="103" t="s">
        <v>76</v>
      </c>
      <c r="C307" s="103" t="s">
        <v>1243</v>
      </c>
      <c r="E307" s="103" t="s">
        <v>2683</v>
      </c>
      <c r="F307" s="103" t="s">
        <v>2615</v>
      </c>
      <c r="H307" s="103" t="s">
        <v>2700</v>
      </c>
      <c r="I307" s="103" t="s">
        <v>2615</v>
      </c>
      <c r="J307" s="103" t="s">
        <v>2701</v>
      </c>
      <c r="K307" s="103" t="s">
        <v>2686</v>
      </c>
      <c r="M307" s="103">
        <v>0.59089999999999998</v>
      </c>
      <c r="N307" s="103">
        <v>68</v>
      </c>
      <c r="O307" s="103" t="s">
        <v>487</v>
      </c>
      <c r="P307" s="103" t="s">
        <v>487</v>
      </c>
      <c r="Q307" s="2" t="s">
        <v>487</v>
      </c>
      <c r="R307" s="226" t="s">
        <v>2687</v>
      </c>
      <c r="U307" s="69"/>
      <c r="V307" s="69"/>
      <c r="W307" s="69"/>
    </row>
    <row r="308" spans="1:23">
      <c r="A308" s="103" t="s">
        <v>273</v>
      </c>
      <c r="B308" s="103" t="s">
        <v>76</v>
      </c>
      <c r="C308" s="103" t="s">
        <v>1243</v>
      </c>
      <c r="E308" s="103" t="s">
        <v>2683</v>
      </c>
      <c r="F308" s="103" t="s">
        <v>2615</v>
      </c>
      <c r="H308" s="103" t="s">
        <v>2702</v>
      </c>
      <c r="I308" s="103" t="s">
        <v>2615</v>
      </c>
      <c r="J308" s="103" t="s">
        <v>2703</v>
      </c>
      <c r="K308" s="103" t="s">
        <v>2686</v>
      </c>
      <c r="M308" s="103">
        <v>0.69179999999999997</v>
      </c>
      <c r="N308" s="103">
        <v>68</v>
      </c>
      <c r="O308" s="103" t="s">
        <v>487</v>
      </c>
      <c r="P308" s="103" t="s">
        <v>487</v>
      </c>
      <c r="Q308" s="2" t="s">
        <v>487</v>
      </c>
      <c r="R308" s="226" t="s">
        <v>2687</v>
      </c>
      <c r="U308" s="69"/>
      <c r="V308" s="69"/>
      <c r="W308" s="69"/>
    </row>
    <row r="309" spans="1:23">
      <c r="A309" s="103" t="s">
        <v>273</v>
      </c>
      <c r="B309" s="103" t="s">
        <v>76</v>
      </c>
      <c r="C309" s="103" t="s">
        <v>1243</v>
      </c>
      <c r="E309" s="103" t="s">
        <v>2683</v>
      </c>
      <c r="F309" s="103" t="s">
        <v>2615</v>
      </c>
      <c r="H309" s="103" t="s">
        <v>2704</v>
      </c>
      <c r="I309" s="103" t="s">
        <v>2615</v>
      </c>
      <c r="J309" s="103" t="s">
        <v>2705</v>
      </c>
      <c r="K309" s="103" t="s">
        <v>2686</v>
      </c>
      <c r="M309" s="103">
        <v>0.85219999999999996</v>
      </c>
      <c r="N309" s="103">
        <v>68</v>
      </c>
      <c r="O309" s="103" t="s">
        <v>487</v>
      </c>
      <c r="P309" s="103" t="s">
        <v>487</v>
      </c>
      <c r="Q309" s="2" t="s">
        <v>487</v>
      </c>
      <c r="R309" s="226" t="s">
        <v>2687</v>
      </c>
      <c r="U309" s="69"/>
      <c r="V309" s="69"/>
      <c r="W309" s="69"/>
    </row>
    <row r="310" spans="1:23">
      <c r="A310" s="103" t="s">
        <v>273</v>
      </c>
      <c r="B310" s="103" t="s">
        <v>76</v>
      </c>
      <c r="C310" s="103" t="s">
        <v>1243</v>
      </c>
      <c r="E310" s="103" t="s">
        <v>2683</v>
      </c>
      <c r="F310" s="103" t="s">
        <v>2615</v>
      </c>
      <c r="H310" s="103" t="s">
        <v>2684</v>
      </c>
      <c r="I310" s="103" t="s">
        <v>2615</v>
      </c>
      <c r="J310" s="103" t="s">
        <v>2706</v>
      </c>
      <c r="K310" s="103" t="s">
        <v>2686</v>
      </c>
      <c r="M310" s="103">
        <v>0.85499999999999998</v>
      </c>
      <c r="N310" s="103">
        <v>94</v>
      </c>
      <c r="O310" s="103" t="s">
        <v>487</v>
      </c>
      <c r="P310" s="103" t="s">
        <v>487</v>
      </c>
      <c r="Q310" s="2" t="s">
        <v>487</v>
      </c>
      <c r="R310" s="226" t="s">
        <v>2687</v>
      </c>
      <c r="U310" s="69"/>
      <c r="V310" s="69"/>
      <c r="W310" s="69"/>
    </row>
    <row r="311" spans="1:23">
      <c r="A311" s="103" t="s">
        <v>273</v>
      </c>
      <c r="B311" s="103" t="s">
        <v>76</v>
      </c>
      <c r="C311" s="103" t="s">
        <v>1243</v>
      </c>
      <c r="E311" s="103" t="s">
        <v>2683</v>
      </c>
      <c r="F311" s="103" t="s">
        <v>2615</v>
      </c>
      <c r="H311" s="103" t="s">
        <v>2688</v>
      </c>
      <c r="I311" s="103" t="s">
        <v>2615</v>
      </c>
      <c r="J311" s="103" t="s">
        <v>2707</v>
      </c>
      <c r="K311" s="103" t="s">
        <v>2686</v>
      </c>
      <c r="M311" s="103">
        <v>0.83360000000000001</v>
      </c>
      <c r="N311" s="103">
        <v>94</v>
      </c>
      <c r="O311" s="103" t="s">
        <v>487</v>
      </c>
      <c r="P311" s="103" t="s">
        <v>487</v>
      </c>
      <c r="Q311" s="2" t="s">
        <v>487</v>
      </c>
      <c r="R311" s="226" t="s">
        <v>2687</v>
      </c>
      <c r="U311" s="69"/>
      <c r="V311" s="69"/>
      <c r="W311" s="69"/>
    </row>
    <row r="312" spans="1:23">
      <c r="A312" s="103" t="s">
        <v>273</v>
      </c>
      <c r="B312" s="103" t="s">
        <v>76</v>
      </c>
      <c r="C312" s="103" t="s">
        <v>1243</v>
      </c>
      <c r="E312" s="103" t="s">
        <v>2683</v>
      </c>
      <c r="F312" s="103" t="s">
        <v>2615</v>
      </c>
      <c r="H312" s="103" t="s">
        <v>2690</v>
      </c>
      <c r="I312" s="103" t="s">
        <v>2615</v>
      </c>
      <c r="J312" s="103" t="s">
        <v>2708</v>
      </c>
      <c r="K312" s="103" t="s">
        <v>2686</v>
      </c>
      <c r="M312" s="103">
        <v>0.86599999999999999</v>
      </c>
      <c r="N312" s="103">
        <v>94</v>
      </c>
      <c r="O312" s="103" t="s">
        <v>487</v>
      </c>
      <c r="P312" s="103" t="s">
        <v>487</v>
      </c>
      <c r="Q312" s="2" t="s">
        <v>487</v>
      </c>
      <c r="R312" s="226" t="s">
        <v>2687</v>
      </c>
      <c r="U312" s="69"/>
      <c r="V312" s="69"/>
      <c r="W312" s="69"/>
    </row>
    <row r="313" spans="1:23">
      <c r="A313" s="103" t="s">
        <v>273</v>
      </c>
      <c r="B313" s="103" t="s">
        <v>76</v>
      </c>
      <c r="C313" s="103" t="s">
        <v>1243</v>
      </c>
      <c r="E313" s="103" t="s">
        <v>2683</v>
      </c>
      <c r="F313" s="103" t="s">
        <v>2615</v>
      </c>
      <c r="H313" s="103" t="s">
        <v>2692</v>
      </c>
      <c r="I313" s="103" t="s">
        <v>2615</v>
      </c>
      <c r="J313" s="103" t="s">
        <v>2709</v>
      </c>
      <c r="K313" s="103" t="s">
        <v>2686</v>
      </c>
      <c r="M313" s="103">
        <v>0.93820000000000003</v>
      </c>
      <c r="N313" s="103">
        <v>94</v>
      </c>
      <c r="O313" s="103" t="s">
        <v>487</v>
      </c>
      <c r="P313" s="103" t="s">
        <v>487</v>
      </c>
      <c r="Q313" s="2" t="s">
        <v>487</v>
      </c>
      <c r="R313" s="226" t="s">
        <v>2687</v>
      </c>
      <c r="U313" s="69"/>
      <c r="V313" s="69"/>
      <c r="W313" s="69"/>
    </row>
    <row r="314" spans="1:23">
      <c r="A314" s="103" t="s">
        <v>273</v>
      </c>
      <c r="B314" s="103" t="s">
        <v>76</v>
      </c>
      <c r="C314" s="103" t="s">
        <v>1243</v>
      </c>
      <c r="E314" s="103" t="s">
        <v>2683</v>
      </c>
      <c r="F314" s="103" t="s">
        <v>2615</v>
      </c>
      <c r="H314" s="103" t="s">
        <v>2694</v>
      </c>
      <c r="I314" s="103" t="s">
        <v>2615</v>
      </c>
      <c r="J314" s="103" t="s">
        <v>2710</v>
      </c>
      <c r="K314" s="103" t="s">
        <v>2686</v>
      </c>
      <c r="M314" s="103">
        <v>0.29459999999999997</v>
      </c>
      <c r="N314" s="103">
        <v>94</v>
      </c>
      <c r="O314" s="103" t="s">
        <v>487</v>
      </c>
      <c r="P314" s="103" t="s">
        <v>487</v>
      </c>
      <c r="Q314" s="2" t="s">
        <v>487</v>
      </c>
      <c r="R314" s="226" t="s">
        <v>2687</v>
      </c>
      <c r="U314" s="69"/>
      <c r="V314" s="69"/>
      <c r="W314" s="69"/>
    </row>
    <row r="315" spans="1:23">
      <c r="A315" s="103" t="s">
        <v>273</v>
      </c>
      <c r="B315" s="103" t="s">
        <v>76</v>
      </c>
      <c r="C315" s="103" t="s">
        <v>1243</v>
      </c>
      <c r="E315" s="103" t="s">
        <v>2683</v>
      </c>
      <c r="F315" s="103" t="s">
        <v>2615</v>
      </c>
      <c r="H315" s="103" t="s">
        <v>2696</v>
      </c>
      <c r="I315" s="103" t="s">
        <v>2615</v>
      </c>
      <c r="J315" s="103" t="s">
        <v>2711</v>
      </c>
      <c r="K315" s="103" t="s">
        <v>2686</v>
      </c>
      <c r="M315" s="103">
        <v>0.32829999999999998</v>
      </c>
      <c r="N315" s="103">
        <v>94</v>
      </c>
      <c r="O315" s="103" t="s">
        <v>487</v>
      </c>
      <c r="P315" s="103" t="s">
        <v>487</v>
      </c>
      <c r="Q315" s="2" t="s">
        <v>487</v>
      </c>
      <c r="R315" s="226" t="s">
        <v>2687</v>
      </c>
      <c r="U315" s="69"/>
      <c r="V315" s="69"/>
      <c r="W315" s="69"/>
    </row>
    <row r="316" spans="1:23">
      <c r="A316" s="103" t="s">
        <v>273</v>
      </c>
      <c r="B316" s="103" t="s">
        <v>76</v>
      </c>
      <c r="C316" s="103" t="s">
        <v>1243</v>
      </c>
      <c r="E316" s="103" t="s">
        <v>2683</v>
      </c>
      <c r="F316" s="103" t="s">
        <v>2615</v>
      </c>
      <c r="H316" s="103" t="s">
        <v>2698</v>
      </c>
      <c r="I316" s="103" t="s">
        <v>2615</v>
      </c>
      <c r="J316" s="103" t="s">
        <v>2712</v>
      </c>
      <c r="K316" s="103" t="s">
        <v>2686</v>
      </c>
      <c r="M316" s="103">
        <v>0.56740000000000002</v>
      </c>
      <c r="N316" s="103">
        <v>94</v>
      </c>
      <c r="O316" s="103" t="s">
        <v>487</v>
      </c>
      <c r="P316" s="103" t="s">
        <v>487</v>
      </c>
      <c r="Q316" s="2" t="s">
        <v>487</v>
      </c>
      <c r="R316" s="226" t="s">
        <v>2687</v>
      </c>
      <c r="U316" s="69"/>
      <c r="V316" s="69"/>
      <c r="W316" s="69"/>
    </row>
    <row r="317" spans="1:23">
      <c r="A317" s="103" t="s">
        <v>273</v>
      </c>
      <c r="B317" s="103" t="s">
        <v>76</v>
      </c>
      <c r="C317" s="103" t="s">
        <v>1243</v>
      </c>
      <c r="E317" s="103" t="s">
        <v>2683</v>
      </c>
      <c r="F317" s="103" t="s">
        <v>2615</v>
      </c>
      <c r="H317" s="103" t="s">
        <v>2700</v>
      </c>
      <c r="I317" s="103" t="s">
        <v>2615</v>
      </c>
      <c r="J317" s="103" t="s">
        <v>2713</v>
      </c>
      <c r="K317" s="103" t="s">
        <v>2686</v>
      </c>
      <c r="M317" s="103">
        <v>0.54949999999999999</v>
      </c>
      <c r="N317" s="103">
        <v>94</v>
      </c>
      <c r="O317" s="103" t="s">
        <v>487</v>
      </c>
      <c r="P317" s="103" t="s">
        <v>487</v>
      </c>
      <c r="Q317" s="2" t="s">
        <v>487</v>
      </c>
      <c r="R317" s="226" t="s">
        <v>2687</v>
      </c>
      <c r="U317" s="69"/>
      <c r="V317" s="69"/>
      <c r="W317" s="69"/>
    </row>
    <row r="318" spans="1:23">
      <c r="A318" s="103" t="s">
        <v>273</v>
      </c>
      <c r="B318" s="103" t="s">
        <v>76</v>
      </c>
      <c r="C318" s="103" t="s">
        <v>1243</v>
      </c>
      <c r="E318" s="103" t="s">
        <v>2683</v>
      </c>
      <c r="F318" s="103" t="s">
        <v>2615</v>
      </c>
      <c r="H318" s="103" t="s">
        <v>2702</v>
      </c>
      <c r="I318" s="103" t="s">
        <v>2615</v>
      </c>
      <c r="J318" s="103" t="s">
        <v>2714</v>
      </c>
      <c r="K318" s="103" t="s">
        <v>2686</v>
      </c>
      <c r="M318" s="103">
        <v>0.53580000000000005</v>
      </c>
      <c r="N318" s="103">
        <v>94</v>
      </c>
      <c r="O318" s="103" t="s">
        <v>487</v>
      </c>
      <c r="P318" s="103" t="s">
        <v>487</v>
      </c>
      <c r="Q318" s="2" t="s">
        <v>487</v>
      </c>
      <c r="R318" s="226" t="s">
        <v>2687</v>
      </c>
      <c r="U318" s="69"/>
      <c r="V318" s="69"/>
      <c r="W318" s="69"/>
    </row>
    <row r="319" spans="1:23">
      <c r="A319" s="103" t="s">
        <v>273</v>
      </c>
      <c r="B319" s="103" t="s">
        <v>76</v>
      </c>
      <c r="C319" s="103" t="s">
        <v>1243</v>
      </c>
      <c r="E319" s="103" t="s">
        <v>2683</v>
      </c>
      <c r="F319" s="103" t="s">
        <v>2615</v>
      </c>
      <c r="H319" s="103" t="s">
        <v>2684</v>
      </c>
      <c r="I319" s="103" t="s">
        <v>2615</v>
      </c>
      <c r="J319" s="103" t="s">
        <v>2715</v>
      </c>
      <c r="K319" s="103" t="s">
        <v>2686</v>
      </c>
      <c r="M319" s="103">
        <v>0.77190000000000003</v>
      </c>
      <c r="N319" s="103">
        <v>95</v>
      </c>
      <c r="O319" s="103" t="s">
        <v>487</v>
      </c>
      <c r="P319" s="103" t="s">
        <v>487</v>
      </c>
      <c r="Q319" s="2" t="s">
        <v>487</v>
      </c>
      <c r="R319" s="226" t="s">
        <v>2687</v>
      </c>
      <c r="U319" s="69"/>
      <c r="V319" s="69"/>
      <c r="W319" s="69"/>
    </row>
    <row r="320" spans="1:23">
      <c r="A320" s="103" t="s">
        <v>273</v>
      </c>
      <c r="B320" s="103" t="s">
        <v>76</v>
      </c>
      <c r="C320" s="103" t="s">
        <v>1243</v>
      </c>
      <c r="E320" s="103" t="s">
        <v>2683</v>
      </c>
      <c r="F320" s="103" t="s">
        <v>2615</v>
      </c>
      <c r="H320" s="103" t="s">
        <v>2688</v>
      </c>
      <c r="I320" s="103" t="s">
        <v>2615</v>
      </c>
      <c r="J320" s="103" t="s">
        <v>2716</v>
      </c>
      <c r="K320" s="103" t="s">
        <v>2686</v>
      </c>
      <c r="M320" s="103">
        <v>0.82879999999999998</v>
      </c>
      <c r="N320" s="103">
        <v>95</v>
      </c>
      <c r="O320" s="103" t="s">
        <v>487</v>
      </c>
      <c r="P320" s="103" t="s">
        <v>487</v>
      </c>
      <c r="Q320" s="2" t="s">
        <v>487</v>
      </c>
      <c r="R320" s="226" t="s">
        <v>2687</v>
      </c>
      <c r="U320" s="69"/>
      <c r="V320" s="69"/>
      <c r="W320" s="69"/>
    </row>
    <row r="321" spans="1:23">
      <c r="A321" s="103" t="s">
        <v>273</v>
      </c>
      <c r="B321" s="103" t="s">
        <v>76</v>
      </c>
      <c r="C321" s="103" t="s">
        <v>1243</v>
      </c>
      <c r="E321" s="103" t="s">
        <v>2683</v>
      </c>
      <c r="F321" s="103" t="s">
        <v>2615</v>
      </c>
      <c r="H321" s="103" t="s">
        <v>2690</v>
      </c>
      <c r="I321" s="103" t="s">
        <v>2615</v>
      </c>
      <c r="J321" s="103" t="s">
        <v>2717</v>
      </c>
      <c r="K321" s="103" t="s">
        <v>2686</v>
      </c>
      <c r="M321" s="103">
        <v>0.89129999999999998</v>
      </c>
      <c r="N321" s="103">
        <v>95</v>
      </c>
      <c r="O321" s="103" t="s">
        <v>487</v>
      </c>
      <c r="P321" s="103" t="s">
        <v>487</v>
      </c>
      <c r="Q321" s="2" t="s">
        <v>487</v>
      </c>
      <c r="R321" s="226" t="s">
        <v>2687</v>
      </c>
      <c r="U321" s="69"/>
      <c r="V321" s="69"/>
      <c r="W321" s="69"/>
    </row>
    <row r="322" spans="1:23">
      <c r="A322" s="103" t="s">
        <v>273</v>
      </c>
      <c r="B322" s="103" t="s">
        <v>76</v>
      </c>
      <c r="C322" s="103" t="s">
        <v>1243</v>
      </c>
      <c r="E322" s="103" t="s">
        <v>2683</v>
      </c>
      <c r="F322" s="103" t="s">
        <v>2615</v>
      </c>
      <c r="H322" s="103" t="s">
        <v>2692</v>
      </c>
      <c r="I322" s="103" t="s">
        <v>2615</v>
      </c>
      <c r="J322" s="103" t="s">
        <v>2718</v>
      </c>
      <c r="K322" s="103" t="s">
        <v>2686</v>
      </c>
      <c r="M322" s="103">
        <v>0.97899999999999998</v>
      </c>
      <c r="N322" s="103">
        <v>95</v>
      </c>
      <c r="O322" s="103" t="s">
        <v>487</v>
      </c>
      <c r="P322" s="103" t="s">
        <v>487</v>
      </c>
      <c r="Q322" s="2" t="s">
        <v>487</v>
      </c>
      <c r="R322" s="226" t="s">
        <v>2687</v>
      </c>
      <c r="U322" s="69"/>
      <c r="V322" s="69"/>
      <c r="W322" s="69"/>
    </row>
    <row r="323" spans="1:23">
      <c r="A323" s="103" t="s">
        <v>273</v>
      </c>
      <c r="B323" s="103" t="s">
        <v>76</v>
      </c>
      <c r="C323" s="103" t="s">
        <v>1243</v>
      </c>
      <c r="E323" s="103" t="s">
        <v>2683</v>
      </c>
      <c r="F323" s="103" t="s">
        <v>2615</v>
      </c>
      <c r="H323" s="103" t="s">
        <v>2694</v>
      </c>
      <c r="I323" s="103" t="s">
        <v>2615</v>
      </c>
      <c r="J323" s="103" t="s">
        <v>2719</v>
      </c>
      <c r="K323" s="103" t="s">
        <v>2686</v>
      </c>
      <c r="M323" s="103">
        <v>0.50800000000000001</v>
      </c>
      <c r="N323" s="103">
        <v>95</v>
      </c>
      <c r="O323" s="103" t="s">
        <v>487</v>
      </c>
      <c r="P323" s="103" t="s">
        <v>487</v>
      </c>
      <c r="Q323" s="2" t="s">
        <v>487</v>
      </c>
      <c r="R323" s="226" t="s">
        <v>2687</v>
      </c>
      <c r="U323" s="69"/>
      <c r="V323" s="69"/>
      <c r="W323" s="69"/>
    </row>
    <row r="324" spans="1:23">
      <c r="A324" s="103" t="s">
        <v>273</v>
      </c>
      <c r="B324" s="103" t="s">
        <v>76</v>
      </c>
      <c r="C324" s="103" t="s">
        <v>1243</v>
      </c>
      <c r="E324" s="103" t="s">
        <v>2683</v>
      </c>
      <c r="F324" s="103" t="s">
        <v>2615</v>
      </c>
      <c r="H324" s="103" t="s">
        <v>2696</v>
      </c>
      <c r="I324" s="103" t="s">
        <v>2615</v>
      </c>
      <c r="J324" s="103" t="s">
        <v>2720</v>
      </c>
      <c r="K324" s="103" t="s">
        <v>2686</v>
      </c>
      <c r="M324" s="103">
        <v>0.48309999999999997</v>
      </c>
      <c r="N324" s="103">
        <v>95</v>
      </c>
      <c r="O324" s="103" t="s">
        <v>487</v>
      </c>
      <c r="P324" s="103" t="s">
        <v>487</v>
      </c>
      <c r="Q324" s="2" t="s">
        <v>487</v>
      </c>
      <c r="R324" s="226" t="s">
        <v>2687</v>
      </c>
      <c r="U324" s="69"/>
      <c r="V324" s="69"/>
      <c r="W324" s="69"/>
    </row>
    <row r="325" spans="1:23">
      <c r="A325" s="103" t="s">
        <v>273</v>
      </c>
      <c r="B325" s="103" t="s">
        <v>76</v>
      </c>
      <c r="C325" s="103" t="s">
        <v>1243</v>
      </c>
      <c r="E325" s="103" t="s">
        <v>2683</v>
      </c>
      <c r="F325" s="103" t="s">
        <v>2615</v>
      </c>
      <c r="H325" s="103" t="s">
        <v>2698</v>
      </c>
      <c r="I325" s="103" t="s">
        <v>2615</v>
      </c>
      <c r="J325" s="103" t="s">
        <v>2721</v>
      </c>
      <c r="K325" s="103" t="s">
        <v>2686</v>
      </c>
      <c r="M325" s="103">
        <v>0.67889999999999995</v>
      </c>
      <c r="N325" s="103">
        <v>95</v>
      </c>
      <c r="O325" s="103" t="s">
        <v>487</v>
      </c>
      <c r="P325" s="103" t="s">
        <v>487</v>
      </c>
      <c r="Q325" s="2" t="s">
        <v>487</v>
      </c>
      <c r="R325" s="226" t="s">
        <v>2687</v>
      </c>
      <c r="U325" s="69"/>
      <c r="V325" s="69"/>
      <c r="W325" s="69"/>
    </row>
    <row r="326" spans="1:23">
      <c r="A326" s="103" t="s">
        <v>273</v>
      </c>
      <c r="B326" s="103" t="s">
        <v>76</v>
      </c>
      <c r="C326" s="103" t="s">
        <v>1243</v>
      </c>
      <c r="E326" s="103" t="s">
        <v>2683</v>
      </c>
      <c r="F326" s="103" t="s">
        <v>2615</v>
      </c>
      <c r="H326" s="103" t="s">
        <v>2700</v>
      </c>
      <c r="I326" s="103" t="s">
        <v>2615</v>
      </c>
      <c r="J326" s="103" t="s">
        <v>2722</v>
      </c>
      <c r="K326" s="103" t="s">
        <v>2686</v>
      </c>
      <c r="M326" s="103">
        <v>0.68200000000000005</v>
      </c>
      <c r="N326" s="103">
        <v>95</v>
      </c>
      <c r="O326" s="103" t="s">
        <v>487</v>
      </c>
      <c r="P326" s="103" t="s">
        <v>487</v>
      </c>
      <c r="Q326" s="2" t="s">
        <v>487</v>
      </c>
      <c r="R326" s="226" t="s">
        <v>2687</v>
      </c>
      <c r="U326" s="69"/>
      <c r="V326" s="69"/>
      <c r="W326" s="69"/>
    </row>
    <row r="327" spans="1:23">
      <c r="A327" s="103" t="s">
        <v>273</v>
      </c>
      <c r="B327" s="103" t="s">
        <v>76</v>
      </c>
      <c r="C327" s="103" t="s">
        <v>1243</v>
      </c>
      <c r="E327" s="103" t="s">
        <v>2683</v>
      </c>
      <c r="F327" s="103" t="s">
        <v>2615</v>
      </c>
      <c r="H327" s="103" t="s">
        <v>2702</v>
      </c>
      <c r="I327" s="103" t="s">
        <v>2615</v>
      </c>
      <c r="J327" s="103" t="s">
        <v>2723</v>
      </c>
      <c r="K327" s="103" t="s">
        <v>2686</v>
      </c>
      <c r="M327" s="103">
        <v>0.67259999999999998</v>
      </c>
      <c r="N327" s="103">
        <v>95</v>
      </c>
      <c r="O327" s="103" t="s">
        <v>487</v>
      </c>
      <c r="P327" s="103" t="s">
        <v>487</v>
      </c>
      <c r="Q327" s="2" t="s">
        <v>487</v>
      </c>
      <c r="R327" s="226" t="s">
        <v>2687</v>
      </c>
      <c r="U327" s="69"/>
      <c r="V327" s="69"/>
      <c r="W327" s="69"/>
    </row>
    <row r="328" spans="1:23">
      <c r="A328" s="103" t="s">
        <v>273</v>
      </c>
      <c r="B328" s="103" t="s">
        <v>76</v>
      </c>
      <c r="C328" s="103" t="s">
        <v>1243</v>
      </c>
      <c r="D328" s="103" t="s">
        <v>1474</v>
      </c>
      <c r="E328" s="103" t="s">
        <v>2724</v>
      </c>
      <c r="F328" s="103" t="s">
        <v>2275</v>
      </c>
      <c r="G328" s="103" t="s">
        <v>2725</v>
      </c>
      <c r="H328" s="103" t="s">
        <v>2683</v>
      </c>
      <c r="I328" s="103" t="s">
        <v>2615</v>
      </c>
      <c r="J328" s="103" t="s">
        <v>2726</v>
      </c>
      <c r="K328" s="103" t="s">
        <v>2686</v>
      </c>
      <c r="M328" s="103">
        <v>0.79210000000000003</v>
      </c>
      <c r="N328" s="103">
        <v>68</v>
      </c>
      <c r="O328" s="103" t="s">
        <v>487</v>
      </c>
      <c r="P328" s="103" t="s">
        <v>487</v>
      </c>
      <c r="Q328" s="2" t="s">
        <v>487</v>
      </c>
      <c r="R328" s="226" t="s">
        <v>2687</v>
      </c>
      <c r="U328" s="69"/>
      <c r="V328" s="69"/>
      <c r="W328" s="69"/>
    </row>
    <row r="329" spans="1:23">
      <c r="A329" s="103" t="s">
        <v>273</v>
      </c>
      <c r="B329" s="103" t="s">
        <v>76</v>
      </c>
      <c r="C329" s="103" t="s">
        <v>1243</v>
      </c>
      <c r="D329" s="103" t="s">
        <v>1474</v>
      </c>
      <c r="E329" s="103" t="s">
        <v>2272</v>
      </c>
      <c r="F329" s="103" t="s">
        <v>2273</v>
      </c>
      <c r="G329" s="103" t="s">
        <v>2725</v>
      </c>
      <c r="H329" s="103" t="s">
        <v>2683</v>
      </c>
      <c r="I329" s="103" t="s">
        <v>2615</v>
      </c>
      <c r="J329" s="103" t="s">
        <v>2727</v>
      </c>
      <c r="K329" s="103" t="s">
        <v>2728</v>
      </c>
      <c r="M329" s="103">
        <v>0.86490000000000011</v>
      </c>
      <c r="N329" s="103">
        <v>68</v>
      </c>
      <c r="O329" s="103" t="s">
        <v>487</v>
      </c>
      <c r="P329" s="103" t="s">
        <v>487</v>
      </c>
      <c r="Q329" s="2" t="s">
        <v>487</v>
      </c>
      <c r="R329" s="226" t="s">
        <v>2687</v>
      </c>
      <c r="U329" s="69"/>
      <c r="V329" s="69"/>
      <c r="W329" s="69"/>
    </row>
    <row r="330" spans="1:23">
      <c r="A330" s="103" t="s">
        <v>273</v>
      </c>
      <c r="B330" s="103" t="s">
        <v>76</v>
      </c>
      <c r="C330" s="103" t="s">
        <v>1243</v>
      </c>
      <c r="D330" s="103" t="s">
        <v>1474</v>
      </c>
      <c r="E330" s="103" t="s">
        <v>2272</v>
      </c>
      <c r="F330" s="103" t="s">
        <v>2273</v>
      </c>
      <c r="G330" s="103" t="s">
        <v>2729</v>
      </c>
      <c r="H330" s="103" t="s">
        <v>2614</v>
      </c>
      <c r="I330" s="103" t="s">
        <v>2615</v>
      </c>
      <c r="J330" s="103" t="s">
        <v>2730</v>
      </c>
      <c r="M330" s="103">
        <v>0.90249999999999997</v>
      </c>
      <c r="N330" s="103">
        <v>3</v>
      </c>
      <c r="O330" s="103" t="s">
        <v>487</v>
      </c>
      <c r="P330" s="103">
        <v>41</v>
      </c>
      <c r="Q330" s="2">
        <v>28</v>
      </c>
      <c r="R330" s="226" t="s">
        <v>2612</v>
      </c>
      <c r="U330" s="69"/>
      <c r="V330" s="69"/>
      <c r="W330" s="69"/>
    </row>
    <row r="331" spans="1:23">
      <c r="A331" s="103" t="s">
        <v>273</v>
      </c>
      <c r="B331" s="103" t="s">
        <v>76</v>
      </c>
      <c r="C331" s="103" t="s">
        <v>1243</v>
      </c>
      <c r="D331" s="103" t="s">
        <v>1474</v>
      </c>
      <c r="E331" s="103" t="s">
        <v>2272</v>
      </c>
      <c r="F331" s="103" t="s">
        <v>2273</v>
      </c>
      <c r="G331" s="103" t="s">
        <v>2623</v>
      </c>
      <c r="H331" s="103" t="s">
        <v>2624</v>
      </c>
      <c r="I331" s="103" t="s">
        <v>2615</v>
      </c>
      <c r="J331" s="103" t="s">
        <v>2731</v>
      </c>
      <c r="M331" s="103">
        <v>0.84640000000000004</v>
      </c>
      <c r="N331" s="103">
        <v>3</v>
      </c>
      <c r="O331" s="103" t="s">
        <v>487</v>
      </c>
      <c r="P331" s="103">
        <v>57</v>
      </c>
      <c r="Q331" s="2">
        <v>37</v>
      </c>
      <c r="R331" s="226" t="s">
        <v>2612</v>
      </c>
      <c r="U331" s="69"/>
      <c r="V331" s="69"/>
      <c r="W331" s="69"/>
    </row>
    <row r="332" spans="1:23">
      <c r="A332" s="103" t="s">
        <v>273</v>
      </c>
      <c r="B332" s="103" t="s">
        <v>76</v>
      </c>
      <c r="C332" s="103" t="s">
        <v>1243</v>
      </c>
      <c r="D332" s="103" t="s">
        <v>1474</v>
      </c>
      <c r="E332" s="103" t="s">
        <v>2272</v>
      </c>
      <c r="F332" s="103" t="s">
        <v>2273</v>
      </c>
      <c r="G332" s="103" t="s">
        <v>290</v>
      </c>
      <c r="H332" s="103" t="s">
        <v>2629</v>
      </c>
      <c r="I332" s="103" t="s">
        <v>2275</v>
      </c>
      <c r="J332" s="103" t="s">
        <v>2732</v>
      </c>
      <c r="M332" s="103">
        <v>0.84640000000000004</v>
      </c>
      <c r="N332" s="103">
        <v>3</v>
      </c>
      <c r="O332" s="103" t="s">
        <v>487</v>
      </c>
      <c r="P332" s="103">
        <v>57</v>
      </c>
      <c r="Q332" s="2">
        <v>38</v>
      </c>
      <c r="R332" s="226" t="s">
        <v>2612</v>
      </c>
      <c r="U332" s="69"/>
      <c r="V332" s="69"/>
      <c r="W332" s="69"/>
    </row>
    <row r="333" spans="1:23">
      <c r="A333" s="103" t="s">
        <v>273</v>
      </c>
      <c r="B333" s="103" t="s">
        <v>77</v>
      </c>
      <c r="C333" s="103" t="s">
        <v>1243</v>
      </c>
      <c r="D333" s="103" t="s">
        <v>1474</v>
      </c>
      <c r="E333" s="103" t="s">
        <v>2272</v>
      </c>
      <c r="F333" s="103" t="s">
        <v>2273</v>
      </c>
      <c r="G333" s="103" t="s">
        <v>2609</v>
      </c>
      <c r="H333" s="103" t="s">
        <v>2610</v>
      </c>
      <c r="I333" s="103" t="s">
        <v>2275</v>
      </c>
      <c r="J333" s="103" t="s">
        <v>2733</v>
      </c>
      <c r="M333" s="103">
        <v>0.84640000000000004</v>
      </c>
      <c r="N333" s="103">
        <v>37</v>
      </c>
      <c r="O333" s="103" t="s">
        <v>487</v>
      </c>
      <c r="P333" s="103">
        <v>73</v>
      </c>
      <c r="Q333" s="2">
        <v>48</v>
      </c>
      <c r="R333" s="226" t="s">
        <v>2612</v>
      </c>
      <c r="U333" s="69"/>
      <c r="V333" s="69"/>
      <c r="W333" s="69"/>
    </row>
    <row r="334" spans="1:23">
      <c r="A334" s="103" t="s">
        <v>273</v>
      </c>
      <c r="B334" s="103" t="s">
        <v>77</v>
      </c>
      <c r="C334" s="103" t="s">
        <v>1243</v>
      </c>
      <c r="D334" s="103" t="s">
        <v>1474</v>
      </c>
      <c r="E334" s="103" t="s">
        <v>2272</v>
      </c>
      <c r="F334" s="103" t="s">
        <v>2273</v>
      </c>
      <c r="G334" s="103" t="s">
        <v>2734</v>
      </c>
      <c r="H334" s="103" t="s">
        <v>2614</v>
      </c>
      <c r="I334" s="103" t="s">
        <v>2615</v>
      </c>
      <c r="J334" s="103" t="s">
        <v>2735</v>
      </c>
      <c r="M334" s="103">
        <v>0.86490000000000011</v>
      </c>
      <c r="N334" s="103">
        <v>37</v>
      </c>
      <c r="O334" s="103" t="s">
        <v>487</v>
      </c>
      <c r="P334" s="103">
        <v>66</v>
      </c>
      <c r="Q334" s="2">
        <v>45</v>
      </c>
      <c r="R334" s="226" t="s">
        <v>2612</v>
      </c>
      <c r="U334" s="69"/>
      <c r="V334" s="69"/>
      <c r="W334" s="69"/>
    </row>
    <row r="335" spans="1:23">
      <c r="A335" s="103" t="s">
        <v>273</v>
      </c>
      <c r="B335" s="103" t="s">
        <v>77</v>
      </c>
      <c r="C335" s="103" t="s">
        <v>1243</v>
      </c>
      <c r="D335" s="103" t="s">
        <v>1474</v>
      </c>
      <c r="E335" s="103" t="s">
        <v>2272</v>
      </c>
      <c r="F335" s="103" t="s">
        <v>2273</v>
      </c>
      <c r="G335" s="103" t="s">
        <v>2623</v>
      </c>
      <c r="H335" s="103" t="s">
        <v>2624</v>
      </c>
      <c r="I335" s="103" t="s">
        <v>2615</v>
      </c>
      <c r="J335" s="103" t="s">
        <v>2736</v>
      </c>
      <c r="M335" s="103">
        <v>0.86490000000000011</v>
      </c>
      <c r="N335" s="103">
        <v>37</v>
      </c>
      <c r="O335" s="103" t="s">
        <v>487</v>
      </c>
      <c r="P335" s="103">
        <v>66</v>
      </c>
      <c r="Q335" s="2">
        <v>47</v>
      </c>
      <c r="R335" s="226" t="s">
        <v>2612</v>
      </c>
      <c r="U335" s="69"/>
      <c r="V335" s="69"/>
      <c r="W335" s="69"/>
    </row>
    <row r="336" spans="1:23">
      <c r="A336" s="103" t="s">
        <v>273</v>
      </c>
      <c r="B336" s="103" t="s">
        <v>77</v>
      </c>
      <c r="C336" s="103" t="s">
        <v>1243</v>
      </c>
      <c r="D336" s="103" t="s">
        <v>1474</v>
      </c>
      <c r="E336" s="103" t="s">
        <v>2272</v>
      </c>
      <c r="F336" s="103" t="s">
        <v>2273</v>
      </c>
      <c r="G336" s="103" t="s">
        <v>290</v>
      </c>
      <c r="H336" s="103" t="s">
        <v>2629</v>
      </c>
      <c r="I336" s="103" t="s">
        <v>2275</v>
      </c>
      <c r="J336" s="103" t="s">
        <v>2737</v>
      </c>
      <c r="M336" s="103">
        <v>0.90249999999999997</v>
      </c>
      <c r="N336" s="103">
        <v>37</v>
      </c>
      <c r="O336" s="103" t="s">
        <v>487</v>
      </c>
      <c r="P336" s="103">
        <v>58</v>
      </c>
      <c r="Q336" s="2">
        <v>40</v>
      </c>
      <c r="R336" s="226" t="s">
        <v>2612</v>
      </c>
      <c r="U336" s="69"/>
      <c r="V336" s="69"/>
      <c r="W336" s="69"/>
    </row>
    <row r="337" spans="1:23">
      <c r="A337" s="103" t="s">
        <v>273</v>
      </c>
      <c r="B337" s="103" t="s">
        <v>80</v>
      </c>
      <c r="C337" s="103" t="s">
        <v>1243</v>
      </c>
      <c r="D337" s="103" t="s">
        <v>1474</v>
      </c>
      <c r="E337" s="103" t="s">
        <v>2272</v>
      </c>
      <c r="F337" s="103" t="s">
        <v>2273</v>
      </c>
      <c r="G337" s="103" t="s">
        <v>2609</v>
      </c>
      <c r="H337" s="103" t="s">
        <v>2610</v>
      </c>
      <c r="I337" s="103" t="s">
        <v>2275</v>
      </c>
      <c r="J337" s="103" t="s">
        <v>2738</v>
      </c>
      <c r="M337" s="103">
        <v>0.90249999999999997</v>
      </c>
      <c r="N337" s="103">
        <v>15</v>
      </c>
      <c r="O337" s="103" t="s">
        <v>487</v>
      </c>
      <c r="P337" s="103">
        <v>21</v>
      </c>
      <c r="Q337" s="2">
        <v>15</v>
      </c>
      <c r="R337" s="226" t="s">
        <v>2612</v>
      </c>
      <c r="U337" s="69"/>
      <c r="V337" s="69"/>
      <c r="W337" s="69"/>
    </row>
    <row r="338" spans="1:23">
      <c r="A338" s="103" t="s">
        <v>273</v>
      </c>
      <c r="B338" s="103" t="s">
        <v>80</v>
      </c>
      <c r="C338" s="103" t="s">
        <v>1243</v>
      </c>
      <c r="D338" s="103" t="s">
        <v>1474</v>
      </c>
      <c r="E338" s="103" t="s">
        <v>2272</v>
      </c>
      <c r="F338" s="103" t="s">
        <v>2273</v>
      </c>
      <c r="G338" s="103" t="s">
        <v>2734</v>
      </c>
      <c r="H338" s="103" t="s">
        <v>2614</v>
      </c>
      <c r="I338" s="103" t="s">
        <v>2615</v>
      </c>
      <c r="J338" s="103" t="s">
        <v>2739</v>
      </c>
      <c r="M338" s="103">
        <v>0.18489999999999998</v>
      </c>
      <c r="N338" s="103">
        <v>15</v>
      </c>
      <c r="O338" s="103" t="s">
        <v>487</v>
      </c>
      <c r="P338" s="103">
        <v>78</v>
      </c>
      <c r="Q338" s="2">
        <v>46</v>
      </c>
      <c r="R338" s="226" t="s">
        <v>2612</v>
      </c>
      <c r="U338" s="69"/>
      <c r="V338" s="69"/>
      <c r="W338" s="69"/>
    </row>
    <row r="339" spans="1:23">
      <c r="A339" s="103" t="s">
        <v>273</v>
      </c>
      <c r="B339" s="103" t="s">
        <v>80</v>
      </c>
      <c r="C339" s="103" t="s">
        <v>1243</v>
      </c>
      <c r="D339" s="103" t="s">
        <v>1474</v>
      </c>
      <c r="E339" s="103" t="s">
        <v>2272</v>
      </c>
      <c r="F339" s="103" t="s">
        <v>2273</v>
      </c>
      <c r="G339" s="103" t="s">
        <v>2623</v>
      </c>
      <c r="H339" s="103" t="s">
        <v>2624</v>
      </c>
      <c r="I339" s="103" t="s">
        <v>2615</v>
      </c>
      <c r="J339" s="103" t="s">
        <v>2740</v>
      </c>
      <c r="M339" s="103">
        <v>0.40960000000000002</v>
      </c>
      <c r="N339" s="103">
        <v>15</v>
      </c>
      <c r="O339" s="103" t="s">
        <v>487</v>
      </c>
      <c r="P339" s="103">
        <v>61</v>
      </c>
      <c r="Q339" s="2">
        <v>42</v>
      </c>
      <c r="R339" s="226" t="s">
        <v>2612</v>
      </c>
      <c r="U339" s="69"/>
      <c r="V339" s="69"/>
      <c r="W339" s="69"/>
    </row>
    <row r="340" spans="1:23">
      <c r="A340" s="103" t="s">
        <v>273</v>
      </c>
      <c r="B340" s="103" t="s">
        <v>80</v>
      </c>
      <c r="C340" s="103" t="s">
        <v>1243</v>
      </c>
      <c r="D340" s="103" t="s">
        <v>1474</v>
      </c>
      <c r="E340" s="103" t="s">
        <v>2272</v>
      </c>
      <c r="F340" s="103" t="s">
        <v>2273</v>
      </c>
      <c r="G340" s="103" t="s">
        <v>290</v>
      </c>
      <c r="H340" s="103" t="s">
        <v>2629</v>
      </c>
      <c r="I340" s="103" t="s">
        <v>2275</v>
      </c>
      <c r="J340" s="103" t="s">
        <v>2741</v>
      </c>
      <c r="M340" s="103">
        <v>0.48999999999999994</v>
      </c>
      <c r="N340" s="103">
        <v>15</v>
      </c>
      <c r="O340" s="103" t="s">
        <v>487</v>
      </c>
      <c r="P340" s="103">
        <v>56</v>
      </c>
      <c r="Q340" s="2">
        <v>39</v>
      </c>
      <c r="R340" s="226" t="s">
        <v>2612</v>
      </c>
      <c r="U340" s="69"/>
      <c r="V340" s="69"/>
      <c r="W340" s="69"/>
    </row>
    <row r="341" spans="1:23">
      <c r="A341" s="103" t="s">
        <v>273</v>
      </c>
      <c r="C341" s="103" t="s">
        <v>1243</v>
      </c>
      <c r="D341" s="103" t="s">
        <v>1474</v>
      </c>
      <c r="E341" s="103" t="s">
        <v>2272</v>
      </c>
      <c r="F341" s="103" t="s">
        <v>2273</v>
      </c>
      <c r="G341" s="103" t="s">
        <v>2609</v>
      </c>
      <c r="H341" s="103" t="s">
        <v>2610</v>
      </c>
      <c r="I341" s="103" t="s">
        <v>2275</v>
      </c>
      <c r="J341" s="103" t="s">
        <v>2742</v>
      </c>
      <c r="M341" s="103">
        <v>0.92159999999999997</v>
      </c>
      <c r="N341" s="103">
        <v>63</v>
      </c>
      <c r="O341" s="103" t="s">
        <v>487</v>
      </c>
      <c r="P341" s="103">
        <v>53</v>
      </c>
      <c r="Q341" s="2">
        <v>36</v>
      </c>
      <c r="R341" s="226" t="s">
        <v>2612</v>
      </c>
      <c r="U341" s="69"/>
      <c r="V341" s="69"/>
      <c r="W341" s="69"/>
    </row>
    <row r="342" spans="1:23">
      <c r="A342" s="103" t="s">
        <v>273</v>
      </c>
      <c r="C342" s="103" t="s">
        <v>1243</v>
      </c>
      <c r="D342" s="103" t="s">
        <v>1474</v>
      </c>
      <c r="E342" s="103" t="s">
        <v>2272</v>
      </c>
      <c r="F342" s="103" t="s">
        <v>2273</v>
      </c>
      <c r="G342" s="103" t="s">
        <v>2734</v>
      </c>
      <c r="H342" s="103" t="s">
        <v>2614</v>
      </c>
      <c r="I342" s="103" t="s">
        <v>2615</v>
      </c>
      <c r="J342" s="103" t="s">
        <v>2743</v>
      </c>
      <c r="M342" s="103">
        <v>0.68889999999999996</v>
      </c>
      <c r="N342" s="103">
        <v>63</v>
      </c>
      <c r="O342" s="103" t="s">
        <v>487</v>
      </c>
      <c r="P342" s="103">
        <v>138</v>
      </c>
      <c r="Q342" s="2">
        <v>97</v>
      </c>
      <c r="R342" s="226" t="s">
        <v>2612</v>
      </c>
      <c r="U342" s="69"/>
      <c r="V342" s="69"/>
      <c r="W342" s="69"/>
    </row>
    <row r="343" spans="1:23">
      <c r="A343" s="103" t="s">
        <v>273</v>
      </c>
      <c r="C343" s="103" t="s">
        <v>1243</v>
      </c>
      <c r="D343" s="103" t="s">
        <v>1474</v>
      </c>
      <c r="E343" s="103" t="s">
        <v>2272</v>
      </c>
      <c r="F343" s="103" t="s">
        <v>2273</v>
      </c>
      <c r="G343" s="103" t="s">
        <v>2623</v>
      </c>
      <c r="H343" s="103" t="s">
        <v>2624</v>
      </c>
      <c r="I343" s="103" t="s">
        <v>2615</v>
      </c>
      <c r="J343" s="103" t="s">
        <v>2744</v>
      </c>
      <c r="M343" s="103">
        <v>0.90249999999999997</v>
      </c>
      <c r="N343" s="103">
        <v>63</v>
      </c>
      <c r="O343" s="103" t="s">
        <v>487</v>
      </c>
      <c r="P343" s="103">
        <v>61</v>
      </c>
      <c r="Q343" s="2">
        <v>42</v>
      </c>
      <c r="R343" s="226" t="s">
        <v>2612</v>
      </c>
      <c r="U343" s="69"/>
      <c r="V343" s="69"/>
      <c r="W343" s="69"/>
    </row>
    <row r="344" spans="1:23">
      <c r="A344" s="103" t="s">
        <v>273</v>
      </c>
      <c r="C344" s="103" t="s">
        <v>1243</v>
      </c>
      <c r="D344" s="103" t="s">
        <v>1474</v>
      </c>
      <c r="E344" s="103" t="s">
        <v>2272</v>
      </c>
      <c r="F344" s="103" t="s">
        <v>2273</v>
      </c>
      <c r="G344" s="103" t="s">
        <v>290</v>
      </c>
      <c r="H344" s="103" t="s">
        <v>2629</v>
      </c>
      <c r="I344" s="103" t="s">
        <v>2275</v>
      </c>
      <c r="J344" s="103" t="s">
        <v>2745</v>
      </c>
      <c r="M344" s="103">
        <v>0.90249999999999997</v>
      </c>
      <c r="N344" s="103">
        <v>63</v>
      </c>
      <c r="O344" s="103" t="s">
        <v>487</v>
      </c>
      <c r="P344" s="103">
        <v>66</v>
      </c>
      <c r="Q344" s="2">
        <v>47</v>
      </c>
      <c r="R344" s="226" t="s">
        <v>2612</v>
      </c>
      <c r="U344" s="69"/>
      <c r="V344" s="69"/>
      <c r="W344" s="69"/>
    </row>
    <row r="345" spans="1:23">
      <c r="A345" s="103" t="s">
        <v>273</v>
      </c>
      <c r="C345" s="103" t="s">
        <v>2746</v>
      </c>
      <c r="D345" s="103" t="s">
        <v>1474</v>
      </c>
      <c r="E345" s="103" t="s">
        <v>2272</v>
      </c>
      <c r="F345" s="103" t="s">
        <v>2273</v>
      </c>
      <c r="G345" s="103" t="s">
        <v>2609</v>
      </c>
      <c r="H345" s="103" t="s">
        <v>2610</v>
      </c>
      <c r="I345" s="103" t="s">
        <v>2275</v>
      </c>
      <c r="J345" s="103" t="s">
        <v>2747</v>
      </c>
      <c r="M345" s="103">
        <v>0.5776</v>
      </c>
      <c r="N345" s="103">
        <v>30</v>
      </c>
      <c r="O345" s="103" t="s">
        <v>487</v>
      </c>
      <c r="P345" s="103">
        <v>63</v>
      </c>
      <c r="Q345" s="2">
        <v>43</v>
      </c>
      <c r="R345" s="226" t="s">
        <v>2612</v>
      </c>
      <c r="U345" s="69"/>
      <c r="V345" s="69"/>
      <c r="W345" s="69"/>
    </row>
    <row r="346" spans="1:23">
      <c r="A346" s="103" t="s">
        <v>273</v>
      </c>
      <c r="C346" s="103" t="s">
        <v>2746</v>
      </c>
      <c r="D346" s="103" t="s">
        <v>1474</v>
      </c>
      <c r="E346" s="103" t="s">
        <v>2272</v>
      </c>
      <c r="F346" s="103" t="s">
        <v>2273</v>
      </c>
      <c r="G346" s="103" t="s">
        <v>2734</v>
      </c>
      <c r="H346" s="103" t="s">
        <v>2614</v>
      </c>
      <c r="I346" s="103" t="s">
        <v>2615</v>
      </c>
      <c r="J346" s="103" t="s">
        <v>2748</v>
      </c>
      <c r="M346" s="103">
        <v>0.17639999999999997</v>
      </c>
      <c r="N346" s="103">
        <v>30</v>
      </c>
      <c r="O346" s="103" t="s">
        <v>487</v>
      </c>
      <c r="P346" s="103">
        <v>99</v>
      </c>
      <c r="Q346" s="2">
        <v>55</v>
      </c>
      <c r="R346" s="226" t="s">
        <v>2612</v>
      </c>
      <c r="U346" s="69"/>
      <c r="V346" s="69"/>
      <c r="W346" s="69"/>
    </row>
    <row r="347" spans="1:23">
      <c r="A347" s="103" t="s">
        <v>273</v>
      </c>
      <c r="C347" s="103" t="s">
        <v>2746</v>
      </c>
      <c r="D347" s="103" t="s">
        <v>1474</v>
      </c>
      <c r="E347" s="103" t="s">
        <v>2272</v>
      </c>
      <c r="F347" s="103" t="s">
        <v>2273</v>
      </c>
      <c r="G347" s="103" t="s">
        <v>2623</v>
      </c>
      <c r="H347" s="103" t="s">
        <v>2624</v>
      </c>
      <c r="I347" s="103" t="s">
        <v>2615</v>
      </c>
      <c r="J347" s="103" t="s">
        <v>2749</v>
      </c>
      <c r="M347" s="103">
        <v>0.59289999999999998</v>
      </c>
      <c r="N347" s="103">
        <v>30</v>
      </c>
      <c r="O347" s="103" t="s">
        <v>487</v>
      </c>
      <c r="P347" s="103">
        <v>63</v>
      </c>
      <c r="Q347" s="2">
        <v>41</v>
      </c>
      <c r="R347" s="226" t="s">
        <v>2612</v>
      </c>
      <c r="U347" s="69"/>
      <c r="V347" s="69"/>
      <c r="W347" s="69"/>
    </row>
    <row r="348" spans="1:23">
      <c r="A348" s="103" t="s">
        <v>273</v>
      </c>
      <c r="C348" s="103" t="s">
        <v>2746</v>
      </c>
      <c r="D348" s="103" t="s">
        <v>1474</v>
      </c>
      <c r="E348" s="103" t="s">
        <v>2272</v>
      </c>
      <c r="F348" s="103" t="s">
        <v>2273</v>
      </c>
      <c r="G348" s="103" t="s">
        <v>290</v>
      </c>
      <c r="H348" s="103" t="s">
        <v>2629</v>
      </c>
      <c r="I348" s="103" t="s">
        <v>2275</v>
      </c>
      <c r="J348" s="103" t="s">
        <v>2750</v>
      </c>
      <c r="M348" s="103">
        <v>0.65610000000000013</v>
      </c>
      <c r="N348" s="103">
        <v>30</v>
      </c>
      <c r="O348" s="103" t="s">
        <v>487</v>
      </c>
      <c r="P348" s="103">
        <v>56</v>
      </c>
      <c r="Q348" s="2">
        <v>39</v>
      </c>
      <c r="R348" s="226" t="s">
        <v>2612</v>
      </c>
      <c r="U348" s="69"/>
      <c r="V348" s="69"/>
      <c r="W348" s="69"/>
    </row>
    <row r="349" spans="1:23">
      <c r="A349" s="103" t="s">
        <v>273</v>
      </c>
      <c r="C349" s="103" t="s">
        <v>2751</v>
      </c>
      <c r="D349" s="103" t="s">
        <v>1474</v>
      </c>
      <c r="E349" s="103" t="s">
        <v>2272</v>
      </c>
      <c r="F349" s="103" t="s">
        <v>2273</v>
      </c>
      <c r="G349" s="103" t="s">
        <v>2609</v>
      </c>
      <c r="H349" s="103" t="s">
        <v>2610</v>
      </c>
      <c r="I349" s="103" t="s">
        <v>2275</v>
      </c>
      <c r="J349" s="103" t="s">
        <v>2752</v>
      </c>
      <c r="M349" s="103">
        <v>0.68889999999999996</v>
      </c>
      <c r="N349" s="103">
        <v>17</v>
      </c>
      <c r="O349" s="103" t="s">
        <v>487</v>
      </c>
      <c r="P349" s="103">
        <v>29</v>
      </c>
      <c r="Q349" s="2">
        <v>18</v>
      </c>
      <c r="R349" s="226" t="s">
        <v>2612</v>
      </c>
      <c r="U349" s="69"/>
      <c r="V349" s="69"/>
      <c r="W349" s="69"/>
    </row>
    <row r="350" spans="1:23">
      <c r="A350" s="103" t="s">
        <v>273</v>
      </c>
      <c r="C350" s="103" t="s">
        <v>2751</v>
      </c>
      <c r="D350" s="103" t="s">
        <v>1474</v>
      </c>
      <c r="E350" s="103" t="s">
        <v>2272</v>
      </c>
      <c r="F350" s="103" t="s">
        <v>2273</v>
      </c>
      <c r="G350" s="103" t="s">
        <v>2734</v>
      </c>
      <c r="H350" s="103" t="s">
        <v>2614</v>
      </c>
      <c r="I350" s="103" t="s">
        <v>2615</v>
      </c>
      <c r="J350" s="103" t="s">
        <v>2753</v>
      </c>
      <c r="M350" s="103">
        <v>7.2900000000000006E-2</v>
      </c>
      <c r="N350" s="103">
        <v>17</v>
      </c>
      <c r="O350" s="103" t="s">
        <v>487</v>
      </c>
      <c r="P350" s="103">
        <v>55</v>
      </c>
      <c r="Q350" s="2">
        <v>36</v>
      </c>
      <c r="R350" s="226" t="s">
        <v>2612</v>
      </c>
      <c r="U350" s="69"/>
      <c r="V350" s="69"/>
      <c r="W350" s="69"/>
    </row>
    <row r="351" spans="1:23">
      <c r="A351" s="103" t="s">
        <v>273</v>
      </c>
      <c r="C351" s="103" t="s">
        <v>2751</v>
      </c>
      <c r="D351" s="103" t="s">
        <v>1474</v>
      </c>
      <c r="E351" s="103" t="s">
        <v>2272</v>
      </c>
      <c r="F351" s="103" t="s">
        <v>2273</v>
      </c>
      <c r="G351" s="103" t="s">
        <v>2623</v>
      </c>
      <c r="H351" s="103" t="s">
        <v>2624</v>
      </c>
      <c r="I351" s="103" t="s">
        <v>2615</v>
      </c>
      <c r="J351" s="103" t="s">
        <v>2754</v>
      </c>
      <c r="M351" s="103">
        <v>0.37209999999999999</v>
      </c>
      <c r="N351" s="103">
        <v>17</v>
      </c>
      <c r="O351" s="103" t="s">
        <v>487</v>
      </c>
      <c r="P351" s="103">
        <v>43</v>
      </c>
      <c r="Q351" s="2">
        <v>28</v>
      </c>
      <c r="R351" s="226" t="s">
        <v>2612</v>
      </c>
      <c r="U351" s="69"/>
      <c r="V351" s="69"/>
      <c r="W351" s="69"/>
    </row>
    <row r="352" spans="1:23">
      <c r="A352" s="103" t="s">
        <v>273</v>
      </c>
      <c r="C352" s="103" t="s">
        <v>2751</v>
      </c>
      <c r="D352" s="103" t="s">
        <v>1474</v>
      </c>
      <c r="E352" s="103" t="s">
        <v>2272</v>
      </c>
      <c r="F352" s="103" t="s">
        <v>2273</v>
      </c>
      <c r="G352" s="103" t="s">
        <v>290</v>
      </c>
      <c r="H352" s="103" t="s">
        <v>2629</v>
      </c>
      <c r="I352" s="103" t="s">
        <v>2275</v>
      </c>
      <c r="J352" s="103" t="s">
        <v>2755</v>
      </c>
      <c r="M352" s="103">
        <v>0.43560000000000004</v>
      </c>
      <c r="N352" s="103">
        <v>17</v>
      </c>
      <c r="O352" s="103" t="s">
        <v>487</v>
      </c>
      <c r="P352" s="103">
        <v>41</v>
      </c>
      <c r="Q352" s="2">
        <v>26</v>
      </c>
      <c r="R352" s="226" t="s">
        <v>2612</v>
      </c>
      <c r="U352" s="69"/>
      <c r="V352" s="69"/>
      <c r="W352" s="69"/>
    </row>
    <row r="353" spans="1:23">
      <c r="A353" s="103" t="s">
        <v>273</v>
      </c>
      <c r="C353" s="103" t="s">
        <v>2756</v>
      </c>
      <c r="D353" s="103" t="s">
        <v>1474</v>
      </c>
      <c r="E353" s="103" t="s">
        <v>2272</v>
      </c>
      <c r="F353" s="103" t="s">
        <v>2273</v>
      </c>
      <c r="G353" s="103" t="s">
        <v>2609</v>
      </c>
      <c r="H353" s="103" t="s">
        <v>2610</v>
      </c>
      <c r="I353" s="103" t="s">
        <v>2275</v>
      </c>
      <c r="J353" s="103" t="s">
        <v>2757</v>
      </c>
      <c r="M353" s="103">
        <v>0.70559999999999989</v>
      </c>
      <c r="N353" s="103">
        <v>56</v>
      </c>
      <c r="O353" s="103" t="s">
        <v>487</v>
      </c>
      <c r="P353" s="103">
        <v>39</v>
      </c>
      <c r="Q353" s="2">
        <v>28</v>
      </c>
      <c r="R353" s="226" t="s">
        <v>2612</v>
      </c>
      <c r="U353" s="69"/>
      <c r="V353" s="69"/>
      <c r="W353" s="69"/>
    </row>
    <row r="354" spans="1:23">
      <c r="A354" s="103" t="s">
        <v>273</v>
      </c>
      <c r="C354" s="103" t="s">
        <v>2756</v>
      </c>
      <c r="D354" s="103" t="s">
        <v>1474</v>
      </c>
      <c r="E354" s="103" t="s">
        <v>2272</v>
      </c>
      <c r="F354" s="103" t="s">
        <v>2273</v>
      </c>
      <c r="G354" s="103" t="s">
        <v>2734</v>
      </c>
      <c r="H354" s="103" t="s">
        <v>2614</v>
      </c>
      <c r="I354" s="103" t="s">
        <v>2615</v>
      </c>
      <c r="J354" s="103" t="s">
        <v>2758</v>
      </c>
      <c r="M354" s="103">
        <v>0.33639999999999998</v>
      </c>
      <c r="N354" s="103">
        <v>56</v>
      </c>
      <c r="O354" s="103" t="s">
        <v>487</v>
      </c>
      <c r="P354" s="103">
        <v>64</v>
      </c>
      <c r="Q354" s="2">
        <v>44</v>
      </c>
      <c r="R354" s="226" t="s">
        <v>2612</v>
      </c>
      <c r="U354" s="69"/>
      <c r="V354" s="69"/>
      <c r="W354" s="69"/>
    </row>
    <row r="355" spans="1:23">
      <c r="A355" s="103" t="s">
        <v>273</v>
      </c>
      <c r="C355" s="103" t="s">
        <v>2756</v>
      </c>
      <c r="D355" s="103" t="s">
        <v>1474</v>
      </c>
      <c r="E355" s="103" t="s">
        <v>2272</v>
      </c>
      <c r="F355" s="103" t="s">
        <v>2273</v>
      </c>
      <c r="G355" s="103" t="s">
        <v>2623</v>
      </c>
      <c r="H355" s="103" t="s">
        <v>2624</v>
      </c>
      <c r="I355" s="103" t="s">
        <v>2615</v>
      </c>
      <c r="J355" s="103" t="s">
        <v>2759</v>
      </c>
      <c r="M355" s="103">
        <v>0.6241000000000001</v>
      </c>
      <c r="N355" s="103">
        <v>56</v>
      </c>
      <c r="O355" s="103" t="s">
        <v>487</v>
      </c>
      <c r="P355" s="103">
        <v>4</v>
      </c>
      <c r="Q355" s="2">
        <v>30</v>
      </c>
      <c r="R355" s="226" t="s">
        <v>2612</v>
      </c>
      <c r="U355" s="69"/>
      <c r="V355" s="69"/>
      <c r="W355" s="69"/>
    </row>
    <row r="356" spans="1:23">
      <c r="A356" s="103" t="s">
        <v>273</v>
      </c>
      <c r="C356" s="103" t="s">
        <v>2756</v>
      </c>
      <c r="D356" s="103" t="s">
        <v>1474</v>
      </c>
      <c r="E356" s="103" t="s">
        <v>2272</v>
      </c>
      <c r="F356" s="103" t="s">
        <v>2273</v>
      </c>
      <c r="G356" s="103" t="s">
        <v>290</v>
      </c>
      <c r="H356" s="103" t="s">
        <v>2629</v>
      </c>
      <c r="I356" s="103" t="s">
        <v>2275</v>
      </c>
      <c r="J356" s="103" t="s">
        <v>2760</v>
      </c>
      <c r="M356" s="103">
        <v>0.47609999999999991</v>
      </c>
      <c r="N356" s="103">
        <v>56</v>
      </c>
      <c r="O356" s="103" t="s">
        <v>487</v>
      </c>
      <c r="P356" s="103">
        <v>55</v>
      </c>
      <c r="Q356" s="2">
        <v>38</v>
      </c>
      <c r="R356" s="226" t="s">
        <v>2612</v>
      </c>
      <c r="U356" s="69"/>
      <c r="V356" s="69"/>
      <c r="W356" s="69"/>
    </row>
    <row r="357" spans="1:23">
      <c r="A357" s="103" t="s">
        <v>273</v>
      </c>
      <c r="C357" s="103" t="s">
        <v>2761</v>
      </c>
      <c r="D357" s="103" t="s">
        <v>1474</v>
      </c>
      <c r="E357" s="103" t="s">
        <v>2272</v>
      </c>
      <c r="F357" s="103" t="s">
        <v>2273</v>
      </c>
      <c r="G357" s="103" t="s">
        <v>2609</v>
      </c>
      <c r="H357" s="103" t="s">
        <v>2610</v>
      </c>
      <c r="I357" s="103" t="s">
        <v>2275</v>
      </c>
      <c r="J357" s="103" t="s">
        <v>2762</v>
      </c>
      <c r="M357" s="103">
        <v>0.12249999999999998</v>
      </c>
      <c r="N357" s="103">
        <v>36</v>
      </c>
      <c r="O357" s="103" t="s">
        <v>487</v>
      </c>
      <c r="P357" s="103">
        <v>36</v>
      </c>
      <c r="Q357" s="2">
        <v>26</v>
      </c>
      <c r="R357" s="226" t="s">
        <v>2612</v>
      </c>
      <c r="U357" s="69"/>
      <c r="V357" s="69"/>
      <c r="W357" s="69"/>
    </row>
    <row r="358" spans="1:23">
      <c r="A358" s="103" t="s">
        <v>273</v>
      </c>
      <c r="C358" s="103" t="s">
        <v>2761</v>
      </c>
      <c r="D358" s="103" t="s">
        <v>1474</v>
      </c>
      <c r="E358" s="103" t="s">
        <v>2272</v>
      </c>
      <c r="F358" s="103" t="s">
        <v>2273</v>
      </c>
      <c r="G358" s="103" t="s">
        <v>2734</v>
      </c>
      <c r="H358" s="103" t="s">
        <v>2614</v>
      </c>
      <c r="I358" s="103" t="s">
        <v>2615</v>
      </c>
      <c r="J358" s="103" t="s">
        <v>2763</v>
      </c>
      <c r="M358" s="103">
        <v>8.4099999999999994E-2</v>
      </c>
      <c r="N358" s="103">
        <v>36</v>
      </c>
      <c r="O358" s="103" t="s">
        <v>487</v>
      </c>
      <c r="P358" s="103">
        <v>37</v>
      </c>
      <c r="Q358" s="2">
        <v>26</v>
      </c>
      <c r="R358" s="226" t="s">
        <v>2612</v>
      </c>
      <c r="U358" s="69"/>
      <c r="V358" s="69"/>
      <c r="W358" s="69"/>
    </row>
    <row r="359" spans="1:23">
      <c r="A359" s="103" t="s">
        <v>273</v>
      </c>
      <c r="C359" s="103" t="s">
        <v>2761</v>
      </c>
      <c r="D359" s="103" t="s">
        <v>1474</v>
      </c>
      <c r="E359" s="103" t="s">
        <v>2272</v>
      </c>
      <c r="F359" s="103" t="s">
        <v>2273</v>
      </c>
      <c r="G359" s="103" t="s">
        <v>2623</v>
      </c>
      <c r="H359" s="103" t="s">
        <v>2624</v>
      </c>
      <c r="I359" s="103" t="s">
        <v>2615</v>
      </c>
      <c r="J359" s="103" t="s">
        <v>2764</v>
      </c>
      <c r="M359" s="103">
        <v>0.09</v>
      </c>
      <c r="N359" s="103">
        <v>36</v>
      </c>
      <c r="O359" s="103" t="s">
        <v>487</v>
      </c>
      <c r="P359" s="103">
        <v>37</v>
      </c>
      <c r="Q359" s="2">
        <v>26</v>
      </c>
      <c r="R359" s="226" t="s">
        <v>2612</v>
      </c>
      <c r="U359" s="69"/>
      <c r="V359" s="69"/>
      <c r="W359" s="69"/>
    </row>
    <row r="360" spans="1:23">
      <c r="A360" s="103" t="s">
        <v>273</v>
      </c>
      <c r="C360" s="103" t="s">
        <v>2761</v>
      </c>
      <c r="D360" s="103" t="s">
        <v>1474</v>
      </c>
      <c r="E360" s="103" t="s">
        <v>2272</v>
      </c>
      <c r="F360" s="103" t="s">
        <v>2273</v>
      </c>
      <c r="G360" s="103" t="s">
        <v>290</v>
      </c>
      <c r="H360" s="103" t="s">
        <v>2629</v>
      </c>
      <c r="I360" s="103" t="s">
        <v>2275</v>
      </c>
      <c r="J360" s="103" t="s">
        <v>2765</v>
      </c>
      <c r="M360" s="103">
        <v>0.12959999999999999</v>
      </c>
      <c r="N360" s="103">
        <v>36</v>
      </c>
      <c r="O360" s="103" t="s">
        <v>487</v>
      </c>
      <c r="P360" s="103">
        <v>36</v>
      </c>
      <c r="Q360" s="2">
        <v>25</v>
      </c>
      <c r="R360" s="226" t="s">
        <v>2612</v>
      </c>
      <c r="U360" s="69"/>
      <c r="V360" s="69"/>
      <c r="W360" s="69"/>
    </row>
    <row r="361" spans="1:23">
      <c r="A361" s="103" t="s">
        <v>579</v>
      </c>
      <c r="B361" s="103" t="s">
        <v>1677</v>
      </c>
      <c r="C361" s="103" t="s">
        <v>1243</v>
      </c>
      <c r="D361" s="103" t="s">
        <v>1474</v>
      </c>
      <c r="E361" s="103" t="s">
        <v>2272</v>
      </c>
      <c r="F361" s="103" t="s">
        <v>2617</v>
      </c>
      <c r="G361" s="103" t="s">
        <v>2766</v>
      </c>
      <c r="H361" s="103" t="s">
        <v>2767</v>
      </c>
      <c r="I361" s="103" t="s">
        <v>2615</v>
      </c>
      <c r="J361" s="103" t="s">
        <v>2768</v>
      </c>
      <c r="K361" s="103" t="s">
        <v>2769</v>
      </c>
      <c r="M361" s="103">
        <v>0.95699999999999996</v>
      </c>
      <c r="N361" s="103">
        <v>35</v>
      </c>
      <c r="O361" s="103">
        <v>0</v>
      </c>
      <c r="P361" s="103">
        <v>0.115</v>
      </c>
      <c r="Q361" s="2">
        <v>21.331</v>
      </c>
      <c r="R361" s="226" t="s">
        <v>2770</v>
      </c>
      <c r="U361" s="69"/>
      <c r="V361" s="69"/>
      <c r="W361" s="69"/>
    </row>
    <row r="362" spans="1:23">
      <c r="A362" s="103" t="s">
        <v>579</v>
      </c>
      <c r="B362" s="103" t="s">
        <v>1677</v>
      </c>
      <c r="C362" s="103" t="s">
        <v>1243</v>
      </c>
      <c r="D362" s="103" t="s">
        <v>1474</v>
      </c>
      <c r="E362" s="103" t="s">
        <v>2272</v>
      </c>
      <c r="F362" s="103" t="s">
        <v>2617</v>
      </c>
      <c r="G362" s="103" t="s">
        <v>2771</v>
      </c>
      <c r="H362" s="103" t="s">
        <v>2772</v>
      </c>
      <c r="I362" s="103" t="s">
        <v>2615</v>
      </c>
      <c r="J362" s="103" t="s">
        <v>2773</v>
      </c>
      <c r="K362" s="103" t="s">
        <v>2769</v>
      </c>
      <c r="M362" s="103">
        <v>0.95399999999999996</v>
      </c>
      <c r="N362" s="103">
        <v>48</v>
      </c>
      <c r="O362" s="103">
        <v>0</v>
      </c>
      <c r="P362" s="103">
        <v>0.111</v>
      </c>
      <c r="Q362" s="2">
        <v>20.331</v>
      </c>
      <c r="R362" s="226" t="s">
        <v>2770</v>
      </c>
      <c r="U362" s="69"/>
      <c r="V362" s="69"/>
      <c r="W362" s="69"/>
    </row>
    <row r="363" spans="1:23">
      <c r="A363" s="103" t="s">
        <v>579</v>
      </c>
      <c r="B363" s="103" t="s">
        <v>1677</v>
      </c>
      <c r="C363" s="103" t="s">
        <v>1243</v>
      </c>
      <c r="D363" s="103" t="s">
        <v>1474</v>
      </c>
      <c r="E363" s="103" t="s">
        <v>2272</v>
      </c>
      <c r="F363" s="103" t="s">
        <v>2617</v>
      </c>
      <c r="G363" s="103" t="s">
        <v>2774</v>
      </c>
      <c r="H363" s="103" t="s">
        <v>2775</v>
      </c>
      <c r="I363" s="103" t="s">
        <v>2615</v>
      </c>
      <c r="J363" s="103" t="s">
        <v>2776</v>
      </c>
      <c r="K363" s="103" t="s">
        <v>2769</v>
      </c>
      <c r="M363" s="103">
        <v>0.96099999999999997</v>
      </c>
      <c r="N363" s="103">
        <v>48</v>
      </c>
      <c r="O363" s="103">
        <v>0</v>
      </c>
      <c r="P363" s="103">
        <v>0.10199999999999999</v>
      </c>
      <c r="Q363" s="2">
        <v>19.079999999999998</v>
      </c>
      <c r="R363" s="226" t="s">
        <v>2770</v>
      </c>
      <c r="U363" s="69"/>
      <c r="V363" s="69"/>
      <c r="W363" s="69"/>
    </row>
    <row r="364" spans="1:23">
      <c r="A364" s="103" t="s">
        <v>579</v>
      </c>
      <c r="B364" s="103" t="s">
        <v>1677</v>
      </c>
      <c r="C364" s="103" t="s">
        <v>1243</v>
      </c>
      <c r="D364" s="103" t="s">
        <v>1474</v>
      </c>
      <c r="E364" s="103" t="s">
        <v>2272</v>
      </c>
      <c r="F364" s="103" t="s">
        <v>2617</v>
      </c>
      <c r="G364" s="103" t="s">
        <v>2777</v>
      </c>
      <c r="H364" s="103" t="s">
        <v>2778</v>
      </c>
      <c r="I364" s="103" t="s">
        <v>2615</v>
      </c>
      <c r="J364" s="103" t="s">
        <v>2779</v>
      </c>
      <c r="K364" s="103" t="s">
        <v>2769</v>
      </c>
      <c r="M364" s="103">
        <v>0.97</v>
      </c>
      <c r="N364" s="103">
        <v>48</v>
      </c>
      <c r="O364" s="103">
        <v>0</v>
      </c>
      <c r="P364" s="103">
        <v>8.8999999999999996E-2</v>
      </c>
      <c r="Q364" s="2">
        <v>16.361000000000001</v>
      </c>
      <c r="R364" s="226" t="s">
        <v>2770</v>
      </c>
      <c r="U364" s="69"/>
      <c r="V364" s="69"/>
      <c r="W364" s="69"/>
    </row>
    <row r="365" spans="1:23">
      <c r="A365" s="103" t="s">
        <v>579</v>
      </c>
      <c r="B365" s="103" t="s">
        <v>1677</v>
      </c>
      <c r="C365" s="103" t="s">
        <v>1243</v>
      </c>
      <c r="D365" s="103" t="s">
        <v>1474</v>
      </c>
      <c r="E365" s="103" t="s">
        <v>2272</v>
      </c>
      <c r="F365" s="103" t="s">
        <v>2617</v>
      </c>
      <c r="G365" s="103" t="s">
        <v>2780</v>
      </c>
      <c r="H365" s="103" t="s">
        <v>2781</v>
      </c>
      <c r="I365" s="103" t="s">
        <v>2615</v>
      </c>
      <c r="J365" s="103" t="s">
        <v>2782</v>
      </c>
      <c r="K365" s="103" t="s">
        <v>2769</v>
      </c>
      <c r="M365" s="103">
        <v>0.97</v>
      </c>
      <c r="N365" s="103">
        <v>48</v>
      </c>
      <c r="O365" s="103">
        <v>0</v>
      </c>
      <c r="P365" s="103">
        <v>8.8999999999999996E-2</v>
      </c>
      <c r="Q365" s="2">
        <v>16.747</v>
      </c>
      <c r="R365" s="226" t="s">
        <v>2770</v>
      </c>
      <c r="U365" s="69"/>
      <c r="V365" s="69"/>
      <c r="W365" s="69"/>
    </row>
    <row r="366" spans="1:23">
      <c r="A366" s="103" t="s">
        <v>579</v>
      </c>
      <c r="B366" s="103" t="s">
        <v>1677</v>
      </c>
      <c r="C366" s="103" t="s">
        <v>1243</v>
      </c>
      <c r="D366" s="103" t="s">
        <v>1474</v>
      </c>
      <c r="E366" s="103" t="s">
        <v>2272</v>
      </c>
      <c r="F366" s="103" t="s">
        <v>2617</v>
      </c>
      <c r="G366" s="103" t="s">
        <v>2783</v>
      </c>
      <c r="H366" s="103" t="s">
        <v>2784</v>
      </c>
      <c r="I366" s="103" t="s">
        <v>2615</v>
      </c>
      <c r="J366" s="103" t="s">
        <v>2785</v>
      </c>
      <c r="K366" s="103" t="s">
        <v>2769</v>
      </c>
      <c r="M366" s="103">
        <v>0.96699999999999997</v>
      </c>
      <c r="N366" s="103">
        <v>48</v>
      </c>
      <c r="O366" s="103">
        <v>0</v>
      </c>
      <c r="P366" s="103">
        <v>9.2999999999999999E-2</v>
      </c>
      <c r="Q366" s="2">
        <v>17.792000000000002</v>
      </c>
      <c r="R366" s="226" t="s">
        <v>2770</v>
      </c>
      <c r="U366" s="69"/>
      <c r="V366" s="69"/>
      <c r="W366" s="69"/>
    </row>
    <row r="367" spans="1:23">
      <c r="A367" s="103" t="s">
        <v>579</v>
      </c>
      <c r="B367" s="103" t="s">
        <v>1677</v>
      </c>
      <c r="C367" s="103" t="s">
        <v>1243</v>
      </c>
      <c r="D367" s="103" t="s">
        <v>1474</v>
      </c>
      <c r="E367" s="103" t="s">
        <v>2272</v>
      </c>
      <c r="F367" s="103" t="s">
        <v>2617</v>
      </c>
      <c r="G367" s="103" t="s">
        <v>2786</v>
      </c>
      <c r="H367" s="103" t="s">
        <v>2787</v>
      </c>
      <c r="I367" s="103" t="s">
        <v>2615</v>
      </c>
      <c r="J367" s="103" t="s">
        <v>2788</v>
      </c>
      <c r="K367" s="103" t="s">
        <v>2769</v>
      </c>
      <c r="M367" s="103">
        <v>0.95199999999999996</v>
      </c>
      <c r="N367" s="103">
        <v>48</v>
      </c>
      <c r="O367" s="103">
        <v>0</v>
      </c>
      <c r="P367" s="103">
        <v>0.114</v>
      </c>
      <c r="Q367" s="2">
        <v>21.861999999999998</v>
      </c>
      <c r="R367" s="226" t="s">
        <v>2770</v>
      </c>
      <c r="U367" s="69"/>
      <c r="V367" s="69"/>
      <c r="W367" s="69"/>
    </row>
    <row r="368" spans="1:23">
      <c r="A368" s="103" t="s">
        <v>579</v>
      </c>
      <c r="B368" s="103" t="s">
        <v>1677</v>
      </c>
      <c r="C368" s="103" t="s">
        <v>1243</v>
      </c>
      <c r="D368" s="103" t="s">
        <v>1474</v>
      </c>
      <c r="E368" s="103" t="s">
        <v>2272</v>
      </c>
      <c r="F368" s="103" t="s">
        <v>2617</v>
      </c>
      <c r="G368" s="103" t="s">
        <v>2789</v>
      </c>
      <c r="H368" s="103" t="s">
        <v>2790</v>
      </c>
      <c r="I368" s="103" t="s">
        <v>2615</v>
      </c>
      <c r="J368" s="103" t="s">
        <v>2791</v>
      </c>
      <c r="K368" s="103" t="s">
        <v>2769</v>
      </c>
      <c r="M368" s="103">
        <v>0.94899999999999995</v>
      </c>
      <c r="N368" s="103">
        <v>48</v>
      </c>
      <c r="O368" s="103">
        <v>0</v>
      </c>
      <c r="P368" s="103">
        <v>0.11700000000000001</v>
      </c>
      <c r="Q368" s="2">
        <v>22.748999999999999</v>
      </c>
      <c r="R368" s="226" t="s">
        <v>2770</v>
      </c>
      <c r="U368" s="69"/>
      <c r="V368" s="69"/>
      <c r="W368" s="69"/>
    </row>
    <row r="369" spans="1:23">
      <c r="A369" s="103" t="s">
        <v>579</v>
      </c>
      <c r="B369" s="103" t="s">
        <v>1677</v>
      </c>
      <c r="C369" s="103" t="s">
        <v>1243</v>
      </c>
      <c r="D369" s="103" t="s">
        <v>1474</v>
      </c>
      <c r="E369" s="103" t="s">
        <v>2272</v>
      </c>
      <c r="F369" s="103" t="s">
        <v>2617</v>
      </c>
      <c r="G369" s="103" t="s">
        <v>1366</v>
      </c>
      <c r="H369" s="103" t="s">
        <v>2792</v>
      </c>
      <c r="I369" s="103" t="s">
        <v>2615</v>
      </c>
      <c r="J369" s="103" t="s">
        <v>2793</v>
      </c>
      <c r="K369" s="103" t="s">
        <v>2769</v>
      </c>
      <c r="M369" s="103">
        <v>0.91200000000000003</v>
      </c>
      <c r="N369" s="103">
        <v>48</v>
      </c>
      <c r="O369" s="103">
        <v>0</v>
      </c>
      <c r="P369" s="103">
        <v>0.153</v>
      </c>
      <c r="Q369" s="2">
        <v>28.652000000000001</v>
      </c>
      <c r="R369" s="226" t="s">
        <v>2770</v>
      </c>
      <c r="U369" s="69"/>
      <c r="V369" s="69"/>
      <c r="W369" s="69"/>
    </row>
    <row r="370" spans="1:23">
      <c r="A370" s="103" t="s">
        <v>579</v>
      </c>
      <c r="B370" s="103" t="s">
        <v>1677</v>
      </c>
      <c r="C370" s="103" t="s">
        <v>1243</v>
      </c>
      <c r="D370" s="103" t="s">
        <v>1474</v>
      </c>
      <c r="E370" s="103" t="s">
        <v>2272</v>
      </c>
      <c r="F370" s="103" t="s">
        <v>2617</v>
      </c>
      <c r="G370" s="103" t="s">
        <v>2794</v>
      </c>
      <c r="H370" s="103" t="s">
        <v>2795</v>
      </c>
      <c r="I370" s="103" t="s">
        <v>2615</v>
      </c>
      <c r="J370" s="103" t="s">
        <v>2796</v>
      </c>
      <c r="K370" s="103" t="s">
        <v>2769</v>
      </c>
      <c r="M370" s="103">
        <v>0.96</v>
      </c>
      <c r="N370" s="103">
        <v>45</v>
      </c>
      <c r="O370" s="103">
        <v>0</v>
      </c>
      <c r="P370" s="103">
        <v>0.10299999999999999</v>
      </c>
      <c r="Q370" s="2">
        <v>19.428999999999998</v>
      </c>
      <c r="R370" s="226" t="s">
        <v>2770</v>
      </c>
      <c r="U370" s="69"/>
      <c r="V370" s="69"/>
      <c r="W370" s="69"/>
    </row>
    <row r="371" spans="1:23">
      <c r="A371" s="103" t="s">
        <v>579</v>
      </c>
      <c r="B371" s="103" t="s">
        <v>1677</v>
      </c>
      <c r="C371" s="103" t="s">
        <v>1243</v>
      </c>
      <c r="D371" s="103" t="s">
        <v>1474</v>
      </c>
      <c r="E371" s="103" t="s">
        <v>2272</v>
      </c>
      <c r="F371" s="103" t="s">
        <v>2617</v>
      </c>
      <c r="G371" s="103" t="s">
        <v>2797</v>
      </c>
      <c r="H371" s="103" t="s">
        <v>2798</v>
      </c>
      <c r="I371" s="103" t="s">
        <v>2615</v>
      </c>
      <c r="J371" s="103" t="s">
        <v>2799</v>
      </c>
      <c r="K371" s="103" t="s">
        <v>2769</v>
      </c>
      <c r="M371" s="103">
        <v>0.93</v>
      </c>
      <c r="N371" s="103">
        <v>45</v>
      </c>
      <c r="O371" s="103">
        <v>0</v>
      </c>
      <c r="P371" s="103">
        <v>0.13600000000000001</v>
      </c>
      <c r="Q371" s="2">
        <v>27.826000000000001</v>
      </c>
      <c r="R371" s="226" t="s">
        <v>2770</v>
      </c>
      <c r="U371" s="69"/>
      <c r="V371" s="69"/>
      <c r="W371" s="69"/>
    </row>
    <row r="372" spans="1:23">
      <c r="A372" s="103" t="s">
        <v>579</v>
      </c>
      <c r="B372" s="103" t="s">
        <v>1677</v>
      </c>
      <c r="C372" s="103" t="s">
        <v>1243</v>
      </c>
      <c r="D372" s="103" t="s">
        <v>1474</v>
      </c>
      <c r="E372" s="103" t="s">
        <v>2272</v>
      </c>
      <c r="F372" s="103" t="s">
        <v>2617</v>
      </c>
      <c r="G372" s="103" t="s">
        <v>2800</v>
      </c>
      <c r="H372" s="103" t="s">
        <v>2801</v>
      </c>
      <c r="I372" s="103" t="s">
        <v>2615</v>
      </c>
      <c r="J372" s="103" t="s">
        <v>2802</v>
      </c>
      <c r="K372" s="103" t="s">
        <v>2769</v>
      </c>
      <c r="M372" s="103">
        <v>0.97</v>
      </c>
      <c r="N372" s="103">
        <v>44</v>
      </c>
      <c r="O372" s="103">
        <v>0</v>
      </c>
      <c r="P372" s="103">
        <v>8.8999999999999996E-2</v>
      </c>
      <c r="Q372" s="2">
        <v>15.427</v>
      </c>
      <c r="R372" s="226" t="s">
        <v>2770</v>
      </c>
      <c r="U372" s="69"/>
      <c r="V372" s="69"/>
      <c r="W372" s="69"/>
    </row>
    <row r="373" spans="1:23">
      <c r="A373" s="103" t="s">
        <v>579</v>
      </c>
      <c r="B373" s="103" t="s">
        <v>1677</v>
      </c>
      <c r="C373" s="103" t="s">
        <v>1243</v>
      </c>
      <c r="D373" s="103" t="s">
        <v>1474</v>
      </c>
      <c r="E373" s="103" t="s">
        <v>2272</v>
      </c>
      <c r="F373" s="103" t="s">
        <v>2617</v>
      </c>
      <c r="G373" s="103" t="s">
        <v>2803</v>
      </c>
      <c r="H373" s="103" t="s">
        <v>2804</v>
      </c>
      <c r="I373" s="103" t="s">
        <v>2615</v>
      </c>
      <c r="J373" s="103" t="s">
        <v>2805</v>
      </c>
      <c r="K373" s="103" t="s">
        <v>2769</v>
      </c>
      <c r="M373" s="103">
        <v>0.97599999999999998</v>
      </c>
      <c r="N373" s="103">
        <v>45</v>
      </c>
      <c r="O373" s="103">
        <v>0</v>
      </c>
      <c r="P373" s="103">
        <v>0.08</v>
      </c>
      <c r="Q373" s="2">
        <v>14.353</v>
      </c>
      <c r="R373" s="226" t="s">
        <v>2770</v>
      </c>
      <c r="U373" s="69"/>
      <c r="V373" s="69"/>
      <c r="W373" s="69"/>
    </row>
    <row r="374" spans="1:23">
      <c r="A374" s="103" t="s">
        <v>579</v>
      </c>
      <c r="B374" s="103" t="s">
        <v>580</v>
      </c>
      <c r="C374" s="103" t="s">
        <v>1243</v>
      </c>
      <c r="D374" s="103" t="s">
        <v>1474</v>
      </c>
      <c r="E374" s="103" t="s">
        <v>2272</v>
      </c>
      <c r="F374" s="103" t="s">
        <v>2617</v>
      </c>
      <c r="G374" s="103" t="s">
        <v>2613</v>
      </c>
      <c r="H374" s="103" t="s">
        <v>2806</v>
      </c>
      <c r="I374" s="103" t="s">
        <v>2615</v>
      </c>
      <c r="J374" s="103" t="s">
        <v>2807</v>
      </c>
      <c r="K374" s="103" t="s">
        <v>2769</v>
      </c>
      <c r="M374" s="103">
        <v>0.75700000000000001</v>
      </c>
      <c r="N374" s="103">
        <v>23</v>
      </c>
      <c r="O374" s="103">
        <v>0</v>
      </c>
      <c r="P374" s="103">
        <v>0.126</v>
      </c>
      <c r="Q374" s="2">
        <v>21.492000000000001</v>
      </c>
      <c r="R374" s="226" t="s">
        <v>2770</v>
      </c>
      <c r="U374" s="69"/>
      <c r="V374" s="69"/>
      <c r="W374" s="69"/>
    </row>
    <row r="375" spans="1:23">
      <c r="A375" s="103" t="s">
        <v>579</v>
      </c>
      <c r="B375" s="103" t="s">
        <v>580</v>
      </c>
      <c r="C375" s="103" t="s">
        <v>1243</v>
      </c>
      <c r="D375" s="103" t="s">
        <v>1474</v>
      </c>
      <c r="E375" s="103" t="s">
        <v>2272</v>
      </c>
      <c r="F375" s="103" t="s">
        <v>2617</v>
      </c>
      <c r="G375" s="103" t="s">
        <v>2808</v>
      </c>
      <c r="H375" s="103" t="s">
        <v>2809</v>
      </c>
      <c r="I375" s="103" t="s">
        <v>2615</v>
      </c>
      <c r="J375" s="103" t="s">
        <v>2810</v>
      </c>
      <c r="K375" s="103" t="s">
        <v>2769</v>
      </c>
      <c r="M375" s="103">
        <v>0.81499999999999995</v>
      </c>
      <c r="N375" s="103">
        <v>24</v>
      </c>
      <c r="O375" s="103">
        <v>0</v>
      </c>
      <c r="P375" s="103">
        <v>0.12</v>
      </c>
      <c r="Q375" s="2">
        <v>21.091999999999999</v>
      </c>
      <c r="R375" s="226" t="s">
        <v>2770</v>
      </c>
      <c r="U375" s="69"/>
      <c r="V375" s="69"/>
      <c r="W375" s="69"/>
    </row>
    <row r="376" spans="1:23">
      <c r="A376" s="103" t="s">
        <v>579</v>
      </c>
      <c r="B376" s="103" t="s">
        <v>580</v>
      </c>
      <c r="C376" s="103" t="s">
        <v>1243</v>
      </c>
      <c r="D376" s="103" t="s">
        <v>1474</v>
      </c>
      <c r="E376" s="103" t="s">
        <v>2272</v>
      </c>
      <c r="F376" s="103" t="s">
        <v>2617</v>
      </c>
      <c r="G376" s="103" t="s">
        <v>2811</v>
      </c>
      <c r="H376" s="103" t="s">
        <v>2812</v>
      </c>
      <c r="I376" s="103" t="s">
        <v>2615</v>
      </c>
      <c r="J376" s="103" t="s">
        <v>2813</v>
      </c>
      <c r="K376" s="103" t="s">
        <v>2769</v>
      </c>
      <c r="M376" s="103">
        <v>0.80800000000000005</v>
      </c>
      <c r="N376" s="103">
        <v>23</v>
      </c>
      <c r="O376" s="103">
        <v>0</v>
      </c>
      <c r="P376" s="103">
        <v>0.112</v>
      </c>
      <c r="Q376" s="2">
        <v>19.928000000000001</v>
      </c>
      <c r="R376" s="226" t="s">
        <v>2770</v>
      </c>
      <c r="U376" s="69"/>
      <c r="V376" s="69"/>
      <c r="W376" s="69"/>
    </row>
    <row r="377" spans="1:23">
      <c r="A377" s="103" t="s">
        <v>579</v>
      </c>
      <c r="B377" s="103" t="s">
        <v>580</v>
      </c>
      <c r="C377" s="103" t="s">
        <v>1243</v>
      </c>
      <c r="D377" s="103" t="s">
        <v>1474</v>
      </c>
      <c r="E377" s="103" t="s">
        <v>2272</v>
      </c>
      <c r="F377" s="103" t="s">
        <v>2617</v>
      </c>
      <c r="G377" s="103" t="s">
        <v>2814</v>
      </c>
      <c r="H377" s="103" t="s">
        <v>2815</v>
      </c>
      <c r="I377" s="103" t="s">
        <v>2615</v>
      </c>
      <c r="J377" s="103" t="s">
        <v>2816</v>
      </c>
      <c r="K377" s="103" t="s">
        <v>2769</v>
      </c>
      <c r="M377" s="103">
        <v>0.66800000000000004</v>
      </c>
      <c r="N377" s="103">
        <v>30</v>
      </c>
      <c r="O377" s="103">
        <v>0</v>
      </c>
      <c r="P377" s="103">
        <v>0.151</v>
      </c>
      <c r="Q377" s="2">
        <v>29.132999999999999</v>
      </c>
      <c r="R377" s="226" t="s">
        <v>2770</v>
      </c>
      <c r="U377" s="69"/>
      <c r="V377" s="69"/>
      <c r="W377" s="69"/>
    </row>
    <row r="378" spans="1:23">
      <c r="A378" s="103" t="s">
        <v>579</v>
      </c>
      <c r="B378" s="103" t="s">
        <v>580</v>
      </c>
      <c r="C378" s="103" t="s">
        <v>1243</v>
      </c>
      <c r="D378" s="103" t="s">
        <v>1474</v>
      </c>
      <c r="E378" s="103" t="s">
        <v>2272</v>
      </c>
      <c r="F378" s="103" t="s">
        <v>2617</v>
      </c>
      <c r="G378" s="103" t="s">
        <v>2817</v>
      </c>
      <c r="H378" s="103" t="s">
        <v>2818</v>
      </c>
      <c r="I378" s="103" t="s">
        <v>2615</v>
      </c>
      <c r="J378" s="103" t="s">
        <v>2819</v>
      </c>
      <c r="K378" s="103" t="s">
        <v>2769</v>
      </c>
      <c r="M378" s="103">
        <v>0.83199999999999996</v>
      </c>
      <c r="N378" s="103">
        <v>24</v>
      </c>
      <c r="O378" s="103">
        <v>0</v>
      </c>
      <c r="P378" s="103">
        <v>0.115</v>
      </c>
      <c r="Q378" s="2">
        <v>20.201000000000001</v>
      </c>
      <c r="R378" s="226" t="s">
        <v>2770</v>
      </c>
      <c r="U378" s="69"/>
      <c r="V378" s="69"/>
      <c r="W378" s="69"/>
    </row>
    <row r="379" spans="1:23">
      <c r="A379" s="103" t="s">
        <v>579</v>
      </c>
      <c r="B379" s="103" t="s">
        <v>580</v>
      </c>
      <c r="C379" s="103" t="s">
        <v>1243</v>
      </c>
      <c r="D379" s="103" t="s">
        <v>1474</v>
      </c>
      <c r="E379" s="103" t="s">
        <v>2272</v>
      </c>
      <c r="F379" s="103" t="s">
        <v>2617</v>
      </c>
      <c r="G379" s="103" t="s">
        <v>2783</v>
      </c>
      <c r="H379" s="103" t="s">
        <v>2784</v>
      </c>
      <c r="I379" s="103" t="s">
        <v>2615</v>
      </c>
      <c r="J379" s="103" t="s">
        <v>2820</v>
      </c>
      <c r="K379" s="103" t="s">
        <v>2769</v>
      </c>
      <c r="M379" s="103">
        <v>0.89400000000000002</v>
      </c>
      <c r="N379" s="103">
        <v>36</v>
      </c>
      <c r="O379" s="103">
        <v>0</v>
      </c>
      <c r="P379" s="103">
        <v>7.9000000000000001E-2</v>
      </c>
      <c r="Q379" s="2">
        <v>14.871</v>
      </c>
      <c r="R379" s="226" t="s">
        <v>2770</v>
      </c>
      <c r="U379" s="69"/>
      <c r="V379" s="69"/>
      <c r="W379" s="69"/>
    </row>
    <row r="380" spans="1:23">
      <c r="A380" s="103" t="s">
        <v>579</v>
      </c>
      <c r="B380" s="103" t="s">
        <v>580</v>
      </c>
      <c r="C380" s="103" t="s">
        <v>1243</v>
      </c>
      <c r="D380" s="103" t="s">
        <v>1474</v>
      </c>
      <c r="E380" s="103" t="s">
        <v>2272</v>
      </c>
      <c r="F380" s="103" t="s">
        <v>2617</v>
      </c>
      <c r="G380" s="103" t="s">
        <v>2786</v>
      </c>
      <c r="H380" s="103" t="s">
        <v>2787</v>
      </c>
      <c r="I380" s="103" t="s">
        <v>2615</v>
      </c>
      <c r="J380" s="103" t="s">
        <v>2821</v>
      </c>
      <c r="K380" s="103" t="s">
        <v>2769</v>
      </c>
      <c r="M380" s="103">
        <v>0.876</v>
      </c>
      <c r="N380" s="103">
        <v>36</v>
      </c>
      <c r="O380" s="103">
        <v>0</v>
      </c>
      <c r="P380" s="103">
        <v>8.5999999999999993E-2</v>
      </c>
      <c r="Q380" s="2">
        <v>17.079999999999998</v>
      </c>
      <c r="R380" s="226" t="s">
        <v>2770</v>
      </c>
      <c r="U380" s="69"/>
      <c r="V380" s="69"/>
      <c r="W380" s="69"/>
    </row>
    <row r="381" spans="1:23">
      <c r="A381" s="103" t="s">
        <v>579</v>
      </c>
      <c r="B381" s="103" t="s">
        <v>580</v>
      </c>
      <c r="C381" s="103" t="s">
        <v>1243</v>
      </c>
      <c r="D381" s="103" t="s">
        <v>1474</v>
      </c>
      <c r="E381" s="103" t="s">
        <v>2272</v>
      </c>
      <c r="F381" s="103" t="s">
        <v>2617</v>
      </c>
      <c r="G381" s="103" t="s">
        <v>1366</v>
      </c>
      <c r="H381" s="103" t="s">
        <v>2792</v>
      </c>
      <c r="I381" s="103" t="s">
        <v>2615</v>
      </c>
      <c r="J381" s="103" t="s">
        <v>2822</v>
      </c>
      <c r="K381" s="103" t="s">
        <v>2769</v>
      </c>
      <c r="M381" s="103">
        <v>0.875</v>
      </c>
      <c r="N381" s="103">
        <v>36</v>
      </c>
      <c r="O381" s="103">
        <v>0</v>
      </c>
      <c r="P381" s="103">
        <v>8.6999999999999994E-2</v>
      </c>
      <c r="Q381" s="2">
        <v>15.997</v>
      </c>
      <c r="R381" s="226" t="s">
        <v>2770</v>
      </c>
      <c r="U381" s="69"/>
      <c r="V381" s="69"/>
      <c r="W381" s="69"/>
    </row>
    <row r="382" spans="1:23">
      <c r="A382" s="103" t="s">
        <v>579</v>
      </c>
      <c r="B382" s="103" t="s">
        <v>1626</v>
      </c>
      <c r="C382" s="103" t="s">
        <v>2823</v>
      </c>
      <c r="D382" s="103" t="s">
        <v>1474</v>
      </c>
      <c r="E382" s="103" t="s">
        <v>2272</v>
      </c>
      <c r="F382" s="103" t="s">
        <v>2617</v>
      </c>
      <c r="G382" s="103" t="s">
        <v>2783</v>
      </c>
      <c r="H382" s="103" t="s">
        <v>2784</v>
      </c>
      <c r="I382" s="103" t="s">
        <v>2615</v>
      </c>
      <c r="J382" s="103" t="s">
        <v>2824</v>
      </c>
      <c r="K382" s="103" t="s">
        <v>2769</v>
      </c>
      <c r="M382" s="103">
        <v>0.95699999999999996</v>
      </c>
      <c r="N382" s="103">
        <v>4</v>
      </c>
      <c r="O382" s="103">
        <v>2.1999999999999999E-2</v>
      </c>
      <c r="P382" s="103">
        <v>4.8000000000000001E-2</v>
      </c>
      <c r="Q382" s="2">
        <v>7.532</v>
      </c>
      <c r="R382" s="226" t="s">
        <v>2770</v>
      </c>
      <c r="U382" s="69"/>
      <c r="V382" s="69"/>
      <c r="W382" s="69"/>
    </row>
    <row r="383" spans="1:23">
      <c r="A383" s="103" t="s">
        <v>579</v>
      </c>
      <c r="B383" s="103" t="s">
        <v>1626</v>
      </c>
      <c r="C383" s="103" t="s">
        <v>2823</v>
      </c>
      <c r="D383" s="103" t="s">
        <v>1474</v>
      </c>
      <c r="E383" s="103" t="s">
        <v>2272</v>
      </c>
      <c r="F383" s="103" t="s">
        <v>2617</v>
      </c>
      <c r="G383" s="103" t="s">
        <v>2786</v>
      </c>
      <c r="H383" s="103" t="s">
        <v>2787</v>
      </c>
      <c r="I383" s="103" t="s">
        <v>2615</v>
      </c>
      <c r="J383" s="103" t="s">
        <v>2825</v>
      </c>
      <c r="K383" s="103" t="s">
        <v>2769</v>
      </c>
      <c r="M383" s="103">
        <v>0.92400000000000004</v>
      </c>
      <c r="N383" s="103">
        <v>4</v>
      </c>
      <c r="O383" s="103">
        <v>3.9E-2</v>
      </c>
      <c r="P383" s="103">
        <v>6.4000000000000001E-2</v>
      </c>
      <c r="Q383" s="2">
        <v>8.6359999999999992</v>
      </c>
      <c r="R383" s="226" t="s">
        <v>2770</v>
      </c>
      <c r="U383" s="69"/>
      <c r="V383" s="69"/>
      <c r="W383" s="69"/>
    </row>
    <row r="384" spans="1:23">
      <c r="A384" s="103" t="s">
        <v>579</v>
      </c>
      <c r="B384" s="103" t="s">
        <v>1626</v>
      </c>
      <c r="C384" s="103" t="s">
        <v>2823</v>
      </c>
      <c r="D384" s="103" t="s">
        <v>1474</v>
      </c>
      <c r="E384" s="103" t="s">
        <v>2272</v>
      </c>
      <c r="F384" s="103" t="s">
        <v>2617</v>
      </c>
      <c r="G384" s="103" t="s">
        <v>1366</v>
      </c>
      <c r="H384" s="103" t="s">
        <v>2792</v>
      </c>
      <c r="I384" s="103" t="s">
        <v>2615</v>
      </c>
      <c r="J384" s="103" t="s">
        <v>2826</v>
      </c>
      <c r="K384" s="103" t="s">
        <v>2769</v>
      </c>
      <c r="M384" s="103">
        <v>0.96399999999999997</v>
      </c>
      <c r="N384" s="103">
        <v>4</v>
      </c>
      <c r="O384" s="103">
        <v>1.7999999999999999E-2</v>
      </c>
      <c r="P384" s="103">
        <v>4.3999999999999997E-2</v>
      </c>
      <c r="Q384" s="2">
        <v>6.6849999999999996</v>
      </c>
      <c r="R384" s="226" t="s">
        <v>2770</v>
      </c>
      <c r="U384" s="69"/>
      <c r="V384" s="69"/>
      <c r="W384" s="69"/>
    </row>
    <row r="385" spans="1:23">
      <c r="A385" s="103" t="s">
        <v>579</v>
      </c>
      <c r="B385" s="103" t="s">
        <v>1626</v>
      </c>
      <c r="C385" s="103" t="s">
        <v>1243</v>
      </c>
      <c r="D385" s="103" t="s">
        <v>1474</v>
      </c>
      <c r="E385" s="103" t="s">
        <v>2272</v>
      </c>
      <c r="F385" s="103" t="s">
        <v>2617</v>
      </c>
      <c r="G385" s="103" t="s">
        <v>2613</v>
      </c>
      <c r="H385" s="103" t="s">
        <v>2806</v>
      </c>
      <c r="I385" s="103" t="s">
        <v>2615</v>
      </c>
      <c r="J385" s="103" t="s">
        <v>2827</v>
      </c>
      <c r="K385" s="103" t="s">
        <v>2769</v>
      </c>
      <c r="M385" s="103">
        <v>0.72199999999999998</v>
      </c>
      <c r="N385" s="103">
        <v>11</v>
      </c>
      <c r="O385" s="103">
        <v>0</v>
      </c>
      <c r="P385" s="103">
        <v>7.3999999999999996E-2</v>
      </c>
      <c r="Q385" s="2">
        <v>11.896000000000001</v>
      </c>
      <c r="R385" s="226" t="s">
        <v>2770</v>
      </c>
      <c r="U385" s="69"/>
      <c r="V385" s="69"/>
      <c r="W385" s="69"/>
    </row>
    <row r="386" spans="1:23">
      <c r="A386" s="103" t="s">
        <v>579</v>
      </c>
      <c r="B386" s="103" t="s">
        <v>1626</v>
      </c>
      <c r="C386" s="103" t="s">
        <v>1243</v>
      </c>
      <c r="D386" s="103" t="s">
        <v>1474</v>
      </c>
      <c r="E386" s="103" t="s">
        <v>2272</v>
      </c>
      <c r="F386" s="103" t="s">
        <v>2617</v>
      </c>
      <c r="G386" s="103" t="s">
        <v>2808</v>
      </c>
      <c r="H386" s="103" t="s">
        <v>2809</v>
      </c>
      <c r="I386" s="103" t="s">
        <v>2615</v>
      </c>
      <c r="J386" s="103" t="s">
        <v>2828</v>
      </c>
      <c r="K386" s="103" t="s">
        <v>2769</v>
      </c>
      <c r="M386" s="103">
        <v>0.79</v>
      </c>
      <c r="N386" s="103">
        <v>11</v>
      </c>
      <c r="O386" s="103">
        <v>0</v>
      </c>
      <c r="P386" s="103">
        <v>6.5000000000000002E-2</v>
      </c>
      <c r="Q386" s="2">
        <v>10.702</v>
      </c>
      <c r="R386" s="226" t="s">
        <v>2770</v>
      </c>
      <c r="U386" s="69"/>
      <c r="V386" s="69"/>
      <c r="W386" s="69"/>
    </row>
    <row r="387" spans="1:23">
      <c r="A387" s="103" t="s">
        <v>579</v>
      </c>
      <c r="B387" s="103" t="s">
        <v>1626</v>
      </c>
      <c r="C387" s="103" t="s">
        <v>1243</v>
      </c>
      <c r="D387" s="103" t="s">
        <v>1474</v>
      </c>
      <c r="E387" s="103" t="s">
        <v>2272</v>
      </c>
      <c r="F387" s="103" t="s">
        <v>2617</v>
      </c>
      <c r="G387" s="103" t="s">
        <v>2811</v>
      </c>
      <c r="H387" s="103" t="s">
        <v>2812</v>
      </c>
      <c r="I387" s="103" t="s">
        <v>2615</v>
      </c>
      <c r="J387" s="103" t="s">
        <v>2829</v>
      </c>
      <c r="K387" s="103" t="s">
        <v>2769</v>
      </c>
      <c r="M387" s="103">
        <v>0.89300000000000002</v>
      </c>
      <c r="N387" s="103">
        <v>12</v>
      </c>
      <c r="O387" s="103">
        <v>0</v>
      </c>
      <c r="P387" s="103">
        <v>5.7000000000000002E-2</v>
      </c>
      <c r="Q387" s="2">
        <v>9.3360000000000003</v>
      </c>
      <c r="R387" s="226" t="s">
        <v>2770</v>
      </c>
      <c r="U387" s="69"/>
      <c r="V387" s="69"/>
      <c r="W387" s="69"/>
    </row>
    <row r="388" spans="1:23">
      <c r="A388" s="103" t="s">
        <v>579</v>
      </c>
      <c r="B388" s="103" t="s">
        <v>1626</v>
      </c>
      <c r="C388" s="103" t="s">
        <v>1243</v>
      </c>
      <c r="D388" s="103" t="s">
        <v>1474</v>
      </c>
      <c r="E388" s="103" t="s">
        <v>2272</v>
      </c>
      <c r="F388" s="103" t="s">
        <v>2617</v>
      </c>
      <c r="G388" s="103" t="s">
        <v>2814</v>
      </c>
      <c r="H388" s="103" t="s">
        <v>2815</v>
      </c>
      <c r="I388" s="103" t="s">
        <v>2615</v>
      </c>
      <c r="J388" s="103" t="s">
        <v>2830</v>
      </c>
      <c r="K388" s="103" t="s">
        <v>2769</v>
      </c>
      <c r="M388" s="103">
        <v>0.89600000000000002</v>
      </c>
      <c r="N388" s="103">
        <v>12</v>
      </c>
      <c r="O388" s="103">
        <v>0</v>
      </c>
      <c r="P388" s="103">
        <v>5.6000000000000001E-2</v>
      </c>
      <c r="Q388" s="2">
        <v>10.702</v>
      </c>
      <c r="R388" s="226" t="s">
        <v>2770</v>
      </c>
      <c r="U388" s="69"/>
      <c r="V388" s="69"/>
      <c r="W388" s="69"/>
    </row>
    <row r="389" spans="1:23">
      <c r="A389" s="103" t="s">
        <v>579</v>
      </c>
      <c r="B389" s="103" t="s">
        <v>1626</v>
      </c>
      <c r="C389" s="103" t="s">
        <v>1243</v>
      </c>
      <c r="D389" s="103" t="s">
        <v>1474</v>
      </c>
      <c r="E389" s="103" t="s">
        <v>2272</v>
      </c>
      <c r="F389" s="103" t="s">
        <v>2617</v>
      </c>
      <c r="G389" s="103" t="s">
        <v>2817</v>
      </c>
      <c r="H389" s="103" t="s">
        <v>2818</v>
      </c>
      <c r="I389" s="103" t="s">
        <v>2615</v>
      </c>
      <c r="J389" s="103" t="s">
        <v>2831</v>
      </c>
      <c r="K389" s="103" t="s">
        <v>2769</v>
      </c>
      <c r="M389" s="103">
        <v>0.85199999999999998</v>
      </c>
      <c r="N389" s="103">
        <v>12</v>
      </c>
      <c r="O389" s="103">
        <v>0</v>
      </c>
      <c r="P389" s="103">
        <v>6.8000000000000005E-2</v>
      </c>
      <c r="Q389" s="2">
        <v>9.9990000000000006</v>
      </c>
      <c r="R389" s="226" t="s">
        <v>2770</v>
      </c>
      <c r="U389" s="69"/>
      <c r="V389" s="69"/>
      <c r="W389" s="69"/>
    </row>
    <row r="390" spans="1:23">
      <c r="A390" s="103" t="s">
        <v>169</v>
      </c>
      <c r="B390" s="103" t="s">
        <v>588</v>
      </c>
      <c r="C390" s="103" t="s">
        <v>1243</v>
      </c>
      <c r="D390" s="103" t="s">
        <v>1474</v>
      </c>
      <c r="E390" s="103" t="s">
        <v>2272</v>
      </c>
      <c r="F390" s="103" t="s">
        <v>2273</v>
      </c>
      <c r="G390" s="103" t="s">
        <v>2274</v>
      </c>
      <c r="H390" s="103" t="s">
        <v>2274</v>
      </c>
      <c r="I390" s="103" t="s">
        <v>2275</v>
      </c>
      <c r="J390" s="103" t="s">
        <v>2832</v>
      </c>
      <c r="M390" s="103">
        <v>0.86150000000000004</v>
      </c>
      <c r="O390" s="103" t="s">
        <v>487</v>
      </c>
      <c r="P390" s="103">
        <v>26</v>
      </c>
      <c r="Q390" s="2">
        <v>18</v>
      </c>
      <c r="R390" s="226" t="s">
        <v>2277</v>
      </c>
      <c r="U390" s="69"/>
      <c r="V390" s="69"/>
      <c r="W390" s="69"/>
    </row>
    <row r="391" spans="1:23">
      <c r="A391" s="103" t="s">
        <v>169</v>
      </c>
      <c r="B391" s="103" t="s">
        <v>588</v>
      </c>
      <c r="C391" s="103" t="s">
        <v>1243</v>
      </c>
      <c r="D391" s="103" t="s">
        <v>1474</v>
      </c>
      <c r="E391" s="103" t="s">
        <v>2272</v>
      </c>
      <c r="F391" s="103" t="s">
        <v>2273</v>
      </c>
      <c r="G391" s="103" t="s">
        <v>2278</v>
      </c>
      <c r="H391" s="103" t="s">
        <v>2278</v>
      </c>
      <c r="I391" s="103" t="s">
        <v>2275</v>
      </c>
      <c r="J391" s="103" t="s">
        <v>2833</v>
      </c>
      <c r="M391" s="103">
        <v>0.87729999999999997</v>
      </c>
      <c r="O391" s="103" t="s">
        <v>487</v>
      </c>
      <c r="P391" s="103">
        <v>24</v>
      </c>
      <c r="Q391" s="2">
        <v>17</v>
      </c>
      <c r="R391" s="226" t="s">
        <v>2277</v>
      </c>
      <c r="U391" s="69"/>
      <c r="V391" s="69"/>
      <c r="W391" s="69"/>
    </row>
    <row r="392" spans="1:23">
      <c r="A392" s="103" t="s">
        <v>169</v>
      </c>
      <c r="B392" s="103" t="s">
        <v>588</v>
      </c>
      <c r="C392" s="103" t="s">
        <v>1243</v>
      </c>
      <c r="D392" s="103" t="s">
        <v>1474</v>
      </c>
      <c r="E392" s="103" t="s">
        <v>2272</v>
      </c>
      <c r="F392" s="103" t="s">
        <v>2273</v>
      </c>
      <c r="G392" s="103" t="s">
        <v>2280</v>
      </c>
      <c r="H392" s="103" t="s">
        <v>2280</v>
      </c>
      <c r="I392" s="103" t="s">
        <v>2275</v>
      </c>
      <c r="J392" s="103" t="s">
        <v>2834</v>
      </c>
      <c r="M392" s="103">
        <v>0.79959999999999998</v>
      </c>
      <c r="O392" s="103" t="s">
        <v>487</v>
      </c>
      <c r="P392" s="103">
        <v>32</v>
      </c>
      <c r="Q392" s="2">
        <v>22</v>
      </c>
      <c r="R392" s="226" t="s">
        <v>2277</v>
      </c>
      <c r="U392" s="69"/>
      <c r="V392" s="69"/>
      <c r="W392" s="69"/>
    </row>
    <row r="393" spans="1:23">
      <c r="A393" s="103" t="s">
        <v>169</v>
      </c>
      <c r="B393" s="103" t="s">
        <v>588</v>
      </c>
      <c r="C393" s="103" t="s">
        <v>1243</v>
      </c>
      <c r="D393" s="103" t="s">
        <v>1474</v>
      </c>
      <c r="E393" s="103" t="s">
        <v>2272</v>
      </c>
      <c r="F393" s="103" t="s">
        <v>2273</v>
      </c>
      <c r="G393" s="103" t="s">
        <v>2282</v>
      </c>
      <c r="H393" s="103" t="s">
        <v>2282</v>
      </c>
      <c r="I393" s="103" t="s">
        <v>2275</v>
      </c>
      <c r="J393" s="103" t="s">
        <v>2835</v>
      </c>
      <c r="M393" s="103">
        <v>0.79359999999999997</v>
      </c>
      <c r="O393" s="103" t="s">
        <v>487</v>
      </c>
      <c r="P393" s="103">
        <v>32</v>
      </c>
      <c r="Q393" s="2">
        <v>20</v>
      </c>
      <c r="R393" s="226" t="s">
        <v>2277</v>
      </c>
      <c r="U393" s="69"/>
      <c r="V393" s="69"/>
      <c r="W393" s="69"/>
    </row>
    <row r="394" spans="1:23">
      <c r="A394" s="103" t="s">
        <v>169</v>
      </c>
      <c r="B394" s="103" t="s">
        <v>588</v>
      </c>
      <c r="C394" s="103" t="s">
        <v>1243</v>
      </c>
      <c r="D394" s="103" t="s">
        <v>1474</v>
      </c>
      <c r="E394" s="103" t="s">
        <v>2272</v>
      </c>
      <c r="F394" s="103" t="s">
        <v>2273</v>
      </c>
      <c r="G394" s="103" t="s">
        <v>2284</v>
      </c>
      <c r="H394" s="103" t="s">
        <v>2284</v>
      </c>
      <c r="I394" s="103" t="s">
        <v>2275</v>
      </c>
      <c r="J394" s="103" t="s">
        <v>2836</v>
      </c>
      <c r="M394" s="103">
        <v>0.86899999999999999</v>
      </c>
      <c r="O394" s="103" t="s">
        <v>487</v>
      </c>
      <c r="P394" s="103">
        <v>25</v>
      </c>
      <c r="Q394" s="2">
        <v>27</v>
      </c>
      <c r="R394" s="226" t="s">
        <v>2277</v>
      </c>
      <c r="U394" s="69"/>
      <c r="V394" s="69"/>
      <c r="W394" s="69"/>
    </row>
    <row r="395" spans="1:23">
      <c r="A395" s="103" t="s">
        <v>169</v>
      </c>
      <c r="B395" s="103" t="s">
        <v>588</v>
      </c>
      <c r="C395" s="103" t="s">
        <v>1243</v>
      </c>
      <c r="D395" s="103" t="s">
        <v>1474</v>
      </c>
      <c r="E395" s="103" t="s">
        <v>2272</v>
      </c>
      <c r="F395" s="103" t="s">
        <v>2273</v>
      </c>
      <c r="G395" s="103" t="s">
        <v>2286</v>
      </c>
      <c r="H395" s="103" t="s">
        <v>2286</v>
      </c>
      <c r="I395" s="103" t="s">
        <v>2275</v>
      </c>
      <c r="J395" s="103" t="s">
        <v>2837</v>
      </c>
      <c r="M395" s="103">
        <v>0.86219999999999997</v>
      </c>
      <c r="O395" s="103" t="s">
        <v>487</v>
      </c>
      <c r="P395" s="103">
        <v>26</v>
      </c>
      <c r="Q395" s="2">
        <v>15</v>
      </c>
      <c r="R395" s="226" t="s">
        <v>2277</v>
      </c>
      <c r="U395" s="69"/>
      <c r="V395" s="69"/>
      <c r="W395" s="69"/>
    </row>
    <row r="396" spans="1:23">
      <c r="A396" s="103" t="s">
        <v>169</v>
      </c>
      <c r="B396" s="103" t="s">
        <v>588</v>
      </c>
      <c r="C396" s="103" t="s">
        <v>1243</v>
      </c>
      <c r="D396" s="103" t="s">
        <v>1474</v>
      </c>
      <c r="E396" s="103" t="s">
        <v>2272</v>
      </c>
      <c r="F396" s="103" t="s">
        <v>2273</v>
      </c>
      <c r="G396" s="103" t="s">
        <v>2288</v>
      </c>
      <c r="H396" s="103" t="s">
        <v>2288</v>
      </c>
      <c r="I396" s="103" t="s">
        <v>2275</v>
      </c>
      <c r="J396" s="103" t="s">
        <v>2838</v>
      </c>
      <c r="M396" s="103">
        <v>0.86280000000000001</v>
      </c>
      <c r="O396" s="103" t="s">
        <v>487</v>
      </c>
      <c r="P396" s="103">
        <v>25</v>
      </c>
      <c r="Q396" s="2">
        <v>17</v>
      </c>
      <c r="R396" s="226" t="s">
        <v>2277</v>
      </c>
      <c r="U396" s="69"/>
      <c r="V396" s="69"/>
      <c r="W396" s="69"/>
    </row>
    <row r="397" spans="1:23">
      <c r="A397" s="103" t="s">
        <v>169</v>
      </c>
      <c r="B397" s="103" t="s">
        <v>588</v>
      </c>
      <c r="C397" s="103" t="s">
        <v>1243</v>
      </c>
      <c r="D397" s="103" t="s">
        <v>1474</v>
      </c>
      <c r="E397" s="103" t="s">
        <v>2272</v>
      </c>
      <c r="F397" s="103" t="s">
        <v>2273</v>
      </c>
      <c r="G397" s="103" t="s">
        <v>2290</v>
      </c>
      <c r="H397" s="103" t="s">
        <v>2290</v>
      </c>
      <c r="I397" s="103" t="s">
        <v>2275</v>
      </c>
      <c r="J397" s="103" t="s">
        <v>2839</v>
      </c>
      <c r="M397" s="103">
        <v>0.88039999999999996</v>
      </c>
      <c r="O397" s="103" t="s">
        <v>487</v>
      </c>
      <c r="P397" s="103">
        <v>24</v>
      </c>
      <c r="Q397" s="2">
        <v>16</v>
      </c>
      <c r="R397" s="226" t="s">
        <v>2277</v>
      </c>
      <c r="U397" s="69"/>
      <c r="V397" s="69"/>
      <c r="W397" s="69"/>
    </row>
    <row r="398" spans="1:23">
      <c r="A398" s="103" t="s">
        <v>169</v>
      </c>
      <c r="B398" s="103" t="s">
        <v>588</v>
      </c>
      <c r="C398" s="103" t="s">
        <v>1243</v>
      </c>
      <c r="D398" s="103" t="s">
        <v>1474</v>
      </c>
      <c r="E398" s="103" t="s">
        <v>2272</v>
      </c>
      <c r="F398" s="103" t="s">
        <v>2273</v>
      </c>
      <c r="G398" s="103" t="s">
        <v>2292</v>
      </c>
      <c r="H398" s="103" t="s">
        <v>2292</v>
      </c>
      <c r="I398" s="103" t="s">
        <v>2275</v>
      </c>
      <c r="J398" s="103" t="s">
        <v>2840</v>
      </c>
      <c r="M398" s="103">
        <v>0.69120000000000004</v>
      </c>
      <c r="O398" s="103" t="s">
        <v>487</v>
      </c>
      <c r="P398" s="103">
        <v>41</v>
      </c>
      <c r="Q398" s="2">
        <v>27</v>
      </c>
      <c r="R398" s="226" t="s">
        <v>2277</v>
      </c>
      <c r="U398" s="69"/>
      <c r="V398" s="69"/>
      <c r="W398" s="69"/>
    </row>
    <row r="399" spans="1:23">
      <c r="A399" s="103" t="s">
        <v>169</v>
      </c>
      <c r="B399" s="103" t="s">
        <v>588</v>
      </c>
      <c r="C399" s="103" t="s">
        <v>1243</v>
      </c>
      <c r="D399" s="103" t="s">
        <v>1474</v>
      </c>
      <c r="E399" s="103" t="s">
        <v>2272</v>
      </c>
      <c r="F399" s="103" t="s">
        <v>2273</v>
      </c>
      <c r="G399" s="103" t="s">
        <v>2294</v>
      </c>
      <c r="H399" s="103" t="s">
        <v>2294</v>
      </c>
      <c r="I399" s="103" t="s">
        <v>2275</v>
      </c>
      <c r="J399" s="103" t="s">
        <v>2841</v>
      </c>
      <c r="M399" s="103">
        <v>0.8841</v>
      </c>
      <c r="O399" s="103" t="s">
        <v>487</v>
      </c>
      <c r="P399" s="103">
        <v>23</v>
      </c>
      <c r="Q399" s="2">
        <v>16</v>
      </c>
      <c r="R399" s="226" t="s">
        <v>2277</v>
      </c>
      <c r="U399" s="69"/>
      <c r="V399" s="69"/>
      <c r="W399" s="69"/>
    </row>
    <row r="400" spans="1:23">
      <c r="A400" s="103" t="s">
        <v>169</v>
      </c>
      <c r="B400" s="103" t="s">
        <v>588</v>
      </c>
      <c r="C400" s="103" t="s">
        <v>1243</v>
      </c>
      <c r="D400" s="103" t="s">
        <v>1474</v>
      </c>
      <c r="E400" s="103" t="s">
        <v>2272</v>
      </c>
      <c r="F400" s="103" t="s">
        <v>2273</v>
      </c>
      <c r="G400" s="103" t="s">
        <v>2296</v>
      </c>
      <c r="H400" s="103" t="s">
        <v>2296</v>
      </c>
      <c r="I400" s="103" t="s">
        <v>2275</v>
      </c>
      <c r="J400" s="103" t="s">
        <v>2842</v>
      </c>
      <c r="M400" s="103">
        <v>0.86119999999999997</v>
      </c>
      <c r="O400" s="103" t="s">
        <v>487</v>
      </c>
      <c r="P400" s="103">
        <v>26</v>
      </c>
      <c r="Q400" s="2">
        <v>16</v>
      </c>
      <c r="R400" s="226" t="s">
        <v>2277</v>
      </c>
      <c r="U400" s="69"/>
      <c r="V400" s="69"/>
      <c r="W400" s="69"/>
    </row>
    <row r="401" spans="1:23">
      <c r="A401" s="103" t="s">
        <v>169</v>
      </c>
      <c r="B401" s="103" t="s">
        <v>588</v>
      </c>
      <c r="C401" s="103" t="s">
        <v>1243</v>
      </c>
      <c r="D401" s="103" t="s">
        <v>1474</v>
      </c>
      <c r="E401" s="103" t="s">
        <v>2272</v>
      </c>
      <c r="F401" s="103" t="s">
        <v>2273</v>
      </c>
      <c r="G401" s="103" t="s">
        <v>2298</v>
      </c>
      <c r="H401" s="103" t="s">
        <v>2298</v>
      </c>
      <c r="I401" s="103" t="s">
        <v>2275</v>
      </c>
      <c r="J401" s="103" t="s">
        <v>2843</v>
      </c>
      <c r="M401" s="103">
        <v>0.87609999999999999</v>
      </c>
      <c r="O401" s="103" t="s">
        <v>487</v>
      </c>
      <c r="P401" s="103">
        <v>24</v>
      </c>
      <c r="Q401" s="2">
        <v>15</v>
      </c>
      <c r="R401" s="226" t="s">
        <v>2277</v>
      </c>
      <c r="U401" s="69"/>
      <c r="V401" s="69"/>
      <c r="W401" s="69"/>
    </row>
    <row r="402" spans="1:23">
      <c r="A402" s="103" t="s">
        <v>169</v>
      </c>
      <c r="B402" s="103" t="s">
        <v>588</v>
      </c>
      <c r="C402" s="103" t="s">
        <v>1243</v>
      </c>
      <c r="D402" s="103" t="s">
        <v>1474</v>
      </c>
      <c r="E402" s="103" t="s">
        <v>2272</v>
      </c>
      <c r="F402" s="103" t="s">
        <v>2273</v>
      </c>
      <c r="G402" s="103" t="s">
        <v>2300</v>
      </c>
      <c r="H402" s="103" t="s">
        <v>2300</v>
      </c>
      <c r="I402" s="103" t="s">
        <v>2275</v>
      </c>
      <c r="J402" s="103" t="s">
        <v>2844</v>
      </c>
      <c r="M402" s="103">
        <v>0.79700000000000004</v>
      </c>
      <c r="O402" s="103" t="s">
        <v>487</v>
      </c>
      <c r="P402" s="103">
        <v>32</v>
      </c>
      <c r="Q402" s="2">
        <v>21</v>
      </c>
      <c r="R402" s="226" t="s">
        <v>2277</v>
      </c>
      <c r="U402" s="69"/>
      <c r="V402" s="69"/>
      <c r="W402" s="69"/>
    </row>
    <row r="403" spans="1:23">
      <c r="A403" s="103" t="s">
        <v>169</v>
      </c>
      <c r="B403" s="103" t="s">
        <v>588</v>
      </c>
      <c r="C403" s="103" t="s">
        <v>1243</v>
      </c>
      <c r="D403" s="103" t="s">
        <v>1474</v>
      </c>
      <c r="E403" s="103" t="s">
        <v>2272</v>
      </c>
      <c r="F403" s="103" t="s">
        <v>2273</v>
      </c>
      <c r="G403" s="103" t="s">
        <v>2302</v>
      </c>
      <c r="H403" s="103" t="s">
        <v>2302</v>
      </c>
      <c r="I403" s="103" t="s">
        <v>2275</v>
      </c>
      <c r="J403" s="103" t="s">
        <v>2845</v>
      </c>
      <c r="M403" s="103">
        <v>0.86460000000000004</v>
      </c>
      <c r="O403" s="103" t="s">
        <v>487</v>
      </c>
      <c r="P403" s="103">
        <v>25</v>
      </c>
      <c r="Q403" s="2">
        <v>16</v>
      </c>
      <c r="R403" s="226" t="s">
        <v>2277</v>
      </c>
      <c r="U403" s="69"/>
      <c r="V403" s="69"/>
      <c r="W403" s="69"/>
    </row>
    <row r="404" spans="1:23">
      <c r="A404" s="103" t="s">
        <v>169</v>
      </c>
      <c r="B404" s="103" t="s">
        <v>588</v>
      </c>
      <c r="C404" s="103" t="s">
        <v>1243</v>
      </c>
      <c r="D404" s="103" t="s">
        <v>1474</v>
      </c>
      <c r="E404" s="103" t="s">
        <v>2272</v>
      </c>
      <c r="F404" s="103" t="s">
        <v>2273</v>
      </c>
      <c r="G404" s="103" t="s">
        <v>2304</v>
      </c>
      <c r="H404" s="103" t="s">
        <v>2304</v>
      </c>
      <c r="I404" s="103" t="s">
        <v>2275</v>
      </c>
      <c r="J404" s="103" t="s">
        <v>2846</v>
      </c>
      <c r="M404" s="103">
        <v>0.87439999999999996</v>
      </c>
      <c r="O404" s="103" t="s">
        <v>487</v>
      </c>
      <c r="P404" s="103">
        <v>24</v>
      </c>
      <c r="Q404" s="2">
        <v>15</v>
      </c>
      <c r="R404" s="226" t="s">
        <v>2277</v>
      </c>
      <c r="U404" s="69"/>
      <c r="V404" s="69"/>
      <c r="W404" s="69"/>
    </row>
    <row r="405" spans="1:23">
      <c r="A405" s="103" t="s">
        <v>169</v>
      </c>
      <c r="B405" s="103" t="s">
        <v>588</v>
      </c>
      <c r="C405" s="103" t="s">
        <v>1243</v>
      </c>
      <c r="D405" s="103" t="s">
        <v>1474</v>
      </c>
      <c r="E405" s="103" t="s">
        <v>2272</v>
      </c>
      <c r="F405" s="103" t="s">
        <v>2273</v>
      </c>
      <c r="G405" s="103" t="s">
        <v>2306</v>
      </c>
      <c r="H405" s="103" t="s">
        <v>2306</v>
      </c>
      <c r="I405" s="103" t="s">
        <v>2275</v>
      </c>
      <c r="J405" s="103" t="s">
        <v>2847</v>
      </c>
      <c r="M405" s="103">
        <v>0.67920000000000003</v>
      </c>
      <c r="O405" s="103" t="s">
        <v>487</v>
      </c>
      <c r="P405" s="103">
        <v>41</v>
      </c>
      <c r="Q405" s="2">
        <v>28</v>
      </c>
      <c r="R405" s="226" t="s">
        <v>2277</v>
      </c>
      <c r="U405" s="69"/>
      <c r="V405" s="69"/>
      <c r="W405" s="69"/>
    </row>
    <row r="406" spans="1:23">
      <c r="A406" s="103" t="s">
        <v>169</v>
      </c>
      <c r="B406" s="103" t="s">
        <v>588</v>
      </c>
      <c r="C406" s="103" t="s">
        <v>1243</v>
      </c>
      <c r="D406" s="103" t="s">
        <v>1474</v>
      </c>
      <c r="E406" s="103" t="s">
        <v>2272</v>
      </c>
      <c r="F406" s="103" t="s">
        <v>2273</v>
      </c>
      <c r="G406" s="103" t="s">
        <v>2308</v>
      </c>
      <c r="H406" s="103" t="s">
        <v>2308</v>
      </c>
      <c r="I406" s="103" t="s">
        <v>2275</v>
      </c>
      <c r="J406" s="103" t="s">
        <v>2848</v>
      </c>
      <c r="M406" s="103">
        <v>0.83950000000000002</v>
      </c>
      <c r="O406" s="103" t="s">
        <v>487</v>
      </c>
      <c r="P406" s="103">
        <v>28</v>
      </c>
      <c r="Q406" s="2">
        <v>18</v>
      </c>
      <c r="R406" s="226" t="s">
        <v>2277</v>
      </c>
      <c r="U406" s="69"/>
      <c r="V406" s="69"/>
      <c r="W406" s="69"/>
    </row>
    <row r="407" spans="1:23">
      <c r="A407" s="103" t="s">
        <v>169</v>
      </c>
      <c r="B407" s="103" t="s">
        <v>588</v>
      </c>
      <c r="C407" s="103" t="s">
        <v>1243</v>
      </c>
      <c r="D407" s="103" t="s">
        <v>1474</v>
      </c>
      <c r="E407" s="103" t="s">
        <v>2272</v>
      </c>
      <c r="F407" s="103" t="s">
        <v>2273</v>
      </c>
      <c r="G407" s="103" t="s">
        <v>2310</v>
      </c>
      <c r="H407" s="103" t="s">
        <v>2310</v>
      </c>
      <c r="I407" s="103" t="s">
        <v>2275</v>
      </c>
      <c r="J407" s="103" t="s">
        <v>2849</v>
      </c>
      <c r="M407" s="103">
        <v>0.82099999999999995</v>
      </c>
      <c r="O407" s="103" t="s">
        <v>487</v>
      </c>
      <c r="P407" s="103">
        <v>30</v>
      </c>
      <c r="Q407" s="2">
        <v>20</v>
      </c>
      <c r="R407" s="226" t="s">
        <v>2277</v>
      </c>
      <c r="U407" s="69"/>
      <c r="V407" s="69"/>
      <c r="W407" s="69"/>
    </row>
    <row r="408" spans="1:23">
      <c r="A408" s="103" t="s">
        <v>169</v>
      </c>
      <c r="B408" s="103" t="s">
        <v>588</v>
      </c>
      <c r="C408" s="103" t="s">
        <v>1243</v>
      </c>
      <c r="D408" s="103" t="s">
        <v>1474</v>
      </c>
      <c r="E408" s="103" t="s">
        <v>2272</v>
      </c>
      <c r="F408" s="103" t="s">
        <v>2273</v>
      </c>
      <c r="G408" s="103" t="s">
        <v>2312</v>
      </c>
      <c r="H408" s="103" t="s">
        <v>2312</v>
      </c>
      <c r="I408" s="103" t="s">
        <v>2275</v>
      </c>
      <c r="J408" s="103" t="s">
        <v>2850</v>
      </c>
      <c r="M408" s="103">
        <v>0.85540000000000005</v>
      </c>
      <c r="O408" s="103" t="s">
        <v>487</v>
      </c>
      <c r="P408" s="103">
        <v>26</v>
      </c>
      <c r="Q408" s="2">
        <v>16</v>
      </c>
      <c r="R408" s="226" t="s">
        <v>2277</v>
      </c>
      <c r="U408" s="69"/>
      <c r="V408" s="69"/>
      <c r="W408" s="69"/>
    </row>
    <row r="409" spans="1:23">
      <c r="A409" s="103" t="s">
        <v>169</v>
      </c>
      <c r="B409" s="103" t="s">
        <v>588</v>
      </c>
      <c r="C409" s="103" t="s">
        <v>1243</v>
      </c>
      <c r="D409" s="103" t="s">
        <v>1474</v>
      </c>
      <c r="E409" s="103" t="s">
        <v>2272</v>
      </c>
      <c r="F409" s="103" t="s">
        <v>2273</v>
      </c>
      <c r="G409" s="103" t="s">
        <v>2314</v>
      </c>
      <c r="H409" s="103" t="s">
        <v>2314</v>
      </c>
      <c r="I409" s="103" t="s">
        <v>2275</v>
      </c>
      <c r="J409" s="103" t="s">
        <v>2851</v>
      </c>
      <c r="M409" s="103">
        <v>0.82130000000000003</v>
      </c>
      <c r="O409" s="103" t="s">
        <v>487</v>
      </c>
      <c r="P409" s="103">
        <v>30</v>
      </c>
      <c r="Q409" s="2">
        <v>20</v>
      </c>
      <c r="R409" s="226" t="s">
        <v>2277</v>
      </c>
      <c r="U409" s="69"/>
      <c r="V409" s="69"/>
      <c r="W409" s="69"/>
    </row>
    <row r="410" spans="1:23">
      <c r="A410" s="103" t="s">
        <v>169</v>
      </c>
      <c r="B410" s="103" t="s">
        <v>588</v>
      </c>
      <c r="C410" s="103" t="s">
        <v>1243</v>
      </c>
      <c r="D410" s="103" t="s">
        <v>1474</v>
      </c>
      <c r="E410" s="103" t="s">
        <v>2272</v>
      </c>
      <c r="F410" s="103" t="s">
        <v>2273</v>
      </c>
      <c r="G410" s="103" t="s">
        <v>2316</v>
      </c>
      <c r="H410" s="103" t="s">
        <v>2316</v>
      </c>
      <c r="I410" s="103" t="s">
        <v>2275</v>
      </c>
      <c r="J410" s="103" t="s">
        <v>2852</v>
      </c>
      <c r="M410" s="103">
        <v>0.83069999999999999</v>
      </c>
      <c r="O410" s="103" t="s">
        <v>487</v>
      </c>
      <c r="P410" s="103">
        <v>29</v>
      </c>
      <c r="Q410" s="2">
        <v>18</v>
      </c>
      <c r="R410" s="226" t="s">
        <v>2277</v>
      </c>
      <c r="U410" s="69"/>
      <c r="V410" s="69"/>
      <c r="W410" s="69"/>
    </row>
    <row r="411" spans="1:23">
      <c r="A411" s="103" t="s">
        <v>169</v>
      </c>
      <c r="B411" s="103" t="s">
        <v>588</v>
      </c>
      <c r="C411" s="103" t="s">
        <v>1243</v>
      </c>
      <c r="D411" s="103" t="s">
        <v>1474</v>
      </c>
      <c r="E411" s="103" t="s">
        <v>2272</v>
      </c>
      <c r="F411" s="103" t="s">
        <v>2273</v>
      </c>
      <c r="G411" s="103" t="s">
        <v>2318</v>
      </c>
      <c r="H411" s="103" t="s">
        <v>2318</v>
      </c>
      <c r="I411" s="103" t="s">
        <v>2275</v>
      </c>
      <c r="J411" s="103" t="s">
        <v>2853</v>
      </c>
      <c r="M411" s="103">
        <v>0.86939999999999995</v>
      </c>
      <c r="O411" s="103" t="s">
        <v>487</v>
      </c>
      <c r="P411" s="103">
        <v>25</v>
      </c>
      <c r="Q411" s="2">
        <v>16</v>
      </c>
      <c r="R411" s="226" t="s">
        <v>2277</v>
      </c>
      <c r="U411" s="69"/>
      <c r="V411" s="69"/>
      <c r="W411" s="69"/>
    </row>
    <row r="412" spans="1:23">
      <c r="A412" s="103" t="s">
        <v>169</v>
      </c>
      <c r="B412" s="103" t="s">
        <v>588</v>
      </c>
      <c r="C412" s="103" t="s">
        <v>1243</v>
      </c>
      <c r="D412" s="103" t="s">
        <v>1474</v>
      </c>
      <c r="E412" s="103" t="s">
        <v>2272</v>
      </c>
      <c r="F412" s="103" t="s">
        <v>2273</v>
      </c>
      <c r="G412" s="103" t="s">
        <v>2320</v>
      </c>
      <c r="H412" s="103" t="s">
        <v>2320</v>
      </c>
      <c r="I412" s="103" t="s">
        <v>2275</v>
      </c>
      <c r="J412" s="103" t="s">
        <v>2854</v>
      </c>
      <c r="M412" s="103">
        <v>0.68730000000000002</v>
      </c>
      <c r="O412" s="103" t="s">
        <v>487</v>
      </c>
      <c r="P412" s="103">
        <v>41</v>
      </c>
      <c r="Q412" s="2">
        <v>27</v>
      </c>
      <c r="R412" s="226" t="s">
        <v>2277</v>
      </c>
      <c r="U412" s="69"/>
      <c r="V412" s="69"/>
      <c r="W412" s="69"/>
    </row>
    <row r="413" spans="1:23">
      <c r="A413" s="103" t="s">
        <v>169</v>
      </c>
      <c r="B413" s="103" t="s">
        <v>588</v>
      </c>
      <c r="C413" s="103" t="s">
        <v>1243</v>
      </c>
      <c r="D413" s="103" t="s">
        <v>1474</v>
      </c>
      <c r="E413" s="103" t="s">
        <v>2272</v>
      </c>
      <c r="F413" s="103" t="s">
        <v>2273</v>
      </c>
      <c r="G413" s="103" t="s">
        <v>2322</v>
      </c>
      <c r="H413" s="103" t="s">
        <v>2322</v>
      </c>
      <c r="I413" s="103" t="s">
        <v>2275</v>
      </c>
      <c r="J413" s="103" t="s">
        <v>2855</v>
      </c>
      <c r="M413" s="103">
        <v>0.80610000000000004</v>
      </c>
      <c r="O413" s="103" t="s">
        <v>487</v>
      </c>
      <c r="P413" s="103">
        <v>30</v>
      </c>
      <c r="Q413" s="2">
        <v>19</v>
      </c>
      <c r="R413" s="226" t="s">
        <v>2277</v>
      </c>
      <c r="U413" s="69"/>
      <c r="V413" s="69"/>
      <c r="W413" s="69"/>
    </row>
    <row r="414" spans="1:23">
      <c r="A414" s="103" t="s">
        <v>169</v>
      </c>
      <c r="B414" s="103" t="s">
        <v>588</v>
      </c>
      <c r="C414" s="103" t="s">
        <v>1243</v>
      </c>
      <c r="D414" s="103" t="s">
        <v>1474</v>
      </c>
      <c r="E414" s="103" t="s">
        <v>2272</v>
      </c>
      <c r="F414" s="103" t="s">
        <v>2273</v>
      </c>
      <c r="G414" s="103" t="s">
        <v>2324</v>
      </c>
      <c r="H414" s="103" t="s">
        <v>2324</v>
      </c>
      <c r="I414" s="103" t="s">
        <v>2275</v>
      </c>
      <c r="J414" s="103" t="s">
        <v>2856</v>
      </c>
      <c r="M414" s="103">
        <v>0.66320000000000001</v>
      </c>
      <c r="O414" s="103" t="s">
        <v>487</v>
      </c>
      <c r="P414" s="103">
        <v>41</v>
      </c>
      <c r="Q414" s="2">
        <v>23</v>
      </c>
      <c r="R414" s="226" t="s">
        <v>2277</v>
      </c>
      <c r="U414" s="69"/>
      <c r="V414" s="69"/>
      <c r="W414" s="69"/>
    </row>
    <row r="415" spans="1:23">
      <c r="A415" s="103" t="s">
        <v>169</v>
      </c>
      <c r="B415" s="103" t="s">
        <v>588</v>
      </c>
      <c r="C415" s="103" t="s">
        <v>1243</v>
      </c>
      <c r="D415" s="103" t="s">
        <v>1474</v>
      </c>
      <c r="E415" s="103" t="s">
        <v>2272</v>
      </c>
      <c r="F415" s="103" t="s">
        <v>2273</v>
      </c>
      <c r="G415" s="103" t="s">
        <v>2326</v>
      </c>
      <c r="H415" s="103" t="s">
        <v>2326</v>
      </c>
      <c r="I415" s="103" t="s">
        <v>2275</v>
      </c>
      <c r="J415" s="103" t="s">
        <v>2857</v>
      </c>
      <c r="M415" s="103">
        <v>0.85260000000000002</v>
      </c>
      <c r="O415" s="103" t="s">
        <v>487</v>
      </c>
      <c r="P415" s="103">
        <v>27</v>
      </c>
      <c r="Q415" s="2">
        <v>16</v>
      </c>
      <c r="R415" s="226" t="s">
        <v>2277</v>
      </c>
      <c r="U415" s="69"/>
      <c r="V415" s="69"/>
      <c r="W415" s="69"/>
    </row>
    <row r="416" spans="1:23">
      <c r="A416" s="103" t="s">
        <v>169</v>
      </c>
      <c r="B416" s="103" t="s">
        <v>588</v>
      </c>
      <c r="C416" s="103" t="s">
        <v>1243</v>
      </c>
      <c r="D416" s="103" t="s">
        <v>1474</v>
      </c>
      <c r="E416" s="103" t="s">
        <v>2272</v>
      </c>
      <c r="F416" s="103" t="s">
        <v>2273</v>
      </c>
      <c r="G416" s="103" t="s">
        <v>2328</v>
      </c>
      <c r="H416" s="103" t="s">
        <v>2328</v>
      </c>
      <c r="I416" s="103" t="s">
        <v>2275</v>
      </c>
      <c r="J416" s="103" t="s">
        <v>2858</v>
      </c>
      <c r="M416" s="103">
        <v>0.84040000000000004</v>
      </c>
      <c r="O416" s="103" t="s">
        <v>487</v>
      </c>
      <c r="P416" s="103">
        <v>28</v>
      </c>
      <c r="Q416" s="2">
        <v>20</v>
      </c>
      <c r="R416" s="226" t="s">
        <v>2277</v>
      </c>
      <c r="U416" s="69"/>
      <c r="V416" s="69"/>
      <c r="W416" s="69"/>
    </row>
    <row r="417" spans="1:23">
      <c r="A417" s="103" t="s">
        <v>169</v>
      </c>
      <c r="B417" s="103" t="s">
        <v>588</v>
      </c>
      <c r="C417" s="103" t="s">
        <v>1243</v>
      </c>
      <c r="D417" s="103" t="s">
        <v>1474</v>
      </c>
      <c r="E417" s="103" t="s">
        <v>2272</v>
      </c>
      <c r="F417" s="103" t="s">
        <v>2273</v>
      </c>
      <c r="G417" s="103" t="s">
        <v>2330</v>
      </c>
      <c r="H417" s="103" t="s">
        <v>2330</v>
      </c>
      <c r="I417" s="103" t="s">
        <v>2275</v>
      </c>
      <c r="J417" s="103" t="s">
        <v>2859</v>
      </c>
      <c r="M417" s="103">
        <v>0.83030000000000004</v>
      </c>
      <c r="O417" s="103" t="s">
        <v>487</v>
      </c>
      <c r="P417" s="103">
        <v>29</v>
      </c>
      <c r="Q417" s="2">
        <v>17</v>
      </c>
      <c r="R417" s="226" t="s">
        <v>2277</v>
      </c>
      <c r="U417" s="69"/>
      <c r="V417" s="69"/>
      <c r="W417" s="69"/>
    </row>
    <row r="418" spans="1:23">
      <c r="A418" s="103" t="s">
        <v>169</v>
      </c>
      <c r="B418" s="103" t="s">
        <v>588</v>
      </c>
      <c r="C418" s="103" t="s">
        <v>1243</v>
      </c>
      <c r="D418" s="103" t="s">
        <v>1474</v>
      </c>
      <c r="E418" s="103" t="s">
        <v>2272</v>
      </c>
      <c r="F418" s="103" t="s">
        <v>2273</v>
      </c>
      <c r="G418" s="103" t="s">
        <v>2332</v>
      </c>
      <c r="H418" s="103" t="s">
        <v>2332</v>
      </c>
      <c r="I418" s="103" t="s">
        <v>2275</v>
      </c>
      <c r="J418" s="103" t="s">
        <v>2860</v>
      </c>
      <c r="M418" s="103">
        <v>0.84699999999999998</v>
      </c>
      <c r="O418" s="103" t="s">
        <v>487</v>
      </c>
      <c r="P418" s="103">
        <v>27</v>
      </c>
      <c r="Q418" s="2">
        <v>16</v>
      </c>
      <c r="R418" s="226" t="s">
        <v>2277</v>
      </c>
      <c r="U418" s="69"/>
      <c r="V418" s="69"/>
      <c r="W418" s="69"/>
    </row>
    <row r="419" spans="1:23">
      <c r="A419" s="103" t="s">
        <v>169</v>
      </c>
      <c r="B419" s="103" t="s">
        <v>588</v>
      </c>
      <c r="C419" s="103" t="s">
        <v>1243</v>
      </c>
      <c r="D419" s="103" t="s">
        <v>1474</v>
      </c>
      <c r="E419" s="103" t="s">
        <v>2272</v>
      </c>
      <c r="F419" s="103" t="s">
        <v>2273</v>
      </c>
      <c r="G419" s="103" t="s">
        <v>2334</v>
      </c>
      <c r="H419" s="103" t="s">
        <v>2334</v>
      </c>
      <c r="I419" s="103" t="s">
        <v>2275</v>
      </c>
      <c r="J419" s="103" t="s">
        <v>2861</v>
      </c>
      <c r="M419" s="103">
        <v>0.79400000000000004</v>
      </c>
      <c r="O419" s="103" t="s">
        <v>487</v>
      </c>
      <c r="P419" s="103">
        <v>32</v>
      </c>
      <c r="Q419" s="2">
        <v>24</v>
      </c>
      <c r="R419" s="226" t="s">
        <v>2277</v>
      </c>
      <c r="U419" s="69"/>
      <c r="V419" s="69"/>
      <c r="W419" s="69"/>
    </row>
    <row r="420" spans="1:23">
      <c r="A420" s="103" t="s">
        <v>169</v>
      </c>
      <c r="B420" s="103" t="s">
        <v>588</v>
      </c>
      <c r="C420" s="103" t="s">
        <v>1243</v>
      </c>
      <c r="D420" s="103" t="s">
        <v>1474</v>
      </c>
      <c r="E420" s="103" t="s">
        <v>2272</v>
      </c>
      <c r="F420" s="103" t="s">
        <v>2273</v>
      </c>
      <c r="G420" s="103" t="s">
        <v>634</v>
      </c>
      <c r="H420" s="103" t="s">
        <v>634</v>
      </c>
      <c r="I420" s="103" t="s">
        <v>2275</v>
      </c>
      <c r="J420" s="103" t="s">
        <v>2862</v>
      </c>
      <c r="M420" s="103">
        <v>0.85699999999999998</v>
      </c>
      <c r="O420" s="103" t="s">
        <v>487</v>
      </c>
      <c r="P420" s="103">
        <v>26</v>
      </c>
      <c r="Q420" s="2">
        <v>16</v>
      </c>
      <c r="R420" s="226" t="s">
        <v>2277</v>
      </c>
      <c r="U420" s="69"/>
      <c r="V420" s="69"/>
      <c r="W420" s="69"/>
    </row>
    <row r="421" spans="1:23">
      <c r="A421" s="103" t="s">
        <v>169</v>
      </c>
      <c r="B421" s="103" t="s">
        <v>588</v>
      </c>
      <c r="C421" s="103" t="s">
        <v>1243</v>
      </c>
      <c r="D421" s="103" t="s">
        <v>1474</v>
      </c>
      <c r="E421" s="103" t="s">
        <v>2272</v>
      </c>
      <c r="F421" s="103" t="s">
        <v>2273</v>
      </c>
      <c r="G421" s="103" t="s">
        <v>2337</v>
      </c>
      <c r="H421" s="103" t="s">
        <v>2337</v>
      </c>
      <c r="I421" s="103" t="s">
        <v>2275</v>
      </c>
      <c r="J421" s="103" t="s">
        <v>2863</v>
      </c>
      <c r="M421" s="103">
        <v>0.8488</v>
      </c>
      <c r="O421" s="103" t="s">
        <v>487</v>
      </c>
      <c r="P421" s="103">
        <v>27</v>
      </c>
      <c r="Q421" s="2">
        <v>19</v>
      </c>
      <c r="R421" s="226" t="s">
        <v>2277</v>
      </c>
      <c r="U421" s="69"/>
      <c r="V421" s="69"/>
      <c r="W421" s="69"/>
    </row>
    <row r="422" spans="1:23">
      <c r="A422" s="103" t="s">
        <v>169</v>
      </c>
      <c r="B422" s="103" t="s">
        <v>588</v>
      </c>
      <c r="C422" s="103" t="s">
        <v>1243</v>
      </c>
      <c r="D422" s="103" t="s">
        <v>1474</v>
      </c>
      <c r="E422" s="103" t="s">
        <v>2272</v>
      </c>
      <c r="F422" s="103" t="s">
        <v>2273</v>
      </c>
      <c r="G422" s="103" t="s">
        <v>2339</v>
      </c>
      <c r="H422" s="103" t="s">
        <v>2339</v>
      </c>
      <c r="I422" s="103" t="s">
        <v>2275</v>
      </c>
      <c r="J422" s="103" t="s">
        <v>2864</v>
      </c>
      <c r="M422" s="103">
        <v>0.83850000000000002</v>
      </c>
      <c r="O422" s="103" t="s">
        <v>487</v>
      </c>
      <c r="P422" s="103">
        <v>28</v>
      </c>
      <c r="Q422" s="2">
        <v>18</v>
      </c>
      <c r="R422" s="226" t="s">
        <v>2277</v>
      </c>
      <c r="U422" s="69"/>
      <c r="V422" s="69"/>
      <c r="W422" s="69"/>
    </row>
    <row r="423" spans="1:23">
      <c r="A423" s="103" t="s">
        <v>169</v>
      </c>
      <c r="B423" s="103" t="s">
        <v>588</v>
      </c>
      <c r="C423" s="103" t="s">
        <v>1243</v>
      </c>
      <c r="D423" s="103" t="s">
        <v>1474</v>
      </c>
      <c r="E423" s="103" t="s">
        <v>2272</v>
      </c>
      <c r="F423" s="103" t="s">
        <v>2273</v>
      </c>
      <c r="G423" s="103" t="s">
        <v>2341</v>
      </c>
      <c r="H423" s="103" t="s">
        <v>2341</v>
      </c>
      <c r="I423" s="103" t="s">
        <v>2275</v>
      </c>
      <c r="J423" s="103" t="s">
        <v>2865</v>
      </c>
      <c r="M423" s="103">
        <v>0.88280000000000003</v>
      </c>
      <c r="O423" s="103" t="s">
        <v>487</v>
      </c>
      <c r="P423" s="103">
        <v>23</v>
      </c>
      <c r="Q423" s="2">
        <v>16</v>
      </c>
      <c r="R423" s="226" t="s">
        <v>2277</v>
      </c>
      <c r="U423" s="69"/>
      <c r="V423" s="69"/>
      <c r="W423" s="69"/>
    </row>
    <row r="424" spans="1:23">
      <c r="A424" s="103" t="s">
        <v>169</v>
      </c>
      <c r="B424" s="103" t="s">
        <v>588</v>
      </c>
      <c r="C424" s="103" t="s">
        <v>1243</v>
      </c>
      <c r="D424" s="103" t="s">
        <v>1474</v>
      </c>
      <c r="E424" s="103" t="s">
        <v>2272</v>
      </c>
      <c r="F424" s="103" t="s">
        <v>2273</v>
      </c>
      <c r="G424" s="103" t="s">
        <v>2343</v>
      </c>
      <c r="H424" s="103" t="s">
        <v>2343</v>
      </c>
      <c r="I424" s="103" t="s">
        <v>2275</v>
      </c>
      <c r="J424" s="103" t="s">
        <v>2866</v>
      </c>
      <c r="M424" s="103">
        <v>0.79069999999999996</v>
      </c>
      <c r="O424" s="103" t="s">
        <v>487</v>
      </c>
      <c r="P424" s="103">
        <v>32</v>
      </c>
      <c r="Q424" s="2">
        <v>20</v>
      </c>
      <c r="R424" s="226" t="s">
        <v>2277</v>
      </c>
      <c r="U424" s="69"/>
      <c r="V424" s="69"/>
      <c r="W424" s="69"/>
    </row>
    <row r="425" spans="1:23">
      <c r="A425" s="103" t="s">
        <v>169</v>
      </c>
      <c r="B425" s="103" t="s">
        <v>588</v>
      </c>
      <c r="C425" s="103" t="s">
        <v>1243</v>
      </c>
      <c r="D425" s="103" t="s">
        <v>1474</v>
      </c>
      <c r="E425" s="103" t="s">
        <v>2272</v>
      </c>
      <c r="F425" s="103" t="s">
        <v>2273</v>
      </c>
      <c r="G425" s="103" t="s">
        <v>2345</v>
      </c>
      <c r="H425" s="103" t="s">
        <v>2345</v>
      </c>
      <c r="I425" s="103" t="s">
        <v>2275</v>
      </c>
      <c r="J425" s="103" t="s">
        <v>2867</v>
      </c>
      <c r="M425" s="103">
        <v>0.87639999999999996</v>
      </c>
      <c r="O425" s="103" t="s">
        <v>487</v>
      </c>
      <c r="P425" s="103">
        <v>24</v>
      </c>
      <c r="Q425" s="2">
        <v>16</v>
      </c>
      <c r="R425" s="226" t="s">
        <v>2277</v>
      </c>
      <c r="U425" s="69"/>
      <c r="V425" s="69"/>
      <c r="W425" s="69"/>
    </row>
    <row r="426" spans="1:23">
      <c r="A426" s="103" t="s">
        <v>169</v>
      </c>
      <c r="B426" s="103" t="s">
        <v>588</v>
      </c>
      <c r="C426" s="103" t="s">
        <v>1243</v>
      </c>
      <c r="D426" s="103" t="s">
        <v>1474</v>
      </c>
      <c r="E426" s="103" t="s">
        <v>2272</v>
      </c>
      <c r="F426" s="103" t="s">
        <v>2273</v>
      </c>
      <c r="G426" s="103" t="s">
        <v>2347</v>
      </c>
      <c r="H426" s="103" t="s">
        <v>2347</v>
      </c>
      <c r="I426" s="103" t="s">
        <v>2275</v>
      </c>
      <c r="J426" s="103" t="s">
        <v>2868</v>
      </c>
      <c r="M426" s="103">
        <v>0.48249999999999998</v>
      </c>
      <c r="O426" s="103" t="s">
        <v>487</v>
      </c>
      <c r="P426" s="103">
        <v>55</v>
      </c>
      <c r="Q426" s="2">
        <v>37</v>
      </c>
      <c r="R426" s="226" t="s">
        <v>2277</v>
      </c>
      <c r="U426" s="69"/>
      <c r="V426" s="69"/>
      <c r="W426" s="69"/>
    </row>
    <row r="427" spans="1:23">
      <c r="A427" s="103" t="s">
        <v>169</v>
      </c>
      <c r="B427" s="103" t="s">
        <v>588</v>
      </c>
      <c r="C427" s="103" t="s">
        <v>1243</v>
      </c>
      <c r="D427" s="103" t="s">
        <v>1474</v>
      </c>
      <c r="E427" s="103" t="s">
        <v>2272</v>
      </c>
      <c r="F427" s="103" t="s">
        <v>2273</v>
      </c>
      <c r="G427" s="103" t="s">
        <v>2349</v>
      </c>
      <c r="H427" s="103" t="s">
        <v>2349</v>
      </c>
      <c r="I427" s="103" t="s">
        <v>2275</v>
      </c>
      <c r="J427" s="103" t="s">
        <v>2869</v>
      </c>
      <c r="M427" s="103">
        <v>0.88890000000000002</v>
      </c>
      <c r="O427" s="103" t="s">
        <v>487</v>
      </c>
      <c r="P427" s="103">
        <v>23</v>
      </c>
      <c r="Q427" s="2">
        <v>14</v>
      </c>
      <c r="R427" s="226" t="s">
        <v>2277</v>
      </c>
      <c r="U427" s="69"/>
      <c r="V427" s="69"/>
      <c r="W427" s="69"/>
    </row>
    <row r="428" spans="1:23">
      <c r="A428" s="103" t="s">
        <v>169</v>
      </c>
      <c r="B428" s="103" t="s">
        <v>588</v>
      </c>
      <c r="C428" s="103" t="s">
        <v>1243</v>
      </c>
      <c r="D428" s="103" t="s">
        <v>1474</v>
      </c>
      <c r="E428" s="103" t="s">
        <v>2272</v>
      </c>
      <c r="F428" s="103" t="s">
        <v>2273</v>
      </c>
      <c r="G428" s="103" t="s">
        <v>2351</v>
      </c>
      <c r="H428" s="103" t="s">
        <v>2351</v>
      </c>
      <c r="I428" s="103" t="s">
        <v>2275</v>
      </c>
      <c r="J428" s="103" t="s">
        <v>2870</v>
      </c>
      <c r="M428" s="103">
        <v>0.87029999999999996</v>
      </c>
      <c r="O428" s="103" t="s">
        <v>487</v>
      </c>
      <c r="P428" s="103">
        <v>25</v>
      </c>
      <c r="Q428" s="2">
        <v>17</v>
      </c>
      <c r="R428" s="226" t="s">
        <v>2277</v>
      </c>
      <c r="U428" s="69"/>
      <c r="V428" s="69"/>
      <c r="W428" s="69"/>
    </row>
    <row r="429" spans="1:23">
      <c r="A429" s="103" t="s">
        <v>169</v>
      </c>
      <c r="B429" s="103" t="s">
        <v>588</v>
      </c>
      <c r="C429" s="103" t="s">
        <v>1243</v>
      </c>
      <c r="D429" s="103" t="s">
        <v>1474</v>
      </c>
      <c r="E429" s="103" t="s">
        <v>2272</v>
      </c>
      <c r="F429" s="103" t="s">
        <v>2273</v>
      </c>
      <c r="G429" s="103" t="s">
        <v>2353</v>
      </c>
      <c r="H429" s="103" t="s">
        <v>2353</v>
      </c>
      <c r="I429" s="103" t="s">
        <v>2275</v>
      </c>
      <c r="J429" s="103" t="s">
        <v>2871</v>
      </c>
      <c r="M429" s="103">
        <v>0.84970000000000001</v>
      </c>
      <c r="O429" s="103" t="s">
        <v>487</v>
      </c>
      <c r="P429" s="103">
        <v>27</v>
      </c>
      <c r="Q429" s="2">
        <v>18</v>
      </c>
      <c r="R429" s="226" t="s">
        <v>2277</v>
      </c>
      <c r="U429" s="69"/>
      <c r="V429" s="69"/>
      <c r="W429" s="69"/>
    </row>
    <row r="430" spans="1:23">
      <c r="A430" s="103" t="s">
        <v>169</v>
      </c>
      <c r="B430" s="103" t="s">
        <v>588</v>
      </c>
      <c r="C430" s="103" t="s">
        <v>1243</v>
      </c>
      <c r="D430" s="103" t="s">
        <v>1474</v>
      </c>
      <c r="E430" s="103" t="s">
        <v>2272</v>
      </c>
      <c r="F430" s="103" t="s">
        <v>2273</v>
      </c>
      <c r="G430" s="103" t="s">
        <v>2355</v>
      </c>
      <c r="H430" s="103" t="s">
        <v>2355</v>
      </c>
      <c r="I430" s="103" t="s">
        <v>2275</v>
      </c>
      <c r="J430" s="103" t="s">
        <v>2872</v>
      </c>
      <c r="M430" s="103">
        <v>0.83740000000000003</v>
      </c>
      <c r="O430" s="103" t="s">
        <v>487</v>
      </c>
      <c r="P430" s="103">
        <v>28</v>
      </c>
      <c r="Q430" s="2">
        <v>18</v>
      </c>
      <c r="R430" s="226" t="s">
        <v>2277</v>
      </c>
      <c r="U430" s="69"/>
      <c r="V430" s="69"/>
      <c r="W430" s="69"/>
    </row>
    <row r="431" spans="1:23">
      <c r="A431" s="103" t="s">
        <v>169</v>
      </c>
      <c r="B431" s="103" t="s">
        <v>588</v>
      </c>
      <c r="C431" s="103" t="s">
        <v>1243</v>
      </c>
      <c r="D431" s="103" t="s">
        <v>1474</v>
      </c>
      <c r="E431" s="103" t="s">
        <v>2272</v>
      </c>
      <c r="F431" s="103" t="s">
        <v>2273</v>
      </c>
      <c r="G431" s="103" t="s">
        <v>2357</v>
      </c>
      <c r="H431" s="103" t="s">
        <v>2357</v>
      </c>
      <c r="I431" s="103" t="s">
        <v>2275</v>
      </c>
      <c r="J431" s="103" t="s">
        <v>2873</v>
      </c>
      <c r="M431" s="103">
        <v>0.81640000000000001</v>
      </c>
      <c r="O431" s="103" t="s">
        <v>487</v>
      </c>
      <c r="P431" s="103">
        <v>30</v>
      </c>
      <c r="Q431" s="2">
        <v>20</v>
      </c>
      <c r="R431" s="226" t="s">
        <v>2277</v>
      </c>
      <c r="U431" s="69"/>
      <c r="V431" s="69"/>
      <c r="W431" s="69"/>
    </row>
    <row r="432" spans="1:23">
      <c r="A432" s="103" t="s">
        <v>169</v>
      </c>
      <c r="B432" s="103" t="s">
        <v>588</v>
      </c>
      <c r="C432" s="103" t="s">
        <v>1243</v>
      </c>
      <c r="D432" s="103" t="s">
        <v>1474</v>
      </c>
      <c r="E432" s="103" t="s">
        <v>2272</v>
      </c>
      <c r="F432" s="103" t="s">
        <v>2273</v>
      </c>
      <c r="G432" s="103" t="s">
        <v>2359</v>
      </c>
      <c r="H432" s="103" t="s">
        <v>2359</v>
      </c>
      <c r="I432" s="103" t="s">
        <v>2275</v>
      </c>
      <c r="J432" s="103" t="s">
        <v>2874</v>
      </c>
      <c r="M432" s="103">
        <v>0.86470000000000002</v>
      </c>
      <c r="O432" s="103" t="s">
        <v>487</v>
      </c>
      <c r="P432" s="103">
        <v>25</v>
      </c>
      <c r="Q432" s="2">
        <v>16</v>
      </c>
      <c r="R432" s="226" t="s">
        <v>2277</v>
      </c>
      <c r="U432" s="69"/>
      <c r="V432" s="69"/>
      <c r="W432" s="69"/>
    </row>
    <row r="433" spans="1:23">
      <c r="A433" s="103" t="s">
        <v>169</v>
      </c>
      <c r="B433" s="103" t="s">
        <v>588</v>
      </c>
      <c r="C433" s="103" t="s">
        <v>1243</v>
      </c>
      <c r="D433" s="103" t="s">
        <v>1474</v>
      </c>
      <c r="E433" s="103" t="s">
        <v>2272</v>
      </c>
      <c r="F433" s="103" t="s">
        <v>2273</v>
      </c>
      <c r="G433" s="103" t="s">
        <v>2361</v>
      </c>
      <c r="H433" s="103" t="s">
        <v>2361</v>
      </c>
      <c r="I433" s="103" t="s">
        <v>2275</v>
      </c>
      <c r="J433" s="103" t="s">
        <v>2875</v>
      </c>
      <c r="M433" s="103">
        <v>0.82499999999999996</v>
      </c>
      <c r="O433" s="103" t="s">
        <v>487</v>
      </c>
      <c r="P433" s="103">
        <v>29</v>
      </c>
      <c r="Q433" s="2">
        <v>21</v>
      </c>
      <c r="R433" s="226" t="s">
        <v>2277</v>
      </c>
      <c r="U433" s="69"/>
      <c r="V433" s="69"/>
      <c r="W433" s="69"/>
    </row>
    <row r="434" spans="1:23">
      <c r="A434" s="103" t="s">
        <v>169</v>
      </c>
      <c r="B434" s="103" t="s">
        <v>588</v>
      </c>
      <c r="C434" s="103" t="s">
        <v>1243</v>
      </c>
      <c r="D434" s="103" t="s">
        <v>1474</v>
      </c>
      <c r="E434" s="103" t="s">
        <v>2272</v>
      </c>
      <c r="F434" s="103" t="s">
        <v>2273</v>
      </c>
      <c r="G434" s="103" t="s">
        <v>2363</v>
      </c>
      <c r="H434" s="103" t="s">
        <v>2363</v>
      </c>
      <c r="I434" s="103" t="s">
        <v>2275</v>
      </c>
      <c r="J434" s="103" t="s">
        <v>2876</v>
      </c>
      <c r="M434" s="103">
        <v>0.87460000000000004</v>
      </c>
      <c r="O434" s="103" t="s">
        <v>487</v>
      </c>
      <c r="P434" s="103">
        <v>24</v>
      </c>
      <c r="Q434" s="2">
        <v>16</v>
      </c>
      <c r="R434" s="226" t="s">
        <v>2277</v>
      </c>
      <c r="U434" s="69"/>
      <c r="V434" s="69"/>
      <c r="W434" s="69"/>
    </row>
    <row r="435" spans="1:23">
      <c r="A435" s="103" t="s">
        <v>601</v>
      </c>
      <c r="B435" s="103" t="s">
        <v>602</v>
      </c>
      <c r="C435" s="103" t="s">
        <v>2877</v>
      </c>
      <c r="D435" s="103" t="s">
        <v>1474</v>
      </c>
      <c r="E435" s="103" t="s">
        <v>2272</v>
      </c>
      <c r="F435" s="103" t="s">
        <v>2273</v>
      </c>
      <c r="H435" s="103" t="s">
        <v>2878</v>
      </c>
      <c r="I435" s="103" t="s">
        <v>2275</v>
      </c>
      <c r="J435" s="103" t="s">
        <v>2879</v>
      </c>
      <c r="K435" s="103" t="s">
        <v>2880</v>
      </c>
      <c r="M435" s="103" t="s">
        <v>487</v>
      </c>
      <c r="N435" s="103" t="s">
        <v>487</v>
      </c>
      <c r="O435" s="103" t="s">
        <v>487</v>
      </c>
      <c r="P435" s="103">
        <v>4</v>
      </c>
      <c r="Q435" s="2" t="s">
        <v>2881</v>
      </c>
      <c r="R435" s="226" t="s">
        <v>2882</v>
      </c>
      <c r="U435" s="69"/>
      <c r="V435" s="69"/>
      <c r="W435" s="69"/>
    </row>
    <row r="436" spans="1:23">
      <c r="A436" s="103" t="s">
        <v>601</v>
      </c>
      <c r="B436" s="103" t="s">
        <v>602</v>
      </c>
      <c r="C436" s="103" t="s">
        <v>2883</v>
      </c>
      <c r="D436" s="103" t="s">
        <v>1474</v>
      </c>
      <c r="E436" s="103" t="s">
        <v>2272</v>
      </c>
      <c r="F436" s="103" t="s">
        <v>2273</v>
      </c>
      <c r="H436" s="103" t="s">
        <v>2878</v>
      </c>
      <c r="I436" s="103" t="s">
        <v>2275</v>
      </c>
      <c r="J436" s="103" t="s">
        <v>2884</v>
      </c>
      <c r="K436" s="103" t="s">
        <v>2880</v>
      </c>
      <c r="M436" s="103" t="s">
        <v>487</v>
      </c>
      <c r="N436" s="103" t="s">
        <v>487</v>
      </c>
      <c r="O436" s="103" t="s">
        <v>487</v>
      </c>
      <c r="P436" s="103">
        <v>13</v>
      </c>
      <c r="Q436" s="2" t="s">
        <v>2881</v>
      </c>
      <c r="R436" s="226" t="s">
        <v>2882</v>
      </c>
      <c r="U436" s="69"/>
      <c r="V436" s="69"/>
      <c r="W436" s="69"/>
    </row>
    <row r="437" spans="1:23">
      <c r="A437" s="103" t="s">
        <v>601</v>
      </c>
      <c r="B437" s="103" t="s">
        <v>602</v>
      </c>
      <c r="C437" s="103" t="s">
        <v>2885</v>
      </c>
      <c r="D437" s="103" t="s">
        <v>1474</v>
      </c>
      <c r="E437" s="103" t="s">
        <v>2272</v>
      </c>
      <c r="F437" s="103" t="s">
        <v>2273</v>
      </c>
      <c r="H437" s="103" t="s">
        <v>2878</v>
      </c>
      <c r="I437" s="103" t="s">
        <v>2275</v>
      </c>
      <c r="J437" s="103" t="s">
        <v>2886</v>
      </c>
      <c r="K437" s="103" t="s">
        <v>2880</v>
      </c>
      <c r="M437" s="103" t="s">
        <v>487</v>
      </c>
      <c r="N437" s="103" t="s">
        <v>487</v>
      </c>
      <c r="O437" s="103" t="s">
        <v>487</v>
      </c>
      <c r="P437" s="103">
        <v>18</v>
      </c>
      <c r="Q437" s="2">
        <v>12</v>
      </c>
      <c r="R437" s="226" t="s">
        <v>2882</v>
      </c>
      <c r="U437" s="69"/>
      <c r="V437" s="69"/>
      <c r="W437" s="69"/>
    </row>
    <row r="438" spans="1:23">
      <c r="A438" s="103" t="s">
        <v>601</v>
      </c>
      <c r="B438" s="103" t="s">
        <v>602</v>
      </c>
      <c r="C438" s="103" t="s">
        <v>2887</v>
      </c>
      <c r="D438" s="103" t="s">
        <v>1474</v>
      </c>
      <c r="E438" s="103" t="s">
        <v>2272</v>
      </c>
      <c r="F438" s="103" t="s">
        <v>2273</v>
      </c>
      <c r="H438" s="103" t="s">
        <v>2878</v>
      </c>
      <c r="I438" s="103" t="s">
        <v>2275</v>
      </c>
      <c r="J438" s="103" t="s">
        <v>2888</v>
      </c>
      <c r="K438" s="103" t="s">
        <v>2880</v>
      </c>
      <c r="M438" s="103" t="s">
        <v>487</v>
      </c>
      <c r="N438" s="103" t="s">
        <v>487</v>
      </c>
      <c r="O438" s="103" t="s">
        <v>487</v>
      </c>
      <c r="P438" s="103">
        <v>19</v>
      </c>
      <c r="Q438" s="2" t="s">
        <v>2881</v>
      </c>
      <c r="R438" s="226" t="s">
        <v>2882</v>
      </c>
      <c r="U438" s="69"/>
      <c r="V438" s="69"/>
      <c r="W438" s="69"/>
    </row>
    <row r="439" spans="1:23">
      <c r="A439" s="103" t="s">
        <v>601</v>
      </c>
      <c r="B439" s="103" t="s">
        <v>602</v>
      </c>
      <c r="C439" s="103" t="s">
        <v>2887</v>
      </c>
      <c r="D439" s="103" t="s">
        <v>1474</v>
      </c>
      <c r="E439" s="103" t="s">
        <v>2272</v>
      </c>
      <c r="F439" s="103" t="s">
        <v>2273</v>
      </c>
      <c r="H439" s="103" t="s">
        <v>2878</v>
      </c>
      <c r="I439" s="103" t="s">
        <v>2275</v>
      </c>
      <c r="J439" s="103" t="s">
        <v>2889</v>
      </c>
      <c r="K439" s="103" t="s">
        <v>2880</v>
      </c>
      <c r="M439" s="103" t="s">
        <v>487</v>
      </c>
      <c r="N439" s="103" t="s">
        <v>487</v>
      </c>
      <c r="O439" s="103" t="s">
        <v>487</v>
      </c>
      <c r="P439" s="103">
        <v>20</v>
      </c>
      <c r="Q439" s="2" t="s">
        <v>2881</v>
      </c>
      <c r="R439" s="226" t="s">
        <v>2882</v>
      </c>
      <c r="U439" s="69"/>
      <c r="V439" s="69"/>
      <c r="W439" s="69"/>
    </row>
    <row r="440" spans="1:23">
      <c r="A440" s="103" t="s">
        <v>601</v>
      </c>
      <c r="B440" s="103" t="s">
        <v>602</v>
      </c>
      <c r="C440" s="103" t="s">
        <v>2890</v>
      </c>
      <c r="D440" s="103" t="s">
        <v>1474</v>
      </c>
      <c r="E440" s="103" t="s">
        <v>2272</v>
      </c>
      <c r="F440" s="103" t="s">
        <v>2273</v>
      </c>
      <c r="H440" s="103" t="s">
        <v>2878</v>
      </c>
      <c r="I440" s="103" t="s">
        <v>2275</v>
      </c>
      <c r="J440" s="103" t="s">
        <v>2891</v>
      </c>
      <c r="K440" s="103" t="s">
        <v>2880</v>
      </c>
      <c r="M440" s="103" t="s">
        <v>487</v>
      </c>
      <c r="N440" s="103" t="s">
        <v>487</v>
      </c>
      <c r="O440" s="103" t="s">
        <v>487</v>
      </c>
      <c r="P440" s="103" t="s">
        <v>2881</v>
      </c>
      <c r="Q440" s="2" t="s">
        <v>2881</v>
      </c>
      <c r="R440" s="226" t="s">
        <v>2882</v>
      </c>
      <c r="U440" s="69"/>
      <c r="V440" s="69"/>
      <c r="W440" s="69"/>
    </row>
    <row r="441" spans="1:23">
      <c r="A441" s="103" t="s">
        <v>601</v>
      </c>
      <c r="B441" s="103" t="s">
        <v>602</v>
      </c>
      <c r="C441" s="103" t="s">
        <v>2892</v>
      </c>
      <c r="D441" s="103" t="s">
        <v>1474</v>
      </c>
      <c r="E441" s="103" t="s">
        <v>2272</v>
      </c>
      <c r="F441" s="103" t="s">
        <v>2273</v>
      </c>
      <c r="H441" s="103" t="s">
        <v>2878</v>
      </c>
      <c r="I441" s="103" t="s">
        <v>2275</v>
      </c>
      <c r="J441" s="103" t="s">
        <v>2893</v>
      </c>
      <c r="K441" s="103" t="s">
        <v>2880</v>
      </c>
      <c r="M441" s="103" t="s">
        <v>487</v>
      </c>
      <c r="N441" s="103" t="s">
        <v>487</v>
      </c>
      <c r="O441" s="103" t="s">
        <v>487</v>
      </c>
      <c r="P441" s="103" t="s">
        <v>2881</v>
      </c>
      <c r="Q441" s="2" t="s">
        <v>2881</v>
      </c>
      <c r="R441" s="226" t="s">
        <v>2882</v>
      </c>
      <c r="U441" s="69"/>
      <c r="V441" s="69"/>
      <c r="W441" s="69"/>
    </row>
    <row r="442" spans="1:23">
      <c r="A442" s="103" t="s">
        <v>601</v>
      </c>
      <c r="B442" s="103" t="s">
        <v>602</v>
      </c>
      <c r="C442" s="103" t="s">
        <v>2894</v>
      </c>
      <c r="D442" s="103" t="s">
        <v>1474</v>
      </c>
      <c r="E442" s="103" t="s">
        <v>2272</v>
      </c>
      <c r="F442" s="103" t="s">
        <v>2273</v>
      </c>
      <c r="H442" s="103" t="s">
        <v>2878</v>
      </c>
      <c r="I442" s="103" t="s">
        <v>2275</v>
      </c>
      <c r="J442" s="103" t="s">
        <v>2895</v>
      </c>
      <c r="K442" s="103" t="s">
        <v>2880</v>
      </c>
      <c r="M442" s="103" t="s">
        <v>487</v>
      </c>
      <c r="N442" s="103" t="s">
        <v>487</v>
      </c>
      <c r="O442" s="103" t="s">
        <v>487</v>
      </c>
      <c r="P442" s="103" t="s">
        <v>2881</v>
      </c>
      <c r="Q442" s="2" t="s">
        <v>2881</v>
      </c>
      <c r="R442" s="226" t="s">
        <v>2882</v>
      </c>
      <c r="U442" s="69"/>
      <c r="V442" s="69"/>
      <c r="W442" s="69"/>
    </row>
    <row r="443" spans="1:23">
      <c r="A443" s="103" t="s">
        <v>601</v>
      </c>
      <c r="B443" s="103" t="s">
        <v>602</v>
      </c>
      <c r="C443" s="103" t="s">
        <v>2896</v>
      </c>
      <c r="D443" s="103" t="s">
        <v>1474</v>
      </c>
      <c r="E443" s="103" t="s">
        <v>2272</v>
      </c>
      <c r="F443" s="103" t="s">
        <v>2273</v>
      </c>
      <c r="H443" s="103" t="s">
        <v>2878</v>
      </c>
      <c r="I443" s="103" t="s">
        <v>2275</v>
      </c>
      <c r="J443" s="103" t="s">
        <v>2897</v>
      </c>
      <c r="K443" s="103" t="s">
        <v>2880</v>
      </c>
      <c r="M443" s="103" t="s">
        <v>487</v>
      </c>
      <c r="N443" s="103" t="s">
        <v>487</v>
      </c>
      <c r="O443" s="103" t="s">
        <v>487</v>
      </c>
      <c r="P443" s="103">
        <v>16</v>
      </c>
      <c r="Q443" s="2">
        <v>11</v>
      </c>
      <c r="R443" s="226" t="s">
        <v>2882</v>
      </c>
      <c r="U443" s="69"/>
      <c r="V443" s="69"/>
      <c r="W443" s="69"/>
    </row>
    <row r="444" spans="1:23">
      <c r="A444" s="103" t="s">
        <v>601</v>
      </c>
      <c r="B444" s="103" t="s">
        <v>602</v>
      </c>
      <c r="C444" s="103" t="s">
        <v>2898</v>
      </c>
      <c r="D444" s="103" t="s">
        <v>1474</v>
      </c>
      <c r="E444" s="103" t="s">
        <v>2272</v>
      </c>
      <c r="F444" s="103" t="s">
        <v>2273</v>
      </c>
      <c r="H444" s="103" t="s">
        <v>2878</v>
      </c>
      <c r="I444" s="103" t="s">
        <v>2275</v>
      </c>
      <c r="J444" s="103" t="s">
        <v>2899</v>
      </c>
      <c r="K444" s="103" t="s">
        <v>2880</v>
      </c>
      <c r="M444" s="103" t="s">
        <v>487</v>
      </c>
      <c r="N444" s="103" t="s">
        <v>487</v>
      </c>
      <c r="O444" s="103" t="s">
        <v>487</v>
      </c>
      <c r="P444" s="103" t="s">
        <v>2881</v>
      </c>
      <c r="Q444" s="2" t="s">
        <v>2881</v>
      </c>
      <c r="R444" s="226" t="s">
        <v>2882</v>
      </c>
      <c r="U444" s="69"/>
      <c r="V444" s="69"/>
      <c r="W444" s="69"/>
    </row>
    <row r="445" spans="1:23">
      <c r="A445" s="103" t="s">
        <v>601</v>
      </c>
      <c r="B445" s="103" t="s">
        <v>602</v>
      </c>
      <c r="C445" s="103" t="s">
        <v>1243</v>
      </c>
      <c r="D445" s="103" t="s">
        <v>2900</v>
      </c>
      <c r="E445" s="103" t="s">
        <v>2901</v>
      </c>
      <c r="G445" s="103" t="s">
        <v>2774</v>
      </c>
      <c r="H445" s="103" t="s">
        <v>2902</v>
      </c>
      <c r="J445" s="103" t="s">
        <v>2903</v>
      </c>
      <c r="K445" s="103" t="s">
        <v>2904</v>
      </c>
      <c r="M445" s="103">
        <v>0.79</v>
      </c>
      <c r="N445" s="103">
        <v>25</v>
      </c>
      <c r="O445" s="103" t="s">
        <v>2905</v>
      </c>
      <c r="P445" s="103">
        <v>7.59</v>
      </c>
      <c r="Q445" s="2" t="s">
        <v>487</v>
      </c>
      <c r="R445" s="226" t="s">
        <v>2906</v>
      </c>
      <c r="S445" s="2" t="s">
        <v>2907</v>
      </c>
      <c r="U445" s="69"/>
      <c r="V445" s="69"/>
      <c r="W445" s="69"/>
    </row>
    <row r="446" spans="1:23">
      <c r="A446" s="103" t="s">
        <v>601</v>
      </c>
      <c r="B446" s="103" t="s">
        <v>602</v>
      </c>
      <c r="C446" s="103" t="s">
        <v>1243</v>
      </c>
      <c r="D446" s="103" t="s">
        <v>2900</v>
      </c>
      <c r="E446" s="103" t="s">
        <v>2901</v>
      </c>
      <c r="G446" s="103" t="s">
        <v>2908</v>
      </c>
      <c r="H446" s="103" t="s">
        <v>2909</v>
      </c>
      <c r="J446" s="103" t="s">
        <v>2910</v>
      </c>
      <c r="K446" s="103" t="s">
        <v>2904</v>
      </c>
      <c r="M446" s="103">
        <v>0.69</v>
      </c>
      <c r="N446" s="103">
        <v>20</v>
      </c>
      <c r="O446" s="103" t="s">
        <v>2905</v>
      </c>
      <c r="P446" s="103">
        <v>12.24</v>
      </c>
      <c r="Q446" s="2" t="s">
        <v>487</v>
      </c>
      <c r="R446" s="226" t="s">
        <v>2906</v>
      </c>
      <c r="S446" s="2" t="s">
        <v>2911</v>
      </c>
      <c r="U446" s="69"/>
      <c r="V446" s="69"/>
      <c r="W446" s="69"/>
    </row>
    <row r="447" spans="1:23">
      <c r="A447" s="103" t="s">
        <v>601</v>
      </c>
      <c r="B447" s="103" t="s">
        <v>602</v>
      </c>
      <c r="C447" s="103" t="s">
        <v>1243</v>
      </c>
      <c r="D447" s="103" t="s">
        <v>2900</v>
      </c>
      <c r="E447" s="103" t="s">
        <v>2901</v>
      </c>
      <c r="G447" s="103" t="s">
        <v>2789</v>
      </c>
      <c r="H447" s="103" t="s">
        <v>2912</v>
      </c>
      <c r="J447" s="103" t="s">
        <v>2913</v>
      </c>
      <c r="K447" s="103" t="s">
        <v>2904</v>
      </c>
      <c r="M447" s="103">
        <v>0.82</v>
      </c>
      <c r="N447" s="103">
        <v>30</v>
      </c>
      <c r="O447" s="103" t="s">
        <v>2905</v>
      </c>
      <c r="P447" s="103">
        <v>8.7799999999999994</v>
      </c>
      <c r="Q447" s="2" t="s">
        <v>487</v>
      </c>
      <c r="R447" s="226" t="s">
        <v>2906</v>
      </c>
      <c r="S447" s="2" t="s">
        <v>2914</v>
      </c>
      <c r="U447" s="69"/>
      <c r="V447" s="69"/>
      <c r="W447" s="69"/>
    </row>
    <row r="448" spans="1:23">
      <c r="A448" s="103" t="s">
        <v>601</v>
      </c>
      <c r="B448" s="103" t="s">
        <v>602</v>
      </c>
      <c r="C448" s="103" t="s">
        <v>1243</v>
      </c>
      <c r="D448" s="103" t="s">
        <v>2900</v>
      </c>
      <c r="E448" s="103" t="s">
        <v>2901</v>
      </c>
      <c r="G448" s="103" t="s">
        <v>2915</v>
      </c>
      <c r="H448" s="103" t="s">
        <v>2916</v>
      </c>
      <c r="J448" s="103" t="s">
        <v>2917</v>
      </c>
      <c r="K448" s="103" t="s">
        <v>2904</v>
      </c>
      <c r="M448" s="103">
        <v>0.69</v>
      </c>
      <c r="N448" s="103">
        <v>23</v>
      </c>
      <c r="O448" s="103" t="s">
        <v>2905</v>
      </c>
      <c r="P448" s="103">
        <v>11.28</v>
      </c>
      <c r="Q448" s="2" t="s">
        <v>487</v>
      </c>
      <c r="R448" s="226" t="s">
        <v>2906</v>
      </c>
      <c r="S448" s="2" t="s">
        <v>2918</v>
      </c>
      <c r="U448" s="69"/>
      <c r="V448" s="69"/>
      <c r="W448" s="69"/>
    </row>
    <row r="449" spans="1:23">
      <c r="A449" s="103" t="s">
        <v>601</v>
      </c>
      <c r="B449" s="103" t="s">
        <v>602</v>
      </c>
      <c r="C449" s="103" t="s">
        <v>1243</v>
      </c>
      <c r="D449" s="103" t="s">
        <v>1474</v>
      </c>
      <c r="E449" s="103" t="s">
        <v>2272</v>
      </c>
      <c r="F449" s="103" t="s">
        <v>2273</v>
      </c>
      <c r="H449" s="103" t="s">
        <v>2919</v>
      </c>
      <c r="I449" s="103" t="s">
        <v>2615</v>
      </c>
      <c r="J449" s="103" t="s">
        <v>2920</v>
      </c>
      <c r="M449" s="103">
        <v>0.49140099999999992</v>
      </c>
      <c r="N449" s="103">
        <v>7</v>
      </c>
      <c r="O449" s="103">
        <v>7.9000000000000001E-2</v>
      </c>
      <c r="P449" s="103">
        <v>73.72</v>
      </c>
      <c r="Q449" s="2">
        <v>44</v>
      </c>
      <c r="R449" s="226" t="s">
        <v>2921</v>
      </c>
      <c r="U449" s="69"/>
      <c r="V449" s="69"/>
      <c r="W449" s="69"/>
    </row>
    <row r="450" spans="1:23">
      <c r="A450" s="103" t="s">
        <v>601</v>
      </c>
      <c r="B450" s="103" t="s">
        <v>602</v>
      </c>
      <c r="C450" s="103" t="s">
        <v>1243</v>
      </c>
      <c r="D450" s="103" t="s">
        <v>1474</v>
      </c>
      <c r="E450" s="103" t="s">
        <v>2272</v>
      </c>
      <c r="F450" s="103" t="s">
        <v>2273</v>
      </c>
      <c r="H450" s="103" t="s">
        <v>2922</v>
      </c>
      <c r="I450" s="103" t="s">
        <v>2615</v>
      </c>
      <c r="J450" s="103" t="s">
        <v>2923</v>
      </c>
      <c r="M450" s="103">
        <v>0.56550400000000001</v>
      </c>
      <c r="N450" s="103">
        <v>7</v>
      </c>
      <c r="O450" s="103">
        <v>5.0999999999999997E-2</v>
      </c>
      <c r="P450" s="103">
        <v>66.58</v>
      </c>
      <c r="Q450" s="2">
        <v>39.61</v>
      </c>
      <c r="R450" s="226" t="s">
        <v>2921</v>
      </c>
      <c r="U450" s="69"/>
      <c r="V450" s="69"/>
      <c r="W450" s="69"/>
    </row>
    <row r="451" spans="1:23">
      <c r="A451" s="103" t="s">
        <v>601</v>
      </c>
      <c r="B451" s="103" t="s">
        <v>602</v>
      </c>
      <c r="C451" s="103" t="s">
        <v>1243</v>
      </c>
      <c r="D451" s="103" t="s">
        <v>1474</v>
      </c>
      <c r="E451" s="103" t="s">
        <v>2272</v>
      </c>
      <c r="F451" s="103" t="s">
        <v>2273</v>
      </c>
      <c r="H451" s="103" t="s">
        <v>2924</v>
      </c>
      <c r="I451" s="103" t="s">
        <v>2615</v>
      </c>
      <c r="J451" s="103" t="s">
        <v>2925</v>
      </c>
      <c r="M451" s="103">
        <v>0.69388899999999998</v>
      </c>
      <c r="N451" s="103">
        <v>7</v>
      </c>
      <c r="O451" s="103">
        <v>0.02</v>
      </c>
      <c r="P451" s="103">
        <v>53.49</v>
      </c>
      <c r="Q451" s="2">
        <v>30.98</v>
      </c>
      <c r="R451" s="226" t="s">
        <v>2921</v>
      </c>
      <c r="U451" s="69"/>
      <c r="V451" s="69"/>
      <c r="W451" s="69"/>
    </row>
    <row r="452" spans="1:23">
      <c r="A452" s="103" t="s">
        <v>601</v>
      </c>
      <c r="B452" s="103" t="s">
        <v>602</v>
      </c>
      <c r="C452" s="103" t="s">
        <v>1243</v>
      </c>
      <c r="D452" s="103" t="s">
        <v>1474</v>
      </c>
      <c r="E452" s="103" t="s">
        <v>2272</v>
      </c>
      <c r="F452" s="103" t="s">
        <v>2273</v>
      </c>
      <c r="H452" s="103" t="s">
        <v>2926</v>
      </c>
      <c r="I452" s="103" t="s">
        <v>2615</v>
      </c>
      <c r="J452" s="103" t="s">
        <v>2927</v>
      </c>
      <c r="M452" s="103">
        <v>0.69555599999999995</v>
      </c>
      <c r="N452" s="103">
        <v>7</v>
      </c>
      <c r="O452" s="103">
        <v>0.02</v>
      </c>
      <c r="P452" s="103">
        <v>53.36</v>
      </c>
      <c r="Q452" s="2">
        <v>30.14</v>
      </c>
      <c r="R452" s="226" t="s">
        <v>2921</v>
      </c>
      <c r="U452" s="69"/>
      <c r="V452" s="69"/>
      <c r="W452" s="69"/>
    </row>
    <row r="453" spans="1:23">
      <c r="A453" s="103" t="s">
        <v>601</v>
      </c>
      <c r="B453" s="103" t="s">
        <v>602</v>
      </c>
      <c r="C453" s="103" t="s">
        <v>1243</v>
      </c>
      <c r="D453" s="103" t="s">
        <v>1474</v>
      </c>
      <c r="E453" s="103" t="s">
        <v>2272</v>
      </c>
      <c r="F453" s="103" t="s">
        <v>2273</v>
      </c>
      <c r="H453" s="103" t="s">
        <v>2928</v>
      </c>
      <c r="I453" s="103" t="s">
        <v>2615</v>
      </c>
      <c r="J453" s="103" t="s">
        <v>2929</v>
      </c>
      <c r="M453" s="103">
        <v>0.74304399999999993</v>
      </c>
      <c r="N453" s="103" t="s">
        <v>2930</v>
      </c>
      <c r="O453" s="103">
        <v>2.7E-2</v>
      </c>
      <c r="P453" s="103">
        <v>23.42</v>
      </c>
      <c r="Q453" s="2">
        <v>15.35</v>
      </c>
      <c r="R453" s="226" t="s">
        <v>2921</v>
      </c>
      <c r="U453" s="69"/>
      <c r="V453" s="69"/>
      <c r="W453" s="69"/>
    </row>
    <row r="454" spans="1:23">
      <c r="A454" s="103" t="s">
        <v>601</v>
      </c>
      <c r="B454" s="103" t="s">
        <v>602</v>
      </c>
      <c r="C454" s="103" t="s">
        <v>1243</v>
      </c>
      <c r="D454" s="103" t="s">
        <v>1474</v>
      </c>
      <c r="E454" s="103" t="s">
        <v>2272</v>
      </c>
      <c r="F454" s="103" t="s">
        <v>2273</v>
      </c>
      <c r="H454" s="103" t="s">
        <v>2931</v>
      </c>
      <c r="I454" s="103" t="s">
        <v>2615</v>
      </c>
      <c r="J454" s="103" t="s">
        <v>2932</v>
      </c>
      <c r="M454" s="103">
        <v>0.77616099999999999</v>
      </c>
      <c r="N454" s="103">
        <v>7</v>
      </c>
      <c r="O454" s="103">
        <v>8.0000000000000002E-3</v>
      </c>
      <c r="P454" s="103">
        <v>43.15</v>
      </c>
      <c r="Q454" s="2">
        <v>28.34</v>
      </c>
      <c r="R454" s="226" t="s">
        <v>2921</v>
      </c>
      <c r="U454" s="69"/>
      <c r="V454" s="69"/>
      <c r="W454" s="69"/>
    </row>
    <row r="455" spans="1:23">
      <c r="A455" s="103" t="s">
        <v>601</v>
      </c>
      <c r="B455" s="103" t="s">
        <v>602</v>
      </c>
      <c r="C455" s="103" t="s">
        <v>1243</v>
      </c>
      <c r="D455" s="103" t="s">
        <v>1474</v>
      </c>
      <c r="E455" s="103" t="s">
        <v>2272</v>
      </c>
      <c r="F455" s="103" t="s">
        <v>2273</v>
      </c>
      <c r="H455" s="103" t="s">
        <v>2878</v>
      </c>
      <c r="I455" s="103" t="s">
        <v>2275</v>
      </c>
      <c r="J455" s="103" t="s">
        <v>2933</v>
      </c>
      <c r="K455" s="103" t="s">
        <v>2934</v>
      </c>
      <c r="M455" s="103">
        <v>0.81540900000000005</v>
      </c>
      <c r="N455" s="103">
        <v>40</v>
      </c>
      <c r="O455" s="103" t="s">
        <v>2935</v>
      </c>
      <c r="P455" s="103">
        <v>12.09</v>
      </c>
      <c r="Q455" s="2">
        <v>9.77</v>
      </c>
      <c r="R455" s="226" t="s">
        <v>2921</v>
      </c>
      <c r="U455" s="69"/>
      <c r="V455" s="69"/>
      <c r="W455" s="69"/>
    </row>
    <row r="456" spans="1:23">
      <c r="A456" s="103" t="s">
        <v>601</v>
      </c>
      <c r="B456" s="103" t="s">
        <v>602</v>
      </c>
      <c r="C456" s="103" t="s">
        <v>1243</v>
      </c>
      <c r="D456" s="103" t="s">
        <v>1474</v>
      </c>
      <c r="E456" s="103" t="s">
        <v>2272</v>
      </c>
      <c r="F456" s="103" t="s">
        <v>2273</v>
      </c>
      <c r="H456" s="103" t="s">
        <v>2936</v>
      </c>
      <c r="I456" s="103" t="s">
        <v>2615</v>
      </c>
      <c r="J456" s="103" t="s">
        <v>2937</v>
      </c>
      <c r="M456" s="103">
        <v>0.81721600000000005</v>
      </c>
      <c r="N456" s="103">
        <v>7</v>
      </c>
      <c r="O456" s="103">
        <v>5.0000000000000001E-3</v>
      </c>
      <c r="P456" s="103">
        <v>39.340000000000003</v>
      </c>
      <c r="Q456" s="2">
        <v>25.43</v>
      </c>
      <c r="R456" s="226" t="s">
        <v>2921</v>
      </c>
      <c r="U456" s="69"/>
      <c r="V456" s="69"/>
      <c r="W456" s="69"/>
    </row>
    <row r="457" spans="1:23">
      <c r="A457" s="103" t="s">
        <v>601</v>
      </c>
      <c r="B457" s="103" t="s">
        <v>602</v>
      </c>
      <c r="C457" s="103" t="s">
        <v>1243</v>
      </c>
      <c r="D457" s="103" t="s">
        <v>1474</v>
      </c>
      <c r="E457" s="103" t="s">
        <v>2272</v>
      </c>
      <c r="F457" s="103" t="s">
        <v>2273</v>
      </c>
      <c r="H457" s="103" t="s">
        <v>2938</v>
      </c>
      <c r="I457" s="103" t="s">
        <v>2615</v>
      </c>
      <c r="J457" s="103" t="s">
        <v>2939</v>
      </c>
      <c r="M457" s="103">
        <v>0.86118400000000006</v>
      </c>
      <c r="N457" s="103">
        <v>7</v>
      </c>
      <c r="O457" s="103">
        <v>3.0000000000000001E-3</v>
      </c>
      <c r="P457" s="103">
        <v>33.49</v>
      </c>
      <c r="Q457" s="2">
        <v>21.71</v>
      </c>
      <c r="R457" s="226" t="s">
        <v>2921</v>
      </c>
      <c r="U457" s="69"/>
      <c r="V457" s="69"/>
      <c r="W457" s="69"/>
    </row>
    <row r="458" spans="1:23">
      <c r="A458" s="103" t="s">
        <v>601</v>
      </c>
      <c r="B458" s="103" t="s">
        <v>602</v>
      </c>
      <c r="C458" s="103" t="s">
        <v>1243</v>
      </c>
      <c r="D458" s="103" t="s">
        <v>1474</v>
      </c>
      <c r="E458" s="103" t="s">
        <v>2272</v>
      </c>
      <c r="F458" s="103" t="s">
        <v>2273</v>
      </c>
      <c r="H458" s="103" t="s">
        <v>2940</v>
      </c>
      <c r="I458" s="103" t="s">
        <v>2615</v>
      </c>
      <c r="J458" s="103" t="s">
        <v>2941</v>
      </c>
      <c r="M458" s="103">
        <v>0.86862400000000006</v>
      </c>
      <c r="N458" s="103">
        <v>7</v>
      </c>
      <c r="O458" s="103">
        <v>2E-3</v>
      </c>
      <c r="P458" s="103">
        <v>32.380000000000003</v>
      </c>
      <c r="Q458" s="2">
        <v>19.97</v>
      </c>
      <c r="R458" s="226" t="s">
        <v>2921</v>
      </c>
      <c r="U458" s="69"/>
      <c r="V458" s="69"/>
      <c r="W458" s="69"/>
    </row>
    <row r="459" spans="1:23">
      <c r="A459" s="103" t="s">
        <v>601</v>
      </c>
      <c r="B459" s="103" t="s">
        <v>602</v>
      </c>
      <c r="C459" s="103" t="s">
        <v>1243</v>
      </c>
      <c r="D459" s="103" t="s">
        <v>1474</v>
      </c>
      <c r="E459" s="103" t="s">
        <v>2272</v>
      </c>
      <c r="F459" s="103" t="s">
        <v>2273</v>
      </c>
      <c r="H459" s="103" t="s">
        <v>2942</v>
      </c>
      <c r="I459" s="103" t="s">
        <v>2615</v>
      </c>
      <c r="J459" s="103" t="s">
        <v>2943</v>
      </c>
      <c r="M459" s="103">
        <v>0.89113599999999993</v>
      </c>
      <c r="N459" s="103">
        <v>7</v>
      </c>
      <c r="O459" s="103">
        <v>1E-3</v>
      </c>
      <c r="P459" s="103">
        <v>29.09</v>
      </c>
      <c r="Q459" s="2">
        <v>18.510000000000002</v>
      </c>
      <c r="R459" s="226" t="s">
        <v>2921</v>
      </c>
      <c r="U459" s="69"/>
      <c r="V459" s="69"/>
      <c r="W459" s="69"/>
    </row>
    <row r="460" spans="1:23">
      <c r="A460" s="103" t="s">
        <v>601</v>
      </c>
      <c r="B460" s="103" t="s">
        <v>602</v>
      </c>
      <c r="C460" s="103" t="s">
        <v>1243</v>
      </c>
      <c r="D460" s="103" t="s">
        <v>1474</v>
      </c>
      <c r="E460" s="103" t="s">
        <v>2272</v>
      </c>
      <c r="F460" s="103" t="s">
        <v>2273</v>
      </c>
      <c r="H460" s="103" t="s">
        <v>2878</v>
      </c>
      <c r="I460" s="103" t="s">
        <v>2275</v>
      </c>
      <c r="J460" s="103" t="s">
        <v>2944</v>
      </c>
      <c r="K460" s="103" t="s">
        <v>2934</v>
      </c>
      <c r="M460" s="103">
        <v>0.89302499999999996</v>
      </c>
      <c r="N460" s="103">
        <v>48</v>
      </c>
      <c r="O460" s="103" t="s">
        <v>2935</v>
      </c>
      <c r="P460" s="103">
        <v>13.47</v>
      </c>
      <c r="Q460" s="2">
        <v>10.32</v>
      </c>
      <c r="R460" s="226" t="s">
        <v>2921</v>
      </c>
      <c r="U460" s="69"/>
      <c r="V460" s="69"/>
      <c r="W460" s="69"/>
    </row>
    <row r="461" spans="1:23">
      <c r="A461" s="103" t="s">
        <v>601</v>
      </c>
      <c r="B461" s="103" t="s">
        <v>602</v>
      </c>
      <c r="C461" s="103" t="s">
        <v>1243</v>
      </c>
      <c r="D461" s="103" t="s">
        <v>1474</v>
      </c>
      <c r="E461" s="103" t="s">
        <v>2272</v>
      </c>
      <c r="F461" s="103" t="s">
        <v>2273</v>
      </c>
      <c r="H461" s="103" t="s">
        <v>2945</v>
      </c>
      <c r="I461" s="103" t="s">
        <v>2615</v>
      </c>
      <c r="J461" s="103" t="s">
        <v>2946</v>
      </c>
      <c r="M461" s="103">
        <v>0.90249999999999997</v>
      </c>
      <c r="N461" s="103">
        <v>7</v>
      </c>
      <c r="O461" s="103">
        <v>1E-3</v>
      </c>
      <c r="P461" s="103">
        <v>27.39</v>
      </c>
      <c r="Q461" s="2">
        <v>17.71</v>
      </c>
      <c r="R461" s="226" t="s">
        <v>2921</v>
      </c>
      <c r="U461" s="69"/>
      <c r="V461" s="69"/>
      <c r="W461" s="69"/>
    </row>
    <row r="462" spans="1:23">
      <c r="A462" s="103" t="s">
        <v>601</v>
      </c>
      <c r="B462" s="103" t="s">
        <v>602</v>
      </c>
      <c r="C462" s="103" t="s">
        <v>1243</v>
      </c>
      <c r="D462" s="103" t="s">
        <v>1474</v>
      </c>
      <c r="E462" s="103" t="s">
        <v>2272</v>
      </c>
      <c r="F462" s="103" t="s">
        <v>2273</v>
      </c>
      <c r="H462" s="103" t="s">
        <v>2947</v>
      </c>
      <c r="I462" s="103" t="s">
        <v>2615</v>
      </c>
      <c r="J462" s="103" t="s">
        <v>2948</v>
      </c>
      <c r="M462" s="103">
        <v>0.91776399999999991</v>
      </c>
      <c r="N462" s="103">
        <v>7</v>
      </c>
      <c r="O462" s="103">
        <v>1E-3</v>
      </c>
      <c r="P462" s="103">
        <v>24.91</v>
      </c>
      <c r="Q462" s="2">
        <v>15.31</v>
      </c>
      <c r="R462" s="226" t="s">
        <v>2921</v>
      </c>
      <c r="U462" s="69"/>
      <c r="V462" s="69"/>
      <c r="W462" s="69"/>
    </row>
    <row r="463" spans="1:23">
      <c r="A463" s="103" t="s">
        <v>601</v>
      </c>
      <c r="B463" s="103" t="s">
        <v>602</v>
      </c>
      <c r="C463" s="103" t="s">
        <v>1243</v>
      </c>
      <c r="D463" s="103" t="s">
        <v>1474</v>
      </c>
      <c r="E463" s="103" t="s">
        <v>2272</v>
      </c>
      <c r="F463" s="103" t="s">
        <v>2273</v>
      </c>
      <c r="H463" s="103" t="s">
        <v>2949</v>
      </c>
      <c r="I463" s="103" t="s">
        <v>2615</v>
      </c>
      <c r="J463" s="103" t="s">
        <v>2950</v>
      </c>
      <c r="M463" s="103">
        <v>0.91968099999999997</v>
      </c>
      <c r="N463" s="103">
        <v>7</v>
      </c>
      <c r="O463" s="103">
        <v>1E-3</v>
      </c>
      <c r="P463" s="103">
        <v>24.62</v>
      </c>
      <c r="Q463" s="2">
        <v>17.309999999999999</v>
      </c>
      <c r="R463" s="226" t="s">
        <v>2921</v>
      </c>
      <c r="U463" s="69"/>
      <c r="V463" s="69"/>
      <c r="W463" s="69"/>
    </row>
    <row r="464" spans="1:23">
      <c r="A464" s="103" t="s">
        <v>601</v>
      </c>
      <c r="B464" s="103" t="s">
        <v>602</v>
      </c>
      <c r="C464" s="103" t="s">
        <v>1243</v>
      </c>
      <c r="D464" s="103" t="s">
        <v>1474</v>
      </c>
      <c r="E464" s="103" t="s">
        <v>2272</v>
      </c>
      <c r="F464" s="103" t="s">
        <v>2273</v>
      </c>
      <c r="H464" s="103" t="s">
        <v>2951</v>
      </c>
      <c r="I464" s="103" t="s">
        <v>2615</v>
      </c>
      <c r="J464" s="103" t="s">
        <v>2952</v>
      </c>
      <c r="M464" s="103">
        <v>0.92159999999999997</v>
      </c>
      <c r="N464" s="103">
        <v>7</v>
      </c>
      <c r="O464" s="103">
        <v>1E-3</v>
      </c>
      <c r="P464" s="103">
        <v>24.33</v>
      </c>
      <c r="Q464" s="2">
        <v>16.72</v>
      </c>
      <c r="R464" s="226" t="s">
        <v>2921</v>
      </c>
      <c r="U464" s="69"/>
      <c r="V464" s="69"/>
      <c r="W464" s="69"/>
    </row>
    <row r="465" spans="1:23">
      <c r="A465" s="103" t="s">
        <v>601</v>
      </c>
      <c r="B465" s="103" t="s">
        <v>602</v>
      </c>
      <c r="C465" s="103" t="s">
        <v>1243</v>
      </c>
      <c r="D465" s="103" t="s">
        <v>1474</v>
      </c>
      <c r="E465" s="103" t="s">
        <v>2272</v>
      </c>
      <c r="F465" s="103" t="s">
        <v>2273</v>
      </c>
      <c r="H465" s="103" t="s">
        <v>2953</v>
      </c>
      <c r="I465" s="103" t="s">
        <v>2615</v>
      </c>
      <c r="J465" s="103" t="s">
        <v>2954</v>
      </c>
      <c r="M465" s="103">
        <v>0.92159999999999997</v>
      </c>
      <c r="N465" s="103" t="s">
        <v>2930</v>
      </c>
      <c r="O465" s="103">
        <v>2E-3</v>
      </c>
      <c r="P465" s="103">
        <v>26.01</v>
      </c>
      <c r="Q465" s="2">
        <v>16.3</v>
      </c>
      <c r="R465" s="226" t="s">
        <v>2921</v>
      </c>
      <c r="U465" s="69"/>
      <c r="V465" s="69"/>
      <c r="W465" s="69"/>
    </row>
    <row r="466" spans="1:23">
      <c r="A466" s="103" t="s">
        <v>601</v>
      </c>
      <c r="B466" s="103" t="s">
        <v>602</v>
      </c>
      <c r="C466" s="103" t="s">
        <v>1243</v>
      </c>
      <c r="D466" s="103" t="s">
        <v>1474</v>
      </c>
      <c r="E466" s="103" t="s">
        <v>2272</v>
      </c>
      <c r="F466" s="103" t="s">
        <v>2273</v>
      </c>
      <c r="H466" s="103" t="s">
        <v>2955</v>
      </c>
      <c r="I466" s="103" t="s">
        <v>2615</v>
      </c>
      <c r="J466" s="103" t="s">
        <v>2956</v>
      </c>
      <c r="M466" s="103">
        <v>0.93315599999999999</v>
      </c>
      <c r="N466" s="103">
        <v>7</v>
      </c>
      <c r="O466" s="103">
        <v>0</v>
      </c>
      <c r="P466" s="103">
        <v>22.23</v>
      </c>
      <c r="Q466" s="2">
        <v>14.42</v>
      </c>
      <c r="R466" s="226" t="s">
        <v>2921</v>
      </c>
      <c r="U466" s="69"/>
      <c r="V466" s="69"/>
      <c r="W466" s="69"/>
    </row>
    <row r="467" spans="1:23">
      <c r="A467" s="103" t="s">
        <v>601</v>
      </c>
      <c r="B467" s="103" t="s">
        <v>602</v>
      </c>
      <c r="C467" s="103" t="s">
        <v>1243</v>
      </c>
      <c r="D467" s="103" t="s">
        <v>1474</v>
      </c>
      <c r="E467" s="103" t="s">
        <v>2272</v>
      </c>
      <c r="F467" s="103" t="s">
        <v>2273</v>
      </c>
      <c r="H467" s="103" t="s">
        <v>2957</v>
      </c>
      <c r="I467" s="103" t="s">
        <v>2615</v>
      </c>
      <c r="J467" s="103" t="s">
        <v>2958</v>
      </c>
      <c r="M467" s="103">
        <v>0.94089999999999996</v>
      </c>
      <c r="N467" s="103">
        <v>7</v>
      </c>
      <c r="O467" s="103">
        <v>0</v>
      </c>
      <c r="P467" s="103">
        <v>20.82</v>
      </c>
      <c r="Q467" s="2">
        <v>14.12</v>
      </c>
      <c r="R467" s="226" t="s">
        <v>2921</v>
      </c>
      <c r="U467" s="69"/>
      <c r="V467" s="69"/>
      <c r="W467" s="69"/>
    </row>
    <row r="468" spans="1:23">
      <c r="A468" s="103" t="s">
        <v>601</v>
      </c>
      <c r="B468" s="103" t="s">
        <v>602</v>
      </c>
      <c r="C468" s="103" t="s">
        <v>1243</v>
      </c>
      <c r="D468" s="103" t="s">
        <v>1474</v>
      </c>
      <c r="E468" s="103" t="s">
        <v>2272</v>
      </c>
      <c r="F468" s="103" t="s">
        <v>2273</v>
      </c>
      <c r="H468" s="103" t="s">
        <v>2959</v>
      </c>
      <c r="I468" s="103" t="s">
        <v>2615</v>
      </c>
      <c r="J468" s="103" t="s">
        <v>2960</v>
      </c>
      <c r="M468" s="103">
        <v>0.94478399999999996</v>
      </c>
      <c r="N468" s="103">
        <v>7</v>
      </c>
      <c r="O468" s="103">
        <v>0</v>
      </c>
      <c r="P468" s="103">
        <v>20.04</v>
      </c>
      <c r="Q468" s="2">
        <v>12.3</v>
      </c>
      <c r="R468" s="226" t="s">
        <v>2921</v>
      </c>
      <c r="U468" s="69"/>
      <c r="V468" s="69"/>
      <c r="W468" s="69"/>
    </row>
    <row r="469" spans="1:23">
      <c r="A469" s="103" t="s">
        <v>601</v>
      </c>
      <c r="B469" s="103" t="s">
        <v>602</v>
      </c>
      <c r="C469" s="103" t="s">
        <v>1243</v>
      </c>
      <c r="D469" s="103" t="s">
        <v>1474</v>
      </c>
      <c r="E469" s="103" t="s">
        <v>2272</v>
      </c>
      <c r="F469" s="103" t="s">
        <v>2273</v>
      </c>
      <c r="H469" s="103" t="s">
        <v>2961</v>
      </c>
      <c r="I469" s="103" t="s">
        <v>2615</v>
      </c>
      <c r="J469" s="103" t="s">
        <v>2962</v>
      </c>
      <c r="M469" s="103">
        <v>0.94672899999999993</v>
      </c>
      <c r="N469" s="103">
        <v>7</v>
      </c>
      <c r="O469" s="103">
        <v>0</v>
      </c>
      <c r="P469" s="103">
        <v>19.46</v>
      </c>
      <c r="Q469" s="2">
        <v>13.71</v>
      </c>
      <c r="R469" s="226" t="s">
        <v>2921</v>
      </c>
      <c r="U469" s="69"/>
      <c r="V469" s="69"/>
      <c r="W469" s="69"/>
    </row>
    <row r="470" spans="1:23">
      <c r="A470" s="103" t="s">
        <v>601</v>
      </c>
      <c r="B470" s="103" t="s">
        <v>602</v>
      </c>
      <c r="C470" s="103" t="s">
        <v>1243</v>
      </c>
      <c r="D470" s="103" t="s">
        <v>1474</v>
      </c>
      <c r="E470" s="103" t="s">
        <v>2272</v>
      </c>
      <c r="F470" s="103" t="s">
        <v>2273</v>
      </c>
      <c r="H470" s="103" t="s">
        <v>2963</v>
      </c>
      <c r="I470" s="103" t="s">
        <v>2615</v>
      </c>
      <c r="J470" s="103" t="s">
        <v>2964</v>
      </c>
      <c r="M470" s="103">
        <v>0.94867599999999996</v>
      </c>
      <c r="N470" s="103">
        <v>7</v>
      </c>
      <c r="O470" s="103">
        <v>0</v>
      </c>
      <c r="P470" s="103">
        <v>19.16</v>
      </c>
      <c r="Q470" s="2">
        <v>11.79</v>
      </c>
      <c r="R470" s="226" t="s">
        <v>2921</v>
      </c>
      <c r="U470" s="69"/>
      <c r="V470" s="69"/>
      <c r="W470" s="69"/>
    </row>
    <row r="471" spans="1:23">
      <c r="A471" s="103" t="s">
        <v>601</v>
      </c>
      <c r="B471" s="103" t="s">
        <v>602</v>
      </c>
      <c r="C471" s="103" t="s">
        <v>1243</v>
      </c>
      <c r="D471" s="103" t="s">
        <v>1474</v>
      </c>
      <c r="E471" s="103" t="s">
        <v>2272</v>
      </c>
      <c r="F471" s="103" t="s">
        <v>2273</v>
      </c>
      <c r="H471" s="103" t="s">
        <v>2965</v>
      </c>
      <c r="I471" s="103" t="s">
        <v>2615</v>
      </c>
      <c r="J471" s="103" t="s">
        <v>2966</v>
      </c>
      <c r="M471" s="103">
        <v>0.95062499999999994</v>
      </c>
      <c r="N471" s="103">
        <v>7</v>
      </c>
      <c r="O471" s="103">
        <v>0</v>
      </c>
      <c r="P471" s="103">
        <v>18.68</v>
      </c>
      <c r="Q471" s="2">
        <v>11.4</v>
      </c>
      <c r="R471" s="226" t="s">
        <v>2921</v>
      </c>
      <c r="U471" s="69"/>
      <c r="V471" s="69"/>
      <c r="W471" s="69"/>
    </row>
    <row r="472" spans="1:23">
      <c r="A472" s="103" t="s">
        <v>601</v>
      </c>
      <c r="B472" s="103" t="s">
        <v>602</v>
      </c>
      <c r="C472" s="103" t="s">
        <v>1243</v>
      </c>
      <c r="D472" s="103" t="s">
        <v>1474</v>
      </c>
      <c r="E472" s="103" t="s">
        <v>2272</v>
      </c>
      <c r="F472" s="103" t="s">
        <v>2273</v>
      </c>
      <c r="H472" s="103" t="s">
        <v>2967</v>
      </c>
      <c r="I472" s="103" t="s">
        <v>2615</v>
      </c>
      <c r="J472" s="103" t="s">
        <v>2968</v>
      </c>
      <c r="M472" s="103">
        <v>0.95257599999999998</v>
      </c>
      <c r="N472" s="103">
        <v>7</v>
      </c>
      <c r="O472" s="103">
        <v>0</v>
      </c>
      <c r="P472" s="103">
        <v>18.46</v>
      </c>
      <c r="Q472" s="2">
        <v>11.52</v>
      </c>
      <c r="R472" s="226" t="s">
        <v>2921</v>
      </c>
      <c r="U472" s="69"/>
      <c r="V472" s="69"/>
      <c r="W472" s="69"/>
    </row>
    <row r="473" spans="1:23">
      <c r="A473" s="103" t="s">
        <v>601</v>
      </c>
      <c r="B473" s="103" t="s">
        <v>602</v>
      </c>
      <c r="C473" s="103" t="s">
        <v>1243</v>
      </c>
      <c r="D473" s="103" t="s">
        <v>1474</v>
      </c>
      <c r="E473" s="103" t="s">
        <v>2272</v>
      </c>
      <c r="F473" s="103" t="s">
        <v>2273</v>
      </c>
      <c r="H473" s="103" t="s">
        <v>2969</v>
      </c>
      <c r="I473" s="103" t="s">
        <v>2615</v>
      </c>
      <c r="J473" s="103" t="s">
        <v>2970</v>
      </c>
      <c r="M473" s="103">
        <v>0.96039999999999992</v>
      </c>
      <c r="N473" s="103">
        <v>7</v>
      </c>
      <c r="O473" s="103">
        <v>3.0000000000000001E-3</v>
      </c>
      <c r="P473" s="103">
        <v>16.64</v>
      </c>
      <c r="Q473" s="2">
        <v>11.4</v>
      </c>
      <c r="R473" s="226" t="s">
        <v>2921</v>
      </c>
      <c r="U473" s="69"/>
      <c r="V473" s="69"/>
      <c r="W473" s="69"/>
    </row>
    <row r="474" spans="1:23">
      <c r="A474" s="103" t="s">
        <v>601</v>
      </c>
      <c r="B474" s="103" t="s">
        <v>602</v>
      </c>
      <c r="C474" s="103" t="s">
        <v>1243</v>
      </c>
      <c r="D474" s="103" t="s">
        <v>1474</v>
      </c>
      <c r="E474" s="103" t="s">
        <v>2272</v>
      </c>
      <c r="F474" s="103" t="s">
        <v>2273</v>
      </c>
      <c r="H474" s="103" t="s">
        <v>2971</v>
      </c>
      <c r="I474" s="103" t="s">
        <v>2615</v>
      </c>
      <c r="J474" s="103" t="s">
        <v>2972</v>
      </c>
      <c r="M474" s="103">
        <v>0.970225</v>
      </c>
      <c r="N474" s="103">
        <v>7</v>
      </c>
      <c r="O474" s="103">
        <v>0</v>
      </c>
      <c r="P474" s="103">
        <v>14.54</v>
      </c>
      <c r="Q474" s="2">
        <v>6.15</v>
      </c>
      <c r="R474" s="226" t="s">
        <v>2921</v>
      </c>
      <c r="U474" s="69"/>
      <c r="V474" s="69"/>
      <c r="W474" s="69"/>
    </row>
    <row r="475" spans="1:23">
      <c r="A475" s="103" t="s">
        <v>601</v>
      </c>
      <c r="B475" s="103" t="s">
        <v>602</v>
      </c>
      <c r="C475" s="103" t="s">
        <v>1243</v>
      </c>
      <c r="D475" s="103" t="s">
        <v>1474</v>
      </c>
      <c r="E475" s="103" t="s">
        <v>2272</v>
      </c>
      <c r="F475" s="103" t="s">
        <v>2273</v>
      </c>
      <c r="H475" s="103" t="s">
        <v>2878</v>
      </c>
      <c r="I475" s="103" t="s">
        <v>2275</v>
      </c>
      <c r="J475" s="103" t="s">
        <v>2973</v>
      </c>
      <c r="K475" s="103" t="s">
        <v>2934</v>
      </c>
      <c r="M475" s="103">
        <v>0.97219599999999995</v>
      </c>
      <c r="N475" s="103">
        <v>8</v>
      </c>
      <c r="O475" s="103" t="s">
        <v>2935</v>
      </c>
      <c r="P475" s="103">
        <v>11.83</v>
      </c>
      <c r="Q475" s="2">
        <v>7.7</v>
      </c>
      <c r="R475" s="226" t="s">
        <v>2921</v>
      </c>
      <c r="U475" s="69"/>
      <c r="V475" s="69"/>
      <c r="W475" s="69"/>
    </row>
    <row r="476" spans="1:23">
      <c r="A476" s="103" t="s">
        <v>601</v>
      </c>
      <c r="B476" s="103" t="s">
        <v>602</v>
      </c>
      <c r="C476" s="103" t="s">
        <v>1243</v>
      </c>
      <c r="D476" s="103" t="s">
        <v>1474</v>
      </c>
      <c r="E476" s="103" t="s">
        <v>2272</v>
      </c>
      <c r="F476" s="103" t="s">
        <v>2273</v>
      </c>
      <c r="H476" s="103" t="s">
        <v>2974</v>
      </c>
      <c r="I476" s="103" t="s">
        <v>2615</v>
      </c>
      <c r="J476" s="103" t="s">
        <v>2975</v>
      </c>
      <c r="M476" s="103">
        <v>0.97416899999999995</v>
      </c>
      <c r="N476" s="103">
        <v>7</v>
      </c>
      <c r="O476" s="103">
        <v>0</v>
      </c>
      <c r="P476" s="103">
        <v>13.21</v>
      </c>
      <c r="Q476" s="2">
        <v>9.91</v>
      </c>
      <c r="R476" s="226" t="s">
        <v>2921</v>
      </c>
      <c r="U476" s="69"/>
      <c r="V476" s="69"/>
      <c r="W476" s="69"/>
    </row>
    <row r="477" spans="1:23">
      <c r="A477" s="103" t="s">
        <v>601</v>
      </c>
      <c r="B477" s="103" t="s">
        <v>602</v>
      </c>
      <c r="C477" s="103" t="s">
        <v>1243</v>
      </c>
      <c r="D477" s="103" t="s">
        <v>1474</v>
      </c>
      <c r="E477" s="103" t="s">
        <v>2272</v>
      </c>
      <c r="F477" s="103" t="s">
        <v>2273</v>
      </c>
      <c r="H477" s="103" t="s">
        <v>2976</v>
      </c>
      <c r="I477" s="103" t="s">
        <v>2615</v>
      </c>
      <c r="J477" s="103" t="s">
        <v>2977</v>
      </c>
      <c r="M477" s="103">
        <v>0.97614400000000001</v>
      </c>
      <c r="N477" s="103">
        <v>7</v>
      </c>
      <c r="O477" s="103">
        <v>0</v>
      </c>
      <c r="P477" s="103">
        <v>12.47</v>
      </c>
      <c r="Q477" s="2">
        <v>6.93</v>
      </c>
      <c r="R477" s="226" t="s">
        <v>2921</v>
      </c>
      <c r="U477" s="69"/>
      <c r="V477" s="69"/>
      <c r="W477" s="69"/>
    </row>
    <row r="478" spans="1:23">
      <c r="A478" s="103" t="s">
        <v>601</v>
      </c>
      <c r="B478" s="103" t="s">
        <v>602</v>
      </c>
      <c r="C478" s="103" t="s">
        <v>1243</v>
      </c>
      <c r="D478" s="103" t="s">
        <v>1474</v>
      </c>
      <c r="E478" s="103" t="s">
        <v>2272</v>
      </c>
      <c r="F478" s="103" t="s">
        <v>2273</v>
      </c>
      <c r="H478" s="103" t="s">
        <v>2978</v>
      </c>
      <c r="I478" s="103" t="s">
        <v>2615</v>
      </c>
      <c r="J478" s="103" t="s">
        <v>2979</v>
      </c>
      <c r="M478" s="103">
        <v>0.97812100000000002</v>
      </c>
      <c r="N478" s="103">
        <v>7</v>
      </c>
      <c r="O478" s="103">
        <v>0</v>
      </c>
      <c r="P478" s="103">
        <v>12.21</v>
      </c>
      <c r="Q478" s="2">
        <v>8.56</v>
      </c>
      <c r="R478" s="226" t="s">
        <v>2921</v>
      </c>
      <c r="U478" s="69"/>
      <c r="V478" s="69"/>
      <c r="W478" s="69"/>
    </row>
    <row r="479" spans="1:23">
      <c r="A479" s="103" t="s">
        <v>601</v>
      </c>
      <c r="B479" s="103" t="s">
        <v>602</v>
      </c>
      <c r="C479" s="103" t="s">
        <v>1243</v>
      </c>
      <c r="D479" s="103" t="s">
        <v>1474</v>
      </c>
      <c r="E479" s="103" t="s">
        <v>2272</v>
      </c>
      <c r="F479" s="103" t="s">
        <v>2273</v>
      </c>
      <c r="H479" s="103" t="s">
        <v>2980</v>
      </c>
      <c r="I479" s="103" t="s">
        <v>2615</v>
      </c>
      <c r="J479" s="103" t="s">
        <v>2981</v>
      </c>
      <c r="M479" s="103">
        <v>0.98009999999999997</v>
      </c>
      <c r="N479" s="103">
        <v>7</v>
      </c>
      <c r="O479" s="103">
        <v>0</v>
      </c>
      <c r="P479" s="103">
        <v>11.52</v>
      </c>
      <c r="Q479" s="2">
        <v>6.74</v>
      </c>
      <c r="R479" s="226" t="s">
        <v>2921</v>
      </c>
      <c r="U479" s="69"/>
      <c r="V479" s="69"/>
      <c r="W479" s="69"/>
    </row>
    <row r="480" spans="1:23">
      <c r="A480" s="103" t="s">
        <v>601</v>
      </c>
      <c r="B480" s="103" t="s">
        <v>602</v>
      </c>
      <c r="C480" s="103" t="s">
        <v>1243</v>
      </c>
      <c r="D480" s="103" t="s">
        <v>1474</v>
      </c>
      <c r="E480" s="103" t="s">
        <v>2272</v>
      </c>
      <c r="F480" s="103" t="s">
        <v>2273</v>
      </c>
      <c r="H480" s="103" t="s">
        <v>2982</v>
      </c>
      <c r="I480" s="103" t="s">
        <v>2615</v>
      </c>
      <c r="J480" s="103" t="s">
        <v>2983</v>
      </c>
      <c r="M480" s="103">
        <v>0.98208099999999998</v>
      </c>
      <c r="N480" s="103">
        <v>7</v>
      </c>
      <c r="O480" s="103">
        <v>0</v>
      </c>
      <c r="P480" s="103">
        <v>10.72</v>
      </c>
      <c r="Q480" s="2">
        <v>6.57</v>
      </c>
      <c r="R480" s="226" t="s">
        <v>2921</v>
      </c>
      <c r="U480" s="69"/>
      <c r="V480" s="69"/>
      <c r="W480" s="69"/>
    </row>
    <row r="481" spans="1:23">
      <c r="A481" s="103" t="s">
        <v>601</v>
      </c>
      <c r="B481" s="103" t="s">
        <v>602</v>
      </c>
      <c r="C481" s="103" t="s">
        <v>1243</v>
      </c>
      <c r="D481" s="103" t="s">
        <v>1474</v>
      </c>
      <c r="E481" s="103" t="s">
        <v>2272</v>
      </c>
      <c r="F481" s="103" t="s">
        <v>2273</v>
      </c>
      <c r="H481" s="103" t="s">
        <v>2878</v>
      </c>
      <c r="I481" s="103" t="s">
        <v>2275</v>
      </c>
      <c r="J481" s="103" t="s">
        <v>2984</v>
      </c>
      <c r="K481" s="103" t="s">
        <v>2686</v>
      </c>
      <c r="M481" s="103">
        <v>0.98406399999999994</v>
      </c>
      <c r="N481" s="103" t="s">
        <v>2985</v>
      </c>
      <c r="O481" s="103" t="s">
        <v>487</v>
      </c>
      <c r="P481" s="103" t="s">
        <v>487</v>
      </c>
      <c r="Q481" s="2" t="s">
        <v>487</v>
      </c>
      <c r="R481" s="226" t="s">
        <v>2986</v>
      </c>
      <c r="U481" s="69"/>
      <c r="V481" s="69"/>
      <c r="W481" s="69"/>
    </row>
    <row r="482" spans="1:23">
      <c r="A482" s="103" t="s">
        <v>601</v>
      </c>
      <c r="B482" s="103" t="s">
        <v>602</v>
      </c>
      <c r="C482" s="103" t="s">
        <v>1243</v>
      </c>
      <c r="D482" s="103" t="s">
        <v>1474</v>
      </c>
      <c r="E482" s="103" t="s">
        <v>2272</v>
      </c>
      <c r="F482" s="103" t="s">
        <v>2273</v>
      </c>
      <c r="H482" s="103" t="s">
        <v>2987</v>
      </c>
      <c r="I482" s="103" t="s">
        <v>2615</v>
      </c>
      <c r="J482" s="103" t="s">
        <v>2988</v>
      </c>
      <c r="M482" s="103">
        <v>0.98406399999999994</v>
      </c>
      <c r="N482" s="103">
        <v>7</v>
      </c>
      <c r="O482" s="103">
        <v>0</v>
      </c>
      <c r="P482" s="103">
        <v>10.11</v>
      </c>
      <c r="Q482" s="2">
        <v>6.64</v>
      </c>
      <c r="R482" s="226" t="s">
        <v>2921</v>
      </c>
      <c r="U482" s="69"/>
      <c r="V482" s="69"/>
      <c r="W482" s="69"/>
    </row>
    <row r="483" spans="1:23">
      <c r="A483" s="103" t="s">
        <v>601</v>
      </c>
      <c r="B483" s="103" t="s">
        <v>602</v>
      </c>
      <c r="C483" s="103" t="s">
        <v>1243</v>
      </c>
      <c r="D483" s="103" t="s">
        <v>1474</v>
      </c>
      <c r="E483" s="103" t="s">
        <v>2272</v>
      </c>
      <c r="F483" s="103" t="s">
        <v>2273</v>
      </c>
      <c r="H483" s="103" t="s">
        <v>2989</v>
      </c>
      <c r="I483" s="103" t="s">
        <v>2615</v>
      </c>
      <c r="J483" s="103" t="s">
        <v>2990</v>
      </c>
      <c r="M483" s="103">
        <v>0.98406399999999994</v>
      </c>
      <c r="N483" s="103">
        <v>7</v>
      </c>
      <c r="O483" s="103">
        <v>0</v>
      </c>
      <c r="P483" s="103">
        <v>10.48</v>
      </c>
      <c r="Q483" s="2">
        <v>7.88</v>
      </c>
      <c r="R483" s="226" t="s">
        <v>2921</v>
      </c>
      <c r="U483" s="69"/>
      <c r="V483" s="69"/>
      <c r="W483" s="69"/>
    </row>
    <row r="484" spans="1:23">
      <c r="A484" s="103" t="s">
        <v>601</v>
      </c>
      <c r="B484" s="103" t="s">
        <v>602</v>
      </c>
      <c r="C484" s="103" t="s">
        <v>1243</v>
      </c>
      <c r="D484" s="103" t="s">
        <v>1474</v>
      </c>
      <c r="E484" s="103" t="s">
        <v>2272</v>
      </c>
      <c r="F484" s="103" t="s">
        <v>2273</v>
      </c>
      <c r="H484" s="103" t="s">
        <v>2991</v>
      </c>
      <c r="I484" s="103" t="s">
        <v>2615</v>
      </c>
      <c r="J484" s="103" t="s">
        <v>2992</v>
      </c>
      <c r="M484" s="103">
        <v>0.98604899999999995</v>
      </c>
      <c r="N484" s="103">
        <v>7</v>
      </c>
      <c r="O484" s="103">
        <v>0</v>
      </c>
      <c r="P484" s="103">
        <v>9.57</v>
      </c>
      <c r="Q484" s="2">
        <v>6.24</v>
      </c>
      <c r="R484" s="226" t="s">
        <v>2921</v>
      </c>
      <c r="U484" s="69"/>
      <c r="V484" s="69"/>
      <c r="W484" s="69"/>
    </row>
    <row r="485" spans="1:23">
      <c r="A485" s="103" t="s">
        <v>601</v>
      </c>
      <c r="B485" s="103" t="s">
        <v>602</v>
      </c>
      <c r="C485" s="103" t="s">
        <v>1243</v>
      </c>
      <c r="D485" s="103" t="s">
        <v>1474</v>
      </c>
      <c r="E485" s="103" t="s">
        <v>2272</v>
      </c>
      <c r="F485" s="103" t="s">
        <v>2273</v>
      </c>
      <c r="H485" s="103" t="s">
        <v>2993</v>
      </c>
      <c r="I485" s="103" t="s">
        <v>2615</v>
      </c>
      <c r="J485" s="103" t="s">
        <v>2994</v>
      </c>
      <c r="M485" s="103">
        <v>0.99002500000000004</v>
      </c>
      <c r="N485" s="103">
        <v>7</v>
      </c>
      <c r="O485" s="103">
        <v>0</v>
      </c>
      <c r="P485" s="103">
        <v>7.78</v>
      </c>
      <c r="Q485" s="2">
        <v>5.54</v>
      </c>
      <c r="R485" s="226" t="s">
        <v>2921</v>
      </c>
      <c r="U485" s="69"/>
      <c r="V485" s="69"/>
      <c r="W485" s="69"/>
    </row>
    <row r="486" spans="1:23">
      <c r="A486" s="103" t="s">
        <v>601</v>
      </c>
      <c r="B486" s="103" t="s">
        <v>602</v>
      </c>
      <c r="C486" s="103" t="s">
        <v>1243</v>
      </c>
      <c r="D486" s="103" t="s">
        <v>1474</v>
      </c>
      <c r="E486" s="103" t="s">
        <v>2272</v>
      </c>
      <c r="F486" s="103" t="s">
        <v>2273</v>
      </c>
      <c r="H486" s="103" t="s">
        <v>2995</v>
      </c>
      <c r="I486" s="103" t="s">
        <v>2615</v>
      </c>
      <c r="J486" s="103" t="s">
        <v>2996</v>
      </c>
      <c r="M486" s="103">
        <v>0.99002500000000004</v>
      </c>
      <c r="N486" s="103">
        <v>7</v>
      </c>
      <c r="O486" s="103">
        <v>0</v>
      </c>
      <c r="P486" s="103">
        <v>8.41</v>
      </c>
      <c r="Q486" s="2">
        <v>5.34</v>
      </c>
      <c r="R486" s="226" t="s">
        <v>2921</v>
      </c>
      <c r="U486" s="69"/>
      <c r="V486" s="69"/>
      <c r="W486" s="69"/>
    </row>
    <row r="487" spans="1:23">
      <c r="A487" s="103" t="s">
        <v>601</v>
      </c>
      <c r="B487" s="103" t="s">
        <v>602</v>
      </c>
      <c r="C487" s="103" t="s">
        <v>1243</v>
      </c>
      <c r="D487" s="103" t="s">
        <v>1474</v>
      </c>
      <c r="E487" s="103" t="s">
        <v>2272</v>
      </c>
      <c r="F487" s="103" t="s">
        <v>2273</v>
      </c>
      <c r="H487" s="103" t="s">
        <v>2997</v>
      </c>
      <c r="I487" s="103" t="s">
        <v>2615</v>
      </c>
      <c r="J487" s="103" t="s">
        <v>2998</v>
      </c>
      <c r="M487" s="103">
        <v>0.99400900000000003</v>
      </c>
      <c r="N487" s="103">
        <v>7</v>
      </c>
      <c r="O487" s="103">
        <v>0</v>
      </c>
      <c r="P487" s="103">
        <v>5.97</v>
      </c>
      <c r="Q487" s="2">
        <v>3.62</v>
      </c>
      <c r="R487" s="226" t="s">
        <v>2921</v>
      </c>
      <c r="U487" s="69"/>
      <c r="V487" s="69"/>
      <c r="W487" s="69"/>
    </row>
    <row r="488" spans="1:23">
      <c r="A488" s="103" t="s">
        <v>601</v>
      </c>
      <c r="B488" s="103" t="s">
        <v>602</v>
      </c>
      <c r="C488" s="103" t="s">
        <v>1243</v>
      </c>
      <c r="D488" s="103" t="s">
        <v>1474</v>
      </c>
      <c r="E488" s="103" t="s">
        <v>2272</v>
      </c>
      <c r="F488" s="103" t="s">
        <v>2273</v>
      </c>
      <c r="H488" s="103" t="s">
        <v>2999</v>
      </c>
      <c r="I488" s="103" t="s">
        <v>2615</v>
      </c>
      <c r="J488" s="103" t="s">
        <v>3000</v>
      </c>
      <c r="M488" s="103">
        <v>0.99400900000000003</v>
      </c>
      <c r="N488" s="103">
        <v>7</v>
      </c>
      <c r="O488" s="103">
        <v>0</v>
      </c>
      <c r="P488" s="103">
        <v>5.78</v>
      </c>
      <c r="Q488" s="2">
        <v>4.42</v>
      </c>
      <c r="R488" s="226" t="s">
        <v>2921</v>
      </c>
      <c r="U488" s="69"/>
      <c r="V488" s="69"/>
      <c r="W488" s="69"/>
    </row>
    <row r="489" spans="1:23">
      <c r="A489" s="103" t="s">
        <v>601</v>
      </c>
      <c r="B489" s="103" t="s">
        <v>602</v>
      </c>
      <c r="C489" s="103" t="s">
        <v>1243</v>
      </c>
      <c r="D489" s="103" t="s">
        <v>1474</v>
      </c>
      <c r="E489" s="103" t="s">
        <v>2272</v>
      </c>
      <c r="F489" s="103" t="s">
        <v>2273</v>
      </c>
      <c r="H489" s="103" t="s">
        <v>2878</v>
      </c>
      <c r="I489" s="103" t="s">
        <v>2275</v>
      </c>
      <c r="J489" s="103" t="s">
        <v>3001</v>
      </c>
      <c r="M489" s="103" t="s">
        <v>487</v>
      </c>
      <c r="N489" s="103" t="s">
        <v>487</v>
      </c>
      <c r="O489" s="103" t="s">
        <v>487</v>
      </c>
      <c r="P489" s="103" t="s">
        <v>487</v>
      </c>
      <c r="Q489" s="2" t="s">
        <v>487</v>
      </c>
      <c r="R489" s="226" t="s">
        <v>3002</v>
      </c>
      <c r="U489" s="69"/>
      <c r="V489" s="69"/>
      <c r="W489" s="69"/>
    </row>
    <row r="490" spans="1:23">
      <c r="A490" s="103" t="s">
        <v>601</v>
      </c>
      <c r="B490" s="103" t="s">
        <v>602</v>
      </c>
      <c r="C490" s="103" t="s">
        <v>1243</v>
      </c>
      <c r="D490" s="103" t="s">
        <v>1474</v>
      </c>
      <c r="E490" s="103" t="s">
        <v>2272</v>
      </c>
      <c r="F490" s="103" t="s">
        <v>2273</v>
      </c>
      <c r="H490" s="103" t="s">
        <v>2878</v>
      </c>
      <c r="I490" s="103" t="s">
        <v>2275</v>
      </c>
      <c r="J490" s="103" t="s">
        <v>3003</v>
      </c>
      <c r="M490" s="103" t="s">
        <v>487</v>
      </c>
      <c r="N490" s="103" t="s">
        <v>487</v>
      </c>
      <c r="O490" s="103" t="s">
        <v>487</v>
      </c>
      <c r="P490" s="103" t="s">
        <v>487</v>
      </c>
      <c r="Q490" s="2" t="s">
        <v>487</v>
      </c>
      <c r="R490" s="226" t="s">
        <v>3002</v>
      </c>
      <c r="U490" s="69"/>
      <c r="V490" s="69"/>
      <c r="W490" s="69"/>
    </row>
    <row r="491" spans="1:23">
      <c r="A491" s="103" t="s">
        <v>601</v>
      </c>
      <c r="B491" s="103" t="s">
        <v>602</v>
      </c>
      <c r="C491" s="103" t="s">
        <v>1243</v>
      </c>
      <c r="D491" s="103" t="s">
        <v>1474</v>
      </c>
      <c r="E491" s="103" t="s">
        <v>2272</v>
      </c>
      <c r="F491" s="103" t="s">
        <v>2273</v>
      </c>
      <c r="H491" s="103" t="s">
        <v>3004</v>
      </c>
      <c r="I491" s="103" t="s">
        <v>2275</v>
      </c>
      <c r="J491" s="103" t="s">
        <v>3005</v>
      </c>
      <c r="K491" s="103" t="s">
        <v>3006</v>
      </c>
      <c r="M491" s="103">
        <v>0.99</v>
      </c>
      <c r="N491" s="103">
        <v>58</v>
      </c>
      <c r="O491" s="103" t="s">
        <v>487</v>
      </c>
      <c r="P491" s="103" t="s">
        <v>487</v>
      </c>
      <c r="Q491" s="2" t="s">
        <v>487</v>
      </c>
      <c r="R491" s="226" t="s">
        <v>3007</v>
      </c>
      <c r="U491" s="69"/>
      <c r="V491" s="69"/>
      <c r="W491" s="69"/>
    </row>
    <row r="492" spans="1:23">
      <c r="A492" s="103" t="s">
        <v>601</v>
      </c>
      <c r="B492" s="103" t="s">
        <v>602</v>
      </c>
      <c r="C492" s="103" t="s">
        <v>1243</v>
      </c>
      <c r="D492" s="103" t="s">
        <v>1474</v>
      </c>
      <c r="E492" s="103" t="s">
        <v>2272</v>
      </c>
      <c r="F492" s="103" t="s">
        <v>2273</v>
      </c>
      <c r="H492" s="103" t="s">
        <v>2878</v>
      </c>
      <c r="I492" s="103" t="s">
        <v>2275</v>
      </c>
      <c r="J492" s="103" t="s">
        <v>2899</v>
      </c>
      <c r="K492" s="103" t="s">
        <v>3006</v>
      </c>
      <c r="M492" s="103">
        <v>0.99</v>
      </c>
      <c r="N492" s="103">
        <v>58</v>
      </c>
      <c r="O492" s="103" t="s">
        <v>487</v>
      </c>
      <c r="P492" s="103" t="s">
        <v>487</v>
      </c>
      <c r="Q492" s="2" t="s">
        <v>487</v>
      </c>
      <c r="R492" s="226" t="s">
        <v>3007</v>
      </c>
      <c r="U492" s="69"/>
      <c r="V492" s="69"/>
      <c r="W492" s="69"/>
    </row>
    <row r="493" spans="1:23">
      <c r="A493" s="103" t="s">
        <v>601</v>
      </c>
      <c r="B493" s="103" t="s">
        <v>602</v>
      </c>
      <c r="C493" s="103" t="s">
        <v>1243</v>
      </c>
      <c r="D493" s="103" t="s">
        <v>1474</v>
      </c>
      <c r="E493" s="103" t="s">
        <v>2272</v>
      </c>
      <c r="F493" s="103" t="s">
        <v>2273</v>
      </c>
      <c r="H493" s="103" t="s">
        <v>2878</v>
      </c>
      <c r="I493" s="103" t="s">
        <v>2275</v>
      </c>
      <c r="J493" s="103" t="s">
        <v>3008</v>
      </c>
      <c r="K493" s="103" t="s">
        <v>2880</v>
      </c>
      <c r="M493" s="103" t="s">
        <v>487</v>
      </c>
      <c r="N493" s="103" t="s">
        <v>487</v>
      </c>
      <c r="O493" s="103" t="s">
        <v>487</v>
      </c>
      <c r="P493" s="103" t="s">
        <v>2881</v>
      </c>
      <c r="Q493" s="2" t="s">
        <v>2881</v>
      </c>
      <c r="R493" s="226" t="s">
        <v>2882</v>
      </c>
      <c r="U493" s="69"/>
      <c r="V493" s="69"/>
      <c r="W493" s="69"/>
    </row>
    <row r="494" spans="1:23">
      <c r="A494" s="103" t="s">
        <v>601</v>
      </c>
      <c r="B494" s="103" t="s">
        <v>602</v>
      </c>
      <c r="C494" s="103" t="s">
        <v>1243</v>
      </c>
      <c r="D494" s="103" t="s">
        <v>1474</v>
      </c>
      <c r="E494" s="103" t="s">
        <v>2272</v>
      </c>
      <c r="F494" s="103" t="s">
        <v>2273</v>
      </c>
      <c r="H494" s="103" t="s">
        <v>2878</v>
      </c>
      <c r="I494" s="103" t="s">
        <v>2275</v>
      </c>
      <c r="J494" s="103" t="s">
        <v>3009</v>
      </c>
      <c r="K494" s="103" t="s">
        <v>2880</v>
      </c>
      <c r="M494" s="103" t="s">
        <v>487</v>
      </c>
      <c r="N494" s="103" t="s">
        <v>487</v>
      </c>
      <c r="O494" s="103" t="s">
        <v>487</v>
      </c>
      <c r="P494" s="103" t="s">
        <v>2881</v>
      </c>
      <c r="Q494" s="2" t="s">
        <v>2881</v>
      </c>
      <c r="R494" s="226" t="s">
        <v>2882</v>
      </c>
      <c r="U494" s="69"/>
      <c r="V494" s="69"/>
      <c r="W494" s="69"/>
    </row>
    <row r="495" spans="1:23">
      <c r="A495" s="103" t="s">
        <v>601</v>
      </c>
      <c r="B495" s="103" t="s">
        <v>605</v>
      </c>
      <c r="C495" s="103" t="s">
        <v>1243</v>
      </c>
      <c r="D495" s="103" t="s">
        <v>2900</v>
      </c>
      <c r="E495" s="103" t="s">
        <v>2901</v>
      </c>
      <c r="G495" s="103" t="s">
        <v>2789</v>
      </c>
      <c r="H495" s="103" t="s">
        <v>3010</v>
      </c>
      <c r="J495" s="103" t="s">
        <v>3011</v>
      </c>
      <c r="K495" s="103" t="s">
        <v>2904</v>
      </c>
      <c r="M495" s="103">
        <v>0.78</v>
      </c>
      <c r="N495" s="103">
        <v>6</v>
      </c>
      <c r="O495" s="103">
        <v>1.9E-2</v>
      </c>
      <c r="P495" s="103">
        <v>10.39</v>
      </c>
      <c r="Q495" s="2" t="s">
        <v>487</v>
      </c>
      <c r="R495" s="226" t="s">
        <v>2906</v>
      </c>
      <c r="S495" s="2" t="s">
        <v>2914</v>
      </c>
      <c r="U495" s="69"/>
      <c r="V495" s="69"/>
      <c r="W495" s="69"/>
    </row>
    <row r="496" spans="1:23">
      <c r="A496" s="103" t="s">
        <v>601</v>
      </c>
      <c r="C496" s="103" t="s">
        <v>1243</v>
      </c>
      <c r="D496" s="103" t="s">
        <v>2900</v>
      </c>
      <c r="E496" s="103" t="s">
        <v>2901</v>
      </c>
      <c r="G496" s="103" t="s">
        <v>2774</v>
      </c>
      <c r="H496" s="103" t="s">
        <v>2902</v>
      </c>
      <c r="J496" s="103" t="s">
        <v>3012</v>
      </c>
      <c r="K496" s="103" t="s">
        <v>2904</v>
      </c>
      <c r="M496" s="103">
        <v>0.7</v>
      </c>
      <c r="N496" s="103">
        <v>34</v>
      </c>
      <c r="O496" s="103" t="s">
        <v>2905</v>
      </c>
      <c r="P496" s="103">
        <v>9.48</v>
      </c>
      <c r="Q496" s="2" t="s">
        <v>487</v>
      </c>
      <c r="R496" s="226" t="s">
        <v>2906</v>
      </c>
      <c r="S496" s="2" t="s">
        <v>2918</v>
      </c>
      <c r="U496" s="69"/>
      <c r="V496" s="69"/>
      <c r="W496" s="69"/>
    </row>
    <row r="497" spans="1:23">
      <c r="A497" s="103" t="s">
        <v>601</v>
      </c>
      <c r="C497" s="103" t="s">
        <v>1243</v>
      </c>
      <c r="D497" s="103" t="s">
        <v>2900</v>
      </c>
      <c r="E497" s="103" t="s">
        <v>2901</v>
      </c>
      <c r="G497" s="103" t="s">
        <v>2908</v>
      </c>
      <c r="H497" s="103" t="s">
        <v>2909</v>
      </c>
      <c r="J497" s="103" t="s">
        <v>3013</v>
      </c>
      <c r="K497" s="103" t="s">
        <v>2904</v>
      </c>
      <c r="M497" s="103">
        <v>0.73</v>
      </c>
      <c r="N497" s="103">
        <v>26</v>
      </c>
      <c r="O497" s="103" t="s">
        <v>2905</v>
      </c>
      <c r="P497" s="103">
        <v>12.18</v>
      </c>
      <c r="Q497" s="2" t="s">
        <v>487</v>
      </c>
      <c r="R497" s="226" t="s">
        <v>2906</v>
      </c>
      <c r="S497" s="2" t="s">
        <v>2914</v>
      </c>
      <c r="U497" s="69"/>
      <c r="V497" s="69"/>
      <c r="W497" s="69"/>
    </row>
    <row r="498" spans="1:23">
      <c r="A498" s="103" t="s">
        <v>601</v>
      </c>
      <c r="C498" s="103" t="s">
        <v>1243</v>
      </c>
      <c r="D498" s="103" t="s">
        <v>2900</v>
      </c>
      <c r="E498" s="103" t="s">
        <v>2901</v>
      </c>
      <c r="G498" s="103" t="s">
        <v>2789</v>
      </c>
      <c r="H498" s="103" t="s">
        <v>3010</v>
      </c>
      <c r="J498" s="103" t="s">
        <v>3014</v>
      </c>
      <c r="K498" s="103" t="s">
        <v>2904</v>
      </c>
      <c r="M498" s="103">
        <v>0.68</v>
      </c>
      <c r="N498" s="103">
        <v>38</v>
      </c>
      <c r="O498" s="103" t="s">
        <v>2905</v>
      </c>
      <c r="P498" s="103">
        <v>12.09</v>
      </c>
      <c r="Q498" s="2" t="s">
        <v>487</v>
      </c>
      <c r="R498" s="226" t="s">
        <v>2906</v>
      </c>
      <c r="S498" s="2" t="s">
        <v>2907</v>
      </c>
      <c r="U498" s="69"/>
      <c r="V498" s="69"/>
      <c r="W498" s="69"/>
    </row>
    <row r="499" spans="1:23">
      <c r="A499" s="103" t="s">
        <v>601</v>
      </c>
      <c r="C499" s="103" t="s">
        <v>1243</v>
      </c>
      <c r="D499" s="103" t="s">
        <v>2900</v>
      </c>
      <c r="E499" s="103" t="s">
        <v>2901</v>
      </c>
      <c r="G499" s="103" t="s">
        <v>2915</v>
      </c>
      <c r="H499" s="103" t="s">
        <v>2916</v>
      </c>
      <c r="J499" s="103" t="s">
        <v>3015</v>
      </c>
      <c r="K499" s="103" t="s">
        <v>2904</v>
      </c>
      <c r="M499" s="103">
        <v>0.75</v>
      </c>
      <c r="N499" s="103">
        <v>30</v>
      </c>
      <c r="O499" s="103" t="s">
        <v>2905</v>
      </c>
      <c r="P499" s="103">
        <v>11.22</v>
      </c>
      <c r="Q499" s="2" t="s">
        <v>487</v>
      </c>
      <c r="R499" s="226" t="s">
        <v>2906</v>
      </c>
      <c r="S499" s="2" t="s">
        <v>2911</v>
      </c>
      <c r="U499" s="69"/>
      <c r="V499" s="69"/>
      <c r="W499" s="69"/>
    </row>
    <row r="500" spans="1:23">
      <c r="A500" s="103" t="s">
        <v>601</v>
      </c>
      <c r="B500" s="103" t="s">
        <v>602</v>
      </c>
      <c r="C500" s="103" t="s">
        <v>1243</v>
      </c>
      <c r="D500" s="103" t="s">
        <v>1474</v>
      </c>
      <c r="E500" s="103" t="s">
        <v>2272</v>
      </c>
      <c r="F500" s="103" t="s">
        <v>2273</v>
      </c>
      <c r="G500" s="103" t="s">
        <v>2908</v>
      </c>
      <c r="H500" s="103" t="s">
        <v>2909</v>
      </c>
      <c r="I500" s="103" t="s">
        <v>2615</v>
      </c>
      <c r="J500" s="103" t="s">
        <v>3016</v>
      </c>
      <c r="M500" s="103">
        <v>0.95</v>
      </c>
      <c r="N500" s="103" t="s">
        <v>487</v>
      </c>
      <c r="O500" s="103" t="s">
        <v>487</v>
      </c>
      <c r="P500" s="103">
        <v>18.46</v>
      </c>
      <c r="Q500" s="2" t="s">
        <v>487</v>
      </c>
      <c r="R500" s="226" t="s">
        <v>3017</v>
      </c>
      <c r="U500" s="69"/>
      <c r="V500" s="69"/>
      <c r="W500" s="69"/>
    </row>
    <row r="501" spans="1:23">
      <c r="A501" s="103" t="s">
        <v>601</v>
      </c>
      <c r="B501" s="103" t="s">
        <v>602</v>
      </c>
      <c r="C501" s="103" t="s">
        <v>1243</v>
      </c>
      <c r="D501" s="103" t="s">
        <v>1474</v>
      </c>
      <c r="E501" s="103" t="s">
        <v>2272</v>
      </c>
      <c r="F501" s="103" t="s">
        <v>2273</v>
      </c>
      <c r="G501" s="103" t="s">
        <v>2915</v>
      </c>
      <c r="H501" s="103" t="s">
        <v>2916</v>
      </c>
      <c r="I501" s="103" t="s">
        <v>2615</v>
      </c>
      <c r="J501" s="103" t="s">
        <v>3018</v>
      </c>
      <c r="M501" s="103">
        <v>0.99</v>
      </c>
      <c r="N501" s="103" t="s">
        <v>487</v>
      </c>
      <c r="O501" s="103" t="s">
        <v>487</v>
      </c>
      <c r="P501" s="103">
        <v>7.78</v>
      </c>
      <c r="Q501" s="2" t="s">
        <v>487</v>
      </c>
      <c r="R501" s="226" t="s">
        <v>3017</v>
      </c>
      <c r="U501" s="69"/>
      <c r="V501" s="69"/>
      <c r="W501" s="69"/>
    </row>
    <row r="502" spans="1:23">
      <c r="A502" s="103" t="s">
        <v>1539</v>
      </c>
      <c r="D502" s="103" t="s">
        <v>1474</v>
      </c>
      <c r="E502" s="103" t="s">
        <v>2272</v>
      </c>
      <c r="F502" s="103" t="s">
        <v>2617</v>
      </c>
      <c r="G502" s="103" t="s">
        <v>112</v>
      </c>
      <c r="H502" s="103" t="s">
        <v>3019</v>
      </c>
      <c r="I502" s="103" t="s">
        <v>2615</v>
      </c>
      <c r="J502" s="103" t="s">
        <v>3020</v>
      </c>
      <c r="M502" s="103">
        <v>0.96</v>
      </c>
      <c r="N502" s="103">
        <v>33</v>
      </c>
      <c r="O502" s="103" t="s">
        <v>487</v>
      </c>
      <c r="P502" s="103">
        <v>21.62</v>
      </c>
      <c r="Q502" s="2">
        <v>15.58</v>
      </c>
      <c r="R502" s="226" t="s">
        <v>3021</v>
      </c>
      <c r="U502" s="69"/>
      <c r="V502" s="69"/>
      <c r="W502" s="69"/>
    </row>
    <row r="503" spans="1:23">
      <c r="A503" s="103" t="s">
        <v>601</v>
      </c>
      <c r="C503" s="103" t="s">
        <v>3022</v>
      </c>
      <c r="D503" s="103" t="s">
        <v>1474</v>
      </c>
      <c r="E503" s="103" t="s">
        <v>2272</v>
      </c>
      <c r="F503" s="103" t="s">
        <v>2273</v>
      </c>
      <c r="G503" s="103" t="s">
        <v>3023</v>
      </c>
      <c r="H503" s="103" t="s">
        <v>3024</v>
      </c>
      <c r="I503" s="103" t="s">
        <v>2615</v>
      </c>
      <c r="J503" s="103" t="s">
        <v>3025</v>
      </c>
      <c r="K503" s="103" t="s">
        <v>3026</v>
      </c>
      <c r="M503" s="103">
        <v>0.98699999999999999</v>
      </c>
      <c r="N503" s="103" t="s">
        <v>487</v>
      </c>
      <c r="O503" s="103" t="s">
        <v>487</v>
      </c>
      <c r="P503" s="103">
        <v>34</v>
      </c>
      <c r="Q503" s="2">
        <v>25</v>
      </c>
      <c r="R503" s="226" t="s">
        <v>2882</v>
      </c>
      <c r="U503" s="69"/>
      <c r="V503" s="69"/>
      <c r="W503" s="69"/>
    </row>
    <row r="504" spans="1:23">
      <c r="A504" s="103" t="s">
        <v>601</v>
      </c>
      <c r="C504" s="103" t="s">
        <v>3027</v>
      </c>
      <c r="D504" s="103" t="s">
        <v>1474</v>
      </c>
      <c r="E504" s="103" t="s">
        <v>2272</v>
      </c>
      <c r="F504" s="103" t="s">
        <v>2273</v>
      </c>
      <c r="G504" s="103" t="s">
        <v>3028</v>
      </c>
      <c r="H504" s="103" t="s">
        <v>3029</v>
      </c>
      <c r="I504" s="103" t="s">
        <v>2615</v>
      </c>
      <c r="J504" s="103" t="s">
        <v>3030</v>
      </c>
      <c r="K504" s="103" t="s">
        <v>3026</v>
      </c>
      <c r="M504" s="103">
        <v>0.98399999999999999</v>
      </c>
      <c r="N504" s="103" t="s">
        <v>487</v>
      </c>
      <c r="O504" s="103" t="s">
        <v>487</v>
      </c>
      <c r="P504" s="103">
        <v>39</v>
      </c>
      <c r="Q504" s="2">
        <v>26</v>
      </c>
      <c r="R504" s="226" t="s">
        <v>2882</v>
      </c>
      <c r="U504" s="69"/>
      <c r="V504" s="69"/>
      <c r="W504" s="69"/>
    </row>
    <row r="505" spans="1:23">
      <c r="A505" s="103" t="s">
        <v>601</v>
      </c>
      <c r="C505" s="103" t="s">
        <v>3031</v>
      </c>
      <c r="D505" s="103" t="s">
        <v>1474</v>
      </c>
      <c r="E505" s="103" t="s">
        <v>2272</v>
      </c>
      <c r="F505" s="103" t="s">
        <v>2273</v>
      </c>
      <c r="G505" s="103" t="s">
        <v>2789</v>
      </c>
      <c r="H505" s="103" t="s">
        <v>2980</v>
      </c>
      <c r="I505" s="103" t="s">
        <v>2615</v>
      </c>
      <c r="J505" s="103" t="s">
        <v>3032</v>
      </c>
      <c r="K505" s="103" t="s">
        <v>3026</v>
      </c>
      <c r="M505" s="103" t="s">
        <v>3033</v>
      </c>
      <c r="N505" s="103" t="s">
        <v>487</v>
      </c>
      <c r="O505" s="103" t="s">
        <v>487</v>
      </c>
      <c r="P505" s="103">
        <v>82</v>
      </c>
      <c r="Q505" s="2">
        <v>53</v>
      </c>
      <c r="R505" s="226" t="s">
        <v>2882</v>
      </c>
      <c r="U505" s="69"/>
      <c r="V505" s="69"/>
      <c r="W505" s="69"/>
    </row>
    <row r="506" spans="1:23">
      <c r="A506" s="103" t="s">
        <v>601</v>
      </c>
      <c r="C506" s="103" t="s">
        <v>3034</v>
      </c>
      <c r="D506" s="103" t="s">
        <v>1474</v>
      </c>
      <c r="E506" s="103" t="s">
        <v>2272</v>
      </c>
      <c r="F506" s="103" t="s">
        <v>2273</v>
      </c>
      <c r="G506" s="103" t="s">
        <v>2774</v>
      </c>
      <c r="H506" s="103" t="s">
        <v>2971</v>
      </c>
      <c r="I506" s="103" t="s">
        <v>2615</v>
      </c>
      <c r="J506" s="103" t="s">
        <v>3035</v>
      </c>
      <c r="K506" s="103" t="s">
        <v>3026</v>
      </c>
      <c r="M506" s="103" t="s">
        <v>3033</v>
      </c>
      <c r="N506" s="103" t="s">
        <v>487</v>
      </c>
      <c r="O506" s="103" t="s">
        <v>487</v>
      </c>
      <c r="P506" s="103">
        <v>89</v>
      </c>
      <c r="Q506" s="2">
        <v>56</v>
      </c>
      <c r="R506" s="226" t="s">
        <v>2882</v>
      </c>
      <c r="U506" s="69"/>
      <c r="V506" s="69"/>
      <c r="W506" s="69"/>
    </row>
    <row r="507" spans="1:23">
      <c r="A507" s="103" t="s">
        <v>601</v>
      </c>
      <c r="C507" s="103" t="s">
        <v>1243</v>
      </c>
      <c r="D507" s="103" t="s">
        <v>1474</v>
      </c>
      <c r="E507" s="103" t="s">
        <v>2272</v>
      </c>
      <c r="F507" s="103" t="s">
        <v>2273</v>
      </c>
      <c r="H507" s="103" t="s">
        <v>3036</v>
      </c>
      <c r="I507" s="103" t="s">
        <v>2615</v>
      </c>
      <c r="J507" s="103" t="s">
        <v>3037</v>
      </c>
      <c r="K507" s="103" t="s">
        <v>3026</v>
      </c>
      <c r="M507" s="103">
        <v>0.99</v>
      </c>
      <c r="N507" s="103" t="s">
        <v>487</v>
      </c>
      <c r="O507" s="103" t="s">
        <v>487</v>
      </c>
      <c r="P507" s="103">
        <v>29</v>
      </c>
      <c r="Q507" s="2">
        <v>21</v>
      </c>
      <c r="R507" s="226" t="s">
        <v>2882</v>
      </c>
      <c r="U507" s="69"/>
      <c r="V507" s="69"/>
      <c r="W507" s="69"/>
    </row>
    <row r="508" spans="1:23">
      <c r="A508" s="103" t="s">
        <v>169</v>
      </c>
      <c r="B508" s="103" t="s">
        <v>588</v>
      </c>
      <c r="D508" s="103" t="s">
        <v>1474</v>
      </c>
      <c r="E508" s="103" t="s">
        <v>2272</v>
      </c>
      <c r="F508" s="103" t="s">
        <v>2273</v>
      </c>
      <c r="G508" s="103" t="s">
        <v>3038</v>
      </c>
      <c r="H508" s="103" t="s">
        <v>3039</v>
      </c>
      <c r="I508" s="103" t="s">
        <v>2615</v>
      </c>
      <c r="J508" s="103" t="s">
        <v>3040</v>
      </c>
      <c r="M508" s="103">
        <v>0.60217600000000004</v>
      </c>
      <c r="P508" s="103">
        <v>28.5</v>
      </c>
      <c r="Q508" s="2"/>
      <c r="R508" s="2" t="s">
        <v>3041</v>
      </c>
      <c r="S508" s="2" t="s">
        <v>3042</v>
      </c>
      <c r="V508" s="69"/>
      <c r="W508" s="69"/>
    </row>
    <row r="509" spans="1:23">
      <c r="A509" s="103" t="s">
        <v>169</v>
      </c>
      <c r="B509" s="103" t="s">
        <v>588</v>
      </c>
      <c r="D509" s="103" t="s">
        <v>1474</v>
      </c>
      <c r="E509" s="103" t="s">
        <v>2272</v>
      </c>
      <c r="F509" s="103" t="s">
        <v>2273</v>
      </c>
      <c r="G509" s="103" t="s">
        <v>3043</v>
      </c>
      <c r="H509" s="103" t="s">
        <v>3044</v>
      </c>
      <c r="I509" s="103" t="s">
        <v>2615</v>
      </c>
      <c r="J509" s="103" t="s">
        <v>3045</v>
      </c>
      <c r="M509" s="103">
        <v>0.128164</v>
      </c>
      <c r="P509" s="103">
        <v>42.19</v>
      </c>
      <c r="Q509" s="2"/>
      <c r="R509" s="2" t="s">
        <v>3041</v>
      </c>
      <c r="S509" s="2" t="s">
        <v>3042</v>
      </c>
      <c r="V509" s="69"/>
      <c r="W509" s="69"/>
    </row>
    <row r="510" spans="1:23">
      <c r="A510" s="103" t="s">
        <v>169</v>
      </c>
      <c r="B510" s="103" t="s">
        <v>588</v>
      </c>
      <c r="D510" s="103" t="s">
        <v>1474</v>
      </c>
      <c r="E510" s="103" t="s">
        <v>2272</v>
      </c>
      <c r="F510" s="103" t="s">
        <v>2273</v>
      </c>
      <c r="G510" s="103" t="s">
        <v>3046</v>
      </c>
      <c r="H510" s="103" t="s">
        <v>3047</v>
      </c>
      <c r="I510" s="103" t="s">
        <v>2615</v>
      </c>
      <c r="J510" s="103" t="s">
        <v>3048</v>
      </c>
      <c r="M510" s="103">
        <v>0.79923600000000006</v>
      </c>
      <c r="P510" s="103">
        <v>20.2</v>
      </c>
      <c r="Q510" s="2"/>
      <c r="R510" s="2" t="s">
        <v>3041</v>
      </c>
      <c r="S510" s="2" t="s">
        <v>3042</v>
      </c>
      <c r="V510" s="69"/>
      <c r="W510" s="69"/>
    </row>
    <row r="511" spans="1:23">
      <c r="A511" s="103" t="s">
        <v>169</v>
      </c>
      <c r="B511" s="103" t="s">
        <v>588</v>
      </c>
      <c r="D511" s="103" t="s">
        <v>1474</v>
      </c>
      <c r="E511" s="103" t="s">
        <v>2272</v>
      </c>
      <c r="F511" s="103" t="s">
        <v>2273</v>
      </c>
      <c r="G511" s="103" t="s">
        <v>3049</v>
      </c>
      <c r="H511" s="103" t="s">
        <v>3050</v>
      </c>
      <c r="I511" s="103" t="s">
        <v>2615</v>
      </c>
      <c r="J511" s="103" t="s">
        <v>3051</v>
      </c>
      <c r="M511" s="103">
        <v>0.72760899999999995</v>
      </c>
      <c r="P511" s="103">
        <v>23.52</v>
      </c>
      <c r="Q511" s="2"/>
      <c r="R511" s="2" t="s">
        <v>3041</v>
      </c>
      <c r="S511" s="2" t="s">
        <v>3042</v>
      </c>
      <c r="V511" s="69"/>
      <c r="W511" s="69"/>
    </row>
    <row r="512" spans="1:23">
      <c r="A512" s="103" t="s">
        <v>169</v>
      </c>
      <c r="B512" s="103" t="s">
        <v>588</v>
      </c>
      <c r="D512" s="103" t="s">
        <v>1474</v>
      </c>
      <c r="E512" s="103" t="s">
        <v>2272</v>
      </c>
      <c r="F512" s="103" t="s">
        <v>2273</v>
      </c>
      <c r="G512" s="103" t="s">
        <v>3052</v>
      </c>
      <c r="H512" s="103" t="s">
        <v>3053</v>
      </c>
      <c r="I512" s="103" t="s">
        <v>2615</v>
      </c>
      <c r="J512" s="103" t="s">
        <v>3054</v>
      </c>
      <c r="M512" s="103">
        <v>0.78854400000000002</v>
      </c>
      <c r="P512" s="103">
        <v>20.72</v>
      </c>
      <c r="Q512" s="2"/>
      <c r="R512" s="2" t="s">
        <v>3041</v>
      </c>
      <c r="S512" s="2" t="s">
        <v>3042</v>
      </c>
      <c r="V512" s="69"/>
      <c r="W512" s="69"/>
    </row>
    <row r="513" spans="1:23">
      <c r="A513" s="103" t="s">
        <v>169</v>
      </c>
      <c r="B513" s="103" t="s">
        <v>588</v>
      </c>
      <c r="D513" s="103" t="s">
        <v>1474</v>
      </c>
      <c r="E513" s="103" t="s">
        <v>2272</v>
      </c>
      <c r="F513" s="103" t="s">
        <v>2273</v>
      </c>
      <c r="G513" s="103" t="s">
        <v>3055</v>
      </c>
      <c r="H513" s="103" t="s">
        <v>3056</v>
      </c>
      <c r="I513" s="103" t="s">
        <v>2615</v>
      </c>
      <c r="J513" s="103" t="s">
        <v>3057</v>
      </c>
      <c r="M513" s="103">
        <v>0.82083600000000001</v>
      </c>
      <c r="P513" s="103">
        <v>14.09</v>
      </c>
      <c r="Q513" s="2"/>
      <c r="R513" s="2" t="s">
        <v>3041</v>
      </c>
      <c r="S513" s="2" t="s">
        <v>3042</v>
      </c>
      <c r="V513" s="69"/>
      <c r="W513" s="69"/>
    </row>
    <row r="514" spans="1:23">
      <c r="A514" s="103" t="s">
        <v>169</v>
      </c>
      <c r="B514" s="103" t="s">
        <v>588</v>
      </c>
      <c r="D514" s="103" t="s">
        <v>1474</v>
      </c>
      <c r="E514" s="103" t="s">
        <v>2272</v>
      </c>
      <c r="F514" s="103" t="s">
        <v>2273</v>
      </c>
      <c r="G514" s="103" t="s">
        <v>3058</v>
      </c>
      <c r="H514" s="103" t="s">
        <v>3059</v>
      </c>
      <c r="I514" s="103" t="s">
        <v>2615</v>
      </c>
      <c r="J514" s="103" t="s">
        <v>3060</v>
      </c>
      <c r="M514" s="103">
        <v>0.79566400000000004</v>
      </c>
      <c r="P514" s="103">
        <v>20.420000000000002</v>
      </c>
      <c r="Q514" s="2"/>
      <c r="R514" s="2" t="s">
        <v>3041</v>
      </c>
      <c r="S514" s="2" t="s">
        <v>3042</v>
      </c>
      <c r="V514" s="69"/>
      <c r="W514" s="69"/>
    </row>
    <row r="515" spans="1:23">
      <c r="A515" s="103" t="s">
        <v>169</v>
      </c>
      <c r="B515" s="103" t="s">
        <v>588</v>
      </c>
      <c r="D515" s="103" t="s">
        <v>1474</v>
      </c>
      <c r="E515" s="103" t="s">
        <v>2272</v>
      </c>
      <c r="F515" s="103" t="s">
        <v>2273</v>
      </c>
      <c r="G515" s="103" t="s">
        <v>3061</v>
      </c>
      <c r="H515" s="103" t="s">
        <v>3062</v>
      </c>
      <c r="I515" s="103" t="s">
        <v>2615</v>
      </c>
      <c r="J515" s="103" t="s">
        <v>3063</v>
      </c>
      <c r="M515" s="103">
        <v>0.18404099999999998</v>
      </c>
      <c r="P515" s="103">
        <v>40.81</v>
      </c>
      <c r="Q515" s="2"/>
      <c r="R515" s="2" t="s">
        <v>3041</v>
      </c>
      <c r="S515" s="2" t="s">
        <v>3042</v>
      </c>
      <c r="V515" s="69"/>
      <c r="W515" s="69"/>
    </row>
    <row r="516" spans="1:23">
      <c r="A516" s="103" t="s">
        <v>169</v>
      </c>
      <c r="B516" s="103" t="s">
        <v>588</v>
      </c>
      <c r="D516" s="103" t="s">
        <v>1474</v>
      </c>
      <c r="E516" s="103" t="s">
        <v>2272</v>
      </c>
      <c r="F516" s="103" t="s">
        <v>2273</v>
      </c>
      <c r="G516" s="103" t="s">
        <v>3064</v>
      </c>
      <c r="H516" s="103" t="s">
        <v>3065</v>
      </c>
      <c r="I516" s="103" t="s">
        <v>2615</v>
      </c>
      <c r="J516" s="103" t="s">
        <v>3066</v>
      </c>
      <c r="M516" s="103">
        <v>0.388129</v>
      </c>
      <c r="P516" s="103">
        <v>35.340000000000003</v>
      </c>
      <c r="Q516" s="2"/>
      <c r="R516" s="2" t="s">
        <v>3041</v>
      </c>
      <c r="S516" s="2" t="s">
        <v>3042</v>
      </c>
      <c r="V516" s="69"/>
      <c r="W516" s="69"/>
    </row>
    <row r="517" spans="1:23">
      <c r="A517" s="103" t="s">
        <v>169</v>
      </c>
      <c r="B517" s="103" t="s">
        <v>588</v>
      </c>
      <c r="D517" s="103" t="s">
        <v>1474</v>
      </c>
      <c r="E517" s="103" t="s">
        <v>2272</v>
      </c>
      <c r="F517" s="103" t="s">
        <v>2273</v>
      </c>
      <c r="G517" s="103" t="s">
        <v>3067</v>
      </c>
      <c r="H517" s="103" t="s">
        <v>3068</v>
      </c>
      <c r="I517" s="103" t="s">
        <v>2615</v>
      </c>
      <c r="J517" s="103" t="s">
        <v>3069</v>
      </c>
      <c r="M517" s="103">
        <v>0.66096899999999992</v>
      </c>
      <c r="P517" s="103">
        <v>26.27</v>
      </c>
      <c r="Q517" s="2"/>
      <c r="R517" s="2" t="s">
        <v>3041</v>
      </c>
      <c r="S517" s="2" t="s">
        <v>3042</v>
      </c>
      <c r="V517" s="69"/>
      <c r="W517" s="69"/>
    </row>
    <row r="518" spans="1:23">
      <c r="A518" s="103" t="s">
        <v>169</v>
      </c>
      <c r="B518" s="103" t="s">
        <v>588</v>
      </c>
      <c r="D518" s="103" t="s">
        <v>1474</v>
      </c>
      <c r="E518" s="103" t="s">
        <v>2272</v>
      </c>
      <c r="F518" s="103" t="s">
        <v>2273</v>
      </c>
      <c r="G518" s="103" t="s">
        <v>3070</v>
      </c>
      <c r="H518" s="103" t="s">
        <v>3071</v>
      </c>
      <c r="I518" s="103" t="s">
        <v>2615</v>
      </c>
      <c r="J518" s="103" t="s">
        <v>3072</v>
      </c>
      <c r="M518" s="103">
        <v>0.43428100000000003</v>
      </c>
      <c r="P518" s="103">
        <v>33.97</v>
      </c>
      <c r="Q518" s="2"/>
      <c r="R518" s="2" t="s">
        <v>3041</v>
      </c>
      <c r="S518" s="2" t="s">
        <v>3042</v>
      </c>
      <c r="V518" s="69"/>
      <c r="W518" s="69"/>
    </row>
    <row r="519" spans="1:23">
      <c r="A519" s="103" t="s">
        <v>169</v>
      </c>
      <c r="B519" s="103" t="s">
        <v>588</v>
      </c>
      <c r="D519" s="103" t="s">
        <v>1474</v>
      </c>
      <c r="E519" s="103" t="s">
        <v>2272</v>
      </c>
      <c r="F519" s="103" t="s">
        <v>2273</v>
      </c>
      <c r="G519" s="103" t="s">
        <v>3073</v>
      </c>
      <c r="H519" s="103" t="s">
        <v>3074</v>
      </c>
      <c r="I519" s="103" t="s">
        <v>2615</v>
      </c>
      <c r="J519" s="103" t="s">
        <v>3075</v>
      </c>
      <c r="M519" s="103">
        <v>0.71910399999999997</v>
      </c>
      <c r="P519" s="103">
        <v>23.93</v>
      </c>
      <c r="Q519" s="2"/>
      <c r="R519" s="2" t="s">
        <v>3041</v>
      </c>
      <c r="S519" s="2" t="s">
        <v>3042</v>
      </c>
      <c r="V519" s="69"/>
      <c r="W519" s="69"/>
    </row>
    <row r="520" spans="1:23">
      <c r="A520" s="103" t="s">
        <v>169</v>
      </c>
      <c r="B520" s="103" t="s">
        <v>588</v>
      </c>
      <c r="D520" s="103" t="s">
        <v>1474</v>
      </c>
      <c r="E520" s="103" t="s">
        <v>2272</v>
      </c>
      <c r="F520" s="103" t="s">
        <v>2273</v>
      </c>
      <c r="G520" s="103" t="s">
        <v>3076</v>
      </c>
      <c r="H520" s="103" t="s">
        <v>3077</v>
      </c>
      <c r="I520" s="103" t="s">
        <v>2615</v>
      </c>
      <c r="J520" s="103" t="s">
        <v>3078</v>
      </c>
      <c r="M520" s="103">
        <v>0.54612099999999997</v>
      </c>
      <c r="P520" s="103">
        <v>30.42</v>
      </c>
      <c r="Q520" s="2"/>
      <c r="R520" s="2" t="s">
        <v>3041</v>
      </c>
      <c r="S520" s="2" t="s">
        <v>3042</v>
      </c>
      <c r="V520" s="69"/>
      <c r="W520" s="69"/>
    </row>
    <row r="521" spans="1:23">
      <c r="A521" s="103" t="s">
        <v>169</v>
      </c>
      <c r="B521" s="103" t="s">
        <v>588</v>
      </c>
      <c r="D521" s="103" t="s">
        <v>1474</v>
      </c>
      <c r="E521" s="103" t="s">
        <v>2272</v>
      </c>
      <c r="F521" s="103" t="s">
        <v>2273</v>
      </c>
      <c r="G521" s="103" t="s">
        <v>3079</v>
      </c>
      <c r="H521" s="103" t="s">
        <v>3080</v>
      </c>
      <c r="I521" s="103" t="s">
        <v>2615</v>
      </c>
      <c r="J521" s="103" t="s">
        <v>3081</v>
      </c>
      <c r="M521" s="103">
        <v>0.63680400000000004</v>
      </c>
      <c r="P521" s="103">
        <v>27.23</v>
      </c>
      <c r="Q521" s="2"/>
      <c r="R521" s="2" t="s">
        <v>3041</v>
      </c>
      <c r="S521" s="2" t="s">
        <v>3042</v>
      </c>
      <c r="V521" s="69"/>
      <c r="W521" s="69"/>
    </row>
    <row r="522" spans="1:23">
      <c r="A522" s="103" t="s">
        <v>169</v>
      </c>
      <c r="B522" s="103" t="s">
        <v>588</v>
      </c>
      <c r="D522" s="103" t="s">
        <v>1474</v>
      </c>
      <c r="E522" s="103" t="s">
        <v>2272</v>
      </c>
      <c r="F522" s="103" t="s">
        <v>2273</v>
      </c>
      <c r="G522" s="103" t="s">
        <v>3082</v>
      </c>
      <c r="H522" s="103" t="s">
        <v>3083</v>
      </c>
      <c r="I522" s="103" t="s">
        <v>2615</v>
      </c>
      <c r="J522" s="103" t="s">
        <v>3084</v>
      </c>
      <c r="M522" s="103">
        <v>0.25603599999999999</v>
      </c>
      <c r="P522" s="103">
        <v>38.96</v>
      </c>
      <c r="Q522" s="2"/>
      <c r="R522" s="2" t="s">
        <v>3041</v>
      </c>
      <c r="S522" s="2" t="s">
        <v>3042</v>
      </c>
      <c r="V522" s="69"/>
      <c r="W522" s="69"/>
    </row>
    <row r="523" spans="1:23">
      <c r="A523" s="103" t="s">
        <v>169</v>
      </c>
      <c r="B523" s="103" t="s">
        <v>588</v>
      </c>
      <c r="D523" s="103" t="s">
        <v>1474</v>
      </c>
      <c r="E523" s="103" t="s">
        <v>2272</v>
      </c>
      <c r="F523" s="103" t="s">
        <v>2273</v>
      </c>
      <c r="G523" s="103" t="s">
        <v>3085</v>
      </c>
      <c r="H523" s="103" t="s">
        <v>3086</v>
      </c>
      <c r="I523" s="103" t="s">
        <v>2615</v>
      </c>
      <c r="J523" s="103" t="s">
        <v>3087</v>
      </c>
      <c r="M523" s="103">
        <v>0.68889999999999996</v>
      </c>
      <c r="P523" s="103">
        <v>25.17</v>
      </c>
      <c r="Q523" s="2"/>
      <c r="R523" s="2" t="s">
        <v>3041</v>
      </c>
      <c r="S523" s="2" t="s">
        <v>3042</v>
      </c>
      <c r="V523" s="69"/>
      <c r="W523" s="69"/>
    </row>
    <row r="524" spans="1:23">
      <c r="A524" s="103" t="s">
        <v>169</v>
      </c>
      <c r="B524" s="103" t="s">
        <v>588</v>
      </c>
      <c r="D524" s="103" t="s">
        <v>1474</v>
      </c>
      <c r="E524" s="103" t="s">
        <v>2272</v>
      </c>
      <c r="F524" s="103" t="s">
        <v>2273</v>
      </c>
      <c r="G524" s="103" t="s">
        <v>3088</v>
      </c>
      <c r="H524" s="103" t="s">
        <v>3089</v>
      </c>
      <c r="I524" s="103" t="s">
        <v>2615</v>
      </c>
      <c r="J524" s="103" t="s">
        <v>3090</v>
      </c>
      <c r="M524" s="103">
        <v>0.50979599999999992</v>
      </c>
      <c r="P524" s="103">
        <v>31.61</v>
      </c>
      <c r="Q524" s="2"/>
      <c r="R524" s="2" t="s">
        <v>3041</v>
      </c>
      <c r="S524" s="2" t="s">
        <v>3042</v>
      </c>
      <c r="V524" s="69"/>
      <c r="W524" s="69"/>
    </row>
    <row r="525" spans="1:23">
      <c r="A525" s="103" t="s">
        <v>169</v>
      </c>
      <c r="B525" s="103" t="s">
        <v>588</v>
      </c>
      <c r="D525" s="103" t="s">
        <v>1474</v>
      </c>
      <c r="E525" s="103" t="s">
        <v>2272</v>
      </c>
      <c r="F525" s="103" t="s">
        <v>2273</v>
      </c>
      <c r="G525" s="103" t="s">
        <v>3091</v>
      </c>
      <c r="H525" s="103" t="s">
        <v>3092</v>
      </c>
      <c r="I525" s="103" t="s">
        <v>2615</v>
      </c>
      <c r="J525" s="103" t="s">
        <v>3093</v>
      </c>
      <c r="M525" s="103">
        <v>0.54316900000000001</v>
      </c>
      <c r="P525" s="103">
        <v>30.5</v>
      </c>
      <c r="Q525" s="2"/>
      <c r="R525" s="2" t="s">
        <v>3041</v>
      </c>
      <c r="S525" s="2" t="s">
        <v>3042</v>
      </c>
      <c r="V525" s="69"/>
      <c r="W525" s="69"/>
    </row>
    <row r="526" spans="1:23">
      <c r="A526" s="103" t="s">
        <v>169</v>
      </c>
      <c r="B526" s="103" t="s">
        <v>588</v>
      </c>
      <c r="D526" s="103" t="s">
        <v>1474</v>
      </c>
      <c r="E526" s="103" t="s">
        <v>2272</v>
      </c>
      <c r="F526" s="103" t="s">
        <v>2273</v>
      </c>
      <c r="G526" s="103" t="s">
        <v>3094</v>
      </c>
      <c r="H526" s="103" t="s">
        <v>3095</v>
      </c>
      <c r="I526" s="103" t="s">
        <v>2615</v>
      </c>
      <c r="J526" s="103" t="s">
        <v>3096</v>
      </c>
      <c r="M526" s="103">
        <v>0.55800899999999998</v>
      </c>
      <c r="P526" s="103">
        <v>30</v>
      </c>
      <c r="Q526" s="2"/>
      <c r="R526" s="2" t="s">
        <v>3041</v>
      </c>
      <c r="S526" s="2" t="s">
        <v>3042</v>
      </c>
      <c r="V526" s="69"/>
      <c r="W526" s="69"/>
    </row>
    <row r="527" spans="1:23">
      <c r="A527" s="103" t="s">
        <v>169</v>
      </c>
      <c r="B527" s="103" t="s">
        <v>588</v>
      </c>
      <c r="D527" s="103" t="s">
        <v>1474</v>
      </c>
      <c r="E527" s="103" t="s">
        <v>2272</v>
      </c>
      <c r="F527" s="103" t="s">
        <v>2273</v>
      </c>
      <c r="G527" s="103" t="s">
        <v>3097</v>
      </c>
      <c r="H527" s="103" t="s">
        <v>3098</v>
      </c>
      <c r="I527" s="103" t="s">
        <v>2615</v>
      </c>
      <c r="J527" s="103" t="s">
        <v>3099</v>
      </c>
      <c r="M527" s="103">
        <v>3.0975999999999997E-2</v>
      </c>
      <c r="P527" s="103">
        <v>44.48</v>
      </c>
      <c r="Q527" s="2"/>
      <c r="R527" s="2" t="s">
        <v>3041</v>
      </c>
      <c r="S527" s="2" t="s">
        <v>3042</v>
      </c>
      <c r="V527" s="69"/>
      <c r="W527" s="69"/>
    </row>
    <row r="528" spans="1:23">
      <c r="A528" s="103" t="s">
        <v>169</v>
      </c>
      <c r="B528" s="103" t="s">
        <v>588</v>
      </c>
      <c r="D528" s="103" t="s">
        <v>1474</v>
      </c>
      <c r="E528" s="103" t="s">
        <v>2272</v>
      </c>
      <c r="F528" s="103" t="s">
        <v>2273</v>
      </c>
      <c r="G528" s="103" t="s">
        <v>3100</v>
      </c>
      <c r="H528" s="103" t="s">
        <v>3101</v>
      </c>
      <c r="I528" s="103" t="s">
        <v>2615</v>
      </c>
      <c r="J528" s="103" t="s">
        <v>3102</v>
      </c>
      <c r="M528" s="103">
        <v>0.64160100000000009</v>
      </c>
      <c r="P528" s="103">
        <v>27.01</v>
      </c>
      <c r="Q528" s="2"/>
      <c r="R528" s="2" t="s">
        <v>3041</v>
      </c>
      <c r="S528" s="2" t="s">
        <v>3042</v>
      </c>
      <c r="V528" s="69"/>
      <c r="W528" s="69"/>
    </row>
    <row r="529" spans="1:23">
      <c r="A529" s="103" t="s">
        <v>169</v>
      </c>
      <c r="B529" s="103" t="s">
        <v>588</v>
      </c>
      <c r="D529" s="103" t="s">
        <v>1474</v>
      </c>
      <c r="E529" s="103" t="s">
        <v>2272</v>
      </c>
      <c r="F529" s="103" t="s">
        <v>2273</v>
      </c>
      <c r="G529" s="103" t="s">
        <v>3103</v>
      </c>
      <c r="H529" s="103" t="s">
        <v>3104</v>
      </c>
      <c r="I529" s="103" t="s">
        <v>2615</v>
      </c>
      <c r="J529" s="103" t="s">
        <v>3105</v>
      </c>
      <c r="M529" s="103">
        <v>0.41473600000000005</v>
      </c>
      <c r="P529" s="103">
        <v>34.56</v>
      </c>
      <c r="Q529" s="2"/>
      <c r="R529" s="2" t="s">
        <v>3041</v>
      </c>
      <c r="S529" s="2" t="s">
        <v>3042</v>
      </c>
      <c r="V529" s="69"/>
      <c r="W529" s="69"/>
    </row>
    <row r="530" spans="1:23">
      <c r="A530" s="103" t="s">
        <v>169</v>
      </c>
      <c r="B530" s="103" t="s">
        <v>588</v>
      </c>
      <c r="D530" s="103" t="s">
        <v>1474</v>
      </c>
      <c r="E530" s="103" t="s">
        <v>2272</v>
      </c>
      <c r="F530" s="103" t="s">
        <v>2273</v>
      </c>
      <c r="G530" s="103" t="s">
        <v>3106</v>
      </c>
      <c r="H530" s="103" t="s">
        <v>3107</v>
      </c>
      <c r="I530" s="103" t="s">
        <v>2615</v>
      </c>
      <c r="J530" s="103" t="s">
        <v>3108</v>
      </c>
      <c r="M530" s="103">
        <v>0.74132100000000001</v>
      </c>
      <c r="P530" s="103">
        <v>22.92</v>
      </c>
      <c r="Q530" s="2"/>
      <c r="R530" s="2" t="s">
        <v>3041</v>
      </c>
      <c r="S530" s="2" t="s">
        <v>3042</v>
      </c>
      <c r="V530" s="69"/>
      <c r="W530" s="69"/>
    </row>
    <row r="531" spans="1:23">
      <c r="A531" s="103" t="s">
        <v>169</v>
      </c>
      <c r="B531" s="103" t="s">
        <v>588</v>
      </c>
      <c r="D531" s="103" t="s">
        <v>1474</v>
      </c>
      <c r="E531" s="103" t="s">
        <v>2272</v>
      </c>
      <c r="F531" s="103" t="s">
        <v>2273</v>
      </c>
      <c r="G531" s="103" t="s">
        <v>3109</v>
      </c>
      <c r="H531" s="103" t="s">
        <v>3110</v>
      </c>
      <c r="I531" s="103" t="s">
        <v>2615</v>
      </c>
      <c r="J531" s="103" t="s">
        <v>3111</v>
      </c>
      <c r="M531" s="103">
        <v>0.64480900000000008</v>
      </c>
      <c r="P531" s="103">
        <v>26.9</v>
      </c>
      <c r="Q531" s="2"/>
      <c r="R531" s="2" t="s">
        <v>3041</v>
      </c>
      <c r="S531" s="2" t="s">
        <v>3042</v>
      </c>
      <c r="V531" s="69"/>
      <c r="W531" s="69"/>
    </row>
    <row r="532" spans="1:23">
      <c r="A532" s="103" t="s">
        <v>169</v>
      </c>
      <c r="B532" s="103" t="s">
        <v>588</v>
      </c>
      <c r="D532" s="103" t="s">
        <v>1474</v>
      </c>
      <c r="E532" s="103" t="s">
        <v>2272</v>
      </c>
      <c r="F532" s="103" t="s">
        <v>2273</v>
      </c>
      <c r="G532" s="103" t="s">
        <v>3112</v>
      </c>
      <c r="H532" s="103" t="s">
        <v>3113</v>
      </c>
      <c r="I532" s="103" t="s">
        <v>2615</v>
      </c>
      <c r="J532" s="103" t="s">
        <v>3114</v>
      </c>
      <c r="M532" s="103">
        <v>0.80820100000000006</v>
      </c>
      <c r="P532" s="103">
        <v>19.73</v>
      </c>
      <c r="Q532" s="2"/>
      <c r="R532" s="2" t="s">
        <v>3041</v>
      </c>
      <c r="S532" s="2" t="s">
        <v>3042</v>
      </c>
      <c r="V532" s="69"/>
      <c r="W532" s="69"/>
    </row>
    <row r="533" spans="1:23">
      <c r="A533" s="103" t="s">
        <v>169</v>
      </c>
      <c r="B533" s="103" t="s">
        <v>588</v>
      </c>
      <c r="D533" s="103" t="s">
        <v>1474</v>
      </c>
      <c r="E533" s="103" t="s">
        <v>2272</v>
      </c>
      <c r="F533" s="103" t="s">
        <v>2273</v>
      </c>
      <c r="G533" s="103" t="s">
        <v>3115</v>
      </c>
      <c r="H533" s="103" t="s">
        <v>3116</v>
      </c>
      <c r="I533" s="103" t="s">
        <v>2615</v>
      </c>
      <c r="J533" s="103" t="s">
        <v>3117</v>
      </c>
      <c r="M533" s="103">
        <v>0.76912899999999995</v>
      </c>
      <c r="P533" s="103">
        <v>21.71</v>
      </c>
      <c r="Q533" s="2"/>
      <c r="R533" s="2" t="s">
        <v>3041</v>
      </c>
      <c r="S533" s="2" t="s">
        <v>3042</v>
      </c>
      <c r="V533" s="69"/>
      <c r="W533" s="69"/>
    </row>
    <row r="534" spans="1:23">
      <c r="A534" s="103" t="s">
        <v>169</v>
      </c>
      <c r="B534" s="103" t="s">
        <v>588</v>
      </c>
      <c r="D534" s="103" t="s">
        <v>1474</v>
      </c>
      <c r="E534" s="103" t="s">
        <v>2272</v>
      </c>
      <c r="F534" s="103" t="s">
        <v>2273</v>
      </c>
      <c r="G534" s="103" t="s">
        <v>3118</v>
      </c>
      <c r="H534" s="103" t="s">
        <v>3119</v>
      </c>
      <c r="I534" s="103" t="s">
        <v>2615</v>
      </c>
      <c r="J534" s="103" t="s">
        <v>3120</v>
      </c>
      <c r="M534" s="103">
        <v>0.81</v>
      </c>
      <c r="P534" s="103">
        <v>19.62</v>
      </c>
      <c r="Q534" s="2"/>
      <c r="R534" s="2" t="s">
        <v>3041</v>
      </c>
      <c r="S534" s="2" t="s">
        <v>3042</v>
      </c>
      <c r="V534" s="69"/>
      <c r="W534" s="69"/>
    </row>
    <row r="535" spans="1:23">
      <c r="A535" s="103" t="s">
        <v>169</v>
      </c>
      <c r="B535" s="103" t="s">
        <v>588</v>
      </c>
      <c r="D535" s="103" t="s">
        <v>1474</v>
      </c>
      <c r="E535" s="103" t="s">
        <v>2272</v>
      </c>
      <c r="F535" s="103" t="s">
        <v>2273</v>
      </c>
      <c r="G535" s="103" t="s">
        <v>3121</v>
      </c>
      <c r="H535" s="103" t="s">
        <v>3122</v>
      </c>
      <c r="I535" s="103" t="s">
        <v>2615</v>
      </c>
      <c r="J535" s="103" t="s">
        <v>3123</v>
      </c>
      <c r="M535" s="103">
        <v>0.52998400000000001</v>
      </c>
      <c r="P535" s="103">
        <v>30.98</v>
      </c>
      <c r="Q535" s="2"/>
      <c r="R535" s="2" t="s">
        <v>3041</v>
      </c>
      <c r="S535" s="2" t="s">
        <v>3042</v>
      </c>
      <c r="V535" s="69"/>
      <c r="W535" s="69"/>
    </row>
    <row r="536" spans="1:23">
      <c r="A536" s="103" t="s">
        <v>169</v>
      </c>
      <c r="B536" s="103" t="s">
        <v>588</v>
      </c>
      <c r="D536" s="103" t="s">
        <v>1474</v>
      </c>
      <c r="E536" s="103" t="s">
        <v>2272</v>
      </c>
      <c r="F536" s="103" t="s">
        <v>2273</v>
      </c>
      <c r="G536" s="103" t="s">
        <v>3124</v>
      </c>
      <c r="H536" s="103" t="s">
        <v>3125</v>
      </c>
      <c r="I536" s="103" t="s">
        <v>2615</v>
      </c>
      <c r="J536" s="103" t="s">
        <v>3126</v>
      </c>
      <c r="M536" s="103">
        <v>0.61465600000000009</v>
      </c>
      <c r="P536" s="103">
        <v>28.04</v>
      </c>
      <c r="Q536" s="2"/>
      <c r="R536" s="2" t="s">
        <v>3041</v>
      </c>
      <c r="S536" s="2" t="s">
        <v>3042</v>
      </c>
      <c r="V536" s="69"/>
      <c r="W536" s="69"/>
    </row>
    <row r="537" spans="1:23">
      <c r="A537" s="103" t="s">
        <v>169</v>
      </c>
      <c r="B537" s="103" t="s">
        <v>588</v>
      </c>
      <c r="D537" s="103" t="s">
        <v>1474</v>
      </c>
      <c r="E537" s="103" t="s">
        <v>2272</v>
      </c>
      <c r="F537" s="103" t="s">
        <v>2273</v>
      </c>
      <c r="G537" s="103" t="s">
        <v>3127</v>
      </c>
      <c r="H537" s="103" t="s">
        <v>3128</v>
      </c>
      <c r="I537" s="103" t="s">
        <v>2615</v>
      </c>
      <c r="J537" s="103" t="s">
        <v>3129</v>
      </c>
      <c r="M537" s="103">
        <v>0.41216400000000003</v>
      </c>
      <c r="P537" s="103">
        <v>34.65</v>
      </c>
      <c r="Q537" s="2"/>
      <c r="R537" s="2" t="s">
        <v>3041</v>
      </c>
      <c r="S537" s="2" t="s">
        <v>3042</v>
      </c>
      <c r="V537" s="69"/>
      <c r="W537" s="69"/>
    </row>
    <row r="538" spans="1:23">
      <c r="A538" s="103" t="s">
        <v>169</v>
      </c>
      <c r="B538" s="103" t="s">
        <v>588</v>
      </c>
      <c r="D538" s="103" t="s">
        <v>1474</v>
      </c>
      <c r="E538" s="103" t="s">
        <v>2272</v>
      </c>
      <c r="F538" s="103" t="s">
        <v>2273</v>
      </c>
      <c r="G538" s="103" t="s">
        <v>176</v>
      </c>
      <c r="H538" s="103" t="s">
        <v>3130</v>
      </c>
      <c r="I538" s="103" t="s">
        <v>2615</v>
      </c>
      <c r="J538" s="103" t="s">
        <v>3131</v>
      </c>
      <c r="M538" s="103">
        <v>0.65286400000000011</v>
      </c>
      <c r="P538" s="103">
        <v>26.58</v>
      </c>
      <c r="Q538" s="2"/>
      <c r="R538" s="2" t="s">
        <v>3041</v>
      </c>
      <c r="S538" s="2" t="s">
        <v>3042</v>
      </c>
      <c r="V538" s="69"/>
      <c r="W538" s="69"/>
    </row>
    <row r="539" spans="1:23">
      <c r="A539" s="103" t="s">
        <v>169</v>
      </c>
      <c r="B539" s="103" t="s">
        <v>588</v>
      </c>
      <c r="D539" s="103" t="s">
        <v>1474</v>
      </c>
      <c r="E539" s="103" t="s">
        <v>2272</v>
      </c>
      <c r="F539" s="103" t="s">
        <v>2273</v>
      </c>
      <c r="G539" s="103" t="s">
        <v>178</v>
      </c>
      <c r="H539" s="103" t="s">
        <v>3132</v>
      </c>
      <c r="I539" s="103" t="s">
        <v>2615</v>
      </c>
      <c r="J539" s="103" t="s">
        <v>3133</v>
      </c>
      <c r="M539" s="103">
        <v>0.76038399999999995</v>
      </c>
      <c r="P539" s="103">
        <v>22.06</v>
      </c>
      <c r="Q539" s="2"/>
      <c r="R539" s="2" t="s">
        <v>3041</v>
      </c>
      <c r="S539" s="2" t="s">
        <v>3042</v>
      </c>
      <c r="V539" s="69"/>
      <c r="W539" s="69"/>
    </row>
    <row r="540" spans="1:23">
      <c r="A540" s="103" t="s">
        <v>169</v>
      </c>
      <c r="B540" s="103" t="s">
        <v>588</v>
      </c>
      <c r="D540" s="103" t="s">
        <v>1474</v>
      </c>
      <c r="E540" s="103" t="s">
        <v>2272</v>
      </c>
      <c r="F540" s="103" t="s">
        <v>2273</v>
      </c>
      <c r="G540" s="103" t="s">
        <v>3134</v>
      </c>
      <c r="H540" s="103" t="s">
        <v>3135</v>
      </c>
      <c r="I540" s="103" t="s">
        <v>2615</v>
      </c>
      <c r="J540" s="103" t="s">
        <v>3136</v>
      </c>
      <c r="M540" s="103">
        <v>0.69056099999999998</v>
      </c>
      <c r="P540" s="103">
        <v>25.09</v>
      </c>
      <c r="Q540" s="2"/>
      <c r="R540" s="2" t="s">
        <v>3041</v>
      </c>
      <c r="S540" s="2" t="s">
        <v>3042</v>
      </c>
      <c r="V540" s="69"/>
      <c r="W540" s="69"/>
    </row>
    <row r="541" spans="1:23">
      <c r="A541" s="103" t="s">
        <v>169</v>
      </c>
      <c r="B541" s="103" t="s">
        <v>588</v>
      </c>
      <c r="D541" s="103" t="s">
        <v>1474</v>
      </c>
      <c r="E541" s="103" t="s">
        <v>2272</v>
      </c>
      <c r="F541" s="103" t="s">
        <v>2273</v>
      </c>
      <c r="G541" s="103" t="s">
        <v>172</v>
      </c>
      <c r="H541" s="103" t="s">
        <v>3137</v>
      </c>
      <c r="I541" s="103" t="s">
        <v>2615</v>
      </c>
      <c r="J541" s="103" t="s">
        <v>3138</v>
      </c>
      <c r="M541" s="103">
        <v>0.64802500000000007</v>
      </c>
      <c r="P541" s="103">
        <v>26.76</v>
      </c>
      <c r="Q541" s="2"/>
      <c r="R541" s="2" t="s">
        <v>3041</v>
      </c>
      <c r="S541" s="2" t="s">
        <v>3042</v>
      </c>
      <c r="V541" s="69"/>
      <c r="W541" s="69"/>
    </row>
    <row r="542" spans="1:23">
      <c r="A542" s="103" t="s">
        <v>169</v>
      </c>
      <c r="B542" s="103" t="s">
        <v>588</v>
      </c>
      <c r="D542" s="103" t="s">
        <v>1474</v>
      </c>
      <c r="E542" s="103" t="s">
        <v>2272</v>
      </c>
      <c r="F542" s="103" t="s">
        <v>2273</v>
      </c>
      <c r="G542" s="103" t="s">
        <v>166</v>
      </c>
      <c r="H542" s="103" t="s">
        <v>3139</v>
      </c>
      <c r="I542" s="103" t="s">
        <v>2615</v>
      </c>
      <c r="J542" s="103" t="s">
        <v>3140</v>
      </c>
      <c r="M542" s="103">
        <v>0.64480900000000008</v>
      </c>
      <c r="P542" s="103">
        <v>26.89</v>
      </c>
      <c r="Q542" s="2"/>
      <c r="R542" s="2" t="s">
        <v>3041</v>
      </c>
      <c r="S542" s="2" t="s">
        <v>3042</v>
      </c>
      <c r="V542" s="69"/>
      <c r="W542" s="69"/>
    </row>
    <row r="543" spans="1:23">
      <c r="A543" s="103" t="s">
        <v>169</v>
      </c>
      <c r="B543" s="103" t="s">
        <v>588</v>
      </c>
      <c r="D543" s="103" t="s">
        <v>1474</v>
      </c>
      <c r="E543" s="103" t="s">
        <v>2272</v>
      </c>
      <c r="F543" s="103" t="s">
        <v>2273</v>
      </c>
      <c r="G543" s="103" t="s">
        <v>174</v>
      </c>
      <c r="H543" s="103" t="s">
        <v>3141</v>
      </c>
      <c r="I543" s="103" t="s">
        <v>2615</v>
      </c>
      <c r="J543" s="103" t="s">
        <v>3142</v>
      </c>
      <c r="M543" s="103">
        <v>0.82810000000000006</v>
      </c>
      <c r="P543" s="103">
        <v>18.73</v>
      </c>
      <c r="Q543" s="2"/>
      <c r="R543" s="2" t="s">
        <v>3041</v>
      </c>
      <c r="S543" s="2" t="s">
        <v>3042</v>
      </c>
      <c r="V543" s="69"/>
      <c r="W543" s="69"/>
    </row>
    <row r="544" spans="1:23">
      <c r="A544" s="103" t="s">
        <v>169</v>
      </c>
      <c r="B544" s="103" t="s">
        <v>588</v>
      </c>
      <c r="D544" s="103" t="s">
        <v>1474</v>
      </c>
      <c r="E544" s="103" t="s">
        <v>2272</v>
      </c>
      <c r="F544" s="103" t="s">
        <v>2273</v>
      </c>
      <c r="G544" s="103" t="s">
        <v>3143</v>
      </c>
      <c r="H544" s="103" t="s">
        <v>3144</v>
      </c>
      <c r="I544" s="103" t="s">
        <v>2615</v>
      </c>
      <c r="J544" s="103" t="s">
        <v>3145</v>
      </c>
      <c r="M544" s="103">
        <v>0.72931599999999996</v>
      </c>
      <c r="P544" s="103">
        <v>23.46</v>
      </c>
      <c r="Q544" s="2"/>
      <c r="R544" s="2" t="s">
        <v>3041</v>
      </c>
      <c r="S544" s="2" t="s">
        <v>3042</v>
      </c>
      <c r="V544" s="69"/>
      <c r="W544" s="69"/>
    </row>
    <row r="545" spans="1:23">
      <c r="A545" s="103" t="s">
        <v>169</v>
      </c>
      <c r="B545" s="103" t="s">
        <v>588</v>
      </c>
      <c r="D545" s="103" t="s">
        <v>1474</v>
      </c>
      <c r="E545" s="103" t="s">
        <v>2272</v>
      </c>
      <c r="F545" s="103" t="s">
        <v>2273</v>
      </c>
      <c r="G545" s="103" t="s">
        <v>3146</v>
      </c>
      <c r="H545" s="103" t="s">
        <v>3147</v>
      </c>
      <c r="I545" s="103" t="s">
        <v>2615</v>
      </c>
      <c r="J545" s="103" t="s">
        <v>3148</v>
      </c>
      <c r="M545" s="103">
        <v>0.83722500000000011</v>
      </c>
      <c r="P545" s="103">
        <v>18.149999999999999</v>
      </c>
      <c r="Q545" s="2"/>
      <c r="R545" s="2" t="s">
        <v>3041</v>
      </c>
      <c r="S545" s="2" t="s">
        <v>3042</v>
      </c>
      <c r="V545" s="69"/>
      <c r="W545" s="69"/>
    </row>
    <row r="546" spans="1:23">
      <c r="A546" s="103" t="s">
        <v>169</v>
      </c>
      <c r="B546" s="103" t="s">
        <v>588</v>
      </c>
      <c r="D546" s="103" t="s">
        <v>1474</v>
      </c>
      <c r="E546" s="103" t="s">
        <v>2272</v>
      </c>
      <c r="F546" s="103" t="s">
        <v>2273</v>
      </c>
      <c r="G546" s="103" t="s">
        <v>3149</v>
      </c>
      <c r="H546" s="103" t="s">
        <v>3150</v>
      </c>
      <c r="I546" s="103" t="s">
        <v>2615</v>
      </c>
      <c r="J546" s="103" t="s">
        <v>3151</v>
      </c>
      <c r="M546" s="103">
        <v>0.89113599999999993</v>
      </c>
      <c r="P546" s="103">
        <v>14.86</v>
      </c>
      <c r="Q546" s="2"/>
      <c r="R546" s="2" t="s">
        <v>3041</v>
      </c>
      <c r="S546" s="2" t="s">
        <v>3042</v>
      </c>
      <c r="V546" s="69"/>
      <c r="W546" s="69"/>
    </row>
    <row r="547" spans="1:23">
      <c r="A547" s="103" t="s">
        <v>169</v>
      </c>
      <c r="B547" s="103" t="s">
        <v>588</v>
      </c>
      <c r="D547" s="103" t="s">
        <v>1474</v>
      </c>
      <c r="E547" s="103" t="s">
        <v>2272</v>
      </c>
      <c r="F547" s="103" t="s">
        <v>2273</v>
      </c>
      <c r="G547" s="103" t="s">
        <v>3152</v>
      </c>
      <c r="H547" s="103" t="s">
        <v>3153</v>
      </c>
      <c r="I547" s="103" t="s">
        <v>2615</v>
      </c>
      <c r="J547" s="103" t="s">
        <v>3154</v>
      </c>
      <c r="M547" s="103">
        <v>0.74822500000000003</v>
      </c>
      <c r="P547" s="103">
        <v>22.64</v>
      </c>
      <c r="Q547" s="2"/>
      <c r="R547" s="2" t="s">
        <v>3041</v>
      </c>
      <c r="S547" s="2" t="s">
        <v>3042</v>
      </c>
      <c r="V547" s="69"/>
      <c r="W547" s="69"/>
    </row>
    <row r="548" spans="1:23">
      <c r="A548" s="103" t="s">
        <v>169</v>
      </c>
      <c r="B548" s="103" t="s">
        <v>588</v>
      </c>
      <c r="D548" s="103" t="s">
        <v>1474</v>
      </c>
      <c r="E548" s="103" t="s">
        <v>2272</v>
      </c>
      <c r="F548" s="103" t="s">
        <v>2273</v>
      </c>
      <c r="G548" s="103" t="s">
        <v>3155</v>
      </c>
      <c r="H548" s="103" t="s">
        <v>3156</v>
      </c>
      <c r="I548" s="103" t="s">
        <v>2615</v>
      </c>
      <c r="J548" s="103" t="s">
        <v>3157</v>
      </c>
      <c r="M548" s="103">
        <v>0.79032100000000005</v>
      </c>
      <c r="P548" s="103">
        <v>20.63</v>
      </c>
      <c r="Q548" s="2"/>
      <c r="R548" s="2" t="s">
        <v>3041</v>
      </c>
      <c r="S548" s="2" t="s">
        <v>3042</v>
      </c>
      <c r="V548" s="69"/>
      <c r="W548" s="69"/>
    </row>
    <row r="549" spans="1:23">
      <c r="A549" s="103" t="s">
        <v>169</v>
      </c>
      <c r="B549" s="103" t="s">
        <v>588</v>
      </c>
      <c r="D549" s="103" t="s">
        <v>1474</v>
      </c>
      <c r="E549" s="103" t="s">
        <v>2272</v>
      </c>
      <c r="F549" s="103" t="s">
        <v>2273</v>
      </c>
      <c r="G549" s="103" t="s">
        <v>3158</v>
      </c>
      <c r="H549" s="103" t="s">
        <v>3159</v>
      </c>
      <c r="I549" s="103" t="s">
        <v>2615</v>
      </c>
      <c r="J549" s="103" t="s">
        <v>3160</v>
      </c>
      <c r="M549" s="103">
        <v>0.77616099999999999</v>
      </c>
      <c r="P549" s="103">
        <v>21.35</v>
      </c>
      <c r="Q549" s="2"/>
      <c r="R549" s="2" t="s">
        <v>3041</v>
      </c>
      <c r="S549" s="2" t="s">
        <v>3042</v>
      </c>
      <c r="V549" s="69"/>
      <c r="W549" s="69"/>
    </row>
    <row r="550" spans="1:23">
      <c r="A550" s="103" t="s">
        <v>169</v>
      </c>
      <c r="B550" s="103" t="s">
        <v>588</v>
      </c>
      <c r="D550" s="103" t="s">
        <v>1474</v>
      </c>
      <c r="E550" s="103" t="s">
        <v>2272</v>
      </c>
      <c r="F550" s="103" t="s">
        <v>2273</v>
      </c>
      <c r="G550" s="103" t="s">
        <v>2306</v>
      </c>
      <c r="H550" s="103" t="s">
        <v>3161</v>
      </c>
      <c r="I550" s="103" t="s">
        <v>2615</v>
      </c>
      <c r="J550" s="103" t="s">
        <v>3162</v>
      </c>
      <c r="M550" s="103">
        <v>0.88359999999999994</v>
      </c>
      <c r="P550" s="103">
        <v>17.329999999999998</v>
      </c>
      <c r="Q550" s="2"/>
      <c r="R550" s="2" t="s">
        <v>3041</v>
      </c>
      <c r="S550" s="2" t="s">
        <v>3163</v>
      </c>
      <c r="V550" s="69"/>
      <c r="W550" s="69"/>
    </row>
    <row r="551" spans="1:23">
      <c r="A551" s="103" t="s">
        <v>169</v>
      </c>
      <c r="B551" s="103" t="s">
        <v>588</v>
      </c>
      <c r="D551" s="103" t="s">
        <v>1474</v>
      </c>
      <c r="E551" s="103" t="s">
        <v>2272</v>
      </c>
      <c r="F551" s="103" t="s">
        <v>2273</v>
      </c>
      <c r="G551" s="103" t="s">
        <v>2308</v>
      </c>
      <c r="H551" s="103" t="s">
        <v>3164</v>
      </c>
      <c r="I551" s="103" t="s">
        <v>2615</v>
      </c>
      <c r="J551" s="103" t="s">
        <v>3165</v>
      </c>
      <c r="M551" s="103">
        <v>0.83539600000000003</v>
      </c>
      <c r="P551" s="103">
        <v>20.66</v>
      </c>
      <c r="Q551" s="2"/>
      <c r="R551" s="2" t="s">
        <v>3041</v>
      </c>
      <c r="S551" s="2" t="s">
        <v>3163</v>
      </c>
      <c r="V551" s="69"/>
      <c r="W551" s="69"/>
    </row>
    <row r="552" spans="1:23">
      <c r="A552" s="103" t="s">
        <v>169</v>
      </c>
      <c r="B552" s="103" t="s">
        <v>588</v>
      </c>
      <c r="D552" s="103" t="s">
        <v>1474</v>
      </c>
      <c r="E552" s="103" t="s">
        <v>2272</v>
      </c>
      <c r="F552" s="103" t="s">
        <v>2273</v>
      </c>
      <c r="G552" s="103" t="s">
        <v>2310</v>
      </c>
      <c r="H552" s="103" t="s">
        <v>3166</v>
      </c>
      <c r="I552" s="103" t="s">
        <v>2615</v>
      </c>
      <c r="J552" s="103" t="s">
        <v>3167</v>
      </c>
      <c r="M552" s="103">
        <v>0.87984399999999985</v>
      </c>
      <c r="P552" s="103">
        <v>17.61</v>
      </c>
      <c r="Q552" s="2"/>
      <c r="R552" s="2" t="s">
        <v>3041</v>
      </c>
      <c r="S552" s="2" t="s">
        <v>3163</v>
      </c>
      <c r="V552" s="69"/>
      <c r="W552" s="69"/>
    </row>
    <row r="553" spans="1:23">
      <c r="A553" s="103" t="s">
        <v>169</v>
      </c>
      <c r="B553" s="103" t="s">
        <v>588</v>
      </c>
      <c r="D553" s="103" t="s">
        <v>1474</v>
      </c>
      <c r="E553" s="103" t="s">
        <v>2272</v>
      </c>
      <c r="F553" s="103" t="s">
        <v>2273</v>
      </c>
      <c r="G553" s="103" t="s">
        <v>2312</v>
      </c>
      <c r="H553" s="103" t="s">
        <v>3168</v>
      </c>
      <c r="I553" s="103" t="s">
        <v>2615</v>
      </c>
      <c r="J553" s="103" t="s">
        <v>3169</v>
      </c>
      <c r="M553" s="103">
        <v>0.80460900000000002</v>
      </c>
      <c r="P553" s="103">
        <v>22.55</v>
      </c>
      <c r="Q553" s="2"/>
      <c r="R553" s="2" t="s">
        <v>3041</v>
      </c>
      <c r="S553" s="2" t="s">
        <v>3163</v>
      </c>
      <c r="V553" s="69"/>
      <c r="W553" s="69"/>
    </row>
    <row r="554" spans="1:23">
      <c r="A554" s="103" t="s">
        <v>169</v>
      </c>
      <c r="B554" s="103" t="s">
        <v>588</v>
      </c>
      <c r="D554" s="103" t="s">
        <v>1474</v>
      </c>
      <c r="E554" s="103" t="s">
        <v>2272</v>
      </c>
      <c r="F554" s="103" t="s">
        <v>2273</v>
      </c>
      <c r="G554" s="103" t="s">
        <v>2314</v>
      </c>
      <c r="H554" s="103" t="s">
        <v>3170</v>
      </c>
      <c r="I554" s="103" t="s">
        <v>2615</v>
      </c>
      <c r="J554" s="103" t="s">
        <v>3171</v>
      </c>
      <c r="M554" s="103">
        <v>0.87235600000000013</v>
      </c>
      <c r="P554" s="103">
        <v>18.14</v>
      </c>
      <c r="Q554" s="2"/>
      <c r="R554" s="2" t="s">
        <v>3041</v>
      </c>
      <c r="S554" s="2" t="s">
        <v>3163</v>
      </c>
      <c r="V554" s="69"/>
      <c r="W554" s="69"/>
    </row>
    <row r="555" spans="1:23">
      <c r="A555" s="103" t="s">
        <v>169</v>
      </c>
      <c r="B555" s="103" t="s">
        <v>588</v>
      </c>
      <c r="D555" s="103" t="s">
        <v>1474</v>
      </c>
      <c r="E555" s="103" t="s">
        <v>2272</v>
      </c>
      <c r="F555" s="103" t="s">
        <v>2273</v>
      </c>
      <c r="G555" s="103" t="s">
        <v>2316</v>
      </c>
      <c r="H555" s="103" t="s">
        <v>3172</v>
      </c>
      <c r="I555" s="103" t="s">
        <v>2615</v>
      </c>
      <c r="J555" s="103" t="s">
        <v>3173</v>
      </c>
      <c r="M555" s="103">
        <v>0.92159999999999997</v>
      </c>
      <c r="P555" s="103">
        <v>14.15</v>
      </c>
      <c r="Q555" s="2"/>
      <c r="R555" s="2" t="s">
        <v>3041</v>
      </c>
      <c r="S555" s="2" t="s">
        <v>3163</v>
      </c>
      <c r="V555" s="69"/>
      <c r="W555" s="69"/>
    </row>
    <row r="556" spans="1:23">
      <c r="A556" s="103" t="s">
        <v>169</v>
      </c>
      <c r="B556" s="103" t="s">
        <v>588</v>
      </c>
      <c r="D556" s="103" t="s">
        <v>1474</v>
      </c>
      <c r="E556" s="103" t="s">
        <v>2272</v>
      </c>
      <c r="F556" s="103" t="s">
        <v>2273</v>
      </c>
      <c r="G556" s="103" t="s">
        <v>2318</v>
      </c>
      <c r="H556" s="103" t="s">
        <v>3174</v>
      </c>
      <c r="I556" s="103" t="s">
        <v>2615</v>
      </c>
      <c r="J556" s="103" t="s">
        <v>3175</v>
      </c>
      <c r="M556" s="103">
        <v>0.84088900000000011</v>
      </c>
      <c r="P556" s="103">
        <v>20.29</v>
      </c>
      <c r="Q556" s="2"/>
      <c r="R556" s="2" t="s">
        <v>3041</v>
      </c>
      <c r="S556" s="2" t="s">
        <v>3163</v>
      </c>
      <c r="V556" s="69"/>
      <c r="W556" s="69"/>
    </row>
    <row r="557" spans="1:23">
      <c r="A557" s="103" t="s">
        <v>169</v>
      </c>
      <c r="B557" s="103" t="s">
        <v>588</v>
      </c>
      <c r="D557" s="103" t="s">
        <v>1474</v>
      </c>
      <c r="E557" s="103" t="s">
        <v>2272</v>
      </c>
      <c r="F557" s="103" t="s">
        <v>2273</v>
      </c>
      <c r="G557" s="103" t="s">
        <v>3176</v>
      </c>
      <c r="H557" s="103" t="s">
        <v>3177</v>
      </c>
      <c r="I557" s="103" t="s">
        <v>2615</v>
      </c>
      <c r="J557" s="103" t="s">
        <v>3178</v>
      </c>
      <c r="M557" s="103">
        <v>0.88359999999999994</v>
      </c>
      <c r="P557" s="103">
        <v>17.39</v>
      </c>
      <c r="Q557" s="2"/>
      <c r="R557" s="2" t="s">
        <v>3041</v>
      </c>
      <c r="S557" s="2" t="s">
        <v>3163</v>
      </c>
      <c r="V557" s="69"/>
      <c r="W557" s="69"/>
    </row>
    <row r="558" spans="1:23">
      <c r="A558" s="103" t="s">
        <v>169</v>
      </c>
      <c r="B558" s="103" t="s">
        <v>588</v>
      </c>
      <c r="D558" s="103" t="s">
        <v>1474</v>
      </c>
      <c r="E558" s="103" t="s">
        <v>2272</v>
      </c>
      <c r="F558" s="103" t="s">
        <v>2273</v>
      </c>
      <c r="G558" s="103" t="s">
        <v>3179</v>
      </c>
      <c r="H558" s="103" t="s">
        <v>3180</v>
      </c>
      <c r="I558" s="103" t="s">
        <v>2615</v>
      </c>
      <c r="J558" s="103" t="s">
        <v>3181</v>
      </c>
      <c r="M558" s="103">
        <v>0.52417599999999998</v>
      </c>
      <c r="P558" s="103">
        <v>35.14</v>
      </c>
      <c r="Q558" s="2"/>
      <c r="R558" s="2" t="s">
        <v>3041</v>
      </c>
      <c r="S558" s="2" t="s">
        <v>3163</v>
      </c>
      <c r="V558" s="69"/>
      <c r="W558" s="69"/>
    </row>
    <row r="559" spans="1:23">
      <c r="A559" s="103" t="s">
        <v>169</v>
      </c>
      <c r="B559" s="103" t="s">
        <v>588</v>
      </c>
      <c r="D559" s="103" t="s">
        <v>1474</v>
      </c>
      <c r="E559" s="103" t="s">
        <v>2272</v>
      </c>
      <c r="F559" s="103" t="s">
        <v>2273</v>
      </c>
      <c r="G559" s="103" t="s">
        <v>3182</v>
      </c>
      <c r="H559" s="103" t="s">
        <v>3183</v>
      </c>
      <c r="I559" s="103" t="s">
        <v>2615</v>
      </c>
      <c r="J559" s="103" t="s">
        <v>3184</v>
      </c>
      <c r="M559" s="103">
        <v>0.89113599999999993</v>
      </c>
      <c r="P559" s="103">
        <v>16.71</v>
      </c>
      <c r="Q559" s="2"/>
      <c r="R559" s="2" t="s">
        <v>3041</v>
      </c>
      <c r="S559" s="2" t="s">
        <v>3163</v>
      </c>
      <c r="V559" s="69"/>
      <c r="W559" s="69"/>
    </row>
    <row r="560" spans="1:23">
      <c r="A560" s="103" t="s">
        <v>169</v>
      </c>
      <c r="B560" s="103" t="s">
        <v>588</v>
      </c>
      <c r="D560" s="103" t="s">
        <v>1474</v>
      </c>
      <c r="E560" s="103" t="s">
        <v>2272</v>
      </c>
      <c r="F560" s="103" t="s">
        <v>2273</v>
      </c>
      <c r="G560" s="103" t="s">
        <v>3185</v>
      </c>
      <c r="H560" s="103" t="s">
        <v>3186</v>
      </c>
      <c r="I560" s="103" t="s">
        <v>2615</v>
      </c>
      <c r="J560" s="103" t="s">
        <v>3187</v>
      </c>
      <c r="M560" s="103">
        <v>0.92159999999999997</v>
      </c>
      <c r="P560" s="103">
        <v>14.28</v>
      </c>
      <c r="Q560" s="2"/>
      <c r="R560" s="2" t="s">
        <v>3041</v>
      </c>
      <c r="S560" s="2" t="s">
        <v>3163</v>
      </c>
      <c r="V560" s="69"/>
      <c r="W560" s="69"/>
    </row>
    <row r="561" spans="1:23">
      <c r="A561" s="103" t="s">
        <v>169</v>
      </c>
      <c r="B561" s="103" t="s">
        <v>588</v>
      </c>
      <c r="D561" s="103" t="s">
        <v>1474</v>
      </c>
      <c r="E561" s="103" t="s">
        <v>2272</v>
      </c>
      <c r="F561" s="103" t="s">
        <v>2273</v>
      </c>
      <c r="G561" s="103" t="s">
        <v>3188</v>
      </c>
      <c r="H561" s="103" t="s">
        <v>3189</v>
      </c>
      <c r="I561" s="103" t="s">
        <v>2615</v>
      </c>
      <c r="J561" s="103" t="s">
        <v>3190</v>
      </c>
      <c r="M561" s="103">
        <v>0.94478399999999996</v>
      </c>
      <c r="P561" s="103">
        <v>11.83</v>
      </c>
      <c r="Q561" s="2"/>
      <c r="R561" s="2" t="s">
        <v>3041</v>
      </c>
      <c r="S561" s="2" t="s">
        <v>3163</v>
      </c>
      <c r="V561" s="69"/>
      <c r="W561" s="69"/>
    </row>
    <row r="562" spans="1:23">
      <c r="A562" s="103" t="s">
        <v>169</v>
      </c>
      <c r="B562" s="103" t="s">
        <v>588</v>
      </c>
      <c r="D562" s="103" t="s">
        <v>1474</v>
      </c>
      <c r="E562" s="103" t="s">
        <v>2272</v>
      </c>
      <c r="F562" s="103" t="s">
        <v>2273</v>
      </c>
      <c r="G562" s="103" t="s">
        <v>3191</v>
      </c>
      <c r="H562" s="103" t="s">
        <v>3192</v>
      </c>
      <c r="I562" s="103" t="s">
        <v>2615</v>
      </c>
      <c r="J562" s="103" t="s">
        <v>3193</v>
      </c>
      <c r="M562" s="103">
        <v>0.96432399999999996</v>
      </c>
      <c r="P562" s="103">
        <v>9.39</v>
      </c>
      <c r="Q562" s="2"/>
      <c r="R562" s="2" t="s">
        <v>3041</v>
      </c>
      <c r="S562" s="2" t="s">
        <v>3163</v>
      </c>
      <c r="V562" s="69"/>
      <c r="W562" s="69"/>
    </row>
    <row r="563" spans="1:23">
      <c r="A563" s="103" t="s">
        <v>169</v>
      </c>
      <c r="B563" s="103" t="s">
        <v>588</v>
      </c>
      <c r="D563" s="103" t="s">
        <v>1474</v>
      </c>
      <c r="E563" s="103" t="s">
        <v>2272</v>
      </c>
      <c r="F563" s="103" t="s">
        <v>2273</v>
      </c>
      <c r="G563" s="103" t="s">
        <v>3194</v>
      </c>
      <c r="H563" s="103" t="s">
        <v>3195</v>
      </c>
      <c r="I563" s="103" t="s">
        <v>2615</v>
      </c>
      <c r="J563" s="103" t="s">
        <v>3196</v>
      </c>
      <c r="M563" s="103">
        <v>0.95062499999999994</v>
      </c>
      <c r="P563" s="103">
        <v>11.18</v>
      </c>
      <c r="Q563" s="2"/>
      <c r="R563" s="2" t="s">
        <v>3041</v>
      </c>
      <c r="S563" s="2" t="s">
        <v>3163</v>
      </c>
      <c r="V563" s="69"/>
      <c r="W563" s="69"/>
    </row>
    <row r="564" spans="1:23">
      <c r="A564" s="103" t="s">
        <v>169</v>
      </c>
      <c r="B564" s="103" t="s">
        <v>588</v>
      </c>
      <c r="D564" s="103" t="s">
        <v>1474</v>
      </c>
      <c r="E564" s="103" t="s">
        <v>2272</v>
      </c>
      <c r="F564" s="103" t="s">
        <v>2273</v>
      </c>
      <c r="G564" s="103" t="s">
        <v>3197</v>
      </c>
      <c r="H564" s="103" t="s">
        <v>3198</v>
      </c>
      <c r="I564" s="103" t="s">
        <v>2615</v>
      </c>
      <c r="J564" s="103" t="s">
        <v>3199</v>
      </c>
      <c r="M564" s="103">
        <v>0.63043600000000011</v>
      </c>
      <c r="P564" s="103">
        <v>30.97</v>
      </c>
      <c r="Q564" s="2"/>
      <c r="R564" s="2" t="s">
        <v>3041</v>
      </c>
      <c r="S564" s="2" t="s">
        <v>3163</v>
      </c>
      <c r="V564" s="69"/>
      <c r="W564" s="69"/>
    </row>
    <row r="565" spans="1:23">
      <c r="A565" s="103" t="s">
        <v>169</v>
      </c>
      <c r="B565" s="103" t="s">
        <v>588</v>
      </c>
      <c r="D565" s="103" t="s">
        <v>1474</v>
      </c>
      <c r="E565" s="103" t="s">
        <v>2272</v>
      </c>
      <c r="F565" s="103" t="s">
        <v>2273</v>
      </c>
      <c r="G565" s="103" t="s">
        <v>2320</v>
      </c>
      <c r="H565" s="103" t="s">
        <v>3200</v>
      </c>
      <c r="I565" s="103" t="s">
        <v>2615</v>
      </c>
      <c r="J565" s="103" t="s">
        <v>3201</v>
      </c>
      <c r="M565" s="103">
        <v>0.86862400000000006</v>
      </c>
      <c r="P565" s="103">
        <v>18.489999999999998</v>
      </c>
      <c r="Q565" s="2"/>
      <c r="R565" s="2" t="s">
        <v>3041</v>
      </c>
      <c r="S565" s="2" t="s">
        <v>3163</v>
      </c>
      <c r="V565" s="69"/>
      <c r="W565" s="69"/>
    </row>
    <row r="566" spans="1:23">
      <c r="A566" s="103" t="s">
        <v>169</v>
      </c>
      <c r="B566" s="103" t="s">
        <v>588</v>
      </c>
      <c r="D566" s="103" t="s">
        <v>1474</v>
      </c>
      <c r="E566" s="103" t="s">
        <v>2272</v>
      </c>
      <c r="F566" s="103" t="s">
        <v>2273</v>
      </c>
      <c r="G566" s="103" t="s">
        <v>2322</v>
      </c>
      <c r="H566" s="103" t="s">
        <v>3202</v>
      </c>
      <c r="I566" s="103" t="s">
        <v>2615</v>
      </c>
      <c r="J566" s="103" t="s">
        <v>3203</v>
      </c>
      <c r="M566" s="103">
        <v>0.82446400000000009</v>
      </c>
      <c r="P566" s="103">
        <v>21.34</v>
      </c>
      <c r="Q566" s="2"/>
      <c r="R566" s="2" t="s">
        <v>3041</v>
      </c>
      <c r="S566" s="2" t="s">
        <v>3163</v>
      </c>
      <c r="V566" s="69"/>
      <c r="W566" s="69"/>
    </row>
    <row r="567" spans="1:23">
      <c r="A567" s="103" t="s">
        <v>169</v>
      </c>
      <c r="B567" s="103" t="s">
        <v>588</v>
      </c>
      <c r="D567" s="103" t="s">
        <v>1474</v>
      </c>
      <c r="E567" s="103" t="s">
        <v>2272</v>
      </c>
      <c r="F567" s="103" t="s">
        <v>2273</v>
      </c>
      <c r="G567" s="103" t="s">
        <v>2324</v>
      </c>
      <c r="H567" s="103" t="s">
        <v>3204</v>
      </c>
      <c r="I567" s="103" t="s">
        <v>2615</v>
      </c>
      <c r="J567" s="103" t="s">
        <v>3205</v>
      </c>
      <c r="M567" s="103">
        <v>0.85192900000000005</v>
      </c>
      <c r="P567" s="103">
        <v>19.54</v>
      </c>
      <c r="Q567" s="2"/>
      <c r="R567" s="2" t="s">
        <v>3041</v>
      </c>
      <c r="S567" s="2" t="s">
        <v>3163</v>
      </c>
      <c r="V567" s="69"/>
      <c r="W567" s="69"/>
    </row>
    <row r="568" spans="1:23">
      <c r="A568" s="103" t="s">
        <v>169</v>
      </c>
      <c r="B568" s="103" t="s">
        <v>588</v>
      </c>
      <c r="D568" s="103" t="s">
        <v>1474</v>
      </c>
      <c r="E568" s="103" t="s">
        <v>2272</v>
      </c>
      <c r="F568" s="103" t="s">
        <v>2273</v>
      </c>
      <c r="G568" s="103" t="s">
        <v>2326</v>
      </c>
      <c r="H568" s="103" t="s">
        <v>3206</v>
      </c>
      <c r="I568" s="103" t="s">
        <v>2615</v>
      </c>
      <c r="J568" s="103" t="s">
        <v>3207</v>
      </c>
      <c r="M568" s="103">
        <v>0.86304100000000006</v>
      </c>
      <c r="P568" s="103">
        <v>18.88</v>
      </c>
      <c r="Q568" s="2"/>
      <c r="R568" s="2" t="s">
        <v>3041</v>
      </c>
      <c r="S568" s="2" t="s">
        <v>3163</v>
      </c>
      <c r="V568" s="69"/>
      <c r="W568" s="69"/>
    </row>
    <row r="569" spans="1:23">
      <c r="A569" s="103" t="s">
        <v>169</v>
      </c>
      <c r="B569" s="103" t="s">
        <v>588</v>
      </c>
      <c r="D569" s="103" t="s">
        <v>1474</v>
      </c>
      <c r="E569" s="103" t="s">
        <v>2272</v>
      </c>
      <c r="F569" s="103" t="s">
        <v>2273</v>
      </c>
      <c r="G569" s="103" t="s">
        <v>2328</v>
      </c>
      <c r="H569" s="103" t="s">
        <v>3208</v>
      </c>
      <c r="I569" s="103" t="s">
        <v>2615</v>
      </c>
      <c r="J569" s="103" t="s">
        <v>3209</v>
      </c>
      <c r="M569" s="103">
        <v>0.87422500000000014</v>
      </c>
      <c r="P569" s="103">
        <v>18.05</v>
      </c>
      <c r="Q569" s="2"/>
      <c r="R569" s="2" t="s">
        <v>3041</v>
      </c>
      <c r="S569" s="2" t="s">
        <v>3163</v>
      </c>
      <c r="V569" s="69"/>
      <c r="W569" s="69"/>
    </row>
    <row r="570" spans="1:23">
      <c r="A570" s="103" t="s">
        <v>169</v>
      </c>
      <c r="B570" s="103" t="s">
        <v>588</v>
      </c>
      <c r="D570" s="103" t="s">
        <v>1474</v>
      </c>
      <c r="E570" s="103" t="s">
        <v>2272</v>
      </c>
      <c r="F570" s="103" t="s">
        <v>2273</v>
      </c>
      <c r="G570" s="103" t="s">
        <v>2330</v>
      </c>
      <c r="H570" s="103" t="s">
        <v>3210</v>
      </c>
      <c r="I570" s="103" t="s">
        <v>2615</v>
      </c>
      <c r="J570" s="103" t="s">
        <v>3211</v>
      </c>
      <c r="M570" s="103">
        <v>0.87796900000000011</v>
      </c>
      <c r="P570" s="103">
        <v>17.72</v>
      </c>
      <c r="Q570" s="2"/>
      <c r="R570" s="2" t="s">
        <v>3041</v>
      </c>
      <c r="S570" s="2" t="s">
        <v>3163</v>
      </c>
      <c r="V570" s="69"/>
      <c r="W570" s="69"/>
    </row>
    <row r="571" spans="1:23">
      <c r="A571" s="103" t="s">
        <v>169</v>
      </c>
      <c r="B571" s="103" t="s">
        <v>588</v>
      </c>
      <c r="D571" s="103" t="s">
        <v>1474</v>
      </c>
      <c r="E571" s="103" t="s">
        <v>2272</v>
      </c>
      <c r="F571" s="103" t="s">
        <v>2273</v>
      </c>
      <c r="G571" s="103" t="s">
        <v>2332</v>
      </c>
      <c r="H571" s="103" t="s">
        <v>3212</v>
      </c>
      <c r="I571" s="103" t="s">
        <v>2615</v>
      </c>
      <c r="J571" s="103" t="s">
        <v>3213</v>
      </c>
      <c r="M571" s="103">
        <v>0.89870399999999995</v>
      </c>
      <c r="P571" s="103">
        <v>16.14</v>
      </c>
      <c r="Q571" s="2"/>
      <c r="R571" s="2" t="s">
        <v>3041</v>
      </c>
      <c r="S571" s="2" t="s">
        <v>3163</v>
      </c>
      <c r="V571" s="69"/>
      <c r="W571" s="69"/>
    </row>
    <row r="572" spans="1:23">
      <c r="A572" s="103" t="s">
        <v>169</v>
      </c>
      <c r="B572" s="103" t="s">
        <v>588</v>
      </c>
      <c r="D572" s="103" t="s">
        <v>1474</v>
      </c>
      <c r="E572" s="103" t="s">
        <v>2272</v>
      </c>
      <c r="F572" s="103" t="s">
        <v>2273</v>
      </c>
      <c r="G572" s="103" t="s">
        <v>3214</v>
      </c>
      <c r="H572" s="103" t="s">
        <v>3215</v>
      </c>
      <c r="I572" s="103" t="s">
        <v>2615</v>
      </c>
      <c r="J572" s="103" t="s">
        <v>3216</v>
      </c>
      <c r="M572" s="103">
        <v>0.79388100000000006</v>
      </c>
      <c r="P572" s="103">
        <v>23.13</v>
      </c>
      <c r="Q572" s="2"/>
      <c r="R572" s="2" t="s">
        <v>3041</v>
      </c>
      <c r="S572" s="2" t="s">
        <v>3163</v>
      </c>
      <c r="V572" s="69"/>
      <c r="W572" s="69"/>
    </row>
    <row r="573" spans="1:23">
      <c r="A573" s="103" t="s">
        <v>169</v>
      </c>
      <c r="B573" s="103" t="s">
        <v>588</v>
      </c>
      <c r="D573" s="103" t="s">
        <v>1474</v>
      </c>
      <c r="E573" s="103" t="s">
        <v>2272</v>
      </c>
      <c r="F573" s="103" t="s">
        <v>2273</v>
      </c>
      <c r="G573" s="103" t="s">
        <v>3217</v>
      </c>
      <c r="H573" s="103" t="s">
        <v>3218</v>
      </c>
      <c r="I573" s="103" t="s">
        <v>2615</v>
      </c>
      <c r="J573" s="103" t="s">
        <v>3219</v>
      </c>
      <c r="M573" s="103">
        <v>0.91202499999999997</v>
      </c>
      <c r="P573" s="103">
        <v>15.06</v>
      </c>
      <c r="Q573" s="2"/>
      <c r="R573" s="2" t="s">
        <v>3041</v>
      </c>
      <c r="S573" s="2" t="s">
        <v>3163</v>
      </c>
      <c r="V573" s="69"/>
      <c r="W573" s="69"/>
    </row>
    <row r="574" spans="1:23">
      <c r="A574" s="103" t="s">
        <v>169</v>
      </c>
      <c r="B574" s="103" t="s">
        <v>588</v>
      </c>
      <c r="D574" s="103" t="s">
        <v>1474</v>
      </c>
      <c r="E574" s="103" t="s">
        <v>2272</v>
      </c>
      <c r="F574" s="103" t="s">
        <v>2273</v>
      </c>
      <c r="G574" s="103" t="s">
        <v>3220</v>
      </c>
      <c r="H574" s="103" t="s">
        <v>3221</v>
      </c>
      <c r="I574" s="103" t="s">
        <v>2615</v>
      </c>
      <c r="J574" s="103" t="s">
        <v>3222</v>
      </c>
      <c r="M574" s="103">
        <v>0.9044009999999999</v>
      </c>
      <c r="P574" s="103">
        <v>15.74</v>
      </c>
      <c r="Q574" s="2"/>
      <c r="R574" s="2" t="s">
        <v>3041</v>
      </c>
      <c r="S574" s="2" t="s">
        <v>3163</v>
      </c>
      <c r="V574" s="69"/>
      <c r="W574" s="69"/>
    </row>
    <row r="575" spans="1:23">
      <c r="A575" s="103" t="s">
        <v>169</v>
      </c>
      <c r="B575" s="103" t="s">
        <v>588</v>
      </c>
      <c r="D575" s="103" t="s">
        <v>1474</v>
      </c>
      <c r="E575" s="103" t="s">
        <v>2272</v>
      </c>
      <c r="F575" s="103" t="s">
        <v>2273</v>
      </c>
      <c r="G575" s="103" t="s">
        <v>3223</v>
      </c>
      <c r="H575" s="103" t="s">
        <v>3224</v>
      </c>
      <c r="I575" s="103" t="s">
        <v>2615</v>
      </c>
      <c r="J575" s="103" t="s">
        <v>3225</v>
      </c>
      <c r="M575" s="103">
        <v>0.94672899999999993</v>
      </c>
      <c r="P575" s="103">
        <v>11.58</v>
      </c>
      <c r="Q575" s="2"/>
      <c r="R575" s="2" t="s">
        <v>3041</v>
      </c>
      <c r="S575" s="2" t="s">
        <v>3163</v>
      </c>
      <c r="V575" s="69"/>
      <c r="W575" s="69"/>
    </row>
    <row r="576" spans="1:23">
      <c r="A576" s="103" t="s">
        <v>169</v>
      </c>
      <c r="B576" s="103" t="s">
        <v>588</v>
      </c>
      <c r="D576" s="103" t="s">
        <v>1474</v>
      </c>
      <c r="E576" s="103" t="s">
        <v>2272</v>
      </c>
      <c r="F576" s="103" t="s">
        <v>2273</v>
      </c>
      <c r="G576" s="103" t="s">
        <v>3226</v>
      </c>
      <c r="H576" s="103" t="s">
        <v>3227</v>
      </c>
      <c r="I576" s="103" t="s">
        <v>2615</v>
      </c>
      <c r="J576" s="103" t="s">
        <v>3228</v>
      </c>
      <c r="M576" s="103">
        <v>0.91968099999999997</v>
      </c>
      <c r="P576" s="103">
        <v>14.37</v>
      </c>
      <c r="Q576" s="2"/>
      <c r="R576" s="2" t="s">
        <v>3041</v>
      </c>
      <c r="S576" s="2" t="s">
        <v>3163</v>
      </c>
      <c r="V576" s="69"/>
      <c r="W576" s="69"/>
    </row>
    <row r="577" spans="1:23">
      <c r="A577" s="103" t="s">
        <v>169</v>
      </c>
      <c r="B577" s="103" t="s">
        <v>588</v>
      </c>
      <c r="D577" s="103" t="s">
        <v>1474</v>
      </c>
      <c r="E577" s="103" t="s">
        <v>2272</v>
      </c>
      <c r="F577" s="103" t="s">
        <v>2273</v>
      </c>
      <c r="G577" s="103" t="s">
        <v>3229</v>
      </c>
      <c r="H577" s="103" t="s">
        <v>3230</v>
      </c>
      <c r="I577" s="103" t="s">
        <v>2615</v>
      </c>
      <c r="J577" s="103" t="s">
        <v>3231</v>
      </c>
      <c r="M577" s="103">
        <v>0.9292959999999999</v>
      </c>
      <c r="P577" s="103">
        <v>13.49</v>
      </c>
      <c r="Q577" s="2"/>
      <c r="R577" s="2" t="s">
        <v>3041</v>
      </c>
      <c r="S577" s="2" t="s">
        <v>3163</v>
      </c>
      <c r="V577" s="69"/>
      <c r="W577" s="69"/>
    </row>
    <row r="578" spans="1:23">
      <c r="A578" s="103" t="s">
        <v>169</v>
      </c>
      <c r="B578" s="103" t="s">
        <v>588</v>
      </c>
      <c r="D578" s="103" t="s">
        <v>1474</v>
      </c>
      <c r="E578" s="103" t="s">
        <v>2272</v>
      </c>
      <c r="F578" s="103" t="s">
        <v>2273</v>
      </c>
      <c r="G578" s="103" t="s">
        <v>2282</v>
      </c>
      <c r="H578" s="103" t="s">
        <v>3232</v>
      </c>
      <c r="I578" s="103" t="s">
        <v>2615</v>
      </c>
      <c r="J578" s="103" t="s">
        <v>3233</v>
      </c>
      <c r="M578" s="103">
        <v>0.87235600000000013</v>
      </c>
      <c r="P578" s="103">
        <v>16.829999999999998</v>
      </c>
      <c r="Q578" s="2"/>
      <c r="R578" s="2" t="s">
        <v>3041</v>
      </c>
      <c r="S578" s="2" t="s">
        <v>3042</v>
      </c>
      <c r="V578" s="69"/>
      <c r="W578" s="69"/>
    </row>
    <row r="579" spans="1:23">
      <c r="A579" s="103" t="s">
        <v>169</v>
      </c>
      <c r="B579" s="103" t="s">
        <v>588</v>
      </c>
      <c r="D579" s="103" t="s">
        <v>1474</v>
      </c>
      <c r="E579" s="103" t="s">
        <v>2272</v>
      </c>
      <c r="F579" s="103" t="s">
        <v>2273</v>
      </c>
      <c r="G579" s="103" t="s">
        <v>2284</v>
      </c>
      <c r="H579" s="103" t="s">
        <v>3234</v>
      </c>
      <c r="I579" s="103" t="s">
        <v>2615</v>
      </c>
      <c r="J579" s="103" t="s">
        <v>3235</v>
      </c>
      <c r="M579" s="103">
        <v>0.98208099999999998</v>
      </c>
      <c r="P579" s="103">
        <v>6.24</v>
      </c>
      <c r="Q579" s="2"/>
      <c r="R579" s="2" t="s">
        <v>3041</v>
      </c>
      <c r="S579" s="2" t="s">
        <v>3042</v>
      </c>
      <c r="V579" s="69"/>
      <c r="W579" s="69"/>
    </row>
    <row r="580" spans="1:23">
      <c r="A580" s="103" t="s">
        <v>169</v>
      </c>
      <c r="B580" s="103" t="s">
        <v>588</v>
      </c>
      <c r="D580" s="103" t="s">
        <v>1474</v>
      </c>
      <c r="E580" s="103" t="s">
        <v>2272</v>
      </c>
      <c r="F580" s="103" t="s">
        <v>2273</v>
      </c>
      <c r="G580" s="103" t="s">
        <v>2286</v>
      </c>
      <c r="H580" s="103" t="s">
        <v>3236</v>
      </c>
      <c r="I580" s="103" t="s">
        <v>2615</v>
      </c>
      <c r="J580" s="103" t="s">
        <v>3237</v>
      </c>
      <c r="M580" s="103">
        <v>0.88924899999999996</v>
      </c>
      <c r="P580" s="103">
        <v>15.63</v>
      </c>
      <c r="Q580" s="2"/>
      <c r="R580" s="2" t="s">
        <v>3041</v>
      </c>
      <c r="S580" s="2" t="s">
        <v>3042</v>
      </c>
      <c r="V580" s="69"/>
      <c r="W580" s="69"/>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BF0CA-0319-4441-A5FE-7C65148B993C}">
  <dimension ref="A2:EH413"/>
  <sheetViews>
    <sheetView topLeftCell="A188" zoomScale="119" zoomScaleNormal="119" workbookViewId="0">
      <selection activeCell="T75" sqref="T75"/>
    </sheetView>
  </sheetViews>
  <sheetFormatPr baseColWidth="10" defaultColWidth="10.5" defaultRowHeight="16"/>
  <cols>
    <col min="1" max="2" width="10.83203125" style="16"/>
    <col min="3" max="3" width="18.5" style="16" customWidth="1"/>
    <col min="4" max="4" width="29.5" style="16" customWidth="1"/>
    <col min="5" max="5" width="18" style="16" customWidth="1"/>
    <col min="6" max="6" width="17.33203125" style="16" customWidth="1"/>
    <col min="7" max="7" width="21.5" style="16" customWidth="1"/>
    <col min="8" max="8" width="18" style="16" customWidth="1"/>
    <col min="9" max="9" width="10.83203125" style="16"/>
    <col min="10" max="10" width="17.33203125" style="16" customWidth="1"/>
    <col min="11" max="11" width="24.33203125" style="16" customWidth="1"/>
    <col min="12" max="12" width="27" style="16" customWidth="1"/>
    <col min="13" max="19" width="10.83203125" style="16"/>
    <col min="20" max="20" width="41.5" style="16" customWidth="1"/>
    <col min="21" max="21" width="31" style="16" customWidth="1"/>
    <col min="22" max="23" width="17.5" style="16" customWidth="1"/>
    <col min="24" max="24" width="43" style="16" customWidth="1"/>
    <col min="25" max="29" width="10.83203125" style="16"/>
  </cols>
  <sheetData>
    <row r="2" spans="1:36">
      <c r="A2" s="16" t="s">
        <v>3238</v>
      </c>
    </row>
    <row r="6" spans="1:36" s="17" customFormat="1" ht="19">
      <c r="A6" s="17" t="s">
        <v>218</v>
      </c>
      <c r="B6" s="17" t="s">
        <v>389</v>
      </c>
      <c r="C6" s="18" t="s">
        <v>390</v>
      </c>
      <c r="D6" s="18" t="s">
        <v>470</v>
      </c>
      <c r="E6" s="17">
        <v>892</v>
      </c>
      <c r="F6" s="17" t="s">
        <v>696</v>
      </c>
      <c r="G6" s="19" t="s">
        <v>276</v>
      </c>
      <c r="H6" s="17" t="s">
        <v>277</v>
      </c>
      <c r="I6" s="17" t="s">
        <v>225</v>
      </c>
      <c r="J6" s="19" t="s">
        <v>393</v>
      </c>
      <c r="K6" s="19" t="s">
        <v>3239</v>
      </c>
      <c r="L6" s="17" t="s">
        <v>402</v>
      </c>
      <c r="M6" s="17" t="s">
        <v>114</v>
      </c>
      <c r="N6" s="16"/>
      <c r="O6" s="16"/>
      <c r="P6" s="89">
        <v>8</v>
      </c>
      <c r="Q6" s="89"/>
      <c r="R6" s="16"/>
      <c r="X6" s="16"/>
      <c r="Y6" s="16"/>
      <c r="Z6" s="16"/>
      <c r="AA6" s="16"/>
      <c r="AB6" s="16"/>
      <c r="AC6" s="16"/>
      <c r="AD6" s="16"/>
      <c r="AE6" s="16"/>
      <c r="AF6" s="16"/>
      <c r="AG6" s="16"/>
      <c r="AH6" s="16"/>
      <c r="AI6" s="16"/>
      <c r="AJ6" s="16"/>
    </row>
    <row r="7" spans="1:36" s="17" customFormat="1" ht="19">
      <c r="A7" s="17" t="s">
        <v>218</v>
      </c>
      <c r="B7" s="17" t="s">
        <v>389</v>
      </c>
      <c r="C7" s="18" t="s">
        <v>390</v>
      </c>
      <c r="D7" s="18" t="s">
        <v>470</v>
      </c>
      <c r="E7" s="17">
        <v>892</v>
      </c>
      <c r="F7" s="17" t="s">
        <v>746</v>
      </c>
      <c r="G7" s="19" t="s">
        <v>276</v>
      </c>
      <c r="H7" s="17" t="s">
        <v>277</v>
      </c>
      <c r="I7" s="17" t="s">
        <v>225</v>
      </c>
      <c r="J7" s="19" t="s">
        <v>393</v>
      </c>
      <c r="K7" s="19" t="s">
        <v>3239</v>
      </c>
      <c r="L7" s="17" t="s">
        <v>402</v>
      </c>
      <c r="M7" s="17" t="s">
        <v>108</v>
      </c>
      <c r="N7" s="16"/>
      <c r="O7" s="16"/>
      <c r="P7" s="89">
        <v>7.5</v>
      </c>
      <c r="Q7" s="89"/>
      <c r="R7" s="16"/>
      <c r="X7" s="16"/>
      <c r="Y7" s="16"/>
      <c r="Z7" s="16"/>
      <c r="AA7" s="16"/>
      <c r="AB7" s="16"/>
      <c r="AC7" s="16"/>
      <c r="AD7" s="16"/>
      <c r="AE7" s="16"/>
      <c r="AF7" s="16"/>
      <c r="AG7" s="16"/>
      <c r="AH7" s="16"/>
      <c r="AI7" s="16"/>
      <c r="AJ7" s="16"/>
    </row>
    <row r="8" spans="1:36" s="17" customFormat="1" ht="19">
      <c r="A8" s="17" t="s">
        <v>218</v>
      </c>
      <c r="B8" s="17" t="s">
        <v>389</v>
      </c>
      <c r="C8" s="18" t="s">
        <v>390</v>
      </c>
      <c r="D8" s="18" t="s">
        <v>470</v>
      </c>
      <c r="E8" s="17">
        <v>892</v>
      </c>
      <c r="F8" s="17" t="s">
        <v>742</v>
      </c>
      <c r="G8" s="19" t="s">
        <v>276</v>
      </c>
      <c r="H8" s="17" t="s">
        <v>277</v>
      </c>
      <c r="I8" s="17" t="s">
        <v>225</v>
      </c>
      <c r="J8" s="19" t="s">
        <v>393</v>
      </c>
      <c r="K8" s="19" t="s">
        <v>3239</v>
      </c>
      <c r="L8" s="17" t="s">
        <v>402</v>
      </c>
      <c r="M8" s="17" t="s">
        <v>114</v>
      </c>
      <c r="N8" s="16"/>
      <c r="O8" s="16"/>
      <c r="P8" s="89">
        <v>7.2</v>
      </c>
      <c r="Q8" s="89"/>
      <c r="R8" s="16"/>
      <c r="X8" s="16"/>
      <c r="Y8" s="16"/>
      <c r="Z8" s="16"/>
      <c r="AA8" s="16"/>
      <c r="AB8" s="16"/>
      <c r="AC8" s="16"/>
      <c r="AD8" s="16"/>
      <c r="AE8" s="16"/>
      <c r="AF8" s="16"/>
      <c r="AG8" s="16"/>
      <c r="AH8" s="16"/>
      <c r="AI8" s="16"/>
      <c r="AJ8" s="16"/>
    </row>
    <row r="9" spans="1:36" s="17" customFormat="1" ht="19">
      <c r="A9" s="17" t="s">
        <v>218</v>
      </c>
      <c r="B9" s="17" t="s">
        <v>389</v>
      </c>
      <c r="C9" s="18" t="s">
        <v>390</v>
      </c>
      <c r="D9" s="18" t="s">
        <v>470</v>
      </c>
      <c r="E9" s="17">
        <v>892</v>
      </c>
      <c r="F9" s="17" t="s">
        <v>747</v>
      </c>
      <c r="G9" s="19" t="s">
        <v>276</v>
      </c>
      <c r="H9" s="17" t="s">
        <v>277</v>
      </c>
      <c r="I9" s="17" t="s">
        <v>225</v>
      </c>
      <c r="J9" s="19" t="s">
        <v>393</v>
      </c>
      <c r="K9" s="19" t="s">
        <v>3239</v>
      </c>
      <c r="L9" s="17" t="s">
        <v>402</v>
      </c>
      <c r="M9" s="17" t="s">
        <v>108</v>
      </c>
      <c r="N9" s="16"/>
      <c r="O9" s="16"/>
      <c r="P9" s="89">
        <v>7.5</v>
      </c>
      <c r="Q9" s="89"/>
      <c r="R9" s="16"/>
      <c r="X9" s="16"/>
      <c r="Y9" s="16"/>
      <c r="Z9" s="16"/>
      <c r="AA9" s="16"/>
      <c r="AB9" s="16"/>
      <c r="AC9" s="16"/>
      <c r="AD9" s="16"/>
      <c r="AE9" s="16"/>
      <c r="AF9" s="16"/>
      <c r="AG9" s="16"/>
      <c r="AH9" s="16"/>
      <c r="AI9" s="16"/>
      <c r="AJ9" s="16"/>
    </row>
    <row r="10" spans="1:36" s="17" customFormat="1" ht="19">
      <c r="A10" s="17" t="s">
        <v>218</v>
      </c>
      <c r="B10" s="17" t="s">
        <v>389</v>
      </c>
      <c r="C10" s="18" t="s">
        <v>390</v>
      </c>
      <c r="D10" s="18" t="s">
        <v>470</v>
      </c>
      <c r="E10" s="17">
        <v>892</v>
      </c>
      <c r="F10" s="17" t="s">
        <v>749</v>
      </c>
      <c r="G10" s="19" t="s">
        <v>276</v>
      </c>
      <c r="H10" s="17" t="s">
        <v>277</v>
      </c>
      <c r="I10" s="17" t="s">
        <v>225</v>
      </c>
      <c r="J10" s="19" t="s">
        <v>393</v>
      </c>
      <c r="K10" s="19" t="s">
        <v>3239</v>
      </c>
      <c r="L10" s="17" t="s">
        <v>402</v>
      </c>
      <c r="M10" s="17" t="s">
        <v>108</v>
      </c>
      <c r="N10" s="16"/>
      <c r="O10" s="16"/>
      <c r="P10" s="89">
        <v>7.6</v>
      </c>
      <c r="Q10" s="89"/>
      <c r="R10" s="16"/>
      <c r="X10" s="16"/>
      <c r="Y10" s="16"/>
      <c r="Z10" s="16"/>
      <c r="AA10" s="16"/>
      <c r="AB10" s="16"/>
      <c r="AC10" s="16"/>
      <c r="AD10" s="16"/>
      <c r="AE10" s="16"/>
      <c r="AF10" s="16"/>
      <c r="AG10" s="16"/>
      <c r="AH10" s="16"/>
      <c r="AI10" s="16"/>
      <c r="AJ10" s="16"/>
    </row>
    <row r="11" spans="1:36" s="17" customFormat="1" ht="19">
      <c r="A11" s="17" t="s">
        <v>218</v>
      </c>
      <c r="B11" s="17" t="s">
        <v>389</v>
      </c>
      <c r="C11" s="18" t="s">
        <v>390</v>
      </c>
      <c r="D11" s="18" t="s">
        <v>470</v>
      </c>
      <c r="E11" s="17">
        <v>892</v>
      </c>
      <c r="F11" s="17" t="s">
        <v>751</v>
      </c>
      <c r="G11" s="19" t="s">
        <v>276</v>
      </c>
      <c r="H11" s="17" t="s">
        <v>277</v>
      </c>
      <c r="I11" s="17" t="s">
        <v>225</v>
      </c>
      <c r="J11" s="19" t="s">
        <v>393</v>
      </c>
      <c r="K11" s="19" t="s">
        <v>3239</v>
      </c>
      <c r="L11" s="17" t="s">
        <v>402</v>
      </c>
      <c r="M11" s="17" t="s">
        <v>108</v>
      </c>
      <c r="N11" s="16"/>
      <c r="O11" s="16"/>
      <c r="P11" s="89">
        <v>8</v>
      </c>
      <c r="Q11" s="89"/>
      <c r="R11" s="16"/>
      <c r="S11" s="90"/>
      <c r="X11" s="16"/>
      <c r="Y11" s="16"/>
      <c r="Z11" s="16"/>
      <c r="AA11" s="16"/>
      <c r="AB11" s="16"/>
      <c r="AC11" s="16"/>
      <c r="AD11" s="16"/>
      <c r="AE11" s="16"/>
      <c r="AF11" s="16"/>
      <c r="AG11" s="16"/>
      <c r="AH11" s="16"/>
      <c r="AI11" s="16"/>
      <c r="AJ11" s="16"/>
    </row>
    <row r="12" spans="1:36" s="17" customFormat="1" ht="19">
      <c r="A12" s="17" t="s">
        <v>218</v>
      </c>
      <c r="B12" s="17" t="s">
        <v>389</v>
      </c>
      <c r="C12" s="18" t="s">
        <v>390</v>
      </c>
      <c r="D12" s="18" t="s">
        <v>470</v>
      </c>
      <c r="E12" s="17">
        <v>892</v>
      </c>
      <c r="F12" s="17" t="s">
        <v>739</v>
      </c>
      <c r="G12" s="19" t="s">
        <v>276</v>
      </c>
      <c r="H12" s="17" t="s">
        <v>277</v>
      </c>
      <c r="I12" s="17" t="s">
        <v>225</v>
      </c>
      <c r="J12" s="19" t="s">
        <v>393</v>
      </c>
      <c r="K12" s="19" t="s">
        <v>3239</v>
      </c>
      <c r="L12" s="17" t="s">
        <v>402</v>
      </c>
      <c r="M12" s="17" t="s">
        <v>108</v>
      </c>
      <c r="N12" s="16"/>
      <c r="O12" s="16"/>
      <c r="P12" s="89">
        <v>6.9</v>
      </c>
      <c r="Q12" s="89"/>
      <c r="R12" s="16"/>
      <c r="X12" s="16"/>
      <c r="Y12" s="16"/>
      <c r="Z12" s="16"/>
      <c r="AA12" s="16"/>
      <c r="AB12" s="16"/>
      <c r="AC12" s="16"/>
      <c r="AD12" s="16"/>
      <c r="AE12" s="16"/>
      <c r="AF12" s="16"/>
      <c r="AG12" s="16"/>
      <c r="AH12" s="16"/>
      <c r="AI12" s="16"/>
      <c r="AJ12" s="16"/>
    </row>
    <row r="13" spans="1:36" s="17" customFormat="1" ht="19">
      <c r="A13" s="17" t="s">
        <v>218</v>
      </c>
      <c r="B13" s="17" t="s">
        <v>389</v>
      </c>
      <c r="C13" s="18" t="s">
        <v>390</v>
      </c>
      <c r="D13" s="18" t="s">
        <v>470</v>
      </c>
      <c r="E13" s="17">
        <v>892</v>
      </c>
      <c r="F13" s="17" t="s">
        <v>741</v>
      </c>
      <c r="G13" s="19" t="s">
        <v>276</v>
      </c>
      <c r="H13" s="17" t="s">
        <v>277</v>
      </c>
      <c r="I13" s="17" t="s">
        <v>225</v>
      </c>
      <c r="J13" s="19" t="s">
        <v>393</v>
      </c>
      <c r="K13" s="19" t="s">
        <v>3239</v>
      </c>
      <c r="L13" s="17" t="s">
        <v>402</v>
      </c>
      <c r="M13" s="17" t="s">
        <v>114</v>
      </c>
      <c r="N13" s="16"/>
      <c r="O13" s="16"/>
      <c r="P13" s="89">
        <v>7</v>
      </c>
      <c r="Q13" s="89"/>
      <c r="R13" s="16"/>
      <c r="S13" s="90"/>
      <c r="X13" s="16"/>
      <c r="Y13" s="16"/>
      <c r="Z13" s="16"/>
      <c r="AA13" s="16"/>
      <c r="AB13" s="16"/>
      <c r="AC13" s="16"/>
      <c r="AD13" s="16"/>
      <c r="AE13" s="16"/>
      <c r="AF13" s="16"/>
      <c r="AG13" s="16"/>
      <c r="AH13" s="16"/>
      <c r="AI13" s="16"/>
      <c r="AJ13" s="16"/>
    </row>
    <row r="14" spans="1:36" s="17" customFormat="1" ht="19">
      <c r="A14" s="17" t="s">
        <v>218</v>
      </c>
      <c r="B14" s="17" t="s">
        <v>389</v>
      </c>
      <c r="C14" s="18" t="s">
        <v>390</v>
      </c>
      <c r="D14" s="18" t="s">
        <v>470</v>
      </c>
      <c r="E14" s="17">
        <v>892</v>
      </c>
      <c r="F14" s="17" t="s">
        <v>740</v>
      </c>
      <c r="G14" s="19" t="s">
        <v>276</v>
      </c>
      <c r="H14" s="17" t="s">
        <v>277</v>
      </c>
      <c r="I14" s="17" t="s">
        <v>225</v>
      </c>
      <c r="J14" s="19" t="s">
        <v>393</v>
      </c>
      <c r="K14" s="19" t="s">
        <v>3239</v>
      </c>
      <c r="L14" s="17" t="s">
        <v>402</v>
      </c>
      <c r="M14" s="17" t="s">
        <v>108</v>
      </c>
      <c r="N14" s="16"/>
      <c r="O14" s="16"/>
      <c r="P14" s="89">
        <v>6.9</v>
      </c>
      <c r="Q14" s="89"/>
      <c r="R14" s="16"/>
      <c r="S14" s="90"/>
      <c r="X14" s="16"/>
      <c r="Y14" s="16"/>
      <c r="Z14" s="16"/>
      <c r="AA14" s="16"/>
      <c r="AB14" s="16"/>
      <c r="AC14" s="16"/>
      <c r="AD14" s="16"/>
      <c r="AE14" s="16"/>
      <c r="AF14" s="16"/>
      <c r="AG14" s="16"/>
      <c r="AH14" s="16"/>
      <c r="AI14" s="16"/>
      <c r="AJ14" s="16"/>
    </row>
    <row r="15" spans="1:36" s="17" customFormat="1" ht="57">
      <c r="A15" s="17" t="s">
        <v>218</v>
      </c>
      <c r="B15" s="17" t="s">
        <v>389</v>
      </c>
      <c r="C15" s="18" t="s">
        <v>390</v>
      </c>
      <c r="D15" s="18" t="s">
        <v>470</v>
      </c>
      <c r="E15" s="17">
        <v>892</v>
      </c>
      <c r="F15" s="17" t="s">
        <v>743</v>
      </c>
      <c r="G15" s="19" t="s">
        <v>276</v>
      </c>
      <c r="H15" s="17" t="s">
        <v>277</v>
      </c>
      <c r="I15" s="17" t="s">
        <v>225</v>
      </c>
      <c r="J15" s="19" t="s">
        <v>393</v>
      </c>
      <c r="K15" s="19" t="s">
        <v>3240</v>
      </c>
      <c r="L15" s="17" t="s">
        <v>715</v>
      </c>
      <c r="M15" s="17" t="s">
        <v>114</v>
      </c>
      <c r="N15" s="16"/>
      <c r="O15" s="16"/>
      <c r="P15" s="89">
        <v>42.3</v>
      </c>
      <c r="Q15" s="89"/>
      <c r="R15" s="16"/>
      <c r="S15" s="66">
        <f t="shared" ref="S15:S20" si="0">10^(((LOG(P15))*3.5526)+-2.9997)</f>
        <v>599.84188678008536</v>
      </c>
      <c r="T15" s="17" t="s">
        <v>3241</v>
      </c>
      <c r="U15" s="17">
        <v>0.93</v>
      </c>
      <c r="V15" s="17">
        <v>26</v>
      </c>
      <c r="W15" s="81" t="s">
        <v>694</v>
      </c>
      <c r="X15" s="16"/>
      <c r="Y15" s="16"/>
      <c r="Z15" s="16"/>
      <c r="AA15" s="16"/>
      <c r="AB15" s="16"/>
      <c r="AC15" s="16"/>
      <c r="AD15" s="16"/>
      <c r="AE15" s="16"/>
      <c r="AF15" s="16"/>
      <c r="AG15" s="16"/>
      <c r="AH15" s="16"/>
      <c r="AI15" s="16"/>
      <c r="AJ15" s="16"/>
    </row>
    <row r="16" spans="1:36" s="17" customFormat="1" ht="57">
      <c r="A16" s="17" t="s">
        <v>218</v>
      </c>
      <c r="B16" s="17" t="s">
        <v>389</v>
      </c>
      <c r="C16" s="18" t="s">
        <v>390</v>
      </c>
      <c r="D16" s="18" t="s">
        <v>470</v>
      </c>
      <c r="E16" s="17">
        <v>892</v>
      </c>
      <c r="F16" s="17" t="s">
        <v>768</v>
      </c>
      <c r="G16" s="19" t="s">
        <v>276</v>
      </c>
      <c r="H16" s="17" t="s">
        <v>277</v>
      </c>
      <c r="I16" s="17" t="s">
        <v>225</v>
      </c>
      <c r="J16" s="19" t="s">
        <v>393</v>
      </c>
      <c r="K16" s="19" t="s">
        <v>3240</v>
      </c>
      <c r="L16" s="17" t="s">
        <v>715</v>
      </c>
      <c r="M16" s="17" t="s">
        <v>108</v>
      </c>
      <c r="N16" s="16"/>
      <c r="O16" s="16"/>
      <c r="P16" s="89">
        <v>42</v>
      </c>
      <c r="Q16" s="89"/>
      <c r="R16" s="16"/>
      <c r="S16" s="66">
        <f t="shared" si="0"/>
        <v>584.8647257507165</v>
      </c>
      <c r="T16" s="17" t="s">
        <v>3241</v>
      </c>
      <c r="U16" s="17">
        <v>0.93</v>
      </c>
      <c r="V16" s="17">
        <v>26</v>
      </c>
      <c r="W16" s="81" t="s">
        <v>694</v>
      </c>
      <c r="X16" s="16"/>
      <c r="Y16" s="16"/>
      <c r="Z16" s="16"/>
      <c r="AA16" s="16"/>
      <c r="AB16" s="16"/>
      <c r="AC16" s="16"/>
      <c r="AD16" s="16"/>
      <c r="AE16" s="16"/>
      <c r="AF16" s="16"/>
      <c r="AG16" s="16"/>
      <c r="AH16" s="16"/>
      <c r="AI16" s="16"/>
      <c r="AJ16" s="16"/>
    </row>
    <row r="17" spans="1:137" s="17" customFormat="1" ht="57">
      <c r="A17" s="17" t="s">
        <v>218</v>
      </c>
      <c r="B17" s="17" t="s">
        <v>389</v>
      </c>
      <c r="C17" s="18" t="s">
        <v>390</v>
      </c>
      <c r="D17" s="18" t="s">
        <v>470</v>
      </c>
      <c r="E17" s="17">
        <v>892</v>
      </c>
      <c r="F17" s="17" t="s">
        <v>738</v>
      </c>
      <c r="G17" s="19" t="s">
        <v>276</v>
      </c>
      <c r="H17" s="17" t="s">
        <v>277</v>
      </c>
      <c r="I17" s="17" t="s">
        <v>225</v>
      </c>
      <c r="J17" s="19" t="s">
        <v>393</v>
      </c>
      <c r="K17" s="91" t="s">
        <v>3240</v>
      </c>
      <c r="L17" s="92" t="s">
        <v>715</v>
      </c>
      <c r="M17" s="92" t="s">
        <v>108</v>
      </c>
      <c r="N17" s="16"/>
      <c r="O17" s="16"/>
      <c r="P17" s="89">
        <v>43</v>
      </c>
      <c r="Q17" s="89"/>
      <c r="R17" s="16"/>
      <c r="S17" s="66">
        <f t="shared" si="0"/>
        <v>635.85784713174121</v>
      </c>
      <c r="T17" s="17" t="s">
        <v>3241</v>
      </c>
      <c r="U17" s="17">
        <v>0.93</v>
      </c>
      <c r="V17" s="17">
        <v>26</v>
      </c>
      <c r="W17" s="81" t="s">
        <v>694</v>
      </c>
      <c r="X17" s="16"/>
      <c r="Y17" s="16"/>
      <c r="Z17" s="16"/>
      <c r="AA17" s="16"/>
      <c r="AB17" s="16"/>
      <c r="AC17" s="16"/>
      <c r="AD17" s="16"/>
      <c r="AE17" s="16"/>
      <c r="AF17" s="16"/>
      <c r="AG17" s="16"/>
      <c r="AH17" s="16"/>
      <c r="AI17" s="16"/>
      <c r="AJ17" s="16"/>
    </row>
    <row r="18" spans="1:137" s="17" customFormat="1" ht="57">
      <c r="A18" s="17" t="s">
        <v>218</v>
      </c>
      <c r="B18" s="17" t="s">
        <v>389</v>
      </c>
      <c r="C18" s="18" t="s">
        <v>390</v>
      </c>
      <c r="D18" s="18" t="s">
        <v>470</v>
      </c>
      <c r="E18" s="17">
        <v>892</v>
      </c>
      <c r="F18" s="17" t="s">
        <v>738</v>
      </c>
      <c r="G18" s="19" t="s">
        <v>276</v>
      </c>
      <c r="H18" s="17" t="s">
        <v>277</v>
      </c>
      <c r="I18" s="17" t="s">
        <v>225</v>
      </c>
      <c r="J18" s="19" t="s">
        <v>393</v>
      </c>
      <c r="K18" s="91" t="s">
        <v>3240</v>
      </c>
      <c r="L18" s="92" t="s">
        <v>715</v>
      </c>
      <c r="M18" s="92" t="s">
        <v>108</v>
      </c>
      <c r="N18" s="16"/>
      <c r="O18" s="16"/>
      <c r="P18" s="89">
        <v>40.799999999999997</v>
      </c>
      <c r="Q18" s="89"/>
      <c r="R18" s="16"/>
      <c r="S18" s="66">
        <f t="shared" si="0"/>
        <v>527.63220469505461</v>
      </c>
      <c r="T18" s="17" t="s">
        <v>3241</v>
      </c>
      <c r="U18" s="17">
        <v>0.93</v>
      </c>
      <c r="V18" s="17">
        <v>26</v>
      </c>
      <c r="W18" s="81" t="s">
        <v>694</v>
      </c>
      <c r="X18" s="16"/>
      <c r="Y18" s="16"/>
      <c r="Z18" s="16"/>
      <c r="AA18" s="16"/>
      <c r="AB18" s="16"/>
      <c r="AC18" s="16"/>
      <c r="AD18" s="16"/>
      <c r="AE18" s="16"/>
      <c r="AF18" s="16"/>
      <c r="AG18" s="16"/>
      <c r="AH18" s="16"/>
      <c r="AI18" s="16"/>
      <c r="AJ18" s="16"/>
    </row>
    <row r="19" spans="1:137" s="17" customFormat="1" ht="57">
      <c r="A19" s="17" t="s">
        <v>218</v>
      </c>
      <c r="B19" s="17" t="s">
        <v>389</v>
      </c>
      <c r="C19" s="18" t="s">
        <v>390</v>
      </c>
      <c r="D19" s="18" t="s">
        <v>470</v>
      </c>
      <c r="E19" s="17">
        <v>892</v>
      </c>
      <c r="F19" s="17" t="s">
        <v>758</v>
      </c>
      <c r="G19" s="19" t="s">
        <v>276</v>
      </c>
      <c r="H19" s="17" t="s">
        <v>277</v>
      </c>
      <c r="I19" s="17" t="s">
        <v>225</v>
      </c>
      <c r="J19" s="19" t="s">
        <v>393</v>
      </c>
      <c r="K19" s="19" t="s">
        <v>3240</v>
      </c>
      <c r="L19" s="17" t="s">
        <v>715</v>
      </c>
      <c r="M19" s="17" t="s">
        <v>114</v>
      </c>
      <c r="N19" s="16"/>
      <c r="O19" s="16"/>
      <c r="P19" s="89">
        <v>39</v>
      </c>
      <c r="Q19" s="89"/>
      <c r="R19" s="16"/>
      <c r="S19" s="66">
        <f t="shared" si="0"/>
        <v>449.48595184961022</v>
      </c>
      <c r="T19" s="17" t="s">
        <v>3241</v>
      </c>
      <c r="U19" s="17">
        <v>0.93</v>
      </c>
      <c r="V19" s="17">
        <v>26</v>
      </c>
      <c r="W19" s="81" t="s">
        <v>694</v>
      </c>
      <c r="X19" s="16"/>
      <c r="Y19" s="16"/>
      <c r="Z19" s="16"/>
      <c r="AA19" s="16"/>
      <c r="AB19" s="16"/>
      <c r="AC19" s="16"/>
      <c r="AD19" s="16"/>
      <c r="AE19" s="16"/>
      <c r="AF19" s="16"/>
      <c r="AG19" s="16"/>
      <c r="AH19" s="16"/>
      <c r="AI19" s="16"/>
      <c r="AJ19" s="16"/>
    </row>
    <row r="20" spans="1:137" s="17" customFormat="1" ht="57">
      <c r="A20" s="17" t="s">
        <v>218</v>
      </c>
      <c r="B20" s="17" t="s">
        <v>389</v>
      </c>
      <c r="C20" s="18" t="s">
        <v>390</v>
      </c>
      <c r="D20" s="18" t="s">
        <v>470</v>
      </c>
      <c r="E20" s="17">
        <v>892</v>
      </c>
      <c r="F20" s="17" t="s">
        <v>769</v>
      </c>
      <c r="G20" s="19" t="s">
        <v>276</v>
      </c>
      <c r="H20" s="17" t="s">
        <v>277</v>
      </c>
      <c r="I20" s="17" t="s">
        <v>225</v>
      </c>
      <c r="J20" s="19" t="s">
        <v>393</v>
      </c>
      <c r="K20" s="19" t="s">
        <v>3240</v>
      </c>
      <c r="L20" s="17" t="s">
        <v>715</v>
      </c>
      <c r="M20" s="17" t="s">
        <v>108</v>
      </c>
      <c r="N20" s="16"/>
      <c r="O20" s="16"/>
      <c r="P20" s="89">
        <v>42.8</v>
      </c>
      <c r="Q20" s="89"/>
      <c r="R20" s="16"/>
      <c r="S20" s="66">
        <f t="shared" si="0"/>
        <v>625.41333040251777</v>
      </c>
      <c r="T20" s="17" t="s">
        <v>3241</v>
      </c>
      <c r="U20" s="17">
        <v>0.93</v>
      </c>
      <c r="V20" s="17">
        <v>26</v>
      </c>
      <c r="W20" s="81" t="s">
        <v>694</v>
      </c>
      <c r="X20" s="16"/>
      <c r="Y20" s="16"/>
      <c r="Z20" s="16"/>
      <c r="AA20" s="16"/>
      <c r="AB20" s="16"/>
      <c r="AC20" s="16"/>
      <c r="AD20" s="16"/>
      <c r="AE20" s="16"/>
      <c r="AF20" s="16"/>
      <c r="AG20" s="16"/>
      <c r="AH20" s="16"/>
      <c r="AI20" s="16"/>
      <c r="AJ20" s="16"/>
    </row>
    <row r="21" spans="1:137" s="17" customFormat="1" ht="19">
      <c r="A21" s="17" t="s">
        <v>218</v>
      </c>
      <c r="B21" s="17" t="s">
        <v>389</v>
      </c>
      <c r="C21" s="18" t="s">
        <v>390</v>
      </c>
      <c r="D21" s="18" t="s">
        <v>470</v>
      </c>
      <c r="E21" s="17">
        <v>892</v>
      </c>
      <c r="F21" s="17" t="s">
        <v>760</v>
      </c>
      <c r="G21" s="19" t="s">
        <v>276</v>
      </c>
      <c r="H21" s="17" t="s">
        <v>277</v>
      </c>
      <c r="I21" s="17" t="s">
        <v>225</v>
      </c>
      <c r="J21" s="19" t="s">
        <v>393</v>
      </c>
      <c r="K21" s="19" t="s">
        <v>3242</v>
      </c>
      <c r="L21" s="17" t="s">
        <v>711</v>
      </c>
      <c r="M21" s="17" t="s">
        <v>108</v>
      </c>
      <c r="N21" s="16"/>
      <c r="O21" s="16"/>
      <c r="P21" s="89">
        <v>33.5</v>
      </c>
      <c r="Q21" s="89"/>
      <c r="R21" s="16"/>
      <c r="S21" s="20">
        <f t="shared" ref="S21:S30" si="1">10^((LOG(P21)*3.3633)+-2.4637)</f>
        <v>462.89575651040496</v>
      </c>
      <c r="T21" s="17" t="s">
        <v>3243</v>
      </c>
      <c r="U21" s="17">
        <v>0.93</v>
      </c>
      <c r="V21" s="17">
        <v>24</v>
      </c>
      <c r="W21" s="17" t="s">
        <v>713</v>
      </c>
      <c r="X21" s="16"/>
      <c r="Y21" s="16"/>
      <c r="Z21" s="16"/>
      <c r="AA21" s="16"/>
      <c r="AB21" s="16"/>
      <c r="AC21" s="16"/>
      <c r="AD21" s="16"/>
      <c r="AE21" s="16"/>
      <c r="AF21" s="16"/>
      <c r="AG21" s="16"/>
      <c r="AH21" s="16"/>
      <c r="AI21" s="16"/>
      <c r="AJ21" s="16"/>
    </row>
    <row r="22" spans="1:137" s="17" customFormat="1" ht="19">
      <c r="A22" s="17" t="s">
        <v>218</v>
      </c>
      <c r="B22" s="17" t="s">
        <v>389</v>
      </c>
      <c r="C22" s="18" t="s">
        <v>390</v>
      </c>
      <c r="D22" s="18" t="s">
        <v>470</v>
      </c>
      <c r="E22" s="17">
        <v>892</v>
      </c>
      <c r="F22" s="17" t="s">
        <v>737</v>
      </c>
      <c r="G22" s="19" t="s">
        <v>276</v>
      </c>
      <c r="H22" s="17" t="s">
        <v>277</v>
      </c>
      <c r="I22" s="17" t="s">
        <v>225</v>
      </c>
      <c r="J22" s="19" t="s">
        <v>393</v>
      </c>
      <c r="K22" s="19" t="s">
        <v>3242</v>
      </c>
      <c r="L22" s="17" t="s">
        <v>711</v>
      </c>
      <c r="M22" s="17" t="s">
        <v>108</v>
      </c>
      <c r="N22" s="16"/>
      <c r="O22" s="16"/>
      <c r="P22" s="89">
        <v>30.3</v>
      </c>
      <c r="Q22" s="89"/>
      <c r="R22" s="16"/>
      <c r="S22" s="20">
        <f t="shared" si="1"/>
        <v>330.24480338901355</v>
      </c>
      <c r="T22" s="17" t="s">
        <v>3243</v>
      </c>
      <c r="U22" s="17">
        <v>0.93</v>
      </c>
      <c r="V22" s="17">
        <v>24</v>
      </c>
      <c r="W22" s="17" t="s">
        <v>713</v>
      </c>
      <c r="X22" s="16"/>
      <c r="Y22" s="16"/>
      <c r="Z22" s="16"/>
      <c r="AA22" s="16"/>
      <c r="AB22" s="16"/>
      <c r="AC22" s="16"/>
      <c r="AD22" s="16"/>
      <c r="AE22" s="16"/>
      <c r="AF22" s="16"/>
      <c r="AG22" s="16"/>
      <c r="AH22" s="16"/>
      <c r="AI22" s="16"/>
      <c r="AJ22" s="16"/>
    </row>
    <row r="23" spans="1:137" s="17" customFormat="1" ht="19">
      <c r="A23" s="17" t="s">
        <v>218</v>
      </c>
      <c r="B23" s="17" t="s">
        <v>389</v>
      </c>
      <c r="C23" s="18" t="s">
        <v>390</v>
      </c>
      <c r="D23" s="18" t="s">
        <v>470</v>
      </c>
      <c r="E23" s="17">
        <v>892</v>
      </c>
      <c r="F23" s="17" t="s">
        <v>737</v>
      </c>
      <c r="G23" s="19" t="s">
        <v>276</v>
      </c>
      <c r="H23" s="17" t="s">
        <v>277</v>
      </c>
      <c r="I23" s="17" t="s">
        <v>225</v>
      </c>
      <c r="J23" s="19" t="s">
        <v>393</v>
      </c>
      <c r="K23" s="19" t="s">
        <v>3242</v>
      </c>
      <c r="L23" s="17" t="s">
        <v>711</v>
      </c>
      <c r="M23" s="17" t="s">
        <v>114</v>
      </c>
      <c r="N23" s="16"/>
      <c r="O23" s="16"/>
      <c r="P23" s="89">
        <v>38.1</v>
      </c>
      <c r="Q23" s="89"/>
      <c r="R23" s="16"/>
      <c r="S23" s="20">
        <f t="shared" si="1"/>
        <v>713.55092043794536</v>
      </c>
      <c r="T23" s="17" t="s">
        <v>3243</v>
      </c>
      <c r="U23" s="17">
        <v>0.93</v>
      </c>
      <c r="V23" s="17">
        <v>24</v>
      </c>
      <c r="W23" s="17" t="s">
        <v>713</v>
      </c>
      <c r="X23" s="16"/>
      <c r="Y23" s="16"/>
      <c r="Z23" s="16"/>
      <c r="AA23" s="16"/>
      <c r="AB23" s="16"/>
      <c r="AC23" s="16"/>
      <c r="AD23" s="16"/>
      <c r="AE23" s="16"/>
      <c r="AF23" s="16"/>
      <c r="AG23" s="16"/>
      <c r="AH23" s="16"/>
      <c r="AI23" s="16"/>
      <c r="AJ23" s="16"/>
    </row>
    <row r="24" spans="1:137" s="17" customFormat="1" ht="19">
      <c r="A24" s="17" t="s">
        <v>218</v>
      </c>
      <c r="B24" s="17" t="s">
        <v>389</v>
      </c>
      <c r="C24" s="18" t="s">
        <v>390</v>
      </c>
      <c r="D24" s="18" t="s">
        <v>470</v>
      </c>
      <c r="E24" s="17">
        <v>892</v>
      </c>
      <c r="F24" s="17" t="s">
        <v>737</v>
      </c>
      <c r="G24" s="19" t="s">
        <v>276</v>
      </c>
      <c r="H24" s="17" t="s">
        <v>277</v>
      </c>
      <c r="I24" s="17" t="s">
        <v>225</v>
      </c>
      <c r="J24" s="19" t="s">
        <v>393</v>
      </c>
      <c r="K24" s="19" t="s">
        <v>3242</v>
      </c>
      <c r="L24" s="17" t="s">
        <v>711</v>
      </c>
      <c r="M24" s="17" t="s">
        <v>114</v>
      </c>
      <c r="N24" s="16"/>
      <c r="O24" s="16"/>
      <c r="P24" s="89">
        <v>39.700000000000003</v>
      </c>
      <c r="Q24" s="89"/>
      <c r="R24" s="16"/>
      <c r="S24" s="20">
        <f t="shared" si="1"/>
        <v>819.43047474602702</v>
      </c>
      <c r="T24" s="17" t="s">
        <v>3243</v>
      </c>
      <c r="U24" s="17">
        <v>0.93</v>
      </c>
      <c r="V24" s="17">
        <v>24</v>
      </c>
      <c r="W24" s="17" t="s">
        <v>713</v>
      </c>
      <c r="X24" s="16"/>
      <c r="Y24" s="16"/>
      <c r="Z24" s="16"/>
      <c r="AA24" s="16"/>
      <c r="AB24" s="16"/>
      <c r="AC24" s="16"/>
      <c r="AD24" s="16"/>
      <c r="AE24" s="16"/>
      <c r="AF24" s="16"/>
      <c r="AG24" s="16"/>
      <c r="AH24" s="16"/>
      <c r="AI24" s="16"/>
      <c r="AJ24" s="16"/>
    </row>
    <row r="25" spans="1:137" s="17" customFormat="1" ht="19">
      <c r="A25" s="17" t="s">
        <v>218</v>
      </c>
      <c r="B25" s="17" t="s">
        <v>389</v>
      </c>
      <c r="C25" s="18" t="s">
        <v>390</v>
      </c>
      <c r="D25" s="18" t="s">
        <v>470</v>
      </c>
      <c r="E25" s="17">
        <v>892</v>
      </c>
      <c r="F25" s="17" t="s">
        <v>737</v>
      </c>
      <c r="G25" s="19" t="s">
        <v>276</v>
      </c>
      <c r="H25" s="17" t="s">
        <v>277</v>
      </c>
      <c r="I25" s="17" t="s">
        <v>225</v>
      </c>
      <c r="J25" s="19" t="s">
        <v>393</v>
      </c>
      <c r="K25" s="19" t="s">
        <v>3242</v>
      </c>
      <c r="L25" s="17" t="s">
        <v>711</v>
      </c>
      <c r="M25" s="17" t="s">
        <v>108</v>
      </c>
      <c r="N25" s="16"/>
      <c r="O25" s="16"/>
      <c r="P25" s="89">
        <v>38</v>
      </c>
      <c r="Q25" s="89"/>
      <c r="R25" s="16"/>
      <c r="S25" s="20">
        <f t="shared" si="1"/>
        <v>707.27151997636906</v>
      </c>
      <c r="T25" s="17" t="s">
        <v>3243</v>
      </c>
      <c r="U25" s="17">
        <v>0.93</v>
      </c>
      <c r="V25" s="17">
        <v>24</v>
      </c>
      <c r="W25" s="17" t="s">
        <v>713</v>
      </c>
      <c r="X25" s="16"/>
      <c r="Y25" s="16"/>
      <c r="Z25" s="16"/>
      <c r="AA25" s="16"/>
      <c r="AB25" s="16"/>
      <c r="AC25" s="16"/>
      <c r="AD25" s="16"/>
      <c r="AE25" s="16"/>
      <c r="AF25" s="16"/>
      <c r="AG25" s="16"/>
      <c r="AH25" s="16"/>
      <c r="AI25" s="16"/>
      <c r="AJ25" s="16"/>
    </row>
    <row r="26" spans="1:137" s="17" customFormat="1" ht="19">
      <c r="A26" s="17" t="s">
        <v>218</v>
      </c>
      <c r="B26" s="17" t="s">
        <v>389</v>
      </c>
      <c r="C26" s="18" t="s">
        <v>390</v>
      </c>
      <c r="D26" s="18" t="s">
        <v>470</v>
      </c>
      <c r="E26" s="17">
        <v>892</v>
      </c>
      <c r="F26" s="17" t="s">
        <v>737</v>
      </c>
      <c r="G26" s="19" t="s">
        <v>276</v>
      </c>
      <c r="H26" s="17" t="s">
        <v>277</v>
      </c>
      <c r="I26" s="17" t="s">
        <v>225</v>
      </c>
      <c r="J26" s="19" t="s">
        <v>393</v>
      </c>
      <c r="K26" s="19" t="s">
        <v>3242</v>
      </c>
      <c r="L26" s="17" t="s">
        <v>711</v>
      </c>
      <c r="M26" s="17" t="s">
        <v>114</v>
      </c>
      <c r="N26" s="16"/>
      <c r="O26" s="16"/>
      <c r="P26" s="89">
        <v>38.700000000000003</v>
      </c>
      <c r="Q26" s="89"/>
      <c r="R26" s="16"/>
      <c r="S26" s="20">
        <f t="shared" si="1"/>
        <v>752.05272399737237</v>
      </c>
      <c r="T26" s="17" t="s">
        <v>3243</v>
      </c>
      <c r="U26" s="17">
        <v>0.93</v>
      </c>
      <c r="V26" s="17">
        <v>24</v>
      </c>
      <c r="W26" s="17" t="s">
        <v>713</v>
      </c>
      <c r="X26" s="16"/>
      <c r="Y26" s="16"/>
      <c r="Z26" s="16"/>
      <c r="AA26" s="16"/>
      <c r="AB26" s="16"/>
      <c r="AC26" s="16"/>
      <c r="AD26" s="16"/>
      <c r="AE26" s="16"/>
      <c r="AF26" s="16"/>
      <c r="AG26" s="16"/>
      <c r="AH26" s="16"/>
      <c r="AI26" s="16"/>
      <c r="AJ26" s="16"/>
    </row>
    <row r="27" spans="1:137" s="17" customFormat="1" ht="19">
      <c r="A27" s="17" t="s">
        <v>218</v>
      </c>
      <c r="B27" s="17" t="s">
        <v>389</v>
      </c>
      <c r="C27" s="18" t="s">
        <v>390</v>
      </c>
      <c r="D27" s="18" t="s">
        <v>470</v>
      </c>
      <c r="E27" s="17">
        <v>892</v>
      </c>
      <c r="F27" s="17" t="s">
        <v>770</v>
      </c>
      <c r="G27" s="19" t="s">
        <v>276</v>
      </c>
      <c r="H27" s="17" t="s">
        <v>277</v>
      </c>
      <c r="I27" s="17" t="s">
        <v>225</v>
      </c>
      <c r="J27" s="19" t="s">
        <v>393</v>
      </c>
      <c r="K27" s="19" t="s">
        <v>3242</v>
      </c>
      <c r="L27" s="17" t="s">
        <v>711</v>
      </c>
      <c r="M27" s="17" t="s">
        <v>108</v>
      </c>
      <c r="N27" s="16"/>
      <c r="O27" s="16"/>
      <c r="P27" s="89">
        <v>37.1</v>
      </c>
      <c r="Q27" s="89"/>
      <c r="R27" s="16"/>
      <c r="S27" s="20">
        <f t="shared" si="1"/>
        <v>652.49211856171894</v>
      </c>
      <c r="T27" s="17" t="s">
        <v>3243</v>
      </c>
      <c r="U27" s="17">
        <v>0.93</v>
      </c>
      <c r="V27" s="17">
        <v>24</v>
      </c>
      <c r="W27" s="17" t="s">
        <v>713</v>
      </c>
      <c r="X27" s="16"/>
      <c r="Y27" s="16"/>
      <c r="Z27" s="16"/>
      <c r="AA27" s="16"/>
      <c r="AB27" s="16"/>
      <c r="AC27" s="16"/>
      <c r="AD27" s="16"/>
      <c r="AE27" s="16"/>
      <c r="AF27" s="16"/>
      <c r="AG27" s="16"/>
      <c r="AH27" s="16"/>
      <c r="AI27" s="16"/>
      <c r="AJ27" s="16"/>
    </row>
    <row r="28" spans="1:137" s="17" customFormat="1" ht="19">
      <c r="A28" s="17" t="s">
        <v>218</v>
      </c>
      <c r="B28" s="17" t="s">
        <v>389</v>
      </c>
      <c r="C28" s="18" t="s">
        <v>390</v>
      </c>
      <c r="D28" s="18" t="s">
        <v>470</v>
      </c>
      <c r="E28" s="17">
        <v>892</v>
      </c>
      <c r="F28" s="17" t="s">
        <v>765</v>
      </c>
      <c r="G28" s="19" t="s">
        <v>276</v>
      </c>
      <c r="H28" s="17" t="s">
        <v>277</v>
      </c>
      <c r="I28" s="17" t="s">
        <v>225</v>
      </c>
      <c r="J28" s="19" t="s">
        <v>393</v>
      </c>
      <c r="K28" s="19" t="s">
        <v>3242</v>
      </c>
      <c r="L28" s="17" t="s">
        <v>711</v>
      </c>
      <c r="M28" s="17" t="s">
        <v>108</v>
      </c>
      <c r="N28" s="16"/>
      <c r="O28" s="16"/>
      <c r="P28" s="89">
        <v>35.200000000000003</v>
      </c>
      <c r="Q28" s="89"/>
      <c r="R28" s="16"/>
      <c r="S28" s="20">
        <f t="shared" si="1"/>
        <v>546.74766891223283</v>
      </c>
      <c r="T28" s="17" t="s">
        <v>3243</v>
      </c>
      <c r="U28" s="17">
        <v>0.93</v>
      </c>
      <c r="V28" s="17">
        <v>24</v>
      </c>
      <c r="W28" s="17" t="s">
        <v>713</v>
      </c>
      <c r="X28" s="16"/>
      <c r="Y28" s="16"/>
      <c r="Z28" s="16"/>
      <c r="AA28" s="16"/>
      <c r="AB28" s="16"/>
      <c r="AC28" s="16"/>
      <c r="AD28" s="16"/>
      <c r="AE28" s="16"/>
      <c r="AF28" s="16"/>
      <c r="AG28" s="16"/>
      <c r="AH28" s="16"/>
      <c r="AI28" s="16"/>
      <c r="AJ28" s="16"/>
    </row>
    <row r="29" spans="1:137" s="17" customFormat="1" ht="19">
      <c r="A29" s="17" t="s">
        <v>218</v>
      </c>
      <c r="B29" s="17" t="s">
        <v>389</v>
      </c>
      <c r="C29" s="18" t="s">
        <v>390</v>
      </c>
      <c r="D29" s="18" t="s">
        <v>470</v>
      </c>
      <c r="E29" s="17">
        <v>892</v>
      </c>
      <c r="F29" s="17" t="s">
        <v>766</v>
      </c>
      <c r="G29" s="19" t="s">
        <v>276</v>
      </c>
      <c r="H29" s="17" t="s">
        <v>277</v>
      </c>
      <c r="I29" s="17" t="s">
        <v>225</v>
      </c>
      <c r="J29" s="19" t="s">
        <v>393</v>
      </c>
      <c r="K29" s="19" t="s">
        <v>3242</v>
      </c>
      <c r="L29" s="17" t="s">
        <v>711</v>
      </c>
      <c r="M29" s="17" t="s">
        <v>108</v>
      </c>
      <c r="N29" s="16"/>
      <c r="O29" s="16"/>
      <c r="P29" s="89">
        <v>35.200000000000003</v>
      </c>
      <c r="Q29" s="89"/>
      <c r="R29" s="16"/>
      <c r="S29" s="20">
        <f t="shared" si="1"/>
        <v>546.74766891223283</v>
      </c>
      <c r="T29" s="17" t="s">
        <v>3243</v>
      </c>
      <c r="U29" s="17">
        <v>0.93</v>
      </c>
      <c r="V29" s="17">
        <v>24</v>
      </c>
      <c r="W29" s="17" t="s">
        <v>713</v>
      </c>
      <c r="X29" s="16"/>
      <c r="Y29" s="16"/>
      <c r="Z29" s="16"/>
      <c r="AA29" s="16"/>
      <c r="AB29" s="16"/>
      <c r="AC29" s="16"/>
      <c r="AD29" s="16"/>
      <c r="AE29" s="16"/>
      <c r="AF29" s="16"/>
      <c r="AG29" s="16"/>
      <c r="AH29" s="16"/>
      <c r="AI29" s="16"/>
      <c r="AJ29" s="16"/>
    </row>
    <row r="30" spans="1:137" s="17" customFormat="1" ht="19">
      <c r="A30" s="17" t="s">
        <v>218</v>
      </c>
      <c r="B30" s="17" t="s">
        <v>389</v>
      </c>
      <c r="C30" s="18" t="s">
        <v>390</v>
      </c>
      <c r="D30" s="18" t="s">
        <v>470</v>
      </c>
      <c r="E30" s="17">
        <v>892</v>
      </c>
      <c r="F30" s="17" t="s">
        <v>753</v>
      </c>
      <c r="G30" s="19" t="s">
        <v>276</v>
      </c>
      <c r="H30" s="17" t="s">
        <v>277</v>
      </c>
      <c r="I30" s="17" t="s">
        <v>225</v>
      </c>
      <c r="J30" s="19" t="s">
        <v>393</v>
      </c>
      <c r="K30" s="19" t="s">
        <v>3242</v>
      </c>
      <c r="L30" s="17" t="s">
        <v>711</v>
      </c>
      <c r="M30" s="17" t="s">
        <v>108</v>
      </c>
      <c r="N30" s="16"/>
      <c r="O30" s="16"/>
      <c r="P30" s="89">
        <v>30.3</v>
      </c>
      <c r="Q30" s="89"/>
      <c r="R30" s="16"/>
      <c r="S30" s="20">
        <f t="shared" si="1"/>
        <v>330.24480338901355</v>
      </c>
      <c r="T30" s="17" t="s">
        <v>3243</v>
      </c>
      <c r="U30" s="17">
        <v>0.93</v>
      </c>
      <c r="V30" s="17">
        <v>24</v>
      </c>
      <c r="W30" s="17" t="s">
        <v>713</v>
      </c>
      <c r="X30" s="16"/>
      <c r="Y30" s="16"/>
      <c r="Z30" s="16"/>
      <c r="AA30" s="16"/>
      <c r="AB30" s="16"/>
      <c r="AC30" s="16"/>
      <c r="AD30" s="16"/>
      <c r="AE30" s="16"/>
      <c r="AF30" s="16"/>
      <c r="AG30" s="16"/>
      <c r="AH30" s="16"/>
      <c r="AI30" s="16"/>
      <c r="AJ30" s="16"/>
    </row>
    <row r="31" spans="1:137" s="17" customFormat="1" ht="57">
      <c r="A31" s="17" t="s">
        <v>218</v>
      </c>
      <c r="B31" s="17" t="s">
        <v>389</v>
      </c>
      <c r="C31" s="18" t="s">
        <v>390</v>
      </c>
      <c r="D31" s="18" t="s">
        <v>470</v>
      </c>
      <c r="E31" s="17">
        <v>892</v>
      </c>
      <c r="F31" s="17" t="s">
        <v>738</v>
      </c>
      <c r="G31" s="19" t="s">
        <v>276</v>
      </c>
      <c r="H31" s="17" t="s">
        <v>277</v>
      </c>
      <c r="I31" s="17" t="s">
        <v>225</v>
      </c>
      <c r="J31" s="19" t="s">
        <v>105</v>
      </c>
      <c r="K31" s="19" t="s">
        <v>209</v>
      </c>
      <c r="L31" s="19" t="s">
        <v>216</v>
      </c>
      <c r="M31" s="17" t="s">
        <v>108</v>
      </c>
      <c r="P31" s="88">
        <v>3.08</v>
      </c>
      <c r="Q31" s="88">
        <v>1.7</v>
      </c>
      <c r="R31" s="17">
        <v>0</v>
      </c>
      <c r="S31" s="66">
        <v>626.31871667235305</v>
      </c>
      <c r="T31" s="19" t="s">
        <v>3244</v>
      </c>
      <c r="U31" s="21">
        <v>0.93500000000000005</v>
      </c>
      <c r="V31" s="86">
        <v>30.8</v>
      </c>
      <c r="W31" s="81" t="s">
        <v>700</v>
      </c>
      <c r="X31" s="16"/>
      <c r="Y31" s="16"/>
      <c r="Z31" s="16"/>
      <c r="AA31" s="16"/>
      <c r="AB31" s="16"/>
      <c r="AC31" s="16"/>
      <c r="AD31"/>
      <c r="AE31"/>
      <c r="AF31"/>
      <c r="AG31"/>
      <c r="AH31"/>
      <c r="AI31"/>
      <c r="AJ31"/>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row>
    <row r="32" spans="1:137" s="17" customFormat="1" ht="57">
      <c r="A32" s="17" t="s">
        <v>218</v>
      </c>
      <c r="B32" s="17" t="s">
        <v>389</v>
      </c>
      <c r="C32" s="18" t="s">
        <v>390</v>
      </c>
      <c r="D32" s="18" t="s">
        <v>470</v>
      </c>
      <c r="E32" s="17">
        <v>892</v>
      </c>
      <c r="F32" s="17">
        <v>493</v>
      </c>
      <c r="G32" s="19" t="s">
        <v>276</v>
      </c>
      <c r="H32" s="17" t="s">
        <v>277</v>
      </c>
      <c r="I32" s="17" t="s">
        <v>225</v>
      </c>
      <c r="J32" s="19" t="s">
        <v>105</v>
      </c>
      <c r="K32" s="19" t="s">
        <v>126</v>
      </c>
      <c r="L32" s="19" t="s">
        <v>127</v>
      </c>
      <c r="M32" s="17" t="s">
        <v>114</v>
      </c>
      <c r="P32" s="88">
        <v>4.4249999999999998</v>
      </c>
      <c r="Q32" s="88">
        <v>1.675</v>
      </c>
      <c r="R32" s="17">
        <v>0</v>
      </c>
      <c r="S32" s="66">
        <v>691.45387103875885</v>
      </c>
      <c r="T32" s="19" t="s">
        <v>3245</v>
      </c>
      <c r="U32" s="21">
        <v>0.94299999999999995</v>
      </c>
      <c r="V32" s="86">
        <v>29.1</v>
      </c>
      <c r="W32" s="81" t="s">
        <v>700</v>
      </c>
      <c r="X32" s="16"/>
      <c r="Y32" s="16"/>
      <c r="Z32" s="16"/>
      <c r="AA32" s="16"/>
      <c r="AB32" s="16"/>
      <c r="AC32" s="16"/>
      <c r="AD32"/>
      <c r="AE32"/>
      <c r="AF32"/>
      <c r="AG32"/>
      <c r="AH32"/>
      <c r="AI32"/>
      <c r="AJ32"/>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row>
    <row r="33" spans="1:137" s="17" customFormat="1" ht="57">
      <c r="A33" s="17" t="s">
        <v>218</v>
      </c>
      <c r="B33" s="17" t="s">
        <v>389</v>
      </c>
      <c r="C33" s="18" t="s">
        <v>390</v>
      </c>
      <c r="D33" s="18" t="s">
        <v>470</v>
      </c>
      <c r="E33" s="17">
        <v>892</v>
      </c>
      <c r="F33" s="17" t="s">
        <v>772</v>
      </c>
      <c r="G33" s="19" t="s">
        <v>276</v>
      </c>
      <c r="H33" s="17" t="s">
        <v>277</v>
      </c>
      <c r="I33" s="17" t="s">
        <v>225</v>
      </c>
      <c r="J33" s="19" t="s">
        <v>105</v>
      </c>
      <c r="K33" s="19" t="s">
        <v>126</v>
      </c>
      <c r="L33" s="19" t="s">
        <v>127</v>
      </c>
      <c r="M33" s="17" t="s">
        <v>108</v>
      </c>
      <c r="P33" s="88">
        <v>4.43</v>
      </c>
      <c r="Q33" s="88">
        <v>1.81</v>
      </c>
      <c r="R33" s="17">
        <v>0</v>
      </c>
      <c r="S33" s="66">
        <v>785.65098073225533</v>
      </c>
      <c r="T33" s="19" t="s">
        <v>3245</v>
      </c>
      <c r="U33" s="21">
        <v>0.94299999999999995</v>
      </c>
      <c r="V33" s="86">
        <v>29.1</v>
      </c>
      <c r="W33" s="81" t="s">
        <v>700</v>
      </c>
      <c r="X33" s="16"/>
      <c r="Y33" s="16"/>
      <c r="Z33" s="16"/>
      <c r="AA33" s="16"/>
      <c r="AB33" s="16"/>
      <c r="AC33" s="16"/>
      <c r="AD33"/>
      <c r="AE33"/>
      <c r="AF33"/>
      <c r="AG33"/>
      <c r="AH33"/>
      <c r="AI33"/>
      <c r="AJ33"/>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row>
    <row r="34" spans="1:137" s="17" customFormat="1" ht="57">
      <c r="A34" s="17" t="s">
        <v>218</v>
      </c>
      <c r="B34" s="17" t="s">
        <v>389</v>
      </c>
      <c r="C34" s="18" t="s">
        <v>390</v>
      </c>
      <c r="D34" s="18" t="s">
        <v>470</v>
      </c>
      <c r="E34" s="17">
        <v>892</v>
      </c>
      <c r="F34" s="17" t="s">
        <v>771</v>
      </c>
      <c r="G34" s="19" t="s">
        <v>276</v>
      </c>
      <c r="H34" s="17" t="s">
        <v>277</v>
      </c>
      <c r="I34" s="17" t="s">
        <v>225</v>
      </c>
      <c r="J34" s="19" t="s">
        <v>105</v>
      </c>
      <c r="K34" s="19" t="s">
        <v>126</v>
      </c>
      <c r="L34" s="19" t="s">
        <v>127</v>
      </c>
      <c r="M34" s="17" t="s">
        <v>114</v>
      </c>
      <c r="P34" s="88">
        <v>4.4130000000000003</v>
      </c>
      <c r="Q34" s="88">
        <v>1.702</v>
      </c>
      <c r="R34" s="17">
        <v>0</v>
      </c>
      <c r="S34" s="66">
        <v>706.5228574323296</v>
      </c>
      <c r="T34" s="19" t="s">
        <v>3245</v>
      </c>
      <c r="U34" s="21">
        <v>0.94299999999999995</v>
      </c>
      <c r="V34" s="86">
        <v>29.1</v>
      </c>
      <c r="W34" s="81" t="s">
        <v>700</v>
      </c>
      <c r="X34" s="16"/>
      <c r="Y34" s="16"/>
      <c r="Z34" s="16"/>
      <c r="AA34" s="16"/>
      <c r="AB34" s="16"/>
      <c r="AC34" s="16"/>
      <c r="AD34"/>
      <c r="AE34"/>
      <c r="AF34"/>
      <c r="AG34"/>
      <c r="AH34"/>
      <c r="AI34"/>
      <c r="AJ34"/>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row>
    <row r="35" spans="1:137" s="17" customFormat="1" ht="57">
      <c r="A35" s="17" t="s">
        <v>218</v>
      </c>
      <c r="B35" s="17" t="s">
        <v>389</v>
      </c>
      <c r="C35" s="18" t="s">
        <v>390</v>
      </c>
      <c r="D35" s="18" t="s">
        <v>470</v>
      </c>
      <c r="E35" s="17">
        <v>892</v>
      </c>
      <c r="F35" s="17">
        <v>189</v>
      </c>
      <c r="G35" s="19" t="s">
        <v>276</v>
      </c>
      <c r="H35" s="17" t="s">
        <v>277</v>
      </c>
      <c r="I35" s="17" t="s">
        <v>225</v>
      </c>
      <c r="J35" s="19" t="s">
        <v>393</v>
      </c>
      <c r="K35" s="19" t="s">
        <v>198</v>
      </c>
      <c r="L35" s="17" t="s">
        <v>661</v>
      </c>
      <c r="M35" s="17" t="s">
        <v>108</v>
      </c>
      <c r="N35" s="16"/>
      <c r="O35" s="16"/>
      <c r="P35" s="89">
        <v>37.1</v>
      </c>
      <c r="Q35" s="89"/>
      <c r="R35" s="16"/>
      <c r="S35" s="66">
        <f t="shared" ref="S35:S41" si="2">10^(((LOG(P35))*3.2052)+-2.3203)</f>
        <v>512.69284324045202</v>
      </c>
      <c r="T35" s="17" t="s">
        <v>3246</v>
      </c>
      <c r="U35" s="17">
        <v>0.84899999999999998</v>
      </c>
      <c r="V35" s="17">
        <v>43</v>
      </c>
      <c r="W35" s="81" t="s">
        <v>694</v>
      </c>
      <c r="X35" s="16"/>
      <c r="Y35" s="16"/>
      <c r="Z35" s="16"/>
      <c r="AA35" s="16"/>
      <c r="AB35" s="16"/>
      <c r="AC35" s="16"/>
      <c r="AD35" s="16"/>
      <c r="AE35" s="16"/>
      <c r="AF35" s="16"/>
      <c r="AG35" s="16"/>
      <c r="AH35" s="16"/>
      <c r="AI35" s="16"/>
      <c r="AJ35" s="16"/>
    </row>
    <row r="36" spans="1:137" s="17" customFormat="1" ht="57">
      <c r="A36" s="17" t="s">
        <v>218</v>
      </c>
      <c r="B36" s="17" t="s">
        <v>389</v>
      </c>
      <c r="C36" s="18" t="s">
        <v>390</v>
      </c>
      <c r="D36" s="18" t="s">
        <v>470</v>
      </c>
      <c r="E36" s="17">
        <v>892</v>
      </c>
      <c r="F36" s="17">
        <v>296</v>
      </c>
      <c r="G36" s="19" t="s">
        <v>276</v>
      </c>
      <c r="H36" s="17" t="s">
        <v>277</v>
      </c>
      <c r="I36" s="17" t="s">
        <v>225</v>
      </c>
      <c r="J36" s="19" t="s">
        <v>393</v>
      </c>
      <c r="K36" s="19" t="s">
        <v>198</v>
      </c>
      <c r="L36" s="17" t="s">
        <v>661</v>
      </c>
      <c r="M36" s="17" t="s">
        <v>114</v>
      </c>
      <c r="N36" s="16"/>
      <c r="O36" s="16"/>
      <c r="P36" s="89">
        <v>36.799999999999997</v>
      </c>
      <c r="Q36" s="89"/>
      <c r="R36" s="16"/>
      <c r="S36" s="66">
        <f t="shared" si="2"/>
        <v>499.52292957020524</v>
      </c>
      <c r="T36" s="17" t="s">
        <v>3246</v>
      </c>
      <c r="U36" s="17">
        <v>0.84899999999999998</v>
      </c>
      <c r="V36" s="17">
        <v>43</v>
      </c>
      <c r="W36" s="81" t="s">
        <v>694</v>
      </c>
      <c r="X36" s="16"/>
      <c r="Y36" s="16"/>
      <c r="Z36" s="16"/>
      <c r="AA36" s="16"/>
      <c r="AB36" s="16"/>
      <c r="AC36" s="16"/>
      <c r="AD36" s="16"/>
      <c r="AE36" s="16"/>
      <c r="AF36" s="16"/>
      <c r="AG36" s="16"/>
      <c r="AH36" s="16"/>
      <c r="AI36" s="16"/>
      <c r="AJ36" s="16"/>
    </row>
    <row r="37" spans="1:137" s="17" customFormat="1" ht="57">
      <c r="A37" s="17" t="s">
        <v>218</v>
      </c>
      <c r="B37" s="17" t="s">
        <v>389</v>
      </c>
      <c r="C37" s="18" t="s">
        <v>390</v>
      </c>
      <c r="D37" s="18" t="s">
        <v>470</v>
      </c>
      <c r="E37" s="17">
        <v>892</v>
      </c>
      <c r="F37" s="17" t="s">
        <v>737</v>
      </c>
      <c r="G37" s="19" t="s">
        <v>276</v>
      </c>
      <c r="H37" s="17" t="s">
        <v>277</v>
      </c>
      <c r="I37" s="17" t="s">
        <v>225</v>
      </c>
      <c r="J37" s="19" t="s">
        <v>393</v>
      </c>
      <c r="K37" s="19" t="s">
        <v>198</v>
      </c>
      <c r="L37" s="17" t="s">
        <v>661</v>
      </c>
      <c r="M37" s="17" t="s">
        <v>108</v>
      </c>
      <c r="N37" s="16"/>
      <c r="O37" s="16"/>
      <c r="P37" s="89">
        <v>40.4</v>
      </c>
      <c r="Q37" s="89"/>
      <c r="R37" s="16"/>
      <c r="S37" s="66">
        <f t="shared" si="2"/>
        <v>673.71086520852566</v>
      </c>
      <c r="T37" s="17" t="s">
        <v>3246</v>
      </c>
      <c r="U37" s="17">
        <v>0.84899999999999998</v>
      </c>
      <c r="V37" s="17">
        <v>43</v>
      </c>
      <c r="W37" s="81" t="s">
        <v>694</v>
      </c>
      <c r="X37" s="16"/>
      <c r="Y37" s="16"/>
      <c r="Z37" s="16"/>
      <c r="AA37" s="16"/>
      <c r="AB37" s="16"/>
      <c r="AC37" s="16"/>
      <c r="AD37" s="16"/>
      <c r="AE37" s="16"/>
      <c r="AF37" s="16"/>
      <c r="AG37" s="16"/>
      <c r="AH37" s="16"/>
      <c r="AI37" s="16"/>
      <c r="AJ37" s="16"/>
    </row>
    <row r="38" spans="1:137" s="17" customFormat="1" ht="57">
      <c r="A38" s="17" t="s">
        <v>218</v>
      </c>
      <c r="B38" s="17" t="s">
        <v>389</v>
      </c>
      <c r="C38" s="18" t="s">
        <v>390</v>
      </c>
      <c r="D38" s="18" t="s">
        <v>470</v>
      </c>
      <c r="E38" s="17">
        <v>892</v>
      </c>
      <c r="F38" s="17" t="s">
        <v>737</v>
      </c>
      <c r="G38" s="19" t="s">
        <v>276</v>
      </c>
      <c r="H38" s="17" t="s">
        <v>277</v>
      </c>
      <c r="I38" s="17" t="s">
        <v>225</v>
      </c>
      <c r="J38" s="19" t="s">
        <v>393</v>
      </c>
      <c r="K38" s="19" t="s">
        <v>198</v>
      </c>
      <c r="L38" s="17" t="s">
        <v>661</v>
      </c>
      <c r="M38" s="17" t="s">
        <v>108</v>
      </c>
      <c r="N38" s="16"/>
      <c r="O38" s="16"/>
      <c r="P38" s="89">
        <v>45.6</v>
      </c>
      <c r="Q38" s="89"/>
      <c r="R38" s="16"/>
      <c r="S38" s="66">
        <f t="shared" si="2"/>
        <v>993.1483232443685</v>
      </c>
      <c r="T38" s="17" t="s">
        <v>3246</v>
      </c>
      <c r="U38" s="17">
        <v>0.84899999999999998</v>
      </c>
      <c r="V38" s="17">
        <v>43</v>
      </c>
      <c r="W38" s="81" t="s">
        <v>694</v>
      </c>
      <c r="X38" s="16"/>
      <c r="Y38" s="16"/>
      <c r="Z38" s="16"/>
      <c r="AA38" s="16"/>
      <c r="AB38" s="16"/>
      <c r="AC38" s="16"/>
      <c r="AD38" s="16"/>
      <c r="AE38" s="16"/>
      <c r="AF38" s="16"/>
      <c r="AG38" s="16"/>
      <c r="AH38" s="16"/>
      <c r="AI38" s="16"/>
      <c r="AJ38" s="16"/>
    </row>
    <row r="39" spans="1:137" s="17" customFormat="1" ht="57">
      <c r="A39" s="17" t="s">
        <v>218</v>
      </c>
      <c r="B39" s="17" t="s">
        <v>389</v>
      </c>
      <c r="C39" s="18" t="s">
        <v>390</v>
      </c>
      <c r="D39" s="18" t="s">
        <v>470</v>
      </c>
      <c r="E39" s="17">
        <v>892</v>
      </c>
      <c r="F39" s="17" t="s">
        <v>737</v>
      </c>
      <c r="G39" s="19" t="s">
        <v>276</v>
      </c>
      <c r="H39" s="17" t="s">
        <v>277</v>
      </c>
      <c r="I39" s="17" t="s">
        <v>225</v>
      </c>
      <c r="J39" s="19" t="s">
        <v>393</v>
      </c>
      <c r="K39" s="19" t="s">
        <v>198</v>
      </c>
      <c r="L39" s="17" t="s">
        <v>661</v>
      </c>
      <c r="M39" s="17" t="s">
        <v>114</v>
      </c>
      <c r="N39" s="16"/>
      <c r="O39" s="16"/>
      <c r="P39" s="89">
        <v>41.1</v>
      </c>
      <c r="Q39" s="89"/>
      <c r="R39" s="16"/>
      <c r="S39" s="66">
        <f t="shared" si="2"/>
        <v>711.84560412981136</v>
      </c>
      <c r="T39" s="17" t="s">
        <v>3246</v>
      </c>
      <c r="U39" s="17">
        <v>0.84899999999999998</v>
      </c>
      <c r="V39" s="17">
        <v>43</v>
      </c>
      <c r="W39" s="81" t="s">
        <v>694</v>
      </c>
      <c r="X39" s="16"/>
      <c r="Y39" s="16"/>
      <c r="Z39" s="16"/>
      <c r="AA39" s="16"/>
      <c r="AB39" s="16"/>
      <c r="AC39" s="16"/>
      <c r="AD39" s="16"/>
      <c r="AE39" s="16"/>
      <c r="AF39" s="16"/>
      <c r="AG39" s="16"/>
      <c r="AH39" s="16"/>
      <c r="AI39" s="16"/>
      <c r="AJ39" s="16"/>
    </row>
    <row r="40" spans="1:137" s="17" customFormat="1" ht="57">
      <c r="A40" s="17" t="s">
        <v>218</v>
      </c>
      <c r="B40" s="17" t="s">
        <v>389</v>
      </c>
      <c r="C40" s="18" t="s">
        <v>390</v>
      </c>
      <c r="D40" s="18" t="s">
        <v>470</v>
      </c>
      <c r="E40" s="17">
        <v>892</v>
      </c>
      <c r="F40" s="17" t="s">
        <v>743</v>
      </c>
      <c r="G40" s="19" t="s">
        <v>276</v>
      </c>
      <c r="H40" s="17" t="s">
        <v>277</v>
      </c>
      <c r="I40" s="17" t="s">
        <v>225</v>
      </c>
      <c r="J40" s="19" t="s">
        <v>393</v>
      </c>
      <c r="K40" s="19" t="s">
        <v>198</v>
      </c>
      <c r="L40" s="17" t="s">
        <v>661</v>
      </c>
      <c r="M40" s="17" t="s">
        <v>114</v>
      </c>
      <c r="N40" s="16"/>
      <c r="O40" s="16"/>
      <c r="P40" s="89">
        <v>42.8</v>
      </c>
      <c r="Q40" s="89"/>
      <c r="R40" s="16"/>
      <c r="S40" s="66">
        <f t="shared" si="2"/>
        <v>810.59434279854258</v>
      </c>
      <c r="T40" s="17" t="s">
        <v>3246</v>
      </c>
      <c r="U40" s="17">
        <v>0.84899999999999998</v>
      </c>
      <c r="V40" s="17">
        <v>43</v>
      </c>
      <c r="W40" s="81" t="s">
        <v>694</v>
      </c>
      <c r="X40" s="16"/>
      <c r="Y40" s="16"/>
      <c r="Z40" s="16"/>
      <c r="AA40" s="16"/>
      <c r="AB40" s="16"/>
      <c r="AC40" s="16"/>
      <c r="AD40" s="16"/>
      <c r="AE40" s="16"/>
      <c r="AF40" s="16"/>
      <c r="AG40" s="16"/>
      <c r="AH40" s="16"/>
      <c r="AI40" s="16"/>
      <c r="AJ40" s="16"/>
    </row>
    <row r="41" spans="1:137" s="17" customFormat="1" ht="57">
      <c r="A41" s="17" t="s">
        <v>218</v>
      </c>
      <c r="B41" s="17" t="s">
        <v>389</v>
      </c>
      <c r="C41" s="18" t="s">
        <v>390</v>
      </c>
      <c r="D41" s="18" t="s">
        <v>470</v>
      </c>
      <c r="E41" s="17">
        <v>892</v>
      </c>
      <c r="F41" s="17" t="s">
        <v>738</v>
      </c>
      <c r="G41" s="19" t="s">
        <v>276</v>
      </c>
      <c r="H41" s="17" t="s">
        <v>277</v>
      </c>
      <c r="I41" s="17" t="s">
        <v>225</v>
      </c>
      <c r="J41" s="19" t="s">
        <v>393</v>
      </c>
      <c r="K41" s="91" t="s">
        <v>198</v>
      </c>
      <c r="L41" s="92" t="s">
        <v>661</v>
      </c>
      <c r="M41" s="92" t="s">
        <v>114</v>
      </c>
      <c r="N41" s="16"/>
      <c r="O41" s="16"/>
      <c r="P41" s="89">
        <v>42.9</v>
      </c>
      <c r="Q41" s="89"/>
      <c r="R41" s="16"/>
      <c r="S41" s="66">
        <f t="shared" si="2"/>
        <v>816.68036255820971</v>
      </c>
      <c r="T41" s="17" t="s">
        <v>3246</v>
      </c>
      <c r="U41" s="17">
        <v>0.84899999999999998</v>
      </c>
      <c r="V41" s="17">
        <v>43</v>
      </c>
      <c r="W41" s="81" t="s">
        <v>694</v>
      </c>
      <c r="X41" s="16"/>
      <c r="Y41" s="16"/>
      <c r="Z41" s="16"/>
      <c r="AA41" s="16"/>
      <c r="AB41" s="16"/>
      <c r="AC41" s="16"/>
      <c r="AD41" s="16"/>
      <c r="AE41" s="16"/>
      <c r="AF41" s="16"/>
      <c r="AG41" s="16"/>
      <c r="AH41" s="16"/>
      <c r="AI41" s="16"/>
      <c r="AJ41" s="16"/>
    </row>
    <row r="42" spans="1:137" s="17" customFormat="1" ht="57">
      <c r="A42" s="17" t="s">
        <v>218</v>
      </c>
      <c r="B42" s="17" t="s">
        <v>389</v>
      </c>
      <c r="C42" s="18" t="s">
        <v>390</v>
      </c>
      <c r="D42" s="18" t="s">
        <v>470</v>
      </c>
      <c r="E42" s="17">
        <v>892</v>
      </c>
      <c r="F42" s="17" t="s">
        <v>759</v>
      </c>
      <c r="G42" s="19" t="s">
        <v>276</v>
      </c>
      <c r="H42" s="17" t="s">
        <v>277</v>
      </c>
      <c r="I42" s="17" t="s">
        <v>225</v>
      </c>
      <c r="J42" s="19" t="s">
        <v>393</v>
      </c>
      <c r="K42" s="91" t="s">
        <v>1155</v>
      </c>
      <c r="L42" s="92" t="s">
        <v>692</v>
      </c>
      <c r="M42" s="92" t="s">
        <v>114</v>
      </c>
      <c r="N42" s="16"/>
      <c r="O42" s="16"/>
      <c r="P42" s="89">
        <v>41.9</v>
      </c>
      <c r="Q42" s="89"/>
      <c r="R42" s="16"/>
      <c r="S42" s="66">
        <f t="shared" ref="S42:S65" si="3">10^(((LOG(P42))*3.9842)+-3.8078)</f>
        <v>452.29846130532707</v>
      </c>
      <c r="T42" s="17" t="s">
        <v>3247</v>
      </c>
      <c r="U42" s="17">
        <v>0.84499999999999997</v>
      </c>
      <c r="V42" s="17">
        <v>46</v>
      </c>
      <c r="W42" s="81" t="s">
        <v>694</v>
      </c>
      <c r="X42" s="16"/>
      <c r="Y42" s="16"/>
      <c r="Z42" s="16"/>
      <c r="AA42" s="16"/>
      <c r="AB42" s="16"/>
      <c r="AC42" s="16"/>
      <c r="AD42" s="16"/>
      <c r="AE42" s="16"/>
      <c r="AF42" s="16"/>
      <c r="AG42" s="16"/>
      <c r="AH42" s="16"/>
      <c r="AI42" s="16"/>
      <c r="AJ42" s="16"/>
    </row>
    <row r="43" spans="1:137" s="17" customFormat="1" ht="57">
      <c r="A43" s="17" t="s">
        <v>218</v>
      </c>
      <c r="B43" s="17" t="s">
        <v>389</v>
      </c>
      <c r="C43" s="18" t="s">
        <v>390</v>
      </c>
      <c r="D43" s="18" t="s">
        <v>470</v>
      </c>
      <c r="E43" s="17">
        <v>892</v>
      </c>
      <c r="F43" s="17">
        <v>207</v>
      </c>
      <c r="G43" s="19" t="s">
        <v>276</v>
      </c>
      <c r="H43" s="17" t="s">
        <v>277</v>
      </c>
      <c r="I43" s="17" t="s">
        <v>225</v>
      </c>
      <c r="J43" s="19" t="s">
        <v>393</v>
      </c>
      <c r="K43" s="19" t="s">
        <v>1155</v>
      </c>
      <c r="L43" s="17" t="s">
        <v>3248</v>
      </c>
      <c r="M43" s="17" t="s">
        <v>114</v>
      </c>
      <c r="N43" s="16"/>
      <c r="O43" s="16"/>
      <c r="P43" s="89">
        <v>38.5</v>
      </c>
      <c r="Q43" s="89"/>
      <c r="R43" s="16"/>
      <c r="S43" s="66">
        <f t="shared" si="3"/>
        <v>322.84393977086216</v>
      </c>
      <c r="T43" s="17" t="s">
        <v>3247</v>
      </c>
      <c r="U43" s="17">
        <v>0.84499999999999997</v>
      </c>
      <c r="V43" s="17">
        <v>46</v>
      </c>
      <c r="W43" s="81" t="s">
        <v>694</v>
      </c>
      <c r="X43" s="16"/>
      <c r="Y43" s="16"/>
      <c r="Z43" s="16"/>
      <c r="AA43" s="16"/>
      <c r="AB43" s="16"/>
      <c r="AC43" s="16"/>
      <c r="AD43" s="16"/>
      <c r="AE43" s="16"/>
      <c r="AF43" s="16"/>
      <c r="AG43" s="16"/>
      <c r="AH43" s="16"/>
      <c r="AI43" s="16"/>
      <c r="AJ43" s="16"/>
    </row>
    <row r="44" spans="1:137" s="17" customFormat="1" ht="57">
      <c r="A44" s="17" t="s">
        <v>218</v>
      </c>
      <c r="B44" s="17" t="s">
        <v>389</v>
      </c>
      <c r="C44" s="18" t="s">
        <v>390</v>
      </c>
      <c r="D44" s="18" t="s">
        <v>470</v>
      </c>
      <c r="E44" s="17">
        <v>892</v>
      </c>
      <c r="F44" s="17" t="s">
        <v>737</v>
      </c>
      <c r="G44" s="19" t="s">
        <v>276</v>
      </c>
      <c r="H44" s="17" t="s">
        <v>277</v>
      </c>
      <c r="I44" s="17" t="s">
        <v>225</v>
      </c>
      <c r="J44" s="19" t="s">
        <v>393</v>
      </c>
      <c r="K44" s="19" t="s">
        <v>1155</v>
      </c>
      <c r="L44" s="17" t="s">
        <v>3248</v>
      </c>
      <c r="M44" s="17" t="s">
        <v>108</v>
      </c>
      <c r="N44" s="16"/>
      <c r="O44" s="16"/>
      <c r="P44" s="89">
        <v>39.6</v>
      </c>
      <c r="Q44" s="89"/>
      <c r="R44" s="16"/>
      <c r="S44" s="66">
        <f t="shared" si="3"/>
        <v>361.1911992263727</v>
      </c>
      <c r="T44" s="17" t="s">
        <v>3247</v>
      </c>
      <c r="U44" s="17">
        <v>0.84499999999999997</v>
      </c>
      <c r="V44" s="17">
        <v>46</v>
      </c>
      <c r="W44" s="81" t="s">
        <v>694</v>
      </c>
      <c r="X44" s="16"/>
      <c r="Y44" s="16"/>
      <c r="Z44" s="16"/>
      <c r="AA44" s="16"/>
      <c r="AB44" s="16"/>
      <c r="AC44" s="16"/>
      <c r="AD44" s="16"/>
      <c r="AE44" s="16"/>
      <c r="AF44" s="16"/>
      <c r="AG44" s="16"/>
      <c r="AH44" s="16"/>
      <c r="AI44" s="16"/>
      <c r="AJ44" s="16"/>
    </row>
    <row r="45" spans="1:137" s="17" customFormat="1" ht="57">
      <c r="A45" s="17" t="s">
        <v>218</v>
      </c>
      <c r="B45" s="17" t="s">
        <v>389</v>
      </c>
      <c r="C45" s="18" t="s">
        <v>390</v>
      </c>
      <c r="D45" s="18" t="s">
        <v>470</v>
      </c>
      <c r="E45" s="17">
        <v>892</v>
      </c>
      <c r="F45" s="17" t="s">
        <v>737</v>
      </c>
      <c r="G45" s="19" t="s">
        <v>276</v>
      </c>
      <c r="H45" s="17" t="s">
        <v>277</v>
      </c>
      <c r="I45" s="17" t="s">
        <v>225</v>
      </c>
      <c r="J45" s="19" t="s">
        <v>393</v>
      </c>
      <c r="K45" s="19" t="s">
        <v>1155</v>
      </c>
      <c r="L45" s="17" t="s">
        <v>3248</v>
      </c>
      <c r="M45" s="17" t="s">
        <v>114</v>
      </c>
      <c r="N45" s="16"/>
      <c r="O45" s="16"/>
      <c r="P45" s="89">
        <v>35.6</v>
      </c>
      <c r="Q45" s="89"/>
      <c r="R45" s="16"/>
      <c r="S45" s="66">
        <f t="shared" si="3"/>
        <v>236.31271069629611</v>
      </c>
      <c r="T45" s="17" t="s">
        <v>3247</v>
      </c>
      <c r="U45" s="17">
        <v>0.84499999999999997</v>
      </c>
      <c r="V45" s="17">
        <v>46</v>
      </c>
      <c r="W45" s="81" t="s">
        <v>694</v>
      </c>
      <c r="X45" s="16"/>
      <c r="Y45" s="16"/>
      <c r="Z45" s="16"/>
      <c r="AA45" s="16"/>
      <c r="AB45" s="16"/>
      <c r="AC45" s="16"/>
      <c r="AD45" s="16"/>
      <c r="AE45" s="16"/>
      <c r="AF45" s="16"/>
      <c r="AG45" s="16"/>
      <c r="AH45" s="16"/>
      <c r="AI45" s="16"/>
      <c r="AJ45" s="16"/>
    </row>
    <row r="46" spans="1:137" s="17" customFormat="1" ht="57">
      <c r="A46" s="17" t="s">
        <v>218</v>
      </c>
      <c r="B46" s="17" t="s">
        <v>389</v>
      </c>
      <c r="C46" s="18" t="s">
        <v>390</v>
      </c>
      <c r="D46" s="18" t="s">
        <v>470</v>
      </c>
      <c r="E46" s="17">
        <v>892</v>
      </c>
      <c r="F46" s="17" t="s">
        <v>737</v>
      </c>
      <c r="G46" s="19" t="s">
        <v>276</v>
      </c>
      <c r="H46" s="17" t="s">
        <v>277</v>
      </c>
      <c r="I46" s="17" t="s">
        <v>225</v>
      </c>
      <c r="J46" s="19" t="s">
        <v>393</v>
      </c>
      <c r="K46" s="19" t="s">
        <v>1155</v>
      </c>
      <c r="L46" s="17" t="s">
        <v>3248</v>
      </c>
      <c r="M46" s="17" t="s">
        <v>108</v>
      </c>
      <c r="N46" s="16"/>
      <c r="O46" s="16"/>
      <c r="P46" s="89">
        <v>33.6</v>
      </c>
      <c r="Q46" s="89"/>
      <c r="R46" s="16"/>
      <c r="S46" s="66">
        <f t="shared" si="3"/>
        <v>187.68991990286602</v>
      </c>
      <c r="T46" s="17" t="s">
        <v>3247</v>
      </c>
      <c r="U46" s="17">
        <v>0.84499999999999997</v>
      </c>
      <c r="V46" s="17">
        <v>46</v>
      </c>
      <c r="W46" s="81" t="s">
        <v>694</v>
      </c>
      <c r="X46" s="16"/>
      <c r="Y46" s="16"/>
      <c r="Z46" s="16"/>
      <c r="AA46" s="16"/>
      <c r="AB46" s="16"/>
      <c r="AC46" s="16"/>
      <c r="AD46" s="16"/>
      <c r="AE46" s="16"/>
      <c r="AF46" s="16"/>
      <c r="AG46" s="16"/>
      <c r="AH46" s="16"/>
      <c r="AI46" s="16"/>
      <c r="AJ46" s="16"/>
    </row>
    <row r="47" spans="1:137" s="17" customFormat="1" ht="57">
      <c r="A47" s="17" t="s">
        <v>218</v>
      </c>
      <c r="B47" s="17" t="s">
        <v>389</v>
      </c>
      <c r="C47" s="18" t="s">
        <v>390</v>
      </c>
      <c r="D47" s="18" t="s">
        <v>470</v>
      </c>
      <c r="E47" s="17">
        <v>892</v>
      </c>
      <c r="F47" s="17" t="s">
        <v>737</v>
      </c>
      <c r="G47" s="19" t="s">
        <v>276</v>
      </c>
      <c r="H47" s="17" t="s">
        <v>277</v>
      </c>
      <c r="I47" s="17" t="s">
        <v>225</v>
      </c>
      <c r="J47" s="19" t="s">
        <v>393</v>
      </c>
      <c r="K47" s="19" t="s">
        <v>1155</v>
      </c>
      <c r="L47" s="17" t="s">
        <v>3248</v>
      </c>
      <c r="M47" s="17" t="s">
        <v>108</v>
      </c>
      <c r="N47" s="16"/>
      <c r="O47" s="16"/>
      <c r="P47" s="89">
        <v>41.1</v>
      </c>
      <c r="Q47" s="89"/>
      <c r="R47" s="16"/>
      <c r="S47" s="66">
        <f t="shared" si="3"/>
        <v>418.85970904986323</v>
      </c>
      <c r="T47" s="17" t="s">
        <v>3247</v>
      </c>
      <c r="U47" s="17">
        <v>0.84499999999999997</v>
      </c>
      <c r="V47" s="17">
        <v>46</v>
      </c>
      <c r="W47" s="81" t="s">
        <v>694</v>
      </c>
      <c r="X47" s="16"/>
      <c r="Y47" s="16"/>
      <c r="Z47" s="16"/>
      <c r="AA47" s="16"/>
      <c r="AB47" s="16"/>
      <c r="AC47" s="16"/>
      <c r="AD47" s="16"/>
      <c r="AE47" s="16"/>
      <c r="AF47" s="16"/>
      <c r="AG47" s="16"/>
      <c r="AH47" s="16"/>
      <c r="AI47" s="16"/>
      <c r="AJ47" s="16"/>
    </row>
    <row r="48" spans="1:137" s="17" customFormat="1" ht="57">
      <c r="A48" s="17" t="s">
        <v>218</v>
      </c>
      <c r="B48" s="17" t="s">
        <v>389</v>
      </c>
      <c r="C48" s="18" t="s">
        <v>390</v>
      </c>
      <c r="D48" s="18" t="s">
        <v>470</v>
      </c>
      <c r="E48" s="17">
        <v>892</v>
      </c>
      <c r="F48" s="17" t="s">
        <v>737</v>
      </c>
      <c r="G48" s="19" t="s">
        <v>276</v>
      </c>
      <c r="H48" s="17" t="s">
        <v>277</v>
      </c>
      <c r="I48" s="17" t="s">
        <v>225</v>
      </c>
      <c r="J48" s="19" t="s">
        <v>393</v>
      </c>
      <c r="K48" s="19" t="s">
        <v>1155</v>
      </c>
      <c r="L48" s="17" t="s">
        <v>3248</v>
      </c>
      <c r="M48" s="17" t="s">
        <v>108</v>
      </c>
      <c r="N48" s="16"/>
      <c r="O48" s="16"/>
      <c r="P48" s="89">
        <v>39.700000000000003</v>
      </c>
      <c r="Q48" s="89"/>
      <c r="R48" s="16"/>
      <c r="S48" s="66">
        <f t="shared" si="3"/>
        <v>364.83889949549081</v>
      </c>
      <c r="T48" s="17" t="s">
        <v>3247</v>
      </c>
      <c r="U48" s="17">
        <v>0.84499999999999997</v>
      </c>
      <c r="V48" s="17">
        <v>46</v>
      </c>
      <c r="W48" s="81" t="s">
        <v>694</v>
      </c>
      <c r="X48" s="16"/>
      <c r="Y48" s="16"/>
      <c r="Z48" s="16"/>
      <c r="AA48" s="16"/>
      <c r="AB48" s="16"/>
      <c r="AC48" s="16"/>
      <c r="AD48" s="16"/>
      <c r="AE48" s="16"/>
      <c r="AF48" s="16"/>
      <c r="AG48" s="16"/>
      <c r="AH48" s="16"/>
      <c r="AI48" s="16"/>
      <c r="AJ48" s="16"/>
    </row>
    <row r="49" spans="1:138" s="17" customFormat="1" ht="57">
      <c r="A49" s="17" t="s">
        <v>218</v>
      </c>
      <c r="B49" s="17" t="s">
        <v>389</v>
      </c>
      <c r="C49" s="18" t="s">
        <v>390</v>
      </c>
      <c r="D49" s="18" t="s">
        <v>470</v>
      </c>
      <c r="E49" s="17">
        <v>892</v>
      </c>
      <c r="F49" s="17" t="s">
        <v>737</v>
      </c>
      <c r="G49" s="19" t="s">
        <v>276</v>
      </c>
      <c r="H49" s="17" t="s">
        <v>277</v>
      </c>
      <c r="I49" s="17" t="s">
        <v>225</v>
      </c>
      <c r="J49" s="19" t="s">
        <v>393</v>
      </c>
      <c r="K49" s="19" t="s">
        <v>1155</v>
      </c>
      <c r="L49" s="17" t="s">
        <v>3248</v>
      </c>
      <c r="M49" s="17" t="s">
        <v>108</v>
      </c>
      <c r="N49" s="16"/>
      <c r="O49" s="16"/>
      <c r="P49" s="89">
        <v>39.5</v>
      </c>
      <c r="Q49" s="89"/>
      <c r="R49" s="16"/>
      <c r="S49" s="66">
        <f t="shared" si="3"/>
        <v>357.57088418113761</v>
      </c>
      <c r="T49" s="17" t="s">
        <v>3247</v>
      </c>
      <c r="U49" s="17">
        <v>0.84499999999999997</v>
      </c>
      <c r="V49" s="17">
        <v>46</v>
      </c>
      <c r="W49" s="81" t="s">
        <v>694</v>
      </c>
      <c r="X49" s="16"/>
      <c r="Y49" s="16"/>
      <c r="Z49" s="16"/>
      <c r="AA49" s="16"/>
      <c r="AB49" s="16"/>
      <c r="AC49" s="16"/>
      <c r="AD49" s="16"/>
      <c r="AE49" s="16"/>
      <c r="AF49" s="16"/>
      <c r="AG49" s="16"/>
      <c r="AH49" s="16"/>
      <c r="AI49" s="16"/>
      <c r="AJ49" s="16"/>
    </row>
    <row r="50" spans="1:138" s="17" customFormat="1" ht="57">
      <c r="A50" s="17" t="s">
        <v>218</v>
      </c>
      <c r="B50" s="17" t="s">
        <v>389</v>
      </c>
      <c r="C50" s="18" t="s">
        <v>390</v>
      </c>
      <c r="D50" s="18" t="s">
        <v>470</v>
      </c>
      <c r="E50" s="17">
        <v>892</v>
      </c>
      <c r="F50" s="17" t="s">
        <v>743</v>
      </c>
      <c r="G50" s="19" t="s">
        <v>276</v>
      </c>
      <c r="H50" s="17" t="s">
        <v>277</v>
      </c>
      <c r="I50" s="17" t="s">
        <v>225</v>
      </c>
      <c r="J50" s="19" t="s">
        <v>393</v>
      </c>
      <c r="K50" s="19" t="s">
        <v>1155</v>
      </c>
      <c r="L50" s="17" t="s">
        <v>3248</v>
      </c>
      <c r="M50" s="17" t="s">
        <v>108</v>
      </c>
      <c r="N50" s="16"/>
      <c r="O50" s="16"/>
      <c r="P50" s="89">
        <v>35.200000000000003</v>
      </c>
      <c r="Q50" s="89"/>
      <c r="R50" s="16"/>
      <c r="S50" s="66">
        <f t="shared" si="3"/>
        <v>225.9099085830982</v>
      </c>
      <c r="T50" s="17" t="s">
        <v>3247</v>
      </c>
      <c r="U50" s="17">
        <v>0.84499999999999997</v>
      </c>
      <c r="V50" s="17">
        <v>46</v>
      </c>
      <c r="W50" s="81" t="s">
        <v>694</v>
      </c>
      <c r="X50" s="16"/>
      <c r="Y50" s="16"/>
      <c r="Z50" s="16"/>
      <c r="AA50" s="16"/>
      <c r="AB50" s="16"/>
      <c r="AC50" s="16"/>
      <c r="AD50" s="16"/>
      <c r="AE50" s="16"/>
      <c r="AF50" s="16"/>
      <c r="AG50" s="16"/>
      <c r="AH50" s="16"/>
      <c r="AI50" s="16"/>
      <c r="AJ50" s="16"/>
    </row>
    <row r="51" spans="1:138" s="17" customFormat="1" ht="57">
      <c r="A51" s="17" t="s">
        <v>218</v>
      </c>
      <c r="B51" s="17" t="s">
        <v>389</v>
      </c>
      <c r="C51" s="18" t="s">
        <v>390</v>
      </c>
      <c r="D51" s="18" t="s">
        <v>470</v>
      </c>
      <c r="E51" s="17">
        <v>892</v>
      </c>
      <c r="F51" s="17" t="s">
        <v>743</v>
      </c>
      <c r="G51" s="19" t="s">
        <v>276</v>
      </c>
      <c r="H51" s="17" t="s">
        <v>277</v>
      </c>
      <c r="I51" s="17" t="s">
        <v>225</v>
      </c>
      <c r="J51" s="19" t="s">
        <v>393</v>
      </c>
      <c r="K51" s="91" t="s">
        <v>1155</v>
      </c>
      <c r="L51" s="92" t="s">
        <v>3248</v>
      </c>
      <c r="M51" s="92" t="s">
        <v>108</v>
      </c>
      <c r="N51" s="16"/>
      <c r="O51" s="16"/>
      <c r="P51" s="89">
        <v>35.700000000000003</v>
      </c>
      <c r="Q51" s="89"/>
      <c r="R51" s="16"/>
      <c r="S51" s="66">
        <f t="shared" si="3"/>
        <v>238.9685270213113</v>
      </c>
      <c r="T51" s="17" t="s">
        <v>3247</v>
      </c>
      <c r="U51" s="17">
        <v>0.84499999999999997</v>
      </c>
      <c r="V51" s="17">
        <v>46</v>
      </c>
      <c r="W51" s="81" t="s">
        <v>694</v>
      </c>
      <c r="X51" s="16"/>
      <c r="Y51" s="16"/>
      <c r="Z51" s="16"/>
      <c r="AA51" s="16"/>
      <c r="AB51" s="16"/>
      <c r="AC51" s="16"/>
      <c r="AD51" s="16"/>
      <c r="AE51" s="16"/>
      <c r="AF51" s="16"/>
      <c r="AG51" s="16"/>
      <c r="AH51" s="16"/>
      <c r="AI51" s="16"/>
      <c r="AJ51" s="16"/>
    </row>
    <row r="52" spans="1:138" s="17" customFormat="1" ht="57">
      <c r="A52" s="17" t="s">
        <v>218</v>
      </c>
      <c r="B52" s="17" t="s">
        <v>389</v>
      </c>
      <c r="C52" s="18" t="s">
        <v>390</v>
      </c>
      <c r="D52" s="18" t="s">
        <v>470</v>
      </c>
      <c r="E52" s="17">
        <v>892</v>
      </c>
      <c r="F52" s="17" t="s">
        <v>743</v>
      </c>
      <c r="G52" s="19" t="s">
        <v>276</v>
      </c>
      <c r="H52" s="17" t="s">
        <v>277</v>
      </c>
      <c r="I52" s="17" t="s">
        <v>225</v>
      </c>
      <c r="J52" s="19" t="s">
        <v>393</v>
      </c>
      <c r="K52" s="91" t="s">
        <v>1155</v>
      </c>
      <c r="L52" s="92" t="s">
        <v>3248</v>
      </c>
      <c r="M52" s="92" t="s">
        <v>108</v>
      </c>
      <c r="N52" s="16"/>
      <c r="O52" s="16"/>
      <c r="P52" s="89">
        <v>35.5</v>
      </c>
      <c r="Q52" s="89"/>
      <c r="R52" s="16"/>
      <c r="S52" s="66">
        <f t="shared" si="3"/>
        <v>233.67906391224395</v>
      </c>
      <c r="T52" s="17" t="s">
        <v>3247</v>
      </c>
      <c r="U52" s="17">
        <v>0.84499999999999997</v>
      </c>
      <c r="V52" s="17">
        <v>46</v>
      </c>
      <c r="W52" s="81" t="s">
        <v>694</v>
      </c>
      <c r="X52" s="16"/>
      <c r="Y52" s="16"/>
      <c r="Z52" s="16"/>
      <c r="AA52" s="16"/>
      <c r="AB52" s="16"/>
      <c r="AC52" s="16"/>
      <c r="AD52" s="16"/>
      <c r="AE52" s="16"/>
      <c r="AF52" s="16"/>
      <c r="AG52" s="16"/>
      <c r="AH52" s="16"/>
      <c r="AI52" s="16"/>
      <c r="AJ52" s="16"/>
    </row>
    <row r="53" spans="1:138" s="17" customFormat="1" ht="57">
      <c r="A53" s="17" t="s">
        <v>218</v>
      </c>
      <c r="B53" s="17" t="s">
        <v>389</v>
      </c>
      <c r="C53" s="18" t="s">
        <v>390</v>
      </c>
      <c r="D53" s="18" t="s">
        <v>470</v>
      </c>
      <c r="E53" s="17">
        <v>892</v>
      </c>
      <c r="F53" s="17" t="s">
        <v>738</v>
      </c>
      <c r="G53" s="19" t="s">
        <v>276</v>
      </c>
      <c r="H53" s="17" t="s">
        <v>277</v>
      </c>
      <c r="I53" s="17" t="s">
        <v>225</v>
      </c>
      <c r="J53" s="19" t="s">
        <v>393</v>
      </c>
      <c r="K53" s="91" t="s">
        <v>1155</v>
      </c>
      <c r="L53" s="92" t="s">
        <v>3248</v>
      </c>
      <c r="M53" s="92" t="s">
        <v>114</v>
      </c>
      <c r="N53" s="16"/>
      <c r="O53" s="16"/>
      <c r="P53" s="89">
        <v>41</v>
      </c>
      <c r="Q53" s="89"/>
      <c r="R53" s="16"/>
      <c r="S53" s="66">
        <f t="shared" si="3"/>
        <v>414.81403487315015</v>
      </c>
      <c r="T53" s="17" t="s">
        <v>3247</v>
      </c>
      <c r="U53" s="17">
        <v>0.84499999999999997</v>
      </c>
      <c r="V53" s="17">
        <v>46</v>
      </c>
      <c r="W53" s="81" t="s">
        <v>694</v>
      </c>
      <c r="X53" s="16"/>
      <c r="Y53" s="16"/>
      <c r="Z53" s="16"/>
      <c r="AA53" s="16"/>
      <c r="AB53" s="16"/>
      <c r="AC53" s="16"/>
      <c r="AD53" s="16"/>
      <c r="AE53" s="16"/>
      <c r="AF53" s="16"/>
      <c r="AG53" s="16"/>
      <c r="AH53" s="16"/>
      <c r="AI53" s="16"/>
      <c r="AJ53" s="16"/>
      <c r="EH53" s="5"/>
    </row>
    <row r="54" spans="1:138" s="17" customFormat="1" ht="57">
      <c r="A54" s="17" t="s">
        <v>218</v>
      </c>
      <c r="B54" s="17" t="s">
        <v>389</v>
      </c>
      <c r="C54" s="18" t="s">
        <v>390</v>
      </c>
      <c r="D54" s="18" t="s">
        <v>470</v>
      </c>
      <c r="E54" s="17">
        <v>892</v>
      </c>
      <c r="F54" s="17" t="s">
        <v>738</v>
      </c>
      <c r="G54" s="19" t="s">
        <v>276</v>
      </c>
      <c r="H54" s="17" t="s">
        <v>277</v>
      </c>
      <c r="I54" s="17" t="s">
        <v>225</v>
      </c>
      <c r="J54" s="19" t="s">
        <v>393</v>
      </c>
      <c r="K54" s="91" t="s">
        <v>1155</v>
      </c>
      <c r="L54" s="92" t="s">
        <v>3248</v>
      </c>
      <c r="M54" s="92" t="s">
        <v>114</v>
      </c>
      <c r="N54" s="16"/>
      <c r="O54" s="16"/>
      <c r="P54" s="89">
        <v>33.700000000000003</v>
      </c>
      <c r="Q54" s="89"/>
      <c r="R54" s="16"/>
      <c r="S54" s="66">
        <f t="shared" si="3"/>
        <v>189.92540057332755</v>
      </c>
      <c r="T54" s="17" t="s">
        <v>3247</v>
      </c>
      <c r="U54" s="17">
        <v>0.84499999999999997</v>
      </c>
      <c r="V54" s="17">
        <v>46</v>
      </c>
      <c r="W54" s="81" t="s">
        <v>694</v>
      </c>
      <c r="X54" s="16"/>
      <c r="Y54" s="16"/>
      <c r="Z54" s="16"/>
      <c r="AA54" s="16"/>
      <c r="AB54" s="16"/>
      <c r="AC54" s="16"/>
      <c r="AD54" s="16"/>
      <c r="AE54" s="16"/>
      <c r="AF54" s="16"/>
      <c r="AG54" s="16"/>
      <c r="AH54" s="16"/>
      <c r="AI54" s="16"/>
      <c r="AJ54" s="16"/>
      <c r="EH54" s="5"/>
    </row>
    <row r="55" spans="1:138" s="17" customFormat="1" ht="57">
      <c r="A55" s="17" t="s">
        <v>218</v>
      </c>
      <c r="B55" s="17" t="s">
        <v>389</v>
      </c>
      <c r="C55" s="18" t="s">
        <v>390</v>
      </c>
      <c r="D55" s="18" t="s">
        <v>470</v>
      </c>
      <c r="E55" s="17">
        <v>892</v>
      </c>
      <c r="F55" s="17" t="s">
        <v>3249</v>
      </c>
      <c r="G55" s="19" t="s">
        <v>276</v>
      </c>
      <c r="H55" s="17" t="s">
        <v>277</v>
      </c>
      <c r="I55" s="17" t="s">
        <v>225</v>
      </c>
      <c r="J55" s="19" t="s">
        <v>393</v>
      </c>
      <c r="K55" s="19" t="s">
        <v>1155</v>
      </c>
      <c r="L55" s="92" t="s">
        <v>3248</v>
      </c>
      <c r="M55" s="17" t="s">
        <v>114</v>
      </c>
      <c r="N55" s="16"/>
      <c r="O55" s="16"/>
      <c r="P55" s="89">
        <v>38.700000000000003</v>
      </c>
      <c r="Q55" s="89"/>
      <c r="R55" s="16"/>
      <c r="S55" s="66">
        <f t="shared" si="3"/>
        <v>329.5778579930676</v>
      </c>
      <c r="T55" s="17" t="s">
        <v>3247</v>
      </c>
      <c r="U55" s="17">
        <v>0.84499999999999997</v>
      </c>
      <c r="V55" s="17">
        <v>46</v>
      </c>
      <c r="W55" s="81" t="s">
        <v>694</v>
      </c>
      <c r="X55" s="16"/>
      <c r="Y55" s="16"/>
      <c r="Z55" s="16"/>
      <c r="AA55" s="16"/>
      <c r="AB55" s="16"/>
      <c r="AC55" s="16"/>
      <c r="AD55" s="16"/>
      <c r="AE55" s="16"/>
      <c r="AF55" s="16"/>
      <c r="AG55" s="16"/>
      <c r="AH55" s="16"/>
      <c r="AI55" s="16"/>
      <c r="AJ55" s="16"/>
      <c r="EH55" s="5"/>
    </row>
    <row r="56" spans="1:138" s="17" customFormat="1" ht="57">
      <c r="A56" s="17" t="s">
        <v>218</v>
      </c>
      <c r="B56" s="17" t="s">
        <v>389</v>
      </c>
      <c r="C56" s="18" t="s">
        <v>390</v>
      </c>
      <c r="D56" s="18" t="s">
        <v>470</v>
      </c>
      <c r="E56" s="17">
        <v>892</v>
      </c>
      <c r="F56" s="17" t="s">
        <v>3250</v>
      </c>
      <c r="G56" s="19" t="s">
        <v>276</v>
      </c>
      <c r="H56" s="17" t="s">
        <v>277</v>
      </c>
      <c r="I56" s="17" t="s">
        <v>225</v>
      </c>
      <c r="J56" s="19" t="s">
        <v>393</v>
      </c>
      <c r="K56" s="19" t="s">
        <v>1155</v>
      </c>
      <c r="L56" s="92" t="s">
        <v>3248</v>
      </c>
      <c r="M56" s="17" t="s">
        <v>114</v>
      </c>
      <c r="N56" s="16"/>
      <c r="O56" s="16"/>
      <c r="P56" s="89">
        <v>41</v>
      </c>
      <c r="Q56" s="89"/>
      <c r="R56" s="16"/>
      <c r="S56" s="66">
        <f t="shared" si="3"/>
        <v>414.81403487315015</v>
      </c>
      <c r="T56" s="17" t="s">
        <v>3247</v>
      </c>
      <c r="U56" s="17">
        <v>0.84499999999999997</v>
      </c>
      <c r="V56" s="17">
        <v>46</v>
      </c>
      <c r="W56" s="81" t="s">
        <v>694</v>
      </c>
      <c r="X56" s="16"/>
      <c r="Y56" s="16"/>
      <c r="Z56" s="16"/>
      <c r="AA56" s="16"/>
      <c r="AB56" s="16"/>
      <c r="AC56" s="16"/>
      <c r="AD56" s="16"/>
      <c r="AE56" s="16"/>
      <c r="AF56" s="16"/>
      <c r="AG56" s="16"/>
      <c r="AH56" s="16"/>
      <c r="AI56" s="16"/>
      <c r="AJ56" s="16"/>
      <c r="EH56" s="5"/>
    </row>
    <row r="57" spans="1:138" s="17" customFormat="1" ht="57">
      <c r="A57" s="17" t="s">
        <v>218</v>
      </c>
      <c r="B57" s="17" t="s">
        <v>389</v>
      </c>
      <c r="C57" s="18" t="s">
        <v>390</v>
      </c>
      <c r="D57" s="18" t="s">
        <v>470</v>
      </c>
      <c r="E57" s="17">
        <v>892</v>
      </c>
      <c r="F57" s="17" t="s">
        <v>3251</v>
      </c>
      <c r="G57" s="19" t="s">
        <v>276</v>
      </c>
      <c r="H57" s="17" t="s">
        <v>277</v>
      </c>
      <c r="I57" s="17" t="s">
        <v>225</v>
      </c>
      <c r="J57" s="19" t="s">
        <v>393</v>
      </c>
      <c r="K57" s="19" t="s">
        <v>1155</v>
      </c>
      <c r="L57" s="92" t="s">
        <v>3248</v>
      </c>
      <c r="M57" s="17" t="s">
        <v>114</v>
      </c>
      <c r="N57" s="16"/>
      <c r="O57" s="16"/>
      <c r="P57" s="89">
        <v>37</v>
      </c>
      <c r="Q57" s="89"/>
      <c r="R57" s="16"/>
      <c r="S57" s="66">
        <f t="shared" si="3"/>
        <v>275.56833298582575</v>
      </c>
      <c r="T57" s="17" t="s">
        <v>3247</v>
      </c>
      <c r="U57" s="17">
        <v>0.84499999999999997</v>
      </c>
      <c r="V57" s="17">
        <v>46</v>
      </c>
      <c r="W57" s="81" t="s">
        <v>694</v>
      </c>
      <c r="X57" s="16"/>
      <c r="Y57" s="16"/>
      <c r="Z57" s="16"/>
      <c r="AA57" s="16"/>
      <c r="AB57" s="16"/>
      <c r="AC57" s="16"/>
      <c r="AD57" s="16"/>
      <c r="AE57" s="16"/>
      <c r="AF57" s="16"/>
      <c r="AG57" s="16"/>
      <c r="AH57" s="16"/>
      <c r="AI57" s="16"/>
      <c r="AJ57" s="16"/>
    </row>
    <row r="58" spans="1:138" s="17" customFormat="1" ht="57">
      <c r="A58" s="17" t="s">
        <v>218</v>
      </c>
      <c r="B58" s="17" t="s">
        <v>389</v>
      </c>
      <c r="C58" s="18" t="s">
        <v>390</v>
      </c>
      <c r="D58" s="18" t="s">
        <v>470</v>
      </c>
      <c r="E58" s="17">
        <v>892</v>
      </c>
      <c r="F58" s="17" t="s">
        <v>745</v>
      </c>
      <c r="G58" s="19" t="s">
        <v>276</v>
      </c>
      <c r="H58" s="17" t="s">
        <v>277</v>
      </c>
      <c r="I58" s="17" t="s">
        <v>225</v>
      </c>
      <c r="J58" s="19" t="s">
        <v>393</v>
      </c>
      <c r="K58" s="19" t="s">
        <v>3252</v>
      </c>
      <c r="L58" s="17" t="s">
        <v>3253</v>
      </c>
      <c r="M58" s="17" t="s">
        <v>108</v>
      </c>
      <c r="N58" s="16"/>
      <c r="O58" s="16"/>
      <c r="P58" s="89">
        <v>36</v>
      </c>
      <c r="Q58" s="89"/>
      <c r="R58" s="16"/>
      <c r="S58" s="66">
        <f t="shared" si="3"/>
        <v>247.07023229701232</v>
      </c>
      <c r="T58" s="17" t="s">
        <v>3247</v>
      </c>
      <c r="U58" s="17">
        <v>0.84499999999999997</v>
      </c>
      <c r="V58" s="17">
        <v>46</v>
      </c>
      <c r="W58" s="81" t="s">
        <v>694</v>
      </c>
      <c r="X58" s="16"/>
      <c r="Y58" s="16"/>
      <c r="Z58" s="16"/>
      <c r="AA58" s="16"/>
      <c r="AB58" s="16"/>
      <c r="AC58" s="16"/>
      <c r="AD58" s="16"/>
      <c r="AE58" s="16"/>
      <c r="AF58" s="16"/>
      <c r="AG58" s="16"/>
      <c r="AH58" s="16"/>
      <c r="AI58" s="16"/>
      <c r="AJ58" s="16"/>
    </row>
    <row r="59" spans="1:138" s="17" customFormat="1" ht="57">
      <c r="A59" s="17" t="s">
        <v>218</v>
      </c>
      <c r="B59" s="17" t="s">
        <v>389</v>
      </c>
      <c r="C59" s="18" t="s">
        <v>390</v>
      </c>
      <c r="D59" s="18" t="s">
        <v>470</v>
      </c>
      <c r="E59" s="17">
        <v>892</v>
      </c>
      <c r="F59" s="17" t="s">
        <v>3254</v>
      </c>
      <c r="G59" s="19" t="s">
        <v>276</v>
      </c>
      <c r="H59" s="17" t="s">
        <v>277</v>
      </c>
      <c r="I59" s="17" t="s">
        <v>225</v>
      </c>
      <c r="J59" s="19" t="s">
        <v>393</v>
      </c>
      <c r="K59" s="19" t="s">
        <v>3255</v>
      </c>
      <c r="L59" s="17" t="s">
        <v>692</v>
      </c>
      <c r="M59" s="17" t="s">
        <v>108</v>
      </c>
      <c r="N59" s="16"/>
      <c r="O59" s="16"/>
      <c r="P59" s="89">
        <v>40.799999999999997</v>
      </c>
      <c r="Q59" s="89"/>
      <c r="R59" s="16"/>
      <c r="S59" s="66">
        <f t="shared" si="3"/>
        <v>406.81056370682097</v>
      </c>
      <c r="T59" s="17" t="s">
        <v>3247</v>
      </c>
      <c r="U59" s="17">
        <v>0.84499999999999997</v>
      </c>
      <c r="V59" s="17">
        <v>46</v>
      </c>
      <c r="W59" s="81" t="s">
        <v>694</v>
      </c>
      <c r="X59" s="16"/>
      <c r="Y59" s="16"/>
      <c r="Z59" s="16"/>
      <c r="AA59" s="16"/>
      <c r="AB59" s="16"/>
      <c r="AC59" s="16"/>
      <c r="AD59" s="85"/>
      <c r="AE59" s="85"/>
      <c r="AF59" s="85"/>
      <c r="AG59" s="85"/>
      <c r="AH59" s="85"/>
      <c r="AI59" s="85"/>
      <c r="AJ59" s="85"/>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BH59" s="32"/>
      <c r="BI59" s="32"/>
      <c r="BJ59" s="32"/>
      <c r="BK59" s="32"/>
      <c r="BL59" s="32"/>
      <c r="BM59" s="32"/>
      <c r="BN59" s="32"/>
      <c r="BO59" s="32"/>
      <c r="BP59" s="32"/>
      <c r="BQ59" s="32"/>
      <c r="BR59" s="32"/>
      <c r="BS59" s="32"/>
      <c r="BT59" s="32"/>
      <c r="BU59" s="32"/>
      <c r="BV59" s="32"/>
      <c r="BW59" s="32"/>
      <c r="BX59" s="32"/>
      <c r="BY59" s="32"/>
      <c r="BZ59" s="32"/>
      <c r="CA59" s="32"/>
      <c r="CB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row>
    <row r="60" spans="1:138" s="17" customFormat="1" ht="57">
      <c r="A60" s="17" t="s">
        <v>218</v>
      </c>
      <c r="B60" s="17" t="s">
        <v>389</v>
      </c>
      <c r="C60" s="18" t="s">
        <v>390</v>
      </c>
      <c r="D60" s="18" t="s">
        <v>470</v>
      </c>
      <c r="E60" s="17">
        <v>892</v>
      </c>
      <c r="F60" s="17" t="s">
        <v>754</v>
      </c>
      <c r="G60" s="19" t="s">
        <v>276</v>
      </c>
      <c r="H60" s="17" t="s">
        <v>277</v>
      </c>
      <c r="I60" s="17" t="s">
        <v>225</v>
      </c>
      <c r="J60" s="19" t="s">
        <v>393</v>
      </c>
      <c r="K60" s="19" t="s">
        <v>3255</v>
      </c>
      <c r="L60" s="17" t="s">
        <v>3253</v>
      </c>
      <c r="M60" s="17" t="s">
        <v>114</v>
      </c>
      <c r="N60" s="16"/>
      <c r="O60" s="16"/>
      <c r="P60" s="89">
        <v>40</v>
      </c>
      <c r="Q60" s="89"/>
      <c r="R60" s="16"/>
      <c r="S60" s="66">
        <f t="shared" si="3"/>
        <v>375.9476872206032</v>
      </c>
      <c r="T60" s="17" t="s">
        <v>3247</v>
      </c>
      <c r="U60" s="17">
        <v>0.84499999999999997</v>
      </c>
      <c r="V60" s="17">
        <v>46</v>
      </c>
      <c r="W60" s="81" t="s">
        <v>694</v>
      </c>
      <c r="X60" s="16"/>
      <c r="Y60" s="16"/>
      <c r="Z60" s="16"/>
      <c r="AA60" s="16"/>
      <c r="AB60" s="16"/>
      <c r="AC60" s="16"/>
      <c r="AD60" s="85"/>
      <c r="AE60" s="85"/>
      <c r="AF60" s="85"/>
      <c r="AG60" s="85"/>
      <c r="AH60" s="85"/>
      <c r="AI60" s="85"/>
      <c r="AJ60" s="85"/>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c r="CK60" s="32"/>
      <c r="CL60" s="32"/>
      <c r="CM60" s="32"/>
      <c r="CN60" s="32"/>
      <c r="CO60" s="32"/>
      <c r="CP60" s="32"/>
      <c r="CQ60" s="32"/>
      <c r="CR60" s="32"/>
      <c r="CS60" s="32"/>
      <c r="CT60" s="32"/>
      <c r="CU60" s="32"/>
      <c r="CV60" s="32"/>
      <c r="CW60" s="32"/>
      <c r="CX60" s="32"/>
      <c r="CY60" s="32"/>
      <c r="CZ60" s="32"/>
      <c r="DA60" s="32"/>
      <c r="DB60" s="32"/>
      <c r="DC60" s="32"/>
      <c r="DD60" s="32"/>
      <c r="DE60" s="32"/>
      <c r="DF60" s="32"/>
      <c r="DG60" s="32"/>
      <c r="DH60" s="32"/>
      <c r="DI60" s="32"/>
      <c r="DJ60" s="32"/>
      <c r="DK60" s="32"/>
      <c r="DL60" s="32"/>
      <c r="DM60" s="32"/>
      <c r="DN60" s="32"/>
      <c r="DO60" s="32"/>
      <c r="DP60" s="32"/>
      <c r="DQ60" s="32"/>
      <c r="DR60" s="32"/>
      <c r="DS60" s="32"/>
      <c r="DT60" s="32"/>
      <c r="DU60" s="32"/>
      <c r="DV60" s="32"/>
      <c r="DW60" s="32"/>
      <c r="DX60" s="32"/>
      <c r="DY60" s="32"/>
      <c r="DZ60" s="32"/>
      <c r="EA60" s="32"/>
      <c r="EB60" s="32"/>
      <c r="EC60" s="32"/>
      <c r="ED60" s="32"/>
      <c r="EE60" s="32"/>
      <c r="EF60" s="32"/>
      <c r="EG60" s="32"/>
    </row>
    <row r="61" spans="1:138" s="5" customFormat="1" ht="57">
      <c r="A61" s="17" t="s">
        <v>218</v>
      </c>
      <c r="B61" s="17" t="s">
        <v>389</v>
      </c>
      <c r="C61" s="18" t="s">
        <v>390</v>
      </c>
      <c r="D61" s="18" t="s">
        <v>470</v>
      </c>
      <c r="E61" s="17">
        <v>892</v>
      </c>
      <c r="F61" s="17" t="s">
        <v>755</v>
      </c>
      <c r="G61" s="19" t="s">
        <v>276</v>
      </c>
      <c r="H61" s="17" t="s">
        <v>277</v>
      </c>
      <c r="I61" s="17" t="s">
        <v>225</v>
      </c>
      <c r="J61" s="19" t="s">
        <v>393</v>
      </c>
      <c r="K61" s="19" t="s">
        <v>3255</v>
      </c>
      <c r="L61" s="17" t="s">
        <v>3253</v>
      </c>
      <c r="M61" s="17" t="s">
        <v>114</v>
      </c>
      <c r="N61" s="16"/>
      <c r="O61" s="16"/>
      <c r="P61" s="89">
        <v>40</v>
      </c>
      <c r="Q61" s="89"/>
      <c r="R61" s="16"/>
      <c r="S61" s="66">
        <f t="shared" si="3"/>
        <v>375.9476872206032</v>
      </c>
      <c r="T61" s="17" t="s">
        <v>3247</v>
      </c>
      <c r="U61" s="17">
        <v>0.84499999999999997</v>
      </c>
      <c r="V61" s="17">
        <v>46</v>
      </c>
      <c r="W61" s="81" t="s">
        <v>694</v>
      </c>
      <c r="X61" s="16"/>
      <c r="Y61" s="16"/>
      <c r="Z61" s="16"/>
      <c r="AA61" s="16"/>
      <c r="AB61" s="16"/>
      <c r="AC61" s="16"/>
      <c r="AD61" s="16"/>
      <c r="AE61" s="16"/>
      <c r="AF61" s="16"/>
      <c r="AG61" s="16"/>
      <c r="AH61" s="16"/>
      <c r="AI61" s="16"/>
      <c r="AJ61" s="16"/>
      <c r="AK61" s="17"/>
      <c r="AL61" s="17"/>
      <c r="AM61" s="17"/>
      <c r="AN61" s="17"/>
      <c r="AO61" s="17"/>
      <c r="AP61" s="17"/>
      <c r="AQ61" s="17"/>
      <c r="AR61" s="17"/>
      <c r="AS61" s="17"/>
      <c r="AT61" s="17"/>
      <c r="AU61" s="17"/>
      <c r="AV61" s="17"/>
      <c r="AW61" s="17"/>
      <c r="AX61" s="17"/>
      <c r="AY61" s="17"/>
      <c r="AZ61" s="17"/>
      <c r="BA61" s="17"/>
      <c r="BB61" s="17"/>
      <c r="BC61" s="17"/>
      <c r="BD61" s="17"/>
      <c r="BE61" s="17"/>
      <c r="BF61" s="17"/>
      <c r="BG61" s="17"/>
      <c r="BH61" s="17"/>
      <c r="BI61" s="17"/>
      <c r="BJ61" s="17"/>
      <c r="BK61" s="17"/>
      <c r="BL61" s="17"/>
      <c r="BM61" s="17"/>
      <c r="BN61" s="17"/>
      <c r="BO61" s="17"/>
      <c r="BP61" s="17"/>
      <c r="BQ61" s="17"/>
      <c r="BR61" s="17"/>
      <c r="BS61" s="17"/>
      <c r="BT61" s="17"/>
      <c r="BU61" s="17"/>
      <c r="BV61" s="17"/>
      <c r="BW61" s="17"/>
      <c r="BX61" s="17"/>
      <c r="BY61" s="17"/>
      <c r="BZ61" s="17"/>
      <c r="CA61" s="17"/>
      <c r="CB61" s="17"/>
      <c r="CC61" s="17"/>
      <c r="CD61" s="17"/>
      <c r="CE61" s="17"/>
      <c r="CF61" s="17"/>
      <c r="CG61" s="17"/>
      <c r="CH61" s="17"/>
      <c r="CI61" s="17"/>
      <c r="CJ61" s="17"/>
      <c r="CK61" s="17"/>
      <c r="CL61" s="17"/>
      <c r="CM61" s="17"/>
      <c r="CN61" s="17"/>
      <c r="CO61" s="17"/>
      <c r="CP61" s="17"/>
      <c r="CQ61" s="17"/>
      <c r="CR61" s="17"/>
      <c r="CS61" s="17"/>
      <c r="CT61" s="17"/>
      <c r="CU61" s="17"/>
      <c r="CV61" s="17"/>
      <c r="CW61" s="17"/>
      <c r="CX61" s="17"/>
      <c r="CY61" s="17"/>
      <c r="CZ61" s="17"/>
      <c r="DA61" s="17"/>
      <c r="DB61" s="17"/>
      <c r="DC61" s="17"/>
      <c r="DD61" s="17"/>
      <c r="DE61" s="17"/>
      <c r="DF61" s="17"/>
      <c r="DG61" s="17"/>
      <c r="DH61" s="17"/>
      <c r="DI61" s="17"/>
      <c r="DJ61" s="17"/>
      <c r="DK61" s="17"/>
      <c r="DL61" s="17"/>
      <c r="DM61" s="17"/>
      <c r="DN61" s="17"/>
      <c r="DO61" s="17"/>
      <c r="DP61" s="17"/>
      <c r="DQ61" s="17"/>
      <c r="DR61" s="17"/>
      <c r="DS61" s="17"/>
      <c r="DT61" s="17"/>
      <c r="DU61" s="17"/>
      <c r="DV61" s="17"/>
      <c r="DW61" s="17"/>
      <c r="DX61" s="17"/>
      <c r="DY61" s="17"/>
      <c r="DZ61" s="17"/>
      <c r="EA61" s="17"/>
      <c r="EB61" s="17"/>
      <c r="EC61" s="17"/>
      <c r="ED61" s="17"/>
      <c r="EE61" s="17"/>
      <c r="EF61" s="17"/>
      <c r="EG61" s="17"/>
      <c r="EH61" s="17"/>
    </row>
    <row r="62" spans="1:138" s="5" customFormat="1" ht="57">
      <c r="A62" s="17" t="s">
        <v>218</v>
      </c>
      <c r="B62" s="17" t="s">
        <v>389</v>
      </c>
      <c r="C62" s="18" t="s">
        <v>390</v>
      </c>
      <c r="D62" s="18" t="s">
        <v>470</v>
      </c>
      <c r="E62" s="17">
        <v>892</v>
      </c>
      <c r="F62" s="17" t="s">
        <v>748</v>
      </c>
      <c r="G62" s="19" t="s">
        <v>276</v>
      </c>
      <c r="H62" s="17" t="s">
        <v>277</v>
      </c>
      <c r="I62" s="17" t="s">
        <v>225</v>
      </c>
      <c r="J62" s="19" t="s">
        <v>393</v>
      </c>
      <c r="K62" s="19" t="s">
        <v>3255</v>
      </c>
      <c r="L62" s="17" t="s">
        <v>3253</v>
      </c>
      <c r="M62" s="17" t="s">
        <v>114</v>
      </c>
      <c r="N62" s="16"/>
      <c r="O62" s="16"/>
      <c r="P62" s="89">
        <v>36.299999999999997</v>
      </c>
      <c r="Q62" s="89"/>
      <c r="R62" s="16"/>
      <c r="S62" s="66">
        <f t="shared" si="3"/>
        <v>255.37593838498341</v>
      </c>
      <c r="T62" s="17" t="s">
        <v>3247</v>
      </c>
      <c r="U62" s="17">
        <v>0.84499999999999997</v>
      </c>
      <c r="V62" s="17">
        <v>46</v>
      </c>
      <c r="W62" s="81" t="s">
        <v>694</v>
      </c>
      <c r="X62" s="16"/>
      <c r="Y62" s="16"/>
      <c r="Z62" s="16"/>
      <c r="AA62" s="16"/>
      <c r="AB62" s="16"/>
      <c r="AC62" s="16"/>
      <c r="AD62" s="85"/>
      <c r="AE62" s="85"/>
      <c r="AF62" s="85"/>
      <c r="AG62" s="85"/>
      <c r="AH62" s="85"/>
      <c r="AI62" s="85"/>
      <c r="AJ62" s="85"/>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c r="CO62" s="32"/>
      <c r="CP62" s="32"/>
      <c r="CQ62" s="32"/>
      <c r="CR62" s="32"/>
      <c r="CS62" s="32"/>
      <c r="CT62" s="32"/>
      <c r="CU62" s="32"/>
      <c r="CV62" s="32"/>
      <c r="CW62" s="32"/>
      <c r="CX62" s="32"/>
      <c r="CY62" s="32"/>
      <c r="CZ62" s="32"/>
      <c r="DA62" s="32"/>
      <c r="DB62" s="32"/>
      <c r="DC62" s="32"/>
      <c r="DD62" s="32"/>
      <c r="DE62" s="32"/>
      <c r="DF62" s="32"/>
      <c r="DG62" s="32"/>
      <c r="DH62" s="32"/>
      <c r="DI62" s="32"/>
      <c r="DJ62" s="32"/>
      <c r="DK62" s="32"/>
      <c r="DL62" s="32"/>
      <c r="DM62" s="32"/>
      <c r="DN62" s="32"/>
      <c r="DO62" s="32"/>
      <c r="DP62" s="32"/>
      <c r="DQ62" s="32"/>
      <c r="DR62" s="32"/>
      <c r="DS62" s="32"/>
      <c r="DT62" s="32"/>
      <c r="DU62" s="32"/>
      <c r="DV62" s="32"/>
      <c r="DW62" s="32"/>
      <c r="DX62" s="32"/>
      <c r="DY62" s="32"/>
      <c r="DZ62" s="32"/>
      <c r="EA62" s="32"/>
      <c r="EB62" s="32"/>
      <c r="EC62" s="32"/>
      <c r="ED62" s="32"/>
      <c r="EE62" s="32"/>
      <c r="EF62" s="32"/>
      <c r="EG62" s="32"/>
      <c r="EH62" s="17"/>
    </row>
    <row r="63" spans="1:138" s="5" customFormat="1" ht="57">
      <c r="A63" s="17" t="s">
        <v>218</v>
      </c>
      <c r="B63" s="17" t="s">
        <v>389</v>
      </c>
      <c r="C63" s="18" t="s">
        <v>390</v>
      </c>
      <c r="D63" s="18" t="s">
        <v>470</v>
      </c>
      <c r="E63" s="17">
        <v>892</v>
      </c>
      <c r="F63" s="17" t="s">
        <v>767</v>
      </c>
      <c r="G63" s="19" t="s">
        <v>276</v>
      </c>
      <c r="H63" s="17" t="s">
        <v>277</v>
      </c>
      <c r="I63" s="17" t="s">
        <v>225</v>
      </c>
      <c r="J63" s="19" t="s">
        <v>393</v>
      </c>
      <c r="K63" s="19" t="s">
        <v>3255</v>
      </c>
      <c r="L63" s="17" t="s">
        <v>3253</v>
      </c>
      <c r="M63" s="17" t="s">
        <v>108</v>
      </c>
      <c r="N63" s="16"/>
      <c r="O63" s="16"/>
      <c r="P63" s="89">
        <v>44.2</v>
      </c>
      <c r="Q63" s="89"/>
      <c r="R63" s="16"/>
      <c r="S63" s="66">
        <f t="shared" si="3"/>
        <v>559.61765273341518</v>
      </c>
      <c r="T63" s="17" t="s">
        <v>3247</v>
      </c>
      <c r="U63" s="17">
        <v>0.84499999999999997</v>
      </c>
      <c r="V63" s="17">
        <v>46</v>
      </c>
      <c r="W63" s="81" t="s">
        <v>694</v>
      </c>
      <c r="X63" s="16"/>
      <c r="Y63" s="16"/>
      <c r="Z63" s="16"/>
      <c r="AA63" s="16"/>
      <c r="AB63" s="16"/>
      <c r="AC63" s="16"/>
      <c r="AD63" s="85"/>
      <c r="AE63" s="85"/>
      <c r="AF63" s="85"/>
      <c r="AG63" s="85"/>
      <c r="AH63" s="85"/>
      <c r="AI63" s="85"/>
      <c r="AJ63" s="85"/>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c r="CO63" s="32"/>
      <c r="CP63" s="32"/>
      <c r="CQ63" s="32"/>
      <c r="CR63" s="32"/>
      <c r="CS63" s="32"/>
      <c r="CT63" s="32"/>
      <c r="CU63" s="32"/>
      <c r="CV63" s="32"/>
      <c r="CW63" s="32"/>
      <c r="CX63" s="32"/>
      <c r="CY63" s="32"/>
      <c r="CZ63" s="32"/>
      <c r="DA63" s="32"/>
      <c r="DB63" s="32"/>
      <c r="DC63" s="32"/>
      <c r="DD63" s="32"/>
      <c r="DE63" s="32"/>
      <c r="DF63" s="32"/>
      <c r="DG63" s="32"/>
      <c r="DH63" s="32"/>
      <c r="DI63" s="32"/>
      <c r="DJ63" s="32"/>
      <c r="DK63" s="32"/>
      <c r="DL63" s="32"/>
      <c r="DM63" s="32"/>
      <c r="DN63" s="32"/>
      <c r="DO63" s="32"/>
      <c r="DP63" s="32"/>
      <c r="DQ63" s="32"/>
      <c r="DR63" s="32"/>
      <c r="DS63" s="32"/>
      <c r="DT63" s="32"/>
      <c r="DU63" s="32"/>
      <c r="DV63" s="32"/>
      <c r="DW63" s="32"/>
      <c r="DX63" s="32"/>
      <c r="DY63" s="32"/>
      <c r="DZ63" s="32"/>
      <c r="EA63" s="32"/>
      <c r="EB63" s="32"/>
      <c r="EC63" s="32"/>
      <c r="ED63" s="32"/>
      <c r="EE63" s="32"/>
      <c r="EF63" s="32"/>
      <c r="EG63" s="32"/>
      <c r="EH63" s="17"/>
    </row>
    <row r="64" spans="1:138" s="5" customFormat="1" ht="57">
      <c r="A64" s="17" t="s">
        <v>218</v>
      </c>
      <c r="B64" s="17" t="s">
        <v>389</v>
      </c>
      <c r="C64" s="18" t="s">
        <v>390</v>
      </c>
      <c r="D64" s="18" t="s">
        <v>470</v>
      </c>
      <c r="E64" s="17">
        <v>892</v>
      </c>
      <c r="F64" s="17" t="s">
        <v>744</v>
      </c>
      <c r="G64" s="19" t="s">
        <v>276</v>
      </c>
      <c r="H64" s="17" t="s">
        <v>277</v>
      </c>
      <c r="I64" s="17" t="s">
        <v>225</v>
      </c>
      <c r="J64" s="19" t="s">
        <v>393</v>
      </c>
      <c r="K64" s="19" t="s">
        <v>3255</v>
      </c>
      <c r="L64" s="17" t="s">
        <v>3253</v>
      </c>
      <c r="M64" s="17" t="s">
        <v>108</v>
      </c>
      <c r="N64" s="16"/>
      <c r="O64" s="16"/>
      <c r="P64" s="89">
        <v>36</v>
      </c>
      <c r="Q64" s="89"/>
      <c r="R64" s="16"/>
      <c r="S64" s="66">
        <f t="shared" si="3"/>
        <v>247.07023229701232</v>
      </c>
      <c r="T64" s="17" t="s">
        <v>3247</v>
      </c>
      <c r="U64" s="17">
        <v>0.84499999999999997</v>
      </c>
      <c r="V64" s="17">
        <v>46</v>
      </c>
      <c r="W64" s="81" t="s">
        <v>694</v>
      </c>
      <c r="X64" s="16"/>
      <c r="Y64" s="16"/>
      <c r="Z64" s="16"/>
      <c r="AA64" s="16"/>
      <c r="AB64" s="16"/>
      <c r="AC64" s="16"/>
      <c r="AD64" s="85"/>
      <c r="AE64" s="85"/>
      <c r="AF64" s="85"/>
      <c r="AG64" s="85"/>
      <c r="AH64" s="85"/>
      <c r="AI64" s="85"/>
      <c r="AJ64" s="85"/>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c r="CO64" s="32"/>
      <c r="CP64" s="32"/>
      <c r="CQ64" s="32"/>
      <c r="CR64" s="32"/>
      <c r="CS64" s="32"/>
      <c r="CT64" s="32"/>
      <c r="CU64" s="32"/>
      <c r="CV64" s="32"/>
      <c r="CW64" s="32"/>
      <c r="CX64" s="32"/>
      <c r="CY64" s="32"/>
      <c r="CZ64" s="32"/>
      <c r="DA64" s="32"/>
      <c r="DB64" s="32"/>
      <c r="DC64" s="32"/>
      <c r="DD64" s="32"/>
      <c r="DE64" s="32"/>
      <c r="DF64" s="32"/>
      <c r="DG64" s="32"/>
      <c r="DH64" s="32"/>
      <c r="DI64" s="32"/>
      <c r="DJ64" s="32"/>
      <c r="DK64" s="32"/>
      <c r="DL64" s="32"/>
      <c r="DM64" s="32"/>
      <c r="DN64" s="32"/>
      <c r="DO64" s="32"/>
      <c r="DP64" s="32"/>
      <c r="DQ64" s="32"/>
      <c r="DR64" s="32"/>
      <c r="DS64" s="32"/>
      <c r="DT64" s="32"/>
      <c r="DU64" s="32"/>
      <c r="DV64" s="32"/>
      <c r="DW64" s="32"/>
      <c r="DX64" s="32"/>
      <c r="DY64" s="32"/>
      <c r="DZ64" s="32"/>
      <c r="EA64" s="32"/>
      <c r="EB64" s="32"/>
      <c r="EC64" s="32"/>
      <c r="ED64" s="32"/>
      <c r="EE64" s="32"/>
      <c r="EF64" s="32"/>
      <c r="EG64" s="32"/>
      <c r="EH64" s="17"/>
    </row>
    <row r="65" spans="1:137" s="17" customFormat="1" ht="57">
      <c r="A65" s="17" t="s">
        <v>218</v>
      </c>
      <c r="B65" s="17" t="s">
        <v>389</v>
      </c>
      <c r="C65" s="18" t="s">
        <v>390</v>
      </c>
      <c r="D65" s="18" t="s">
        <v>470</v>
      </c>
      <c r="E65" s="17">
        <v>892</v>
      </c>
      <c r="F65" s="17" t="s">
        <v>757</v>
      </c>
      <c r="G65" s="19" t="s">
        <v>276</v>
      </c>
      <c r="H65" s="17" t="s">
        <v>277</v>
      </c>
      <c r="I65" s="17" t="s">
        <v>225</v>
      </c>
      <c r="J65" s="19" t="s">
        <v>393</v>
      </c>
      <c r="K65" s="19" t="s">
        <v>3255</v>
      </c>
      <c r="L65" s="17" t="s">
        <v>3253</v>
      </c>
      <c r="M65" s="17" t="s">
        <v>114</v>
      </c>
      <c r="N65" s="16"/>
      <c r="O65" s="16"/>
      <c r="P65" s="89">
        <v>41</v>
      </c>
      <c r="Q65" s="89"/>
      <c r="R65" s="16"/>
      <c r="S65" s="66">
        <f t="shared" si="3"/>
        <v>414.81403487315015</v>
      </c>
      <c r="T65" s="17" t="s">
        <v>3247</v>
      </c>
      <c r="U65" s="17">
        <v>0.84499999999999997</v>
      </c>
      <c r="V65" s="17">
        <v>46</v>
      </c>
      <c r="W65" s="81" t="s">
        <v>694</v>
      </c>
      <c r="X65" s="16"/>
      <c r="Y65" s="16"/>
      <c r="Z65" s="16"/>
      <c r="AA65" s="16"/>
      <c r="AB65" s="16"/>
      <c r="AC65" s="16"/>
      <c r="AD65" s="85"/>
      <c r="AE65" s="85"/>
      <c r="AF65" s="85"/>
      <c r="AG65" s="85"/>
      <c r="AH65" s="85"/>
      <c r="AI65" s="85"/>
      <c r="AJ65" s="85"/>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c r="CK65" s="32"/>
      <c r="CL65" s="32"/>
      <c r="CM65" s="32"/>
      <c r="CN65" s="32"/>
      <c r="CO65" s="32"/>
      <c r="CP65" s="32"/>
      <c r="CQ65" s="32"/>
      <c r="CR65" s="32"/>
      <c r="CS65" s="32"/>
      <c r="CT65" s="32"/>
      <c r="CU65" s="32"/>
      <c r="CV65" s="32"/>
      <c r="CW65" s="32"/>
      <c r="CX65" s="32"/>
      <c r="CY65" s="32"/>
      <c r="CZ65" s="32"/>
      <c r="DA65" s="32"/>
      <c r="DB65" s="32"/>
      <c r="DC65" s="32"/>
      <c r="DD65" s="32"/>
      <c r="DE65" s="32"/>
      <c r="DF65" s="32"/>
      <c r="DG65" s="32"/>
      <c r="DH65" s="32"/>
      <c r="DI65" s="32"/>
      <c r="DJ65" s="32"/>
      <c r="DK65" s="32"/>
      <c r="DL65" s="32"/>
      <c r="DM65" s="32"/>
      <c r="DN65" s="32"/>
      <c r="DO65" s="32"/>
      <c r="DP65" s="32"/>
      <c r="DQ65" s="32"/>
      <c r="DR65" s="32"/>
      <c r="DS65" s="32"/>
      <c r="DT65" s="32"/>
      <c r="DU65" s="32"/>
      <c r="DV65" s="32"/>
      <c r="DW65" s="32"/>
      <c r="DX65" s="32"/>
      <c r="DY65" s="32"/>
      <c r="DZ65" s="32"/>
      <c r="EA65" s="32"/>
      <c r="EB65" s="32"/>
      <c r="EC65" s="32"/>
      <c r="ED65" s="32"/>
      <c r="EE65" s="32"/>
      <c r="EF65" s="32"/>
      <c r="EG65" s="32"/>
    </row>
    <row r="66" spans="1:137" s="17" customFormat="1" ht="57">
      <c r="A66" s="17" t="s">
        <v>218</v>
      </c>
      <c r="B66" s="17" t="s">
        <v>389</v>
      </c>
      <c r="C66" s="18" t="s">
        <v>390</v>
      </c>
      <c r="D66" s="18" t="s">
        <v>470</v>
      </c>
      <c r="E66" s="17">
        <v>40541</v>
      </c>
      <c r="F66" s="17">
        <v>109</v>
      </c>
      <c r="G66" s="19" t="s">
        <v>300</v>
      </c>
      <c r="H66" s="17" t="s">
        <v>301</v>
      </c>
      <c r="I66" s="17" t="s">
        <v>225</v>
      </c>
      <c r="J66" s="19" t="s">
        <v>105</v>
      </c>
      <c r="K66" s="19" t="s">
        <v>126</v>
      </c>
      <c r="L66" s="19" t="s">
        <v>127</v>
      </c>
      <c r="M66" s="17" t="s">
        <v>108</v>
      </c>
      <c r="P66" s="88">
        <v>4.4859999999999998</v>
      </c>
      <c r="Q66" s="88">
        <v>1.7329999999999999</v>
      </c>
      <c r="R66" s="17">
        <v>0</v>
      </c>
      <c r="S66" s="66">
        <v>747.18530006221545</v>
      </c>
      <c r="T66" s="19" t="s">
        <v>3245</v>
      </c>
      <c r="U66" s="21">
        <v>0.94299999999999995</v>
      </c>
      <c r="V66" s="86">
        <v>29.1</v>
      </c>
      <c r="W66" s="81" t="s">
        <v>700</v>
      </c>
      <c r="X66" s="16"/>
      <c r="Y66" s="16"/>
      <c r="Z66" s="16"/>
      <c r="AA66" s="16"/>
      <c r="AB66" s="16"/>
      <c r="AC66" s="16"/>
      <c r="AD66"/>
      <c r="AE66"/>
      <c r="AF66"/>
      <c r="AG66"/>
      <c r="AH66"/>
      <c r="AI66"/>
      <c r="AJ66"/>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row>
    <row r="67" spans="1:137" s="17" customFormat="1" ht="57">
      <c r="A67" s="17" t="s">
        <v>218</v>
      </c>
      <c r="B67" s="17" t="s">
        <v>389</v>
      </c>
      <c r="C67" s="18" t="s">
        <v>390</v>
      </c>
      <c r="D67" s="18" t="s">
        <v>470</v>
      </c>
      <c r="E67" s="17">
        <v>40541</v>
      </c>
      <c r="F67" s="17">
        <v>159</v>
      </c>
      <c r="G67" s="19" t="s">
        <v>300</v>
      </c>
      <c r="H67" s="17" t="s">
        <v>301</v>
      </c>
      <c r="I67" s="17" t="s">
        <v>225</v>
      </c>
      <c r="J67" s="19" t="s">
        <v>105</v>
      </c>
      <c r="K67" s="19" t="s">
        <v>126</v>
      </c>
      <c r="L67" s="19" t="s">
        <v>127</v>
      </c>
      <c r="M67" s="17" t="s">
        <v>108</v>
      </c>
      <c r="P67" s="88">
        <v>4.1779999999999999</v>
      </c>
      <c r="Q67" s="88">
        <v>1.893</v>
      </c>
      <c r="R67" s="17">
        <v>0</v>
      </c>
      <c r="S67" s="66">
        <v>768.32565800367786</v>
      </c>
      <c r="T67" s="19" t="s">
        <v>3245</v>
      </c>
      <c r="U67" s="21">
        <v>0.94299999999999995</v>
      </c>
      <c r="V67" s="86">
        <v>29.1</v>
      </c>
      <c r="W67" s="81" t="s">
        <v>700</v>
      </c>
      <c r="X67" s="16"/>
      <c r="Y67" s="16"/>
      <c r="Z67" s="16"/>
      <c r="AA67" s="16"/>
      <c r="AB67" s="16"/>
      <c r="AC67" s="16"/>
      <c r="AD67"/>
      <c r="AE67"/>
      <c r="AF67"/>
      <c r="AG67"/>
      <c r="AH67"/>
      <c r="AI67"/>
      <c r="AJ67"/>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row>
    <row r="68" spans="1:137" s="17" customFormat="1" ht="57">
      <c r="A68" s="17" t="s">
        <v>218</v>
      </c>
      <c r="B68" s="17" t="s">
        <v>389</v>
      </c>
      <c r="C68" s="18" t="s">
        <v>390</v>
      </c>
      <c r="D68" s="18" t="s">
        <v>470</v>
      </c>
      <c r="E68" s="17">
        <v>40541</v>
      </c>
      <c r="F68" s="17">
        <v>498</v>
      </c>
      <c r="G68" s="19" t="s">
        <v>300</v>
      </c>
      <c r="H68" s="17" t="s">
        <v>301</v>
      </c>
      <c r="I68" s="17" t="s">
        <v>225</v>
      </c>
      <c r="J68" s="19" t="s">
        <v>105</v>
      </c>
      <c r="K68" s="19" t="s">
        <v>126</v>
      </c>
      <c r="L68" s="19" t="s">
        <v>127</v>
      </c>
      <c r="M68" s="17" t="s">
        <v>108</v>
      </c>
      <c r="P68" s="88">
        <v>4.4009999999999998</v>
      </c>
      <c r="Q68" s="88">
        <v>1.5529999999999999</v>
      </c>
      <c r="R68" s="17">
        <v>0</v>
      </c>
      <c r="S68" s="66">
        <v>606.16361832536893</v>
      </c>
      <c r="T68" s="19" t="s">
        <v>3245</v>
      </c>
      <c r="U68" s="21">
        <v>0.94299999999999995</v>
      </c>
      <c r="V68" s="86">
        <v>29.1</v>
      </c>
      <c r="W68" s="81" t="s">
        <v>700</v>
      </c>
      <c r="X68" s="16"/>
      <c r="Y68" s="16"/>
      <c r="Z68" s="16"/>
      <c r="AA68" s="16"/>
      <c r="AB68" s="16"/>
      <c r="AC68" s="16"/>
      <c r="AD68"/>
      <c r="AE68"/>
      <c r="AF68"/>
      <c r="AG68"/>
      <c r="AH68"/>
      <c r="AI68"/>
      <c r="AJ68"/>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row>
    <row r="69" spans="1:137" s="17" customFormat="1" ht="57">
      <c r="A69" s="17" t="s">
        <v>218</v>
      </c>
      <c r="B69" s="17" t="s">
        <v>389</v>
      </c>
      <c r="C69" s="18" t="s">
        <v>390</v>
      </c>
      <c r="D69" s="18" t="s">
        <v>470</v>
      </c>
      <c r="E69" s="17">
        <v>740</v>
      </c>
      <c r="F69" s="17">
        <v>1</v>
      </c>
      <c r="G69" s="19" t="s">
        <v>762</v>
      </c>
      <c r="H69" s="17" t="s">
        <v>763</v>
      </c>
      <c r="I69" s="17" t="s">
        <v>3256</v>
      </c>
      <c r="J69" s="19" t="s">
        <v>105</v>
      </c>
      <c r="K69" s="19" t="s">
        <v>112</v>
      </c>
      <c r="L69" s="19" t="s">
        <v>113</v>
      </c>
      <c r="M69" s="17" t="s">
        <v>114</v>
      </c>
      <c r="P69" s="88">
        <v>2.4</v>
      </c>
      <c r="Q69" s="88">
        <v>1.8960000000000001</v>
      </c>
      <c r="R69" s="17">
        <v>0</v>
      </c>
      <c r="S69" s="66">
        <v>771.69508055030519</v>
      </c>
      <c r="T69" s="19" t="s">
        <v>3257</v>
      </c>
      <c r="U69" s="21">
        <v>0.94199999999999995</v>
      </c>
      <c r="V69" s="86">
        <v>29.2</v>
      </c>
      <c r="W69" s="81" t="s">
        <v>700</v>
      </c>
      <c r="X69" s="16"/>
      <c r="Y69" s="16"/>
      <c r="Z69" s="16"/>
      <c r="AA69" s="16"/>
      <c r="AB69" s="16"/>
      <c r="AC69" s="16"/>
      <c r="AD69"/>
      <c r="AE69"/>
      <c r="AF69"/>
      <c r="AG69"/>
      <c r="AH69"/>
      <c r="AI69"/>
      <c r="AJ69"/>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row>
    <row r="70" spans="1:137" s="17" customFormat="1" ht="57">
      <c r="A70" s="17" t="s">
        <v>218</v>
      </c>
      <c r="B70" s="17" t="s">
        <v>389</v>
      </c>
      <c r="C70" s="18" t="s">
        <v>390</v>
      </c>
      <c r="D70" s="18" t="s">
        <v>470</v>
      </c>
      <c r="E70" s="17">
        <v>740</v>
      </c>
      <c r="F70" s="17">
        <v>5</v>
      </c>
      <c r="G70" s="19" t="s">
        <v>762</v>
      </c>
      <c r="H70" s="17" t="s">
        <v>763</v>
      </c>
      <c r="I70" s="17" t="s">
        <v>3256</v>
      </c>
      <c r="J70" s="19" t="s">
        <v>105</v>
      </c>
      <c r="K70" s="19" t="s">
        <v>3258</v>
      </c>
      <c r="L70" s="19" t="s">
        <v>3259</v>
      </c>
      <c r="P70" s="88">
        <v>6.6</v>
      </c>
      <c r="Q70" s="88">
        <v>3.4</v>
      </c>
      <c r="R70" s="17">
        <v>0</v>
      </c>
      <c r="S70" s="66">
        <v>643.6820904295497</v>
      </c>
      <c r="T70" s="19" t="s">
        <v>3260</v>
      </c>
      <c r="U70" s="21">
        <v>0.94199999999999995</v>
      </c>
      <c r="V70" s="86">
        <v>22</v>
      </c>
      <c r="W70" s="81" t="s">
        <v>694</v>
      </c>
      <c r="X70" s="16"/>
      <c r="Y70" s="16"/>
      <c r="Z70" s="16"/>
      <c r="AA70" s="16"/>
      <c r="AB70" s="16"/>
      <c r="AC70" s="16"/>
      <c r="AD70"/>
      <c r="AE70"/>
      <c r="AF70"/>
      <c r="AG70"/>
      <c r="AH70"/>
      <c r="AI70"/>
      <c r="AJ70"/>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row>
    <row r="71" spans="1:137" s="5" customFormat="1" ht="57">
      <c r="A71" s="17" t="s">
        <v>218</v>
      </c>
      <c r="B71" s="17" t="s">
        <v>389</v>
      </c>
      <c r="C71" s="18" t="s">
        <v>390</v>
      </c>
      <c r="D71" s="18" t="s">
        <v>470</v>
      </c>
      <c r="E71" s="17">
        <v>45614</v>
      </c>
      <c r="F71" s="17">
        <v>1</v>
      </c>
      <c r="G71" s="19" t="s">
        <v>773</v>
      </c>
      <c r="H71" s="17" t="s">
        <v>197</v>
      </c>
      <c r="I71" s="17" t="s">
        <v>104</v>
      </c>
      <c r="J71" s="19" t="s">
        <v>105</v>
      </c>
      <c r="K71" s="19" t="s">
        <v>112</v>
      </c>
      <c r="L71" s="19" t="s">
        <v>113</v>
      </c>
      <c r="M71" s="17" t="s">
        <v>108</v>
      </c>
      <c r="N71" s="17"/>
      <c r="O71" s="17"/>
      <c r="P71" s="88">
        <v>2.7280000000000002</v>
      </c>
      <c r="Q71" s="88">
        <v>1.8329999999999997</v>
      </c>
      <c r="R71" s="17">
        <v>0</v>
      </c>
      <c r="S71" s="66">
        <v>904.94573482799183</v>
      </c>
      <c r="T71" s="19" t="s">
        <v>3257</v>
      </c>
      <c r="U71" s="21">
        <v>0.94199999999999995</v>
      </c>
      <c r="V71" s="86">
        <v>29.2</v>
      </c>
      <c r="W71" s="81" t="s">
        <v>700</v>
      </c>
      <c r="X71" s="16"/>
      <c r="Y71" s="16"/>
      <c r="Z71" s="16"/>
      <c r="AA71" s="16"/>
      <c r="AB71" s="16"/>
      <c r="AC71" s="16"/>
      <c r="AD71" s="12"/>
      <c r="AE71" s="12"/>
      <c r="AF71" s="12"/>
      <c r="AG71" s="12"/>
      <c r="AH71" s="12"/>
      <c r="AI71" s="12"/>
      <c r="AJ71" s="12"/>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row>
    <row r="72" spans="1:137" s="5" customFormat="1" ht="18">
      <c r="A72" s="17"/>
      <c r="B72" s="17"/>
      <c r="C72" s="18"/>
      <c r="D72" s="18"/>
      <c r="E72" s="17"/>
      <c r="F72" s="17"/>
      <c r="G72" s="19"/>
      <c r="H72" s="17"/>
      <c r="I72" s="17"/>
      <c r="J72" s="19"/>
      <c r="K72" s="19"/>
      <c r="L72" s="19"/>
      <c r="M72" s="17"/>
      <c r="N72" s="17"/>
      <c r="O72" s="17" t="s">
        <v>3261</v>
      </c>
      <c r="P72" s="88"/>
      <c r="Q72" s="88"/>
      <c r="R72" s="17" t="s">
        <v>3262</v>
      </c>
      <c r="S72" s="66"/>
      <c r="T72" s="19"/>
      <c r="U72" s="21"/>
      <c r="V72" s="86"/>
      <c r="W72" s="81"/>
      <c r="X72" s="16"/>
      <c r="Y72" s="16"/>
      <c r="Z72" s="16"/>
      <c r="AA72" s="16"/>
      <c r="AB72" s="16"/>
      <c r="AC72" s="16"/>
      <c r="AD72" s="12"/>
      <c r="AE72" s="12"/>
      <c r="AF72" s="12"/>
      <c r="AG72" s="12"/>
      <c r="AH72" s="12"/>
      <c r="AI72" s="12"/>
      <c r="AJ72" s="12"/>
      <c r="AK72" s="25"/>
      <c r="AL72" s="25"/>
      <c r="AM72" s="25"/>
      <c r="AN72" s="25"/>
      <c r="AO72" s="25"/>
      <c r="AP72" s="25"/>
      <c r="AQ72" s="25"/>
      <c r="AR72" s="25"/>
      <c r="AS72" s="25"/>
      <c r="AT72" s="25"/>
      <c r="AU72" s="25"/>
      <c r="AV72" s="25"/>
      <c r="AW72" s="25"/>
      <c r="AX72" s="25"/>
      <c r="AY72" s="25"/>
      <c r="AZ72" s="25"/>
      <c r="BA72" s="25"/>
      <c r="BB72" s="25"/>
      <c r="BC72" s="25"/>
      <c r="BD72" s="25"/>
      <c r="BE72" s="25"/>
      <c r="BF72" s="25"/>
      <c r="BG72" s="25"/>
      <c r="BH72" s="25"/>
      <c r="BI72" s="25"/>
      <c r="BJ72" s="25"/>
      <c r="BK72" s="25"/>
      <c r="BL72" s="25"/>
      <c r="BM72" s="25"/>
      <c r="BN72" s="25"/>
      <c r="BO72" s="25"/>
      <c r="BP72" s="25"/>
      <c r="BQ72" s="25"/>
      <c r="BR72" s="25"/>
      <c r="BS72" s="25"/>
      <c r="BT72" s="25"/>
      <c r="BU72" s="25"/>
      <c r="BV72" s="25"/>
      <c r="BW72" s="25"/>
      <c r="BX72" s="25"/>
      <c r="BY72" s="25"/>
      <c r="BZ72" s="25"/>
      <c r="CA72" s="25"/>
      <c r="CB72" s="25"/>
      <c r="CC72" s="25"/>
      <c r="CD72" s="25"/>
      <c r="CE72" s="25"/>
      <c r="CF72" s="25"/>
      <c r="CG72" s="25"/>
      <c r="CH72" s="25"/>
      <c r="CI72" s="25"/>
      <c r="CJ72" s="25"/>
      <c r="CK72" s="25"/>
      <c r="CL72" s="25"/>
      <c r="CM72" s="25"/>
      <c r="CN72" s="25"/>
      <c r="CO72" s="25"/>
      <c r="CP72" s="25"/>
      <c r="CQ72" s="25"/>
      <c r="CR72" s="25"/>
      <c r="CS72" s="25"/>
      <c r="CT72" s="25"/>
      <c r="CU72" s="25"/>
      <c r="CV72" s="25"/>
      <c r="CW72" s="25"/>
      <c r="CX72" s="25"/>
      <c r="CY72" s="25"/>
      <c r="CZ72" s="25"/>
      <c r="DA72" s="25"/>
      <c r="DB72" s="25"/>
      <c r="DC72" s="25"/>
      <c r="DD72" s="25"/>
      <c r="DE72" s="25"/>
      <c r="DF72" s="25"/>
      <c r="DG72" s="25"/>
      <c r="DH72" s="25"/>
      <c r="DI72" s="25"/>
      <c r="DJ72" s="25"/>
      <c r="DK72" s="25"/>
      <c r="DL72" s="25"/>
      <c r="DM72" s="25"/>
      <c r="DN72" s="25"/>
      <c r="DO72" s="25"/>
      <c r="DP72" s="25"/>
      <c r="DQ72" s="25"/>
      <c r="DR72" s="25"/>
      <c r="DS72" s="25"/>
      <c r="DT72" s="25"/>
      <c r="DU72" s="25"/>
      <c r="DV72" s="25"/>
      <c r="DW72" s="25"/>
      <c r="DX72" s="25"/>
      <c r="DY72" s="25"/>
      <c r="DZ72" s="25"/>
      <c r="EA72" s="25"/>
      <c r="EB72" s="25"/>
      <c r="EC72" s="12"/>
      <c r="ED72" s="12"/>
      <c r="EE72" s="12"/>
      <c r="EF72" s="12"/>
      <c r="EG72" s="12"/>
    </row>
    <row r="73" spans="1:137" s="5" customFormat="1" ht="18">
      <c r="A73" s="17"/>
      <c r="B73" s="17"/>
      <c r="C73" s="18"/>
      <c r="D73" s="18"/>
      <c r="E73" s="17"/>
      <c r="F73" s="17"/>
      <c r="G73" s="19"/>
      <c r="H73" s="17"/>
      <c r="I73" s="17"/>
      <c r="J73" s="19"/>
      <c r="K73" s="19"/>
      <c r="L73" s="19"/>
      <c r="M73" s="17"/>
      <c r="N73" s="17"/>
      <c r="O73" s="17" t="s">
        <v>3263</v>
      </c>
      <c r="P73" s="88">
        <f>COUNT(S6:S71)</f>
        <v>57</v>
      </c>
      <c r="Q73" s="88"/>
      <c r="R73" s="17">
        <f>COUNT(S3:S70)</f>
        <v>56</v>
      </c>
      <c r="S73" s="66"/>
      <c r="T73" s="19"/>
      <c r="U73" s="21"/>
      <c r="V73" s="86"/>
      <c r="W73" s="81"/>
      <c r="X73" s="16"/>
      <c r="Y73" s="16"/>
      <c r="Z73" s="16"/>
      <c r="AA73" s="16"/>
      <c r="AB73" s="16"/>
      <c r="AC73" s="16"/>
      <c r="AD73" s="12"/>
      <c r="AE73" s="12"/>
      <c r="AF73" s="12"/>
      <c r="AG73" s="12"/>
      <c r="AH73" s="12"/>
      <c r="AI73" s="12"/>
      <c r="AJ73" s="12"/>
      <c r="AK73" s="25"/>
      <c r="AL73" s="25"/>
      <c r="AM73" s="25"/>
      <c r="AN73" s="25"/>
      <c r="AO73" s="25"/>
      <c r="AP73" s="25"/>
      <c r="AQ73" s="25"/>
      <c r="AR73" s="25"/>
      <c r="AS73" s="25"/>
      <c r="AT73" s="25"/>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25"/>
      <c r="BW73" s="25"/>
      <c r="BX73" s="25"/>
      <c r="BY73" s="25"/>
      <c r="BZ73" s="25"/>
      <c r="CA73" s="25"/>
      <c r="CB73" s="25"/>
      <c r="CC73" s="25"/>
      <c r="CD73" s="25"/>
      <c r="CE73" s="25"/>
      <c r="CF73" s="25"/>
      <c r="CG73" s="25"/>
      <c r="CH73" s="25"/>
      <c r="CI73" s="25"/>
      <c r="CJ73" s="25"/>
      <c r="CK73" s="25"/>
      <c r="CL73" s="25"/>
      <c r="CM73" s="25"/>
      <c r="CN73" s="25"/>
      <c r="CO73" s="25"/>
      <c r="CP73" s="25"/>
      <c r="CQ73" s="25"/>
      <c r="CR73" s="25"/>
      <c r="CS73" s="25"/>
      <c r="CT73" s="25"/>
      <c r="CU73" s="25"/>
      <c r="CV73" s="25"/>
      <c r="CW73" s="25"/>
      <c r="CX73" s="25"/>
      <c r="CY73" s="25"/>
      <c r="CZ73" s="25"/>
      <c r="DA73" s="25"/>
      <c r="DB73" s="25"/>
      <c r="DC73" s="25"/>
      <c r="DD73" s="25"/>
      <c r="DE73" s="25"/>
      <c r="DF73" s="25"/>
      <c r="DG73" s="25"/>
      <c r="DH73" s="25"/>
      <c r="DI73" s="25"/>
      <c r="DJ73" s="25"/>
      <c r="DK73" s="25"/>
      <c r="DL73" s="25"/>
      <c r="DM73" s="25"/>
      <c r="DN73" s="25"/>
      <c r="DO73" s="25"/>
      <c r="DP73" s="25"/>
      <c r="DQ73" s="25"/>
      <c r="DR73" s="25"/>
      <c r="DS73" s="25"/>
      <c r="DT73" s="25"/>
      <c r="DU73" s="25"/>
      <c r="DV73" s="25"/>
      <c r="DW73" s="25"/>
      <c r="DX73" s="25"/>
      <c r="DY73" s="25"/>
      <c r="DZ73" s="25"/>
      <c r="EA73" s="25"/>
      <c r="EB73" s="25"/>
      <c r="EC73" s="12"/>
      <c r="ED73" s="12"/>
      <c r="EE73" s="12"/>
      <c r="EF73" s="12"/>
      <c r="EG73" s="12"/>
    </row>
    <row r="74" spans="1:137" s="5" customFormat="1" ht="18">
      <c r="A74" s="17"/>
      <c r="B74" s="17"/>
      <c r="C74" s="18"/>
      <c r="D74" s="18"/>
      <c r="E74" s="17"/>
      <c r="F74" s="17"/>
      <c r="G74" s="19"/>
      <c r="H74" s="17"/>
      <c r="I74" s="17"/>
      <c r="J74" s="19"/>
      <c r="K74" s="19"/>
      <c r="L74" s="19"/>
      <c r="M74" s="17"/>
      <c r="N74" s="17"/>
      <c r="O74" s="17" t="s">
        <v>3264</v>
      </c>
      <c r="P74" s="88">
        <f>AVERAGE(S6:S71)</f>
        <v>516.88474556919243</v>
      </c>
      <c r="Q74" s="88"/>
      <c r="R74" s="20">
        <f>AVERAGE(S3:S70)</f>
        <v>509.95508504671386</v>
      </c>
      <c r="S74" s="66"/>
      <c r="T74" s="86"/>
      <c r="U74" s="21"/>
      <c r="V74" s="86"/>
      <c r="W74" s="81"/>
      <c r="X74" s="16"/>
      <c r="Y74" s="16"/>
      <c r="Z74" s="16"/>
      <c r="AA74" s="16"/>
      <c r="AB74" s="16"/>
      <c r="AC74" s="16"/>
      <c r="AD74" s="12"/>
      <c r="AE74" s="12"/>
      <c r="AF74" s="12"/>
      <c r="AG74" s="12"/>
      <c r="AH74" s="12"/>
      <c r="AI74" s="12"/>
      <c r="AJ74" s="12"/>
      <c r="AK74" s="25"/>
      <c r="AL74" s="25"/>
      <c r="AM74" s="25"/>
      <c r="AN74" s="25"/>
      <c r="AO74" s="25"/>
      <c r="AP74" s="25"/>
      <c r="AQ74" s="25"/>
      <c r="AR74" s="25"/>
      <c r="AS74" s="25"/>
      <c r="AT74" s="25"/>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25"/>
      <c r="BV74" s="25"/>
      <c r="BW74" s="25"/>
      <c r="BX74" s="25"/>
      <c r="BY74" s="25"/>
      <c r="BZ74" s="25"/>
      <c r="CA74" s="25"/>
      <c r="CB74" s="25"/>
      <c r="CC74" s="25"/>
      <c r="CD74" s="25"/>
      <c r="CE74" s="25"/>
      <c r="CF74" s="25"/>
      <c r="CG74" s="25"/>
      <c r="CH74" s="25"/>
      <c r="CI74" s="25"/>
      <c r="CJ74" s="25"/>
      <c r="CK74" s="25"/>
      <c r="CL74" s="25"/>
      <c r="CM74" s="25"/>
      <c r="CN74" s="25"/>
      <c r="CO74" s="25"/>
      <c r="CP74" s="25"/>
      <c r="CQ74" s="25"/>
      <c r="CR74" s="25"/>
      <c r="CS74" s="25"/>
      <c r="CT74" s="25"/>
      <c r="CU74" s="25"/>
      <c r="CV74" s="25"/>
      <c r="CW74" s="25"/>
      <c r="CX74" s="25"/>
      <c r="CY74" s="25"/>
      <c r="CZ74" s="25"/>
      <c r="DA74" s="25"/>
      <c r="DB74" s="25"/>
      <c r="DC74" s="25"/>
      <c r="DD74" s="25"/>
      <c r="DE74" s="25"/>
      <c r="DF74" s="25"/>
      <c r="DG74" s="25"/>
      <c r="DH74" s="25"/>
      <c r="DI74" s="25"/>
      <c r="DJ74" s="25"/>
      <c r="DK74" s="25"/>
      <c r="DL74" s="25"/>
      <c r="DM74" s="25"/>
      <c r="DN74" s="25"/>
      <c r="DO74" s="25"/>
      <c r="DP74" s="25"/>
      <c r="DQ74" s="25"/>
      <c r="DR74" s="25"/>
      <c r="DS74" s="25"/>
      <c r="DT74" s="25"/>
      <c r="DU74" s="25"/>
      <c r="DV74" s="25"/>
      <c r="DW74" s="25"/>
      <c r="DX74" s="25"/>
      <c r="DY74" s="25"/>
      <c r="DZ74" s="25"/>
      <c r="EA74" s="25"/>
      <c r="EB74" s="25"/>
      <c r="EC74" s="12"/>
      <c r="ED74" s="12"/>
      <c r="EE74" s="12"/>
      <c r="EF74" s="12"/>
      <c r="EG74" s="12"/>
    </row>
    <row r="75" spans="1:137" s="5" customFormat="1" ht="18">
      <c r="A75" s="17"/>
      <c r="B75" s="17"/>
      <c r="C75" s="18"/>
      <c r="D75" s="18"/>
      <c r="E75" s="17"/>
      <c r="F75" s="17"/>
      <c r="G75" s="19"/>
      <c r="H75" s="17"/>
      <c r="I75" s="17"/>
      <c r="J75" s="19"/>
      <c r="K75" s="19"/>
      <c r="L75" s="19"/>
      <c r="M75" s="17"/>
      <c r="N75" s="17"/>
      <c r="O75" s="17" t="s">
        <v>3265</v>
      </c>
      <c r="P75" s="88">
        <f>STDEV(S6:S71)</f>
        <v>206.21957439442346</v>
      </c>
      <c r="Q75" s="88"/>
      <c r="R75" s="66">
        <f>STDEV(S3:S70)</f>
        <v>201.27792897335948</v>
      </c>
      <c r="S75" s="66"/>
      <c r="T75" s="19"/>
      <c r="U75" s="21"/>
      <c r="V75" s="86"/>
      <c r="W75" s="81"/>
      <c r="X75" s="16"/>
      <c r="Y75" s="16"/>
      <c r="Z75" s="16"/>
      <c r="AA75" s="16"/>
      <c r="AB75" s="16"/>
      <c r="AC75" s="16"/>
      <c r="AD75" s="12"/>
      <c r="AE75" s="12"/>
      <c r="AF75" s="12"/>
      <c r="AG75" s="12"/>
      <c r="AH75" s="12"/>
      <c r="AI75" s="12"/>
      <c r="AJ75" s="12"/>
      <c r="AK75" s="25"/>
      <c r="AL75" s="25"/>
      <c r="AM75" s="25"/>
      <c r="AN75" s="25"/>
      <c r="AO75" s="25"/>
      <c r="AP75" s="25"/>
      <c r="AQ75" s="25"/>
      <c r="AR75" s="25"/>
      <c r="AS75" s="25"/>
      <c r="AT75" s="25"/>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25"/>
      <c r="BV75" s="25"/>
      <c r="BW75" s="25"/>
      <c r="BX75" s="25"/>
      <c r="BY75" s="25"/>
      <c r="BZ75" s="25"/>
      <c r="CA75" s="25"/>
      <c r="CB75" s="25"/>
      <c r="CC75" s="25"/>
      <c r="CD75" s="25"/>
      <c r="CE75" s="25"/>
      <c r="CF75" s="25"/>
      <c r="CG75" s="25"/>
      <c r="CH75" s="25"/>
      <c r="CI75" s="25"/>
      <c r="CJ75" s="25"/>
      <c r="CK75" s="25"/>
      <c r="CL75" s="25"/>
      <c r="CM75" s="25"/>
      <c r="CN75" s="25"/>
      <c r="CO75" s="25"/>
      <c r="CP75" s="25"/>
      <c r="CQ75" s="25"/>
      <c r="CR75" s="25"/>
      <c r="CS75" s="25"/>
      <c r="CT75" s="25"/>
      <c r="CU75" s="25"/>
      <c r="CV75" s="25"/>
      <c r="CW75" s="25"/>
      <c r="CX75" s="25"/>
      <c r="CY75" s="25"/>
      <c r="CZ75" s="25"/>
      <c r="DA75" s="25"/>
      <c r="DB75" s="25"/>
      <c r="DC75" s="25"/>
      <c r="DD75" s="25"/>
      <c r="DE75" s="25"/>
      <c r="DF75" s="25"/>
      <c r="DG75" s="25"/>
      <c r="DH75" s="25"/>
      <c r="DI75" s="25"/>
      <c r="DJ75" s="25"/>
      <c r="DK75" s="25"/>
      <c r="DL75" s="25"/>
      <c r="DM75" s="25"/>
      <c r="DN75" s="25"/>
      <c r="DO75" s="25"/>
      <c r="DP75" s="25"/>
      <c r="DQ75" s="25"/>
      <c r="DR75" s="25"/>
      <c r="DS75" s="25"/>
      <c r="DT75" s="25"/>
      <c r="DU75" s="25"/>
      <c r="DV75" s="25"/>
      <c r="DW75" s="25"/>
      <c r="DX75" s="25"/>
      <c r="DY75" s="25"/>
      <c r="DZ75" s="25"/>
      <c r="EA75" s="25"/>
      <c r="EB75" s="25"/>
      <c r="EC75" s="12"/>
      <c r="ED75" s="12"/>
      <c r="EE75" s="12"/>
      <c r="EF75" s="12"/>
      <c r="EG75" s="12"/>
    </row>
    <row r="76" spans="1:137" s="5" customFormat="1" ht="18">
      <c r="A76" s="17"/>
      <c r="B76" s="17"/>
      <c r="C76" s="18"/>
      <c r="D76" s="18"/>
      <c r="E76" s="17"/>
      <c r="F76" s="17"/>
      <c r="G76" s="19"/>
      <c r="H76" s="17"/>
      <c r="I76" s="17"/>
      <c r="J76" s="19"/>
      <c r="K76" s="19"/>
      <c r="L76" s="19"/>
      <c r="M76" s="17"/>
      <c r="N76" s="17"/>
      <c r="O76" s="17"/>
      <c r="P76" s="88"/>
      <c r="Q76" s="88"/>
      <c r="R76" s="17"/>
      <c r="S76" s="66"/>
      <c r="T76" s="19"/>
      <c r="U76" s="21"/>
      <c r="V76" s="86"/>
      <c r="W76" s="81"/>
      <c r="X76" s="16"/>
      <c r="Y76" s="16"/>
      <c r="Z76" s="16"/>
      <c r="AA76" s="16"/>
      <c r="AB76" s="16"/>
      <c r="AC76" s="16"/>
      <c r="AD76" s="12"/>
      <c r="AE76" s="12"/>
      <c r="AF76" s="12"/>
      <c r="AG76" s="12"/>
      <c r="AH76" s="12"/>
      <c r="AI76" s="12"/>
      <c r="AJ76" s="12"/>
      <c r="AK76" s="25"/>
      <c r="AL76" s="25"/>
      <c r="AM76" s="25"/>
      <c r="AN76" s="25"/>
      <c r="AO76" s="25"/>
      <c r="AP76" s="25"/>
      <c r="AQ76" s="25"/>
      <c r="AR76" s="25"/>
      <c r="AS76" s="25"/>
      <c r="AT76" s="25"/>
      <c r="AU76" s="25"/>
      <c r="AV76" s="25"/>
      <c r="AW76" s="25"/>
      <c r="AX76" s="25"/>
      <c r="AY76" s="25"/>
      <c r="AZ76" s="25"/>
      <c r="BA76" s="25"/>
      <c r="BB76" s="25"/>
      <c r="BC76" s="25"/>
      <c r="BD76" s="25"/>
      <c r="BE76" s="25"/>
      <c r="BF76" s="25"/>
      <c r="BG76" s="25"/>
      <c r="BH76" s="25"/>
      <c r="BI76" s="25"/>
      <c r="BJ76" s="25"/>
      <c r="BK76" s="25"/>
      <c r="BL76" s="25"/>
      <c r="BM76" s="25"/>
      <c r="BN76" s="25"/>
      <c r="BO76" s="25"/>
      <c r="BP76" s="25"/>
      <c r="BQ76" s="25"/>
      <c r="BR76" s="25"/>
      <c r="BS76" s="25"/>
      <c r="BT76" s="25"/>
      <c r="BU76" s="25"/>
      <c r="BV76" s="25"/>
      <c r="BW76" s="25"/>
      <c r="BX76" s="25"/>
      <c r="BY76" s="25"/>
      <c r="BZ76" s="25"/>
      <c r="CA76" s="25"/>
      <c r="CB76" s="25"/>
      <c r="CC76" s="25"/>
      <c r="CD76" s="25"/>
      <c r="CE76" s="25"/>
      <c r="CF76" s="25"/>
      <c r="CG76" s="25"/>
      <c r="CH76" s="25"/>
      <c r="CI76" s="25"/>
      <c r="CJ76" s="25"/>
      <c r="CK76" s="25"/>
      <c r="CL76" s="25"/>
      <c r="CM76" s="25"/>
      <c r="CN76" s="25"/>
      <c r="CO76" s="25"/>
      <c r="CP76" s="25"/>
      <c r="CQ76" s="25"/>
      <c r="CR76" s="25"/>
      <c r="CS76" s="25"/>
      <c r="CT76" s="25"/>
      <c r="CU76" s="25"/>
      <c r="CV76" s="25"/>
      <c r="CW76" s="25"/>
      <c r="CX76" s="25"/>
      <c r="CY76" s="25"/>
      <c r="CZ76" s="25"/>
      <c r="DA76" s="25"/>
      <c r="DB76" s="25"/>
      <c r="DC76" s="25"/>
      <c r="DD76" s="25"/>
      <c r="DE76" s="25"/>
      <c r="DF76" s="25"/>
      <c r="DG76" s="25"/>
      <c r="DH76" s="25"/>
      <c r="DI76" s="25"/>
      <c r="DJ76" s="25"/>
      <c r="DK76" s="25"/>
      <c r="DL76" s="25"/>
      <c r="DM76" s="25"/>
      <c r="DN76" s="25"/>
      <c r="DO76" s="25"/>
      <c r="DP76" s="25"/>
      <c r="DQ76" s="25"/>
      <c r="DR76" s="25"/>
      <c r="DS76" s="25"/>
      <c r="DT76" s="25"/>
      <c r="DU76" s="25"/>
      <c r="DV76" s="25"/>
      <c r="DW76" s="25"/>
      <c r="DX76" s="25"/>
      <c r="DY76" s="25"/>
      <c r="DZ76" s="25"/>
      <c r="EA76" s="25"/>
      <c r="EB76" s="25"/>
      <c r="EC76" s="12"/>
      <c r="ED76" s="12"/>
      <c r="EE76" s="12"/>
      <c r="EF76" s="12"/>
      <c r="EG76" s="12"/>
    </row>
    <row r="77" spans="1:137" s="5" customFormat="1" ht="18">
      <c r="A77" s="17"/>
      <c r="B77" s="17"/>
      <c r="C77" s="18"/>
      <c r="D77" s="18"/>
      <c r="E77" s="17"/>
      <c r="F77" s="17"/>
      <c r="G77" s="19"/>
      <c r="H77" s="17"/>
      <c r="I77" s="17"/>
      <c r="J77" s="19"/>
      <c r="K77" s="19"/>
      <c r="L77" s="19"/>
      <c r="M77" s="17"/>
      <c r="N77" s="17"/>
      <c r="O77" s="17"/>
      <c r="P77" s="88"/>
      <c r="Q77" s="88"/>
      <c r="R77" s="17"/>
      <c r="S77" s="66"/>
      <c r="T77" s="19"/>
      <c r="U77" s="21"/>
      <c r="V77" s="86"/>
      <c r="W77" s="81"/>
      <c r="X77" s="16"/>
      <c r="Y77" s="16"/>
      <c r="Z77" s="16"/>
      <c r="AA77" s="16"/>
      <c r="AB77" s="16"/>
      <c r="AC77" s="16"/>
      <c r="AD77" s="12"/>
      <c r="AE77" s="12"/>
      <c r="AF77" s="12"/>
      <c r="AG77" s="12"/>
      <c r="AH77" s="12"/>
      <c r="AI77" s="12"/>
      <c r="AJ77" s="12"/>
      <c r="AK77" s="25"/>
      <c r="AL77" s="25"/>
      <c r="AM77" s="25"/>
      <c r="AN77" s="25"/>
      <c r="AO77" s="25"/>
      <c r="AP77" s="25"/>
      <c r="AQ77" s="25"/>
      <c r="AR77" s="25"/>
      <c r="AS77" s="25"/>
      <c r="AT77" s="25"/>
      <c r="AU77" s="25"/>
      <c r="AV77" s="25"/>
      <c r="AW77" s="25"/>
      <c r="AX77" s="25"/>
      <c r="AY77" s="25"/>
      <c r="AZ77" s="25"/>
      <c r="BA77" s="25"/>
      <c r="BB77" s="25"/>
      <c r="BC77" s="25"/>
      <c r="BD77" s="25"/>
      <c r="BE77" s="25"/>
      <c r="BF77" s="25"/>
      <c r="BG77" s="25"/>
      <c r="BH77" s="25"/>
      <c r="BI77" s="25"/>
      <c r="BJ77" s="25"/>
      <c r="BK77" s="25"/>
      <c r="BL77" s="25"/>
      <c r="BM77" s="25"/>
      <c r="BN77" s="25"/>
      <c r="BO77" s="25"/>
      <c r="BP77" s="25"/>
      <c r="BQ77" s="25"/>
      <c r="BR77" s="25"/>
      <c r="BS77" s="25"/>
      <c r="BT77" s="25"/>
      <c r="BU77" s="25"/>
      <c r="BV77" s="25"/>
      <c r="BW77" s="25"/>
      <c r="BX77" s="25"/>
      <c r="BY77" s="25"/>
      <c r="BZ77" s="25"/>
      <c r="CA77" s="25"/>
      <c r="CB77" s="25"/>
      <c r="CC77" s="25"/>
      <c r="CD77" s="25"/>
      <c r="CE77" s="25"/>
      <c r="CF77" s="25"/>
      <c r="CG77" s="25"/>
      <c r="CH77" s="25"/>
      <c r="CI77" s="25"/>
      <c r="CJ77" s="25"/>
      <c r="CK77" s="25"/>
      <c r="CL77" s="25"/>
      <c r="CM77" s="25"/>
      <c r="CN77" s="25"/>
      <c r="CO77" s="25"/>
      <c r="CP77" s="25"/>
      <c r="CQ77" s="25"/>
      <c r="CR77" s="25"/>
      <c r="CS77" s="25"/>
      <c r="CT77" s="25"/>
      <c r="CU77" s="25"/>
      <c r="CV77" s="25"/>
      <c r="CW77" s="25"/>
      <c r="CX77" s="25"/>
      <c r="CY77" s="25"/>
      <c r="CZ77" s="25"/>
      <c r="DA77" s="25"/>
      <c r="DB77" s="25"/>
      <c r="DC77" s="25"/>
      <c r="DD77" s="25"/>
      <c r="DE77" s="25"/>
      <c r="DF77" s="25"/>
      <c r="DG77" s="25"/>
      <c r="DH77" s="25"/>
      <c r="DI77" s="25"/>
      <c r="DJ77" s="25"/>
      <c r="DK77" s="25"/>
      <c r="DL77" s="25"/>
      <c r="DM77" s="25"/>
      <c r="DN77" s="25"/>
      <c r="DO77" s="25"/>
      <c r="DP77" s="25"/>
      <c r="DQ77" s="25"/>
      <c r="DR77" s="25"/>
      <c r="DS77" s="25"/>
      <c r="DT77" s="25"/>
      <c r="DU77" s="25"/>
      <c r="DV77" s="25"/>
      <c r="DW77" s="25"/>
      <c r="DX77" s="25"/>
      <c r="DY77" s="25"/>
      <c r="DZ77" s="25"/>
      <c r="EA77" s="25"/>
      <c r="EB77" s="25"/>
      <c r="EC77" s="12"/>
      <c r="ED77" s="12"/>
      <c r="EE77" s="12"/>
      <c r="EF77" s="12"/>
      <c r="EG77" s="12"/>
    </row>
    <row r="78" spans="1:137" s="17" customFormat="1" ht="95">
      <c r="A78" s="17" t="s">
        <v>218</v>
      </c>
      <c r="B78" s="17" t="s">
        <v>389</v>
      </c>
      <c r="C78" s="18" t="s">
        <v>390</v>
      </c>
      <c r="D78" s="18" t="s">
        <v>1950</v>
      </c>
      <c r="E78" s="17">
        <v>937</v>
      </c>
      <c r="F78" s="17">
        <v>492</v>
      </c>
      <c r="G78" s="19" t="s">
        <v>706</v>
      </c>
      <c r="H78" s="17" t="s">
        <v>707</v>
      </c>
      <c r="I78" s="17" t="s">
        <v>104</v>
      </c>
      <c r="J78" s="19" t="s">
        <v>105</v>
      </c>
      <c r="K78" s="19" t="s">
        <v>143</v>
      </c>
      <c r="L78" s="19" t="s">
        <v>1531</v>
      </c>
      <c r="M78" s="17" t="s">
        <v>108</v>
      </c>
      <c r="P78" s="88">
        <v>3.4509999999999996</v>
      </c>
      <c r="Q78" s="88">
        <v>3.44</v>
      </c>
      <c r="R78" s="17">
        <v>0</v>
      </c>
      <c r="S78" s="66">
        <v>1387.3591373253491</v>
      </c>
      <c r="T78" s="19" t="s">
        <v>3266</v>
      </c>
      <c r="U78" s="21">
        <v>0.93100000000000005</v>
      </c>
      <c r="V78" s="86">
        <v>32.4</v>
      </c>
      <c r="W78" s="81" t="s">
        <v>3267</v>
      </c>
      <c r="X78" s="16"/>
      <c r="Y78" s="16"/>
      <c r="Z78" s="16"/>
      <c r="AA78" s="16"/>
      <c r="AB78" s="16"/>
      <c r="AC78" s="16"/>
      <c r="AD78"/>
      <c r="AE78"/>
      <c r="AF78"/>
      <c r="AG78"/>
      <c r="AH78"/>
      <c r="AI78"/>
      <c r="AJ78"/>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row>
    <row r="79" spans="1:137" s="17" customFormat="1" ht="57">
      <c r="A79" s="17" t="s">
        <v>218</v>
      </c>
      <c r="B79" s="17" t="s">
        <v>389</v>
      </c>
      <c r="C79" s="18" t="s">
        <v>390</v>
      </c>
      <c r="D79" s="18" t="s">
        <v>1950</v>
      </c>
      <c r="E79" s="17">
        <v>892</v>
      </c>
      <c r="F79" s="17" t="s">
        <v>738</v>
      </c>
      <c r="G79" s="19" t="s">
        <v>276</v>
      </c>
      <c r="H79" s="17" t="s">
        <v>277</v>
      </c>
      <c r="I79" s="17" t="s">
        <v>104</v>
      </c>
      <c r="J79" s="19" t="s">
        <v>105</v>
      </c>
      <c r="K79" s="19" t="s">
        <v>126</v>
      </c>
      <c r="L79" s="19" t="s">
        <v>127</v>
      </c>
      <c r="M79" s="17" t="s">
        <v>108</v>
      </c>
      <c r="P79" s="88">
        <v>3.8899999999999997</v>
      </c>
      <c r="Q79" s="88">
        <v>1.4670000000000001</v>
      </c>
      <c r="R79" s="17">
        <v>0</v>
      </c>
      <c r="S79" s="66">
        <v>452.23134147973821</v>
      </c>
      <c r="T79" s="19" t="s">
        <v>3245</v>
      </c>
      <c r="U79" s="21">
        <v>0.94299999999999995</v>
      </c>
      <c r="V79" s="86">
        <v>29.1</v>
      </c>
      <c r="W79" s="81" t="s">
        <v>700</v>
      </c>
      <c r="X79" s="16"/>
      <c r="Y79" s="16"/>
      <c r="Z79" s="16"/>
      <c r="AA79" s="16"/>
      <c r="AB79" s="16"/>
      <c r="AC79" s="16"/>
      <c r="AD79"/>
      <c r="AE79"/>
      <c r="AF79"/>
      <c r="AG79"/>
      <c r="AH79"/>
      <c r="AI79"/>
      <c r="AJ79"/>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row>
    <row r="80" spans="1:137" s="17" customFormat="1" ht="95">
      <c r="A80" s="17" t="s">
        <v>218</v>
      </c>
      <c r="B80" s="17" t="s">
        <v>389</v>
      </c>
      <c r="C80" s="18" t="s">
        <v>390</v>
      </c>
      <c r="D80" s="18" t="s">
        <v>1950</v>
      </c>
      <c r="E80" s="17">
        <v>937</v>
      </c>
      <c r="F80" s="17">
        <v>764</v>
      </c>
      <c r="G80" s="19" t="s">
        <v>706</v>
      </c>
      <c r="H80" s="17" t="s">
        <v>707</v>
      </c>
      <c r="I80" s="17" t="s">
        <v>104</v>
      </c>
      <c r="J80" s="19" t="s">
        <v>105</v>
      </c>
      <c r="K80" s="19" t="s">
        <v>143</v>
      </c>
      <c r="L80" s="19" t="s">
        <v>1531</v>
      </c>
      <c r="M80" s="17" t="s">
        <v>108</v>
      </c>
      <c r="P80" s="88">
        <v>3.0190000000000001</v>
      </c>
      <c r="Q80" s="88">
        <v>2.67</v>
      </c>
      <c r="R80" s="17">
        <v>0</v>
      </c>
      <c r="S80" s="66">
        <v>709.01131355120413</v>
      </c>
      <c r="T80" s="19" t="s">
        <v>3266</v>
      </c>
      <c r="U80" s="21">
        <v>0.93100000000000005</v>
      </c>
      <c r="V80" s="86">
        <v>32.4</v>
      </c>
      <c r="W80" s="81" t="s">
        <v>3267</v>
      </c>
      <c r="X80" s="16"/>
      <c r="Y80" s="16"/>
      <c r="Z80" s="16"/>
      <c r="AA80" s="16"/>
      <c r="AB80" s="16"/>
      <c r="AC80" s="16"/>
      <c r="AD80"/>
      <c r="AE80"/>
      <c r="AF80"/>
      <c r="AG80"/>
      <c r="AH80"/>
      <c r="AI80"/>
      <c r="AJ80"/>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82"/>
      <c r="ED80" s="82"/>
      <c r="EE80" s="82"/>
      <c r="EF80" s="82"/>
      <c r="EG80" s="82"/>
    </row>
    <row r="81" spans="1:137" s="17" customFormat="1" ht="57">
      <c r="A81" s="17" t="s">
        <v>218</v>
      </c>
      <c r="B81" s="17" t="s">
        <v>389</v>
      </c>
      <c r="C81" s="18" t="s">
        <v>390</v>
      </c>
      <c r="D81" s="18" t="s">
        <v>1950</v>
      </c>
      <c r="E81" s="17">
        <v>30967</v>
      </c>
      <c r="F81" s="17">
        <v>97</v>
      </c>
      <c r="G81" s="19" t="s">
        <v>110</v>
      </c>
      <c r="H81" s="17" t="s">
        <v>111</v>
      </c>
      <c r="I81" s="17" t="s">
        <v>104</v>
      </c>
      <c r="J81" s="19" t="s">
        <v>105</v>
      </c>
      <c r="K81" s="19" t="s">
        <v>3268</v>
      </c>
      <c r="L81" s="19" t="s">
        <v>3269</v>
      </c>
      <c r="M81" s="17" t="s">
        <v>114</v>
      </c>
      <c r="O81" s="17">
        <v>215</v>
      </c>
      <c r="P81" s="88">
        <v>0</v>
      </c>
      <c r="Q81" s="88">
        <v>0</v>
      </c>
      <c r="R81" s="17">
        <v>0</v>
      </c>
      <c r="S81" s="66">
        <v>1162.3494205479058</v>
      </c>
      <c r="T81" s="19" t="s">
        <v>3270</v>
      </c>
      <c r="U81" s="21" t="s">
        <v>205</v>
      </c>
      <c r="V81" s="86">
        <v>25</v>
      </c>
      <c r="W81" s="81" t="s">
        <v>3271</v>
      </c>
      <c r="X81" s="16"/>
      <c r="Y81" s="16"/>
      <c r="Z81" s="16"/>
      <c r="AA81" s="16"/>
      <c r="AB81" s="16"/>
      <c r="AC81" s="16"/>
      <c r="AD81" s="16"/>
      <c r="AE81" s="16"/>
      <c r="AF81" s="16"/>
      <c r="AG81" s="16"/>
      <c r="AH81" s="16"/>
      <c r="AI81" s="16"/>
      <c r="AJ81" s="16"/>
    </row>
    <row r="82" spans="1:137" s="17" customFormat="1" ht="57">
      <c r="A82" s="17" t="s">
        <v>218</v>
      </c>
      <c r="B82" s="17" t="s">
        <v>389</v>
      </c>
      <c r="C82" s="18" t="s">
        <v>390</v>
      </c>
      <c r="D82" s="18" t="s">
        <v>1950</v>
      </c>
      <c r="E82" s="17">
        <v>30967</v>
      </c>
      <c r="F82" s="17">
        <v>329</v>
      </c>
      <c r="G82" s="19" t="s">
        <v>110</v>
      </c>
      <c r="H82" s="17" t="s">
        <v>111</v>
      </c>
      <c r="I82" s="17" t="s">
        <v>104</v>
      </c>
      <c r="J82" s="19" t="s">
        <v>105</v>
      </c>
      <c r="K82" s="19" t="s">
        <v>3268</v>
      </c>
      <c r="L82" s="19" t="s">
        <v>3269</v>
      </c>
      <c r="M82" s="17" t="s">
        <v>108</v>
      </c>
      <c r="O82" s="17">
        <v>212</v>
      </c>
      <c r="P82" s="88">
        <v>0</v>
      </c>
      <c r="Q82" s="88">
        <v>0</v>
      </c>
      <c r="R82" s="17">
        <v>0</v>
      </c>
      <c r="S82" s="66">
        <v>1120.4766678994527</v>
      </c>
      <c r="T82" s="19" t="s">
        <v>3270</v>
      </c>
      <c r="U82" s="21" t="s">
        <v>205</v>
      </c>
      <c r="V82" s="86">
        <v>25</v>
      </c>
      <c r="W82" s="81" t="s">
        <v>3272</v>
      </c>
      <c r="X82" s="16"/>
      <c r="Y82" s="16"/>
      <c r="Z82" s="16"/>
      <c r="AA82" s="16"/>
      <c r="AB82" s="16"/>
      <c r="AC82" s="16"/>
      <c r="AD82" s="16"/>
      <c r="AE82" s="16"/>
      <c r="AF82" s="16"/>
      <c r="AG82" s="16"/>
      <c r="AH82" s="16"/>
      <c r="AI82" s="16"/>
      <c r="AJ82" s="16"/>
    </row>
    <row r="83" spans="1:137" s="17" customFormat="1" ht="57">
      <c r="A83" s="17" t="s">
        <v>218</v>
      </c>
      <c r="B83" s="17" t="s">
        <v>389</v>
      </c>
      <c r="C83" s="18" t="s">
        <v>390</v>
      </c>
      <c r="D83" s="18" t="s">
        <v>1950</v>
      </c>
      <c r="E83" s="17">
        <v>30967</v>
      </c>
      <c r="F83" s="17">
        <v>408</v>
      </c>
      <c r="G83" s="19" t="s">
        <v>110</v>
      </c>
      <c r="H83" s="17" t="s">
        <v>111</v>
      </c>
      <c r="I83" s="17" t="s">
        <v>104</v>
      </c>
      <c r="J83" s="19" t="s">
        <v>256</v>
      </c>
      <c r="K83" s="19" t="s">
        <v>126</v>
      </c>
      <c r="L83" s="19" t="s">
        <v>127</v>
      </c>
      <c r="M83" s="17" t="s">
        <v>108</v>
      </c>
      <c r="P83" s="88">
        <v>4.78</v>
      </c>
      <c r="Q83" s="88"/>
      <c r="S83" s="66">
        <f>10^(((LOG(P83))*3.236)+0.745)</f>
        <v>878.27126411225845</v>
      </c>
      <c r="T83" s="19" t="s">
        <v>3273</v>
      </c>
      <c r="U83" s="21">
        <v>0.92900000000000005</v>
      </c>
      <c r="V83" s="86">
        <v>33.299999999999997</v>
      </c>
      <c r="W83" s="81" t="s">
        <v>726</v>
      </c>
      <c r="X83" s="16"/>
      <c r="Y83" s="16"/>
      <c r="Z83" s="16"/>
      <c r="AA83" s="16"/>
      <c r="AB83" s="16"/>
      <c r="AC83" s="16"/>
      <c r="AD83" s="85"/>
      <c r="AE83" s="85"/>
      <c r="AF83" s="85"/>
      <c r="AG83" s="85"/>
      <c r="AH83" s="85"/>
      <c r="AI83" s="85"/>
      <c r="AJ83" s="85"/>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c r="CK83" s="32"/>
      <c r="CL83" s="32"/>
      <c r="CM83" s="32"/>
      <c r="CN83" s="32"/>
      <c r="CO83" s="32"/>
      <c r="CP83" s="32"/>
      <c r="CQ83" s="32"/>
      <c r="CR83" s="32"/>
      <c r="CS83" s="32"/>
      <c r="CT83" s="32"/>
      <c r="CU83" s="32"/>
      <c r="CV83" s="32"/>
      <c r="CW83" s="32"/>
      <c r="CX83" s="32"/>
      <c r="CY83" s="32"/>
      <c r="CZ83" s="32"/>
      <c r="DA83" s="32"/>
      <c r="DB83" s="32"/>
      <c r="DC83" s="32"/>
      <c r="DD83" s="32"/>
      <c r="DE83" s="32"/>
      <c r="DF83" s="32"/>
      <c r="DG83" s="32"/>
      <c r="DH83" s="32"/>
      <c r="DI83" s="32"/>
      <c r="DJ83" s="32"/>
      <c r="DK83" s="32"/>
      <c r="DL83" s="32"/>
      <c r="DM83" s="32"/>
      <c r="DN83" s="32"/>
      <c r="DO83" s="32"/>
      <c r="DP83" s="32"/>
      <c r="DQ83" s="32"/>
      <c r="DR83" s="32"/>
      <c r="DS83" s="32"/>
      <c r="DT83" s="32"/>
      <c r="DU83" s="32"/>
      <c r="DV83" s="32"/>
      <c r="DW83" s="32"/>
      <c r="DX83" s="32"/>
      <c r="DY83" s="32"/>
      <c r="DZ83" s="32"/>
      <c r="EA83" s="32"/>
      <c r="EB83" s="32"/>
      <c r="EC83" s="32"/>
      <c r="ED83" s="32"/>
      <c r="EE83" s="32"/>
      <c r="EF83" s="32"/>
      <c r="EG83" s="32"/>
    </row>
    <row r="84" spans="1:137" s="17" customFormat="1" ht="57">
      <c r="A84" s="17" t="s">
        <v>218</v>
      </c>
      <c r="B84" s="17" t="s">
        <v>389</v>
      </c>
      <c r="C84" s="18" t="s">
        <v>390</v>
      </c>
      <c r="D84" s="18" t="s">
        <v>1950</v>
      </c>
      <c r="E84" s="17">
        <v>30967</v>
      </c>
      <c r="F84" s="17">
        <v>778</v>
      </c>
      <c r="G84" s="19" t="s">
        <v>110</v>
      </c>
      <c r="H84" s="17" t="s">
        <v>111</v>
      </c>
      <c r="I84" s="17" t="s">
        <v>104</v>
      </c>
      <c r="J84" s="19" t="s">
        <v>256</v>
      </c>
      <c r="K84" s="19" t="s">
        <v>209</v>
      </c>
      <c r="L84" s="19" t="s">
        <v>216</v>
      </c>
      <c r="M84" s="17" t="s">
        <v>114</v>
      </c>
      <c r="P84" s="88">
        <v>4.55</v>
      </c>
      <c r="Q84" s="88"/>
      <c r="S84" s="66">
        <f>10^(((LOG(P84))*3.375)+1.119)</f>
        <v>2186.6962678610735</v>
      </c>
      <c r="T84" s="19" t="s">
        <v>3274</v>
      </c>
      <c r="U84" s="21">
        <v>0.92800000000000005</v>
      </c>
      <c r="V84" s="86">
        <v>33.6</v>
      </c>
      <c r="W84" s="81" t="s">
        <v>726</v>
      </c>
      <c r="X84" s="16"/>
      <c r="Y84" s="16"/>
      <c r="Z84" s="16"/>
      <c r="AA84" s="16"/>
      <c r="AB84" s="16"/>
      <c r="AC84" s="16"/>
      <c r="AD84" s="85"/>
      <c r="AE84" s="85"/>
      <c r="AF84" s="85"/>
      <c r="AG84" s="85"/>
      <c r="AH84" s="85"/>
      <c r="AI84" s="85"/>
      <c r="AJ84" s="85"/>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c r="CK84" s="32"/>
      <c r="CL84" s="32"/>
      <c r="CM84" s="32"/>
      <c r="CN84" s="32"/>
      <c r="CO84" s="32"/>
      <c r="CP84" s="32"/>
      <c r="CQ84" s="32"/>
      <c r="CR84" s="32"/>
      <c r="CS84" s="32"/>
      <c r="CT84" s="32"/>
      <c r="CU84" s="32"/>
      <c r="CV84" s="32"/>
      <c r="CW84" s="32"/>
      <c r="CX84" s="32"/>
      <c r="CY84" s="32"/>
      <c r="CZ84" s="32"/>
      <c r="DA84" s="32"/>
      <c r="DB84" s="32"/>
      <c r="DC84" s="32"/>
      <c r="DD84" s="32"/>
      <c r="DE84" s="32"/>
      <c r="DF84" s="32"/>
      <c r="DG84" s="32"/>
      <c r="DH84" s="32"/>
      <c r="DI84" s="32"/>
      <c r="DJ84" s="32"/>
      <c r="DK84" s="32"/>
      <c r="DL84" s="32"/>
      <c r="DM84" s="32"/>
      <c r="DN84" s="32"/>
      <c r="DO84" s="32"/>
      <c r="DP84" s="32"/>
      <c r="DQ84" s="32"/>
      <c r="DR84" s="32"/>
      <c r="DS84" s="32"/>
      <c r="DT84" s="32"/>
      <c r="DU84" s="32"/>
      <c r="DV84" s="32"/>
      <c r="DW84" s="32"/>
      <c r="DX84" s="32"/>
      <c r="DY84" s="32"/>
      <c r="DZ84" s="32"/>
      <c r="EA84" s="32"/>
      <c r="EB84" s="32"/>
      <c r="EC84" s="32"/>
      <c r="ED84" s="32"/>
      <c r="EE84" s="32"/>
      <c r="EF84" s="32"/>
      <c r="EG84" s="32"/>
    </row>
    <row r="85" spans="1:137" s="17" customFormat="1" ht="57">
      <c r="A85" s="17" t="s">
        <v>218</v>
      </c>
      <c r="B85" s="17" t="s">
        <v>389</v>
      </c>
      <c r="C85" s="18" t="s">
        <v>390</v>
      </c>
      <c r="D85" s="18" t="s">
        <v>1950</v>
      </c>
      <c r="E85" s="17">
        <v>30967</v>
      </c>
      <c r="F85" s="17">
        <v>1055</v>
      </c>
      <c r="G85" s="19" t="s">
        <v>110</v>
      </c>
      <c r="H85" s="17" t="s">
        <v>111</v>
      </c>
      <c r="I85" s="17" t="s">
        <v>104</v>
      </c>
      <c r="J85" s="19" t="s">
        <v>256</v>
      </c>
      <c r="K85" s="19" t="s">
        <v>126</v>
      </c>
      <c r="L85" s="19" t="s">
        <v>127</v>
      </c>
      <c r="M85" s="17" t="s">
        <v>108</v>
      </c>
      <c r="P85" s="88">
        <v>4.9000000000000004</v>
      </c>
      <c r="Q85" s="88"/>
      <c r="S85" s="66">
        <f>10^(((LOG(P85))*3.236)+0.745)</f>
        <v>951.64400262926767</v>
      </c>
      <c r="T85" s="19" t="s">
        <v>3273</v>
      </c>
      <c r="U85" s="21">
        <v>0.92900000000000005</v>
      </c>
      <c r="V85" s="86">
        <v>33.299999999999997</v>
      </c>
      <c r="W85" s="81" t="s">
        <v>726</v>
      </c>
      <c r="X85" s="16"/>
      <c r="Y85" s="16"/>
      <c r="Z85" s="16"/>
      <c r="AA85" s="16"/>
      <c r="AB85" s="16"/>
      <c r="AC85" s="16"/>
      <c r="AD85" s="85"/>
      <c r="AE85" s="85"/>
      <c r="AF85" s="85"/>
      <c r="AG85" s="85"/>
      <c r="AH85" s="85"/>
      <c r="AI85" s="85"/>
      <c r="AJ85" s="85"/>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c r="CK85" s="32"/>
      <c r="CL85" s="32"/>
      <c r="CM85" s="32"/>
      <c r="CN85" s="32"/>
      <c r="CO85" s="32"/>
      <c r="CP85" s="32"/>
      <c r="CQ85" s="32"/>
      <c r="CR85" s="32"/>
      <c r="CS85" s="32"/>
      <c r="CT85" s="32"/>
      <c r="CU85" s="32"/>
      <c r="CV85" s="32"/>
      <c r="CW85" s="32"/>
      <c r="CX85" s="32"/>
      <c r="CY85" s="32"/>
      <c r="CZ85" s="32"/>
      <c r="DA85" s="32"/>
      <c r="DB85" s="32"/>
      <c r="DC85" s="32"/>
      <c r="DD85" s="32"/>
      <c r="DE85" s="32"/>
      <c r="DF85" s="32"/>
      <c r="DG85" s="32"/>
      <c r="DH85" s="32"/>
      <c r="DI85" s="32"/>
      <c r="DJ85" s="32"/>
      <c r="DK85" s="32"/>
      <c r="DL85" s="32"/>
      <c r="DM85" s="32"/>
      <c r="DN85" s="32"/>
      <c r="DO85" s="32"/>
      <c r="DP85" s="32"/>
      <c r="DQ85" s="32"/>
      <c r="DR85" s="32"/>
      <c r="DS85" s="32"/>
      <c r="DT85" s="32"/>
      <c r="DU85" s="32"/>
      <c r="DV85" s="32"/>
      <c r="DW85" s="32"/>
      <c r="DX85" s="32"/>
      <c r="DY85" s="32"/>
      <c r="DZ85" s="32"/>
      <c r="EA85" s="32"/>
      <c r="EB85" s="32"/>
      <c r="EC85" s="32"/>
      <c r="ED85" s="32"/>
      <c r="EE85" s="32"/>
      <c r="EF85" s="32"/>
      <c r="EG85" s="32"/>
    </row>
    <row r="86" spans="1:137" s="17" customFormat="1" ht="57">
      <c r="A86" s="17" t="s">
        <v>218</v>
      </c>
      <c r="B86" s="17" t="s">
        <v>389</v>
      </c>
      <c r="C86" s="18" t="s">
        <v>390</v>
      </c>
      <c r="D86" s="18" t="s">
        <v>1950</v>
      </c>
      <c r="E86" s="17">
        <v>30967</v>
      </c>
      <c r="F86" s="17">
        <v>1128</v>
      </c>
      <c r="G86" s="19" t="s">
        <v>110</v>
      </c>
      <c r="H86" s="17" t="s">
        <v>111</v>
      </c>
      <c r="I86" s="17" t="s">
        <v>104</v>
      </c>
      <c r="J86" s="19" t="s">
        <v>256</v>
      </c>
      <c r="K86" s="19" t="s">
        <v>126</v>
      </c>
      <c r="L86" s="19" t="s">
        <v>127</v>
      </c>
      <c r="M86" s="17" t="s">
        <v>108</v>
      </c>
      <c r="P86" s="88">
        <v>4.95</v>
      </c>
      <c r="Q86" s="88"/>
      <c r="S86" s="66">
        <f>10^(((LOG(P86))*3.236)+0.745)</f>
        <v>983.42767043067386</v>
      </c>
      <c r="T86" s="19" t="s">
        <v>3275</v>
      </c>
      <c r="U86" s="21">
        <v>0.92900000000000005</v>
      </c>
      <c r="V86" s="86">
        <v>33.299999999999997</v>
      </c>
      <c r="W86" s="81" t="s">
        <v>726</v>
      </c>
      <c r="X86" s="16"/>
      <c r="Y86" s="16"/>
      <c r="Z86" s="16"/>
      <c r="AA86" s="16"/>
      <c r="AB86" s="16"/>
      <c r="AC86" s="16"/>
      <c r="AD86" s="85"/>
      <c r="AE86" s="85"/>
      <c r="AF86" s="85"/>
      <c r="AG86" s="85"/>
      <c r="AH86" s="85"/>
      <c r="AI86" s="85"/>
      <c r="AJ86" s="85"/>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c r="CK86" s="32"/>
      <c r="CL86" s="32"/>
      <c r="CM86" s="32"/>
      <c r="CN86" s="32"/>
      <c r="CO86" s="32"/>
      <c r="CP86" s="32"/>
      <c r="CQ86" s="32"/>
      <c r="CR86" s="32"/>
      <c r="CS86" s="32"/>
      <c r="CT86" s="32"/>
      <c r="CU86" s="32"/>
      <c r="CV86" s="32"/>
      <c r="CW86" s="32"/>
      <c r="CX86" s="32"/>
      <c r="CY86" s="32"/>
      <c r="CZ86" s="32"/>
      <c r="DA86" s="32"/>
      <c r="DB86" s="32"/>
      <c r="DC86" s="32"/>
      <c r="DD86" s="32"/>
      <c r="DE86" s="32"/>
      <c r="DF86" s="32"/>
      <c r="DG86" s="32"/>
      <c r="DH86" s="32"/>
      <c r="DI86" s="32"/>
      <c r="DJ86" s="32"/>
      <c r="DK86" s="32"/>
      <c r="DL86" s="32"/>
      <c r="DM86" s="32"/>
      <c r="DN86" s="32"/>
      <c r="DO86" s="32"/>
      <c r="DP86" s="32"/>
      <c r="DQ86" s="32"/>
      <c r="DR86" s="32"/>
      <c r="DS86" s="32"/>
      <c r="DT86" s="32"/>
      <c r="DU86" s="32"/>
      <c r="DV86" s="32"/>
      <c r="DW86" s="32"/>
      <c r="DX86" s="32"/>
      <c r="DY86" s="32"/>
      <c r="DZ86" s="32"/>
      <c r="EA86" s="32"/>
      <c r="EB86" s="32"/>
      <c r="EC86" s="32"/>
      <c r="ED86" s="32"/>
      <c r="EE86" s="32"/>
      <c r="EF86" s="32"/>
      <c r="EG86" s="32"/>
    </row>
    <row r="87" spans="1:137" s="17" customFormat="1" ht="95">
      <c r="A87" s="17" t="s">
        <v>218</v>
      </c>
      <c r="B87" s="17" t="s">
        <v>389</v>
      </c>
      <c r="C87" s="18" t="s">
        <v>390</v>
      </c>
      <c r="D87" s="18" t="s">
        <v>1950</v>
      </c>
      <c r="E87" s="17">
        <v>30967</v>
      </c>
      <c r="F87" s="17">
        <v>1230</v>
      </c>
      <c r="G87" s="19" t="s">
        <v>110</v>
      </c>
      <c r="H87" s="17" t="s">
        <v>111</v>
      </c>
      <c r="I87" s="17" t="s">
        <v>104</v>
      </c>
      <c r="J87" s="19" t="s">
        <v>105</v>
      </c>
      <c r="K87" s="19" t="s">
        <v>143</v>
      </c>
      <c r="L87" s="19" t="s">
        <v>1531</v>
      </c>
      <c r="M87" s="17" t="s">
        <v>108</v>
      </c>
      <c r="P87" s="88">
        <v>3.2479999999999998</v>
      </c>
      <c r="Q87" s="88">
        <v>3.0579999999999998</v>
      </c>
      <c r="R87" s="17">
        <v>0</v>
      </c>
      <c r="S87" s="66">
        <v>1018.3352372986147</v>
      </c>
      <c r="T87" s="19" t="s">
        <v>3266</v>
      </c>
      <c r="U87" s="21">
        <v>0.93100000000000005</v>
      </c>
      <c r="V87" s="86">
        <v>32.4</v>
      </c>
      <c r="W87" s="81" t="s">
        <v>3267</v>
      </c>
      <c r="X87" s="16"/>
      <c r="Y87" s="16"/>
      <c r="Z87" s="16"/>
      <c r="AA87" s="16"/>
      <c r="AB87" s="16"/>
      <c r="AC87" s="16"/>
      <c r="AD87"/>
      <c r="AE87"/>
      <c r="AF87"/>
      <c r="AG87"/>
      <c r="AH87"/>
      <c r="AI87"/>
      <c r="AJ87"/>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row>
    <row r="88" spans="1:137" s="17" customFormat="1" ht="19">
      <c r="A88" s="17" t="s">
        <v>218</v>
      </c>
      <c r="B88" s="17" t="s">
        <v>389</v>
      </c>
      <c r="C88" s="18" t="s">
        <v>390</v>
      </c>
      <c r="D88" s="18" t="s">
        <v>1950</v>
      </c>
      <c r="E88" s="17">
        <v>892</v>
      </c>
      <c r="F88" s="17" t="s">
        <v>400</v>
      </c>
      <c r="G88" s="19" t="s">
        <v>276</v>
      </c>
      <c r="H88" s="17" t="s">
        <v>277</v>
      </c>
      <c r="I88" s="17" t="s">
        <v>225</v>
      </c>
      <c r="J88" s="19" t="s">
        <v>393</v>
      </c>
      <c r="K88" s="19" t="s">
        <v>3239</v>
      </c>
      <c r="L88" s="17" t="s">
        <v>402</v>
      </c>
      <c r="M88" s="17" t="s">
        <v>108</v>
      </c>
      <c r="N88" s="16"/>
      <c r="O88" s="16"/>
      <c r="P88" s="89">
        <v>8.6999999999999993</v>
      </c>
      <c r="Q88" s="89"/>
      <c r="R88" s="16"/>
      <c r="S88" s="90">
        <f>(10^(((LOG((P88*10)))*3.125)+-0.463))/1000</f>
        <v>396.27590314077651</v>
      </c>
      <c r="T88" s="19" t="s">
        <v>3276</v>
      </c>
      <c r="X88" s="16"/>
      <c r="Y88" s="16"/>
      <c r="Z88" s="16"/>
      <c r="AA88" s="16"/>
      <c r="AB88" s="16"/>
      <c r="AC88" s="16"/>
      <c r="AD88" s="16"/>
      <c r="AE88" s="16"/>
      <c r="AF88" s="16"/>
      <c r="AG88" s="16"/>
      <c r="AH88" s="16"/>
      <c r="AI88" s="16"/>
      <c r="AJ88" s="16"/>
    </row>
    <row r="89" spans="1:137" s="17" customFormat="1" ht="38">
      <c r="A89" s="17" t="s">
        <v>218</v>
      </c>
      <c r="B89" s="17" t="s">
        <v>389</v>
      </c>
      <c r="C89" s="18" t="s">
        <v>390</v>
      </c>
      <c r="D89" s="18" t="s">
        <v>1950</v>
      </c>
      <c r="E89" s="17">
        <v>892</v>
      </c>
      <c r="F89" s="17">
        <v>286</v>
      </c>
      <c r="G89" s="19" t="s">
        <v>276</v>
      </c>
      <c r="H89" s="17" t="s">
        <v>277</v>
      </c>
      <c r="I89" s="17" t="s">
        <v>225</v>
      </c>
      <c r="J89" s="19" t="s">
        <v>393</v>
      </c>
      <c r="K89" s="19" t="s">
        <v>1694</v>
      </c>
      <c r="L89" s="19" t="s">
        <v>3277</v>
      </c>
      <c r="M89" s="17" t="s">
        <v>108</v>
      </c>
      <c r="N89" s="16"/>
      <c r="O89" s="16"/>
      <c r="P89" s="89">
        <v>18</v>
      </c>
      <c r="Q89" s="89">
        <v>60</v>
      </c>
      <c r="R89" s="16"/>
      <c r="X89" s="16"/>
      <c r="Y89" s="16"/>
      <c r="Z89" s="16"/>
      <c r="AA89" s="16"/>
      <c r="AB89" s="16"/>
      <c r="AC89" s="16"/>
      <c r="AD89" s="16"/>
      <c r="AE89" s="16"/>
      <c r="AF89" s="16"/>
      <c r="AG89" s="16"/>
      <c r="AH89" s="16"/>
      <c r="AI89" s="16"/>
      <c r="AJ89" s="16"/>
    </row>
    <row r="90" spans="1:137" s="5" customFormat="1" ht="38">
      <c r="A90" s="17" t="s">
        <v>218</v>
      </c>
      <c r="B90" s="17" t="s">
        <v>389</v>
      </c>
      <c r="C90" s="18" t="s">
        <v>390</v>
      </c>
      <c r="D90" s="18" t="s">
        <v>1950</v>
      </c>
      <c r="E90" s="17">
        <v>892</v>
      </c>
      <c r="F90" s="17">
        <v>326</v>
      </c>
      <c r="G90" s="19" t="s">
        <v>276</v>
      </c>
      <c r="H90" s="17" t="s">
        <v>277</v>
      </c>
      <c r="I90" s="17" t="s">
        <v>225</v>
      </c>
      <c r="J90" s="19" t="s">
        <v>393</v>
      </c>
      <c r="K90" s="19" t="s">
        <v>1694</v>
      </c>
      <c r="L90" s="19" t="s">
        <v>3277</v>
      </c>
      <c r="M90" s="17" t="s">
        <v>108</v>
      </c>
      <c r="N90" s="16"/>
      <c r="O90" s="16"/>
      <c r="P90" s="89">
        <v>16.2</v>
      </c>
      <c r="Q90" s="89">
        <v>7.3</v>
      </c>
      <c r="R90" s="16"/>
      <c r="S90" s="17"/>
      <c r="T90" s="17"/>
      <c r="U90" s="17"/>
      <c r="V90" s="17"/>
      <c r="W90" s="17"/>
      <c r="X90" s="16"/>
      <c r="Y90" s="16"/>
      <c r="Z90" s="16"/>
      <c r="AA90" s="16"/>
      <c r="AB90" s="16"/>
      <c r="AC90" s="16"/>
      <c r="AD90" s="16"/>
      <c r="AE90" s="16"/>
      <c r="AF90" s="16"/>
      <c r="AG90" s="16"/>
      <c r="AH90" s="16"/>
      <c r="AI90" s="16"/>
      <c r="AJ90" s="16"/>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c r="CD90" s="17"/>
      <c r="CE90" s="17"/>
      <c r="CF90" s="17"/>
      <c r="CG90" s="17"/>
      <c r="CH90" s="17"/>
      <c r="CI90" s="17"/>
      <c r="CJ90" s="17"/>
      <c r="CK90" s="17"/>
      <c r="CL90" s="17"/>
      <c r="CM90" s="17"/>
      <c r="CN90" s="17"/>
      <c r="CO90" s="17"/>
      <c r="CP90" s="17"/>
      <c r="CQ90" s="17"/>
      <c r="CR90" s="17"/>
      <c r="CS90" s="17"/>
      <c r="CT90" s="17"/>
      <c r="CU90" s="17"/>
      <c r="CV90" s="17"/>
      <c r="CW90" s="17"/>
      <c r="CX90" s="17"/>
      <c r="CY90" s="17"/>
      <c r="CZ90" s="17"/>
      <c r="DA90" s="17"/>
      <c r="DB90" s="17"/>
      <c r="DC90" s="17"/>
      <c r="DD90" s="17"/>
      <c r="DE90" s="17"/>
      <c r="DF90" s="17"/>
      <c r="DG90" s="17"/>
      <c r="DH90" s="17"/>
      <c r="DI90" s="17"/>
      <c r="DJ90" s="17"/>
      <c r="DK90" s="17"/>
      <c r="DL90" s="17"/>
      <c r="DM90" s="17"/>
      <c r="DN90" s="17"/>
      <c r="DO90" s="17"/>
      <c r="DP90" s="17"/>
      <c r="DQ90" s="17"/>
      <c r="DR90" s="17"/>
      <c r="DS90" s="17"/>
      <c r="DT90" s="17"/>
      <c r="DU90" s="17"/>
      <c r="DV90" s="17"/>
      <c r="DW90" s="17"/>
      <c r="DX90" s="17"/>
      <c r="DY90" s="17"/>
      <c r="DZ90" s="17"/>
      <c r="EA90" s="17"/>
      <c r="EB90" s="17"/>
      <c r="EC90" s="17"/>
      <c r="ED90" s="17"/>
      <c r="EE90" s="17"/>
      <c r="EF90" s="17"/>
      <c r="EG90" s="17"/>
    </row>
    <row r="91" spans="1:137" s="5" customFormat="1" ht="38">
      <c r="A91" s="17" t="s">
        <v>218</v>
      </c>
      <c r="B91" s="17" t="s">
        <v>389</v>
      </c>
      <c r="C91" s="18" t="s">
        <v>390</v>
      </c>
      <c r="D91" s="18" t="s">
        <v>1950</v>
      </c>
      <c r="E91" s="17">
        <v>892</v>
      </c>
      <c r="F91" s="17" t="s">
        <v>398</v>
      </c>
      <c r="G91" s="19" t="s">
        <v>276</v>
      </c>
      <c r="H91" s="17" t="s">
        <v>277</v>
      </c>
      <c r="I91" s="17" t="s">
        <v>225</v>
      </c>
      <c r="J91" s="19" t="s">
        <v>393</v>
      </c>
      <c r="K91" s="19" t="s">
        <v>1694</v>
      </c>
      <c r="L91" s="19" t="s">
        <v>3277</v>
      </c>
      <c r="M91" s="17" t="s">
        <v>114</v>
      </c>
      <c r="N91" s="16"/>
      <c r="O91" s="16"/>
      <c r="P91" s="89">
        <v>17.5</v>
      </c>
      <c r="Q91" s="89">
        <v>6.2</v>
      </c>
      <c r="R91" s="16"/>
      <c r="S91" s="17"/>
      <c r="T91" s="17"/>
      <c r="U91" s="17"/>
      <c r="V91" s="17"/>
      <c r="W91" s="17"/>
      <c r="X91" s="16"/>
      <c r="Y91" s="16"/>
      <c r="Z91" s="16"/>
      <c r="AA91" s="16"/>
      <c r="AB91" s="16"/>
      <c r="AC91" s="16"/>
      <c r="AD91" s="16"/>
      <c r="AE91" s="16"/>
      <c r="AF91" s="16"/>
      <c r="AG91" s="16"/>
      <c r="AH91" s="16"/>
      <c r="AI91" s="16"/>
      <c r="AJ91" s="16"/>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c r="CD91" s="17"/>
      <c r="CE91" s="17"/>
      <c r="CF91" s="17"/>
      <c r="CG91" s="17"/>
      <c r="CH91" s="17"/>
      <c r="CI91" s="17"/>
      <c r="CJ91" s="17"/>
      <c r="CK91" s="17"/>
      <c r="CL91" s="17"/>
      <c r="CM91" s="17"/>
      <c r="CN91" s="17"/>
      <c r="CO91" s="17"/>
      <c r="CP91" s="17"/>
      <c r="CQ91" s="17"/>
      <c r="CR91" s="17"/>
      <c r="CS91" s="17"/>
      <c r="CT91" s="17"/>
      <c r="CU91" s="17"/>
      <c r="CV91" s="17"/>
      <c r="CW91" s="17"/>
      <c r="CX91" s="17"/>
      <c r="CY91" s="17"/>
      <c r="CZ91" s="17"/>
      <c r="DA91" s="17"/>
      <c r="DB91" s="17"/>
      <c r="DC91" s="17"/>
      <c r="DD91" s="17"/>
      <c r="DE91" s="17"/>
      <c r="DF91" s="17"/>
      <c r="DG91" s="17"/>
      <c r="DH91" s="17"/>
      <c r="DI91" s="17"/>
      <c r="DJ91" s="17"/>
      <c r="DK91" s="17"/>
      <c r="DL91" s="17"/>
      <c r="DM91" s="17"/>
      <c r="DN91" s="17"/>
      <c r="DO91" s="17"/>
      <c r="DP91" s="17"/>
      <c r="DQ91" s="17"/>
      <c r="DR91" s="17"/>
      <c r="DS91" s="17"/>
      <c r="DT91" s="17"/>
      <c r="DU91" s="17"/>
      <c r="DV91" s="17"/>
      <c r="DW91" s="17"/>
      <c r="DX91" s="17"/>
      <c r="DY91" s="17"/>
      <c r="DZ91" s="17"/>
      <c r="EA91" s="17"/>
      <c r="EB91" s="17"/>
      <c r="EC91" s="17"/>
      <c r="ED91" s="17"/>
      <c r="EE91" s="17"/>
      <c r="EF91" s="17"/>
      <c r="EG91" s="17"/>
    </row>
    <row r="92" spans="1:137" s="5" customFormat="1" ht="38">
      <c r="A92" s="17" t="s">
        <v>218</v>
      </c>
      <c r="B92" s="17" t="s">
        <v>389</v>
      </c>
      <c r="C92" s="18" t="s">
        <v>390</v>
      </c>
      <c r="D92" s="18" t="s">
        <v>1950</v>
      </c>
      <c r="E92" s="17">
        <v>892</v>
      </c>
      <c r="F92" s="17" t="s">
        <v>275</v>
      </c>
      <c r="G92" s="19" t="s">
        <v>276</v>
      </c>
      <c r="H92" s="17" t="s">
        <v>277</v>
      </c>
      <c r="I92" s="17" t="s">
        <v>225</v>
      </c>
      <c r="J92" s="19" t="s">
        <v>393</v>
      </c>
      <c r="K92" s="19" t="s">
        <v>1694</v>
      </c>
      <c r="L92" s="19" t="s">
        <v>3277</v>
      </c>
      <c r="M92" s="17" t="s">
        <v>108</v>
      </c>
      <c r="N92" s="16"/>
      <c r="O92" s="16"/>
      <c r="P92" s="89">
        <v>18.3</v>
      </c>
      <c r="Q92" s="89">
        <v>6.4</v>
      </c>
      <c r="R92" s="16"/>
      <c r="S92" s="66"/>
      <c r="T92" s="17"/>
      <c r="U92" s="17"/>
      <c r="V92" s="17"/>
      <c r="W92" s="17"/>
      <c r="X92" s="16"/>
      <c r="Y92" s="16"/>
      <c r="Z92" s="16"/>
      <c r="AA92" s="16"/>
      <c r="AB92" s="16"/>
      <c r="AC92" s="16"/>
      <c r="AD92" s="16"/>
      <c r="AE92" s="16"/>
      <c r="AF92" s="16"/>
      <c r="AG92" s="16"/>
      <c r="AH92" s="16"/>
      <c r="AI92" s="16"/>
      <c r="AJ92" s="16"/>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c r="CD92" s="17"/>
      <c r="CE92" s="17"/>
      <c r="CF92" s="17"/>
      <c r="CG92" s="17"/>
      <c r="CH92" s="17"/>
      <c r="CI92" s="17"/>
      <c r="CJ92" s="17"/>
      <c r="CK92" s="17"/>
      <c r="CL92" s="17"/>
      <c r="CM92" s="17"/>
      <c r="CN92" s="17"/>
      <c r="CO92" s="17"/>
      <c r="CP92" s="17"/>
      <c r="CQ92" s="17"/>
      <c r="CR92" s="17"/>
      <c r="CS92" s="17"/>
      <c r="CT92" s="17"/>
      <c r="CU92" s="17"/>
      <c r="CV92" s="17"/>
      <c r="CW92" s="17"/>
      <c r="CX92" s="17"/>
      <c r="CY92" s="17"/>
      <c r="CZ92" s="17"/>
      <c r="DA92" s="17"/>
      <c r="DB92" s="17"/>
      <c r="DC92" s="17"/>
      <c r="DD92" s="17"/>
      <c r="DE92" s="17"/>
      <c r="DF92" s="17"/>
      <c r="DG92" s="17"/>
      <c r="DH92" s="17"/>
      <c r="DI92" s="17"/>
      <c r="DJ92" s="17"/>
      <c r="DK92" s="17"/>
      <c r="DL92" s="17"/>
      <c r="DM92" s="17"/>
      <c r="DN92" s="17"/>
      <c r="DO92" s="17"/>
      <c r="DP92" s="17"/>
      <c r="DQ92" s="17"/>
      <c r="DR92" s="17"/>
      <c r="DS92" s="17"/>
      <c r="DT92" s="17"/>
      <c r="DU92" s="17"/>
      <c r="DV92" s="17"/>
      <c r="DW92" s="17"/>
      <c r="DX92" s="17"/>
      <c r="DY92" s="17"/>
      <c r="DZ92" s="17"/>
      <c r="EA92" s="17"/>
      <c r="EB92" s="17"/>
      <c r="EC92" s="17"/>
      <c r="ED92" s="17"/>
      <c r="EE92" s="17"/>
      <c r="EF92" s="17"/>
      <c r="EG92" s="17"/>
    </row>
    <row r="93" spans="1:137" s="5" customFormat="1" ht="57">
      <c r="A93" s="17" t="s">
        <v>218</v>
      </c>
      <c r="B93" s="17" t="s">
        <v>389</v>
      </c>
      <c r="C93" s="18" t="s">
        <v>390</v>
      </c>
      <c r="D93" s="18" t="s">
        <v>1950</v>
      </c>
      <c r="E93" s="17">
        <v>892</v>
      </c>
      <c r="F93" s="17">
        <v>294</v>
      </c>
      <c r="G93" s="19" t="s">
        <v>276</v>
      </c>
      <c r="H93" s="17" t="s">
        <v>277</v>
      </c>
      <c r="I93" s="17" t="s">
        <v>104</v>
      </c>
      <c r="J93" s="19" t="s">
        <v>105</v>
      </c>
      <c r="K93" s="19" t="s">
        <v>112</v>
      </c>
      <c r="L93" s="19" t="s">
        <v>113</v>
      </c>
      <c r="M93" s="17" t="s">
        <v>108</v>
      </c>
      <c r="N93" s="17"/>
      <c r="O93" s="17"/>
      <c r="P93" s="88">
        <v>2.7809999999999997</v>
      </c>
      <c r="Q93" s="88">
        <v>1.7829999999999999</v>
      </c>
      <c r="R93" s="17">
        <v>0</v>
      </c>
      <c r="S93" s="66">
        <v>892.17508069667736</v>
      </c>
      <c r="T93" s="19" t="s">
        <v>3257</v>
      </c>
      <c r="U93" s="21">
        <v>0.94199999999999995</v>
      </c>
      <c r="V93" s="86">
        <v>29.2</v>
      </c>
      <c r="W93" s="81" t="s">
        <v>700</v>
      </c>
      <c r="X93" s="16"/>
      <c r="Y93" s="16"/>
      <c r="Z93" s="16"/>
      <c r="AA93" s="16"/>
      <c r="AB93" s="16"/>
      <c r="AC93" s="16"/>
      <c r="AD93"/>
      <c r="AE93"/>
      <c r="AF93"/>
      <c r="AG93"/>
      <c r="AH93"/>
      <c r="AI93"/>
      <c r="AJ93"/>
    </row>
    <row r="94" spans="1:137" s="5" customFormat="1" ht="57">
      <c r="A94" s="17" t="s">
        <v>218</v>
      </c>
      <c r="B94" s="17" t="s">
        <v>389</v>
      </c>
      <c r="C94" s="18" t="s">
        <v>390</v>
      </c>
      <c r="D94" s="18" t="s">
        <v>1950</v>
      </c>
      <c r="E94" s="17">
        <v>892</v>
      </c>
      <c r="F94" s="17" t="s">
        <v>275</v>
      </c>
      <c r="G94" s="19" t="s">
        <v>276</v>
      </c>
      <c r="H94" s="17" t="s">
        <v>277</v>
      </c>
      <c r="I94" s="17" t="s">
        <v>104</v>
      </c>
      <c r="J94" s="19" t="s">
        <v>105</v>
      </c>
      <c r="K94" s="19" t="s">
        <v>112</v>
      </c>
      <c r="L94" s="19" t="s">
        <v>113</v>
      </c>
      <c r="M94" s="17" t="s">
        <v>108</v>
      </c>
      <c r="N94" s="17"/>
      <c r="O94" s="17"/>
      <c r="P94" s="88">
        <v>2.8159999999999998</v>
      </c>
      <c r="Q94" s="88">
        <v>2.0219999999999998</v>
      </c>
      <c r="R94" s="17">
        <v>0</v>
      </c>
      <c r="S94" s="66">
        <v>1126.9221394878198</v>
      </c>
      <c r="T94" s="19" t="s">
        <v>3257</v>
      </c>
      <c r="U94" s="21">
        <v>0.94199999999999995</v>
      </c>
      <c r="V94" s="86">
        <v>29.2</v>
      </c>
      <c r="W94" s="81" t="s">
        <v>700</v>
      </c>
      <c r="X94" s="16"/>
      <c r="Y94" s="16"/>
      <c r="Z94" s="16"/>
      <c r="AA94" s="16"/>
      <c r="AB94" s="16"/>
      <c r="AC94" s="16"/>
      <c r="AD94" s="16"/>
      <c r="AE94" s="16"/>
      <c r="AF94" s="16"/>
      <c r="AG94" s="16"/>
      <c r="AH94" s="16"/>
      <c r="AI94" s="16"/>
      <c r="AJ94" s="16"/>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c r="CD94" s="17"/>
      <c r="CE94" s="17"/>
      <c r="CF94" s="17"/>
      <c r="CG94" s="17"/>
      <c r="CH94" s="17"/>
      <c r="CI94" s="17"/>
      <c r="CJ94" s="17"/>
      <c r="CK94" s="17"/>
      <c r="CL94" s="17"/>
      <c r="CM94" s="17"/>
      <c r="CN94" s="17"/>
      <c r="CO94" s="17"/>
      <c r="CP94" s="17"/>
      <c r="CQ94" s="17"/>
      <c r="CR94" s="17"/>
      <c r="CS94" s="17"/>
      <c r="CT94" s="17"/>
      <c r="CU94" s="17"/>
      <c r="CV94" s="17"/>
      <c r="CW94" s="17"/>
      <c r="CX94" s="17"/>
      <c r="CY94" s="17"/>
      <c r="CZ94" s="17"/>
      <c r="DA94" s="17"/>
      <c r="DB94" s="17"/>
      <c r="DC94" s="17"/>
      <c r="DD94" s="17"/>
      <c r="DE94" s="17"/>
      <c r="DF94" s="17"/>
      <c r="DG94" s="17"/>
      <c r="DH94" s="17"/>
      <c r="DI94" s="17"/>
      <c r="DJ94" s="17"/>
      <c r="DK94" s="17"/>
      <c r="DL94" s="17"/>
      <c r="DM94" s="17"/>
      <c r="DN94" s="17"/>
      <c r="DO94" s="17"/>
      <c r="DP94" s="17"/>
      <c r="DQ94" s="17"/>
      <c r="DR94" s="17"/>
      <c r="DS94" s="17"/>
      <c r="DT94" s="17"/>
      <c r="DU94" s="17"/>
      <c r="DV94" s="17"/>
      <c r="DW94" s="17"/>
      <c r="DX94" s="17"/>
      <c r="DY94" s="17"/>
      <c r="DZ94" s="17"/>
      <c r="EA94" s="17"/>
      <c r="EB94" s="17"/>
      <c r="EC94" s="17"/>
      <c r="ED94" s="17"/>
      <c r="EE94" s="17"/>
      <c r="EF94" s="17"/>
      <c r="EG94" s="17"/>
    </row>
    <row r="95" spans="1:137" s="5" customFormat="1" ht="57">
      <c r="A95" s="17" t="s">
        <v>218</v>
      </c>
      <c r="B95" s="17" t="s">
        <v>389</v>
      </c>
      <c r="C95" s="18" t="s">
        <v>390</v>
      </c>
      <c r="D95" s="18" t="s">
        <v>1950</v>
      </c>
      <c r="E95" s="17">
        <v>892</v>
      </c>
      <c r="F95" s="17" t="s">
        <v>275</v>
      </c>
      <c r="G95" s="19" t="s">
        <v>276</v>
      </c>
      <c r="H95" s="17" t="s">
        <v>277</v>
      </c>
      <c r="I95" s="17" t="s">
        <v>104</v>
      </c>
      <c r="J95" s="19" t="s">
        <v>105</v>
      </c>
      <c r="K95" s="19" t="s">
        <v>112</v>
      </c>
      <c r="L95" s="19" t="s">
        <v>113</v>
      </c>
      <c r="M95" s="17" t="s">
        <v>108</v>
      </c>
      <c r="N95" s="17"/>
      <c r="O95" s="17"/>
      <c r="P95" s="88">
        <v>2.6100000000000003</v>
      </c>
      <c r="Q95" s="88">
        <v>1.54</v>
      </c>
      <c r="R95" s="17">
        <v>0</v>
      </c>
      <c r="S95" s="66">
        <v>625.78956117954431</v>
      </c>
      <c r="T95" s="19" t="s">
        <v>3257</v>
      </c>
      <c r="U95" s="21">
        <v>0.94199999999999995</v>
      </c>
      <c r="V95" s="86">
        <v>29.2</v>
      </c>
      <c r="W95" s="81" t="s">
        <v>700</v>
      </c>
      <c r="X95" s="16"/>
      <c r="Y95" s="16"/>
      <c r="Z95" s="16"/>
      <c r="AA95" s="16"/>
      <c r="AB95" s="16"/>
      <c r="AC95" s="16"/>
      <c r="AD95" s="16"/>
      <c r="AE95" s="16"/>
      <c r="AF95" s="16"/>
      <c r="AG95" s="16"/>
      <c r="AH95" s="16"/>
      <c r="AI95" s="16"/>
      <c r="AJ95" s="16"/>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c r="CN95" s="17"/>
      <c r="CO95" s="17"/>
      <c r="CP95" s="17"/>
      <c r="CQ95" s="17"/>
      <c r="CR95" s="17"/>
      <c r="CS95" s="17"/>
      <c r="CT95" s="17"/>
      <c r="CU95" s="17"/>
      <c r="CV95" s="17"/>
      <c r="CW95" s="17"/>
      <c r="CX95" s="17"/>
      <c r="CY95" s="17"/>
      <c r="CZ95" s="17"/>
      <c r="DA95" s="17"/>
      <c r="DB95" s="17"/>
      <c r="DC95" s="17"/>
      <c r="DD95" s="17"/>
      <c r="DE95" s="17"/>
      <c r="DF95" s="17"/>
      <c r="DG95" s="17"/>
      <c r="DH95" s="17"/>
      <c r="DI95" s="17"/>
      <c r="DJ95" s="17"/>
      <c r="DK95" s="17"/>
      <c r="DL95" s="17"/>
      <c r="DM95" s="17"/>
      <c r="DN95" s="17"/>
      <c r="DO95" s="17"/>
      <c r="DP95" s="17"/>
      <c r="DQ95" s="17"/>
      <c r="DR95" s="17"/>
      <c r="DS95" s="17"/>
      <c r="DT95" s="17"/>
      <c r="DU95" s="17"/>
      <c r="DV95" s="17"/>
      <c r="DW95" s="17"/>
      <c r="DX95" s="17"/>
      <c r="DY95" s="17"/>
      <c r="DZ95" s="17"/>
      <c r="EA95" s="17"/>
      <c r="EB95" s="17"/>
      <c r="EC95" s="17"/>
      <c r="ED95" s="17"/>
      <c r="EE95" s="17"/>
      <c r="EF95" s="17"/>
      <c r="EG95" s="17"/>
    </row>
    <row r="96" spans="1:137" s="5" customFormat="1" ht="57">
      <c r="A96" s="17" t="s">
        <v>218</v>
      </c>
      <c r="B96" s="17" t="s">
        <v>389</v>
      </c>
      <c r="C96" s="18" t="s">
        <v>390</v>
      </c>
      <c r="D96" s="18" t="s">
        <v>1950</v>
      </c>
      <c r="E96" s="17">
        <v>892</v>
      </c>
      <c r="F96" s="17" t="s">
        <v>275</v>
      </c>
      <c r="G96" s="19" t="s">
        <v>276</v>
      </c>
      <c r="H96" s="17" t="s">
        <v>277</v>
      </c>
      <c r="I96" s="17" t="s">
        <v>104</v>
      </c>
      <c r="J96" s="19" t="s">
        <v>105</v>
      </c>
      <c r="K96" s="19" t="s">
        <v>112</v>
      </c>
      <c r="L96" s="19" t="s">
        <v>113</v>
      </c>
      <c r="M96" s="17" t="s">
        <v>108</v>
      </c>
      <c r="N96" s="17"/>
      <c r="O96" s="17"/>
      <c r="P96" s="88">
        <v>2.637</v>
      </c>
      <c r="Q96" s="88">
        <v>1.605</v>
      </c>
      <c r="R96" s="17">
        <v>0</v>
      </c>
      <c r="S96" s="66">
        <v>682.81388873978642</v>
      </c>
      <c r="T96" s="19" t="s">
        <v>3257</v>
      </c>
      <c r="U96" s="21">
        <v>0.94199999999999995</v>
      </c>
      <c r="V96" s="86">
        <v>29.2</v>
      </c>
      <c r="W96" s="81" t="s">
        <v>700</v>
      </c>
      <c r="X96" s="16"/>
      <c r="Y96" s="16"/>
      <c r="Z96" s="16"/>
      <c r="AA96" s="16"/>
      <c r="AB96" s="16"/>
      <c r="AC96" s="16"/>
      <c r="AD96"/>
      <c r="AE96"/>
      <c r="AF96"/>
      <c r="AG96"/>
      <c r="AH96"/>
      <c r="AI96"/>
      <c r="AJ96"/>
    </row>
    <row r="97" spans="1:137" s="5" customFormat="1" ht="57">
      <c r="A97" s="17" t="s">
        <v>218</v>
      </c>
      <c r="B97" s="17" t="s">
        <v>389</v>
      </c>
      <c r="C97" s="18" t="s">
        <v>390</v>
      </c>
      <c r="D97" s="18" t="s">
        <v>1950</v>
      </c>
      <c r="E97" s="17">
        <v>892</v>
      </c>
      <c r="F97" s="17" t="s">
        <v>275</v>
      </c>
      <c r="G97" s="19" t="s">
        <v>276</v>
      </c>
      <c r="H97" s="17" t="s">
        <v>277</v>
      </c>
      <c r="I97" s="17" t="s">
        <v>104</v>
      </c>
      <c r="J97" s="19" t="s">
        <v>105</v>
      </c>
      <c r="K97" s="19" t="s">
        <v>112</v>
      </c>
      <c r="L97" s="19" t="s">
        <v>113</v>
      </c>
      <c r="M97" s="17" t="s">
        <v>108</v>
      </c>
      <c r="N97" s="17"/>
      <c r="O97" s="17"/>
      <c r="P97" s="88">
        <v>2.5840000000000001</v>
      </c>
      <c r="Q97" s="88">
        <v>1.6280000000000001</v>
      </c>
      <c r="R97" s="17">
        <v>0</v>
      </c>
      <c r="S97" s="66">
        <v>675.8437949078949</v>
      </c>
      <c r="T97" s="19" t="s">
        <v>3257</v>
      </c>
      <c r="U97" s="21">
        <v>0.94199999999999995</v>
      </c>
      <c r="V97" s="86">
        <v>29.2</v>
      </c>
      <c r="W97" s="81" t="s">
        <v>700</v>
      </c>
      <c r="X97" s="16"/>
      <c r="Y97" s="16"/>
      <c r="Z97" s="16"/>
      <c r="AA97" s="16"/>
      <c r="AB97" s="16"/>
      <c r="AC97" s="16"/>
      <c r="AD97"/>
      <c r="AE97"/>
      <c r="AF97"/>
      <c r="AG97"/>
      <c r="AH97"/>
      <c r="AI97"/>
      <c r="AJ97"/>
    </row>
    <row r="98" spans="1:137" s="5" customFormat="1" ht="57">
      <c r="A98" s="17" t="s">
        <v>218</v>
      </c>
      <c r="B98" s="17" t="s">
        <v>389</v>
      </c>
      <c r="C98" s="18" t="s">
        <v>390</v>
      </c>
      <c r="D98" s="18" t="s">
        <v>1950</v>
      </c>
      <c r="E98" s="17">
        <v>892</v>
      </c>
      <c r="F98" s="17" t="s">
        <v>705</v>
      </c>
      <c r="G98" s="19" t="s">
        <v>276</v>
      </c>
      <c r="H98" s="17" t="s">
        <v>277</v>
      </c>
      <c r="I98" s="17" t="s">
        <v>104</v>
      </c>
      <c r="J98" s="19" t="s">
        <v>105</v>
      </c>
      <c r="K98" s="19" t="s">
        <v>112</v>
      </c>
      <c r="L98" s="19" t="s">
        <v>113</v>
      </c>
      <c r="M98" s="17" t="s">
        <v>114</v>
      </c>
      <c r="N98" s="17"/>
      <c r="O98" s="17"/>
      <c r="P98" s="88">
        <v>2.69</v>
      </c>
      <c r="Q98" s="88">
        <v>1.823</v>
      </c>
      <c r="R98" s="17">
        <v>0</v>
      </c>
      <c r="S98" s="66">
        <v>875.62929785054723</v>
      </c>
      <c r="T98" s="19" t="s">
        <v>3257</v>
      </c>
      <c r="U98" s="21">
        <v>0.94199999999999995</v>
      </c>
      <c r="V98" s="86">
        <v>29.2</v>
      </c>
      <c r="W98" s="81" t="s">
        <v>700</v>
      </c>
      <c r="X98" s="16"/>
      <c r="Y98" s="16"/>
      <c r="Z98" s="16"/>
      <c r="AA98" s="16"/>
      <c r="AB98" s="16"/>
      <c r="AC98" s="16"/>
      <c r="AD98" s="16"/>
      <c r="AE98" s="16"/>
      <c r="AF98" s="16"/>
      <c r="AG98" s="16"/>
      <c r="AH98" s="16"/>
      <c r="AI98" s="16"/>
      <c r="AJ98" s="16"/>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c r="CD98" s="17"/>
      <c r="CE98" s="17"/>
      <c r="CF98" s="17"/>
      <c r="CG98" s="17"/>
      <c r="CH98" s="17"/>
      <c r="CI98" s="17"/>
      <c r="CJ98" s="17"/>
      <c r="CK98" s="17"/>
      <c r="CL98" s="17"/>
      <c r="CM98" s="17"/>
      <c r="CN98" s="17"/>
      <c r="CO98" s="17"/>
      <c r="CP98" s="17"/>
      <c r="CQ98" s="17"/>
      <c r="CR98" s="17"/>
      <c r="CS98" s="17"/>
      <c r="CT98" s="17"/>
      <c r="CU98" s="17"/>
      <c r="CV98" s="17"/>
      <c r="CW98" s="17"/>
      <c r="CX98" s="17"/>
      <c r="CY98" s="17"/>
      <c r="CZ98" s="17"/>
      <c r="DA98" s="17"/>
      <c r="DB98" s="17"/>
      <c r="DC98" s="17"/>
      <c r="DD98" s="17"/>
      <c r="DE98" s="17"/>
      <c r="DF98" s="17"/>
      <c r="DG98" s="17"/>
      <c r="DH98" s="17"/>
      <c r="DI98" s="17"/>
      <c r="DJ98" s="17"/>
      <c r="DK98" s="17"/>
      <c r="DL98" s="17"/>
      <c r="DM98" s="17"/>
      <c r="DN98" s="17"/>
      <c r="DO98" s="17"/>
      <c r="DP98" s="17"/>
      <c r="DQ98" s="17"/>
      <c r="DR98" s="17"/>
      <c r="DS98" s="17"/>
      <c r="DT98" s="17"/>
      <c r="DU98" s="17"/>
      <c r="DV98" s="17"/>
      <c r="DW98" s="17"/>
      <c r="DX98" s="17"/>
      <c r="DY98" s="17"/>
      <c r="DZ98" s="17"/>
      <c r="EA98" s="17"/>
      <c r="EB98" s="17"/>
      <c r="EC98" s="17"/>
      <c r="ED98" s="17"/>
      <c r="EE98" s="17"/>
      <c r="EF98" s="17"/>
      <c r="EG98" s="17"/>
    </row>
    <row r="99" spans="1:137" s="5" customFormat="1" ht="57">
      <c r="A99" s="17" t="s">
        <v>218</v>
      </c>
      <c r="B99" s="17" t="s">
        <v>389</v>
      </c>
      <c r="C99" s="18" t="s">
        <v>390</v>
      </c>
      <c r="D99" s="18" t="s">
        <v>1950</v>
      </c>
      <c r="E99" s="17">
        <v>892</v>
      </c>
      <c r="F99" s="17" t="s">
        <v>275</v>
      </c>
      <c r="G99" s="19" t="s">
        <v>276</v>
      </c>
      <c r="H99" s="17" t="s">
        <v>277</v>
      </c>
      <c r="I99" s="17" t="s">
        <v>104</v>
      </c>
      <c r="J99" s="19" t="s">
        <v>105</v>
      </c>
      <c r="K99" s="19" t="s">
        <v>209</v>
      </c>
      <c r="L99" s="19" t="s">
        <v>216</v>
      </c>
      <c r="M99" s="17" t="s">
        <v>108</v>
      </c>
      <c r="N99" s="17"/>
      <c r="O99" s="17"/>
      <c r="P99" s="88">
        <v>3.774</v>
      </c>
      <c r="Q99" s="88">
        <v>1.98</v>
      </c>
      <c r="R99" s="17">
        <v>0</v>
      </c>
      <c r="S99" s="66">
        <v>1140.0360191464156</v>
      </c>
      <c r="T99" s="19" t="s">
        <v>3244</v>
      </c>
      <c r="U99" s="21">
        <v>0.93500000000000005</v>
      </c>
      <c r="V99" s="86">
        <v>30.8</v>
      </c>
      <c r="W99" s="81" t="s">
        <v>700</v>
      </c>
      <c r="X99" s="16"/>
      <c r="Y99" s="16"/>
      <c r="Z99" s="16"/>
      <c r="AA99" s="16"/>
      <c r="AB99" s="16"/>
      <c r="AC99" s="16"/>
      <c r="AD99"/>
      <c r="AE99"/>
      <c r="AF99"/>
      <c r="AG99"/>
      <c r="AH99"/>
      <c r="AI99"/>
      <c r="AJ99"/>
    </row>
    <row r="100" spans="1:137" s="5" customFormat="1" ht="57">
      <c r="A100" s="17" t="s">
        <v>218</v>
      </c>
      <c r="B100" s="17" t="s">
        <v>389</v>
      </c>
      <c r="C100" s="18" t="s">
        <v>390</v>
      </c>
      <c r="D100" s="18" t="s">
        <v>1950</v>
      </c>
      <c r="E100" s="17">
        <v>892</v>
      </c>
      <c r="F100" s="17" t="s">
        <v>275</v>
      </c>
      <c r="G100" s="19" t="s">
        <v>276</v>
      </c>
      <c r="H100" s="17" t="s">
        <v>277</v>
      </c>
      <c r="I100" s="17" t="s">
        <v>104</v>
      </c>
      <c r="J100" s="19" t="s">
        <v>105</v>
      </c>
      <c r="K100" s="19" t="s">
        <v>209</v>
      </c>
      <c r="L100" s="19" t="s">
        <v>216</v>
      </c>
      <c r="M100" s="17" t="s">
        <v>108</v>
      </c>
      <c r="N100" s="17"/>
      <c r="O100" s="17"/>
      <c r="P100" s="88">
        <v>3.0620000000000003</v>
      </c>
      <c r="Q100" s="88">
        <v>2.0569999999999999</v>
      </c>
      <c r="R100" s="17">
        <v>0</v>
      </c>
      <c r="S100" s="66">
        <v>854.9078030247357</v>
      </c>
      <c r="T100" s="19" t="s">
        <v>3244</v>
      </c>
      <c r="U100" s="21">
        <v>0.93500000000000005</v>
      </c>
      <c r="V100" s="86">
        <v>30.8</v>
      </c>
      <c r="W100" s="81" t="s">
        <v>700</v>
      </c>
      <c r="X100" s="16"/>
      <c r="Y100" s="16"/>
      <c r="Z100" s="16"/>
      <c r="AA100" s="16"/>
      <c r="AB100" s="16"/>
      <c r="AC100" s="16"/>
      <c r="AD100"/>
      <c r="AE100"/>
      <c r="AF100"/>
      <c r="AG100"/>
      <c r="AH100"/>
      <c r="AI100"/>
      <c r="AJ100"/>
    </row>
    <row r="101" spans="1:137" s="5" customFormat="1" ht="57">
      <c r="A101" s="17" t="s">
        <v>218</v>
      </c>
      <c r="B101" s="17" t="s">
        <v>389</v>
      </c>
      <c r="C101" s="18" t="s">
        <v>390</v>
      </c>
      <c r="D101" s="18" t="s">
        <v>1950</v>
      </c>
      <c r="E101" s="17">
        <v>892</v>
      </c>
      <c r="F101" s="17" t="s">
        <v>275</v>
      </c>
      <c r="G101" s="19" t="s">
        <v>276</v>
      </c>
      <c r="H101" s="17" t="s">
        <v>277</v>
      </c>
      <c r="I101" s="17" t="s">
        <v>104</v>
      </c>
      <c r="J101" s="19" t="s">
        <v>105</v>
      </c>
      <c r="K101" s="19" t="s">
        <v>209</v>
      </c>
      <c r="L101" s="19" t="s">
        <v>216</v>
      </c>
      <c r="M101" s="17" t="s">
        <v>108</v>
      </c>
      <c r="N101" s="17"/>
      <c r="O101" s="17"/>
      <c r="P101" s="88">
        <v>3.1</v>
      </c>
      <c r="Q101" s="88">
        <v>2</v>
      </c>
      <c r="R101" s="17">
        <v>0</v>
      </c>
      <c r="S101" s="66">
        <v>832.5064464453518</v>
      </c>
      <c r="T101" s="19" t="s">
        <v>3244</v>
      </c>
      <c r="U101" s="21">
        <v>0.93500000000000005</v>
      </c>
      <c r="V101" s="86">
        <v>30.8</v>
      </c>
      <c r="W101" s="81" t="s">
        <v>700</v>
      </c>
      <c r="X101" s="16"/>
      <c r="Y101" s="16"/>
      <c r="Z101" s="16"/>
      <c r="AA101" s="16"/>
      <c r="AB101" s="16"/>
      <c r="AC101" s="16"/>
      <c r="AD101"/>
      <c r="AE101"/>
      <c r="AF101"/>
      <c r="AG101"/>
      <c r="AH101"/>
      <c r="AI101"/>
      <c r="AJ101"/>
    </row>
    <row r="102" spans="1:137" s="5" customFormat="1" ht="57">
      <c r="A102" s="17" t="s">
        <v>218</v>
      </c>
      <c r="B102" s="17" t="s">
        <v>389</v>
      </c>
      <c r="C102" s="18" t="s">
        <v>390</v>
      </c>
      <c r="D102" s="18" t="s">
        <v>1950</v>
      </c>
      <c r="E102" s="17">
        <v>892</v>
      </c>
      <c r="F102" s="17" t="s">
        <v>275</v>
      </c>
      <c r="G102" s="19" t="s">
        <v>276</v>
      </c>
      <c r="H102" s="17" t="s">
        <v>277</v>
      </c>
      <c r="I102" s="17" t="s">
        <v>104</v>
      </c>
      <c r="J102" s="19" t="s">
        <v>105</v>
      </c>
      <c r="K102" s="19" t="s">
        <v>209</v>
      </c>
      <c r="L102" s="19" t="s">
        <v>216</v>
      </c>
      <c r="M102" s="17" t="s">
        <v>108</v>
      </c>
      <c r="N102" s="17"/>
      <c r="O102" s="17"/>
      <c r="P102" s="88">
        <v>2.7719999999999998</v>
      </c>
      <c r="Q102" s="88">
        <v>1.927</v>
      </c>
      <c r="R102" s="17">
        <v>0</v>
      </c>
      <c r="S102" s="66">
        <v>647.74579145624921</v>
      </c>
      <c r="T102" s="19" t="s">
        <v>3244</v>
      </c>
      <c r="U102" s="21">
        <v>0.93500000000000005</v>
      </c>
      <c r="V102" s="86">
        <v>30.8</v>
      </c>
      <c r="W102" s="81" t="s">
        <v>700</v>
      </c>
      <c r="X102" s="16"/>
      <c r="Y102" s="16"/>
      <c r="Z102" s="16"/>
      <c r="AA102" s="16"/>
      <c r="AB102" s="16"/>
      <c r="AC102" s="16"/>
      <c r="AD102"/>
      <c r="AE102"/>
      <c r="AF102"/>
      <c r="AG102"/>
      <c r="AH102"/>
      <c r="AI102"/>
      <c r="AJ102"/>
    </row>
    <row r="103" spans="1:137" s="5" customFormat="1" ht="57">
      <c r="A103" s="17" t="s">
        <v>218</v>
      </c>
      <c r="B103" s="17" t="s">
        <v>389</v>
      </c>
      <c r="C103" s="18" t="s">
        <v>390</v>
      </c>
      <c r="D103" s="18" t="s">
        <v>1950</v>
      </c>
      <c r="E103" s="17">
        <v>892</v>
      </c>
      <c r="F103" s="17" t="s">
        <v>705</v>
      </c>
      <c r="G103" s="19" t="s">
        <v>276</v>
      </c>
      <c r="H103" s="17" t="s">
        <v>277</v>
      </c>
      <c r="I103" s="17" t="s">
        <v>104</v>
      </c>
      <c r="J103" s="19" t="s">
        <v>105</v>
      </c>
      <c r="K103" s="19" t="s">
        <v>209</v>
      </c>
      <c r="L103" s="19" t="s">
        <v>216</v>
      </c>
      <c r="M103" s="17" t="s">
        <v>114</v>
      </c>
      <c r="N103" s="17"/>
      <c r="O103" s="17"/>
      <c r="P103" s="88">
        <v>2.9119999999999999</v>
      </c>
      <c r="Q103" s="88">
        <v>1.8829999999999998</v>
      </c>
      <c r="R103" s="17">
        <v>0</v>
      </c>
      <c r="S103" s="66">
        <v>676.9338119384671</v>
      </c>
      <c r="T103" s="19" t="s">
        <v>3244</v>
      </c>
      <c r="U103" s="21">
        <v>0.93500000000000005</v>
      </c>
      <c r="V103" s="86">
        <v>30.8</v>
      </c>
      <c r="W103" s="81" t="s">
        <v>700</v>
      </c>
      <c r="X103" s="16"/>
      <c r="Y103" s="16"/>
      <c r="Z103" s="16"/>
      <c r="AA103" s="16"/>
      <c r="AB103" s="16"/>
      <c r="AC103" s="16"/>
      <c r="AD103"/>
      <c r="AE103"/>
      <c r="AF103"/>
      <c r="AG103"/>
      <c r="AH103"/>
      <c r="AI103"/>
      <c r="AJ103"/>
    </row>
    <row r="104" spans="1:137" s="5" customFormat="1" ht="57">
      <c r="A104" s="17" t="s">
        <v>218</v>
      </c>
      <c r="B104" s="17" t="s">
        <v>389</v>
      </c>
      <c r="C104" s="18" t="s">
        <v>390</v>
      </c>
      <c r="D104" s="18" t="s">
        <v>1950</v>
      </c>
      <c r="E104" s="17">
        <v>892</v>
      </c>
      <c r="F104" s="17">
        <v>449</v>
      </c>
      <c r="G104" s="19" t="s">
        <v>276</v>
      </c>
      <c r="H104" s="17" t="s">
        <v>277</v>
      </c>
      <c r="I104" s="17" t="s">
        <v>104</v>
      </c>
      <c r="J104" s="19" t="s">
        <v>105</v>
      </c>
      <c r="K104" s="19" t="s">
        <v>126</v>
      </c>
      <c r="L104" s="19" t="s">
        <v>127</v>
      </c>
      <c r="M104" s="17" t="s">
        <v>114</v>
      </c>
      <c r="N104" s="17"/>
      <c r="O104" s="17"/>
      <c r="P104" s="88">
        <v>4.8390000000000004</v>
      </c>
      <c r="Q104" s="88">
        <v>1.591</v>
      </c>
      <c r="R104" s="17">
        <v>0</v>
      </c>
      <c r="S104" s="66">
        <v>735.45397916011132</v>
      </c>
      <c r="T104" s="19" t="s">
        <v>3245</v>
      </c>
      <c r="U104" s="21">
        <v>0.94299999999999995</v>
      </c>
      <c r="V104" s="86">
        <v>29.1</v>
      </c>
      <c r="W104" s="81" t="s">
        <v>700</v>
      </c>
      <c r="X104" s="16"/>
      <c r="Y104" s="16"/>
      <c r="Z104" s="16"/>
      <c r="AA104" s="16"/>
      <c r="AB104" s="16"/>
      <c r="AC104" s="16"/>
      <c r="AD104"/>
      <c r="AE104"/>
      <c r="AF104"/>
      <c r="AG104"/>
      <c r="AH104"/>
      <c r="AI104"/>
      <c r="AJ104"/>
    </row>
    <row r="105" spans="1:137" s="5" customFormat="1" ht="57">
      <c r="A105" s="17" t="s">
        <v>218</v>
      </c>
      <c r="B105" s="17" t="s">
        <v>389</v>
      </c>
      <c r="C105" s="18" t="s">
        <v>390</v>
      </c>
      <c r="D105" s="18" t="s">
        <v>1950</v>
      </c>
      <c r="E105" s="17">
        <v>892</v>
      </c>
      <c r="F105" s="17" t="s">
        <v>275</v>
      </c>
      <c r="G105" s="19" t="s">
        <v>276</v>
      </c>
      <c r="H105" s="17" t="s">
        <v>277</v>
      </c>
      <c r="I105" s="17" t="s">
        <v>104</v>
      </c>
      <c r="J105" s="19" t="s">
        <v>105</v>
      </c>
      <c r="K105" s="19" t="s">
        <v>126</v>
      </c>
      <c r="L105" s="19" t="s">
        <v>127</v>
      </c>
      <c r="M105" s="17" t="s">
        <v>108</v>
      </c>
      <c r="N105" s="17"/>
      <c r="O105" s="17"/>
      <c r="P105" s="88">
        <v>5.0329999999999995</v>
      </c>
      <c r="Q105" s="88">
        <v>1.8149999999999999</v>
      </c>
      <c r="R105" s="17">
        <v>0</v>
      </c>
      <c r="S105" s="66">
        <v>970.91806360362636</v>
      </c>
      <c r="T105" s="19" t="s">
        <v>3245</v>
      </c>
      <c r="U105" s="21">
        <v>0.94299999999999995</v>
      </c>
      <c r="V105" s="86">
        <v>29.1</v>
      </c>
      <c r="W105" s="81" t="s">
        <v>700</v>
      </c>
      <c r="X105" s="16"/>
      <c r="Y105" s="16"/>
      <c r="Z105" s="16"/>
      <c r="AA105" s="16"/>
      <c r="AB105" s="16"/>
      <c r="AC105" s="16"/>
      <c r="AD105"/>
      <c r="AE105"/>
      <c r="AF105"/>
      <c r="AG105"/>
      <c r="AH105"/>
      <c r="AI105"/>
      <c r="AJ105"/>
    </row>
    <row r="106" spans="1:137" s="5" customFormat="1" ht="57">
      <c r="A106" s="17" t="s">
        <v>218</v>
      </c>
      <c r="B106" s="17" t="s">
        <v>389</v>
      </c>
      <c r="C106" s="18" t="s">
        <v>390</v>
      </c>
      <c r="D106" s="18" t="s">
        <v>1950</v>
      </c>
      <c r="E106" s="17">
        <v>892</v>
      </c>
      <c r="F106" s="17" t="s">
        <v>275</v>
      </c>
      <c r="G106" s="19" t="s">
        <v>276</v>
      </c>
      <c r="H106" s="17" t="s">
        <v>277</v>
      </c>
      <c r="I106" s="17" t="s">
        <v>104</v>
      </c>
      <c r="J106" s="19" t="s">
        <v>105</v>
      </c>
      <c r="K106" s="19" t="s">
        <v>126</v>
      </c>
      <c r="L106" s="19" t="s">
        <v>127</v>
      </c>
      <c r="M106" s="17" t="s">
        <v>108</v>
      </c>
      <c r="N106" s="17"/>
      <c r="O106" s="17"/>
      <c r="P106" s="88">
        <v>4.6989999999999998</v>
      </c>
      <c r="Q106" s="88">
        <v>1.8969999999999998</v>
      </c>
      <c r="R106" s="17">
        <v>0</v>
      </c>
      <c r="S106" s="66">
        <v>933.07851193043143</v>
      </c>
      <c r="T106" s="19" t="s">
        <v>3245</v>
      </c>
      <c r="U106" s="21">
        <v>0.94299999999999995</v>
      </c>
      <c r="V106" s="86">
        <v>29.1</v>
      </c>
      <c r="W106" s="81" t="s">
        <v>700</v>
      </c>
      <c r="X106" s="16"/>
      <c r="Y106" s="16"/>
      <c r="Z106" s="16"/>
      <c r="AA106" s="16"/>
      <c r="AB106" s="16"/>
      <c r="AC106" s="16"/>
      <c r="AD106"/>
      <c r="AE106"/>
      <c r="AF106"/>
      <c r="AG106"/>
      <c r="AH106"/>
      <c r="AI106"/>
      <c r="AJ106"/>
    </row>
    <row r="107" spans="1:137" s="5" customFormat="1" ht="57">
      <c r="A107" s="17" t="s">
        <v>218</v>
      </c>
      <c r="B107" s="17" t="s">
        <v>389</v>
      </c>
      <c r="C107" s="18" t="s">
        <v>390</v>
      </c>
      <c r="D107" s="18" t="s">
        <v>1950</v>
      </c>
      <c r="E107" s="17">
        <v>892</v>
      </c>
      <c r="F107" s="17" t="s">
        <v>275</v>
      </c>
      <c r="G107" s="19" t="s">
        <v>276</v>
      </c>
      <c r="H107" s="17" t="s">
        <v>277</v>
      </c>
      <c r="I107" s="17" t="s">
        <v>104</v>
      </c>
      <c r="J107" s="19" t="s">
        <v>105</v>
      </c>
      <c r="K107" s="19" t="s">
        <v>126</v>
      </c>
      <c r="L107" s="19" t="s">
        <v>127</v>
      </c>
      <c r="M107" s="17" t="s">
        <v>108</v>
      </c>
      <c r="N107" s="17"/>
      <c r="O107" s="17"/>
      <c r="P107" s="88">
        <v>4.5220000000000002</v>
      </c>
      <c r="Q107" s="88">
        <v>1.9430000000000001</v>
      </c>
      <c r="R107" s="17">
        <v>0</v>
      </c>
      <c r="S107" s="66">
        <v>911.45798578375536</v>
      </c>
      <c r="T107" s="19" t="s">
        <v>3245</v>
      </c>
      <c r="U107" s="21">
        <v>0.94299999999999995</v>
      </c>
      <c r="V107" s="86">
        <v>29.1</v>
      </c>
      <c r="W107" s="81" t="s">
        <v>700</v>
      </c>
      <c r="X107" s="16"/>
      <c r="Y107" s="16"/>
      <c r="Z107" s="16"/>
      <c r="AA107" s="16"/>
      <c r="AB107" s="16"/>
      <c r="AC107" s="16"/>
      <c r="AD107"/>
      <c r="AE107"/>
      <c r="AF107"/>
      <c r="AG107"/>
      <c r="AH107"/>
      <c r="AI107"/>
      <c r="AJ107"/>
    </row>
    <row r="108" spans="1:137" s="5" customFormat="1" ht="57">
      <c r="A108" s="17" t="s">
        <v>218</v>
      </c>
      <c r="B108" s="17" t="s">
        <v>389</v>
      </c>
      <c r="C108" s="18" t="s">
        <v>390</v>
      </c>
      <c r="D108" s="18" t="s">
        <v>1950</v>
      </c>
      <c r="E108" s="17">
        <v>892</v>
      </c>
      <c r="F108" s="17" t="s">
        <v>275</v>
      </c>
      <c r="G108" s="19" t="s">
        <v>276</v>
      </c>
      <c r="H108" s="17" t="s">
        <v>277</v>
      </c>
      <c r="I108" s="17" t="s">
        <v>104</v>
      </c>
      <c r="J108" s="19" t="s">
        <v>105</v>
      </c>
      <c r="K108" s="19" t="s">
        <v>126</v>
      </c>
      <c r="L108" s="19" t="s">
        <v>127</v>
      </c>
      <c r="M108" s="17" t="s">
        <v>108</v>
      </c>
      <c r="N108" s="17"/>
      <c r="O108" s="17"/>
      <c r="P108" s="88">
        <v>4.4870000000000001</v>
      </c>
      <c r="Q108" s="88">
        <v>1.8530000000000002</v>
      </c>
      <c r="R108" s="17">
        <v>0</v>
      </c>
      <c r="S108" s="66">
        <v>833.30950948451982</v>
      </c>
      <c r="T108" s="19" t="s">
        <v>3245</v>
      </c>
      <c r="U108" s="21">
        <v>0.94299999999999995</v>
      </c>
      <c r="V108" s="86">
        <v>29.1</v>
      </c>
      <c r="W108" s="81" t="s">
        <v>700</v>
      </c>
      <c r="X108" s="16"/>
      <c r="Y108" s="16"/>
      <c r="Z108" s="16"/>
      <c r="AA108" s="16"/>
      <c r="AB108" s="16"/>
      <c r="AC108" s="16"/>
      <c r="AD108"/>
      <c r="AE108"/>
      <c r="AF108"/>
      <c r="AG108"/>
      <c r="AH108"/>
      <c r="AI108"/>
      <c r="AJ108"/>
    </row>
    <row r="109" spans="1:137" s="5" customFormat="1" ht="57">
      <c r="A109" s="17" t="s">
        <v>218</v>
      </c>
      <c r="B109" s="17" t="s">
        <v>389</v>
      </c>
      <c r="C109" s="18" t="s">
        <v>390</v>
      </c>
      <c r="D109" s="18" t="s">
        <v>1950</v>
      </c>
      <c r="E109" s="17">
        <v>892</v>
      </c>
      <c r="F109" s="17" t="s">
        <v>690</v>
      </c>
      <c r="G109" s="19" t="s">
        <v>276</v>
      </c>
      <c r="H109" s="17" t="s">
        <v>277</v>
      </c>
      <c r="I109" s="17" t="s">
        <v>104</v>
      </c>
      <c r="J109" s="19" t="s">
        <v>105</v>
      </c>
      <c r="K109" s="19" t="s">
        <v>126</v>
      </c>
      <c r="L109" s="19" t="s">
        <v>127</v>
      </c>
      <c r="M109" s="17" t="s">
        <v>114</v>
      </c>
      <c r="N109" s="17"/>
      <c r="O109" s="17"/>
      <c r="P109" s="88">
        <v>4.6459999999999999</v>
      </c>
      <c r="Q109" s="88">
        <v>1.919</v>
      </c>
      <c r="R109" s="17">
        <v>0</v>
      </c>
      <c r="S109" s="66">
        <v>933.3625871075609</v>
      </c>
      <c r="T109" s="19" t="s">
        <v>3245</v>
      </c>
      <c r="U109" s="21">
        <v>0.94299999999999995</v>
      </c>
      <c r="V109" s="86">
        <v>29.1</v>
      </c>
      <c r="W109" s="81" t="s">
        <v>700</v>
      </c>
      <c r="X109" s="16"/>
      <c r="Y109" s="16"/>
      <c r="Z109" s="16"/>
      <c r="AA109" s="16"/>
      <c r="AB109" s="16"/>
      <c r="AC109" s="16"/>
      <c r="AD109"/>
      <c r="AE109"/>
      <c r="AF109"/>
      <c r="AG109"/>
      <c r="AH109"/>
      <c r="AI109"/>
      <c r="AJ109"/>
    </row>
    <row r="110" spans="1:137" s="5" customFormat="1" ht="57">
      <c r="A110" s="17" t="s">
        <v>218</v>
      </c>
      <c r="B110" s="17" t="s">
        <v>389</v>
      </c>
      <c r="C110" s="18" t="s">
        <v>390</v>
      </c>
      <c r="D110" s="18" t="s">
        <v>1950</v>
      </c>
      <c r="E110" s="17">
        <v>892</v>
      </c>
      <c r="F110" s="17" t="s">
        <v>690</v>
      </c>
      <c r="G110" s="19" t="s">
        <v>276</v>
      </c>
      <c r="H110" s="17" t="s">
        <v>277</v>
      </c>
      <c r="I110" s="17" t="s">
        <v>104</v>
      </c>
      <c r="J110" s="19" t="s">
        <v>105</v>
      </c>
      <c r="K110" s="19" t="s">
        <v>126</v>
      </c>
      <c r="L110" s="19" t="s">
        <v>127</v>
      </c>
      <c r="M110" s="17" t="s">
        <v>108</v>
      </c>
      <c r="N110" s="17"/>
      <c r="O110" s="17"/>
      <c r="P110" s="88">
        <v>4.38</v>
      </c>
      <c r="Q110" s="88">
        <v>1.56</v>
      </c>
      <c r="R110" s="17">
        <v>0</v>
      </c>
      <c r="S110" s="66">
        <v>605.88235274503427</v>
      </c>
      <c r="T110" s="19" t="s">
        <v>3245</v>
      </c>
      <c r="U110" s="21">
        <v>0.94299999999999995</v>
      </c>
      <c r="V110" s="86">
        <v>29.1</v>
      </c>
      <c r="W110" s="81" t="s">
        <v>700</v>
      </c>
      <c r="X110" s="16"/>
      <c r="Y110" s="16"/>
      <c r="Z110" s="16"/>
      <c r="AA110" s="16"/>
      <c r="AB110" s="16"/>
      <c r="AC110" s="16"/>
      <c r="AD110"/>
      <c r="AE110"/>
      <c r="AF110"/>
      <c r="AG110"/>
      <c r="AH110"/>
      <c r="AI110"/>
      <c r="AJ110"/>
    </row>
    <row r="111" spans="1:137" s="5" customFormat="1" ht="57">
      <c r="A111" s="17" t="s">
        <v>218</v>
      </c>
      <c r="B111" s="17" t="s">
        <v>389</v>
      </c>
      <c r="C111" s="18" t="s">
        <v>390</v>
      </c>
      <c r="D111" s="18" t="s">
        <v>1950</v>
      </c>
      <c r="E111" s="17">
        <v>892</v>
      </c>
      <c r="F111" s="17" t="s">
        <v>275</v>
      </c>
      <c r="G111" s="19" t="s">
        <v>276</v>
      </c>
      <c r="H111" s="17" t="s">
        <v>277</v>
      </c>
      <c r="I111" s="17" t="s">
        <v>104</v>
      </c>
      <c r="J111" s="19" t="s">
        <v>105</v>
      </c>
      <c r="K111" s="19" t="s">
        <v>229</v>
      </c>
      <c r="L111" s="19" t="s">
        <v>230</v>
      </c>
      <c r="M111" s="17" t="s">
        <v>108</v>
      </c>
      <c r="N111" s="17"/>
      <c r="O111" s="17"/>
      <c r="P111" s="88">
        <v>2.2640000000000002</v>
      </c>
      <c r="Q111" s="88">
        <v>1.42</v>
      </c>
      <c r="R111" s="17">
        <v>0</v>
      </c>
      <c r="S111" s="66">
        <v>1463.0658360337943</v>
      </c>
      <c r="T111" s="19" t="s">
        <v>3278</v>
      </c>
      <c r="U111" s="21">
        <v>0.66200000000000003</v>
      </c>
      <c r="V111" s="86">
        <v>79.7</v>
      </c>
      <c r="W111" s="81" t="s">
        <v>700</v>
      </c>
      <c r="X111" s="16"/>
      <c r="Y111" s="16"/>
      <c r="Z111" s="16"/>
      <c r="AA111" s="16"/>
      <c r="AB111" s="16"/>
      <c r="AC111" s="16"/>
      <c r="AD111"/>
      <c r="AE111"/>
      <c r="AF111"/>
      <c r="AG111"/>
      <c r="AH111"/>
      <c r="AI111"/>
      <c r="AJ111"/>
    </row>
    <row r="112" spans="1:137" s="5" customFormat="1" ht="57">
      <c r="A112" s="17" t="s">
        <v>218</v>
      </c>
      <c r="B112" s="17" t="s">
        <v>389</v>
      </c>
      <c r="C112" s="18" t="s">
        <v>390</v>
      </c>
      <c r="D112" s="18" t="s">
        <v>1950</v>
      </c>
      <c r="E112" s="17">
        <v>892</v>
      </c>
      <c r="F112" s="17" t="s">
        <v>275</v>
      </c>
      <c r="G112" s="19" t="s">
        <v>276</v>
      </c>
      <c r="H112" s="17" t="s">
        <v>277</v>
      </c>
      <c r="I112" s="17" t="s">
        <v>104</v>
      </c>
      <c r="J112" s="19" t="s">
        <v>105</v>
      </c>
      <c r="K112" s="19" t="s">
        <v>233</v>
      </c>
      <c r="L112" s="19" t="s">
        <v>234</v>
      </c>
      <c r="M112" s="17" t="s">
        <v>108</v>
      </c>
      <c r="N112" s="17"/>
      <c r="O112" s="17"/>
      <c r="P112" s="88">
        <v>2.4279999999999999</v>
      </c>
      <c r="Q112" s="88">
        <v>1.5609999999999999</v>
      </c>
      <c r="R112" s="17">
        <v>0</v>
      </c>
      <c r="S112" s="66">
        <v>887.40743491582384</v>
      </c>
      <c r="T112" s="19" t="s">
        <v>3279</v>
      </c>
      <c r="U112" s="21">
        <v>0.751</v>
      </c>
      <c r="V112" s="86">
        <v>67.3</v>
      </c>
      <c r="W112" s="81" t="s">
        <v>700</v>
      </c>
      <c r="X112" s="16"/>
      <c r="Y112" s="16"/>
      <c r="Z112" s="16"/>
      <c r="AA112" s="16"/>
      <c r="AB112" s="16"/>
      <c r="AC112" s="16"/>
      <c r="AD112"/>
      <c r="AE112"/>
      <c r="AF112"/>
      <c r="AG112"/>
      <c r="AH112"/>
      <c r="AI112"/>
      <c r="AJ112"/>
    </row>
    <row r="113" spans="1:137" s="32" customFormat="1" ht="76">
      <c r="A113" s="17" t="s">
        <v>218</v>
      </c>
      <c r="B113" s="17" t="s">
        <v>389</v>
      </c>
      <c r="C113" s="18" t="s">
        <v>390</v>
      </c>
      <c r="D113" s="18" t="s">
        <v>1950</v>
      </c>
      <c r="E113" s="17">
        <v>892</v>
      </c>
      <c r="F113" s="17" t="s">
        <v>275</v>
      </c>
      <c r="G113" s="19" t="s">
        <v>276</v>
      </c>
      <c r="H113" s="17" t="s">
        <v>277</v>
      </c>
      <c r="I113" s="17" t="s">
        <v>104</v>
      </c>
      <c r="J113" s="19" t="s">
        <v>105</v>
      </c>
      <c r="K113" s="19" t="s">
        <v>3280</v>
      </c>
      <c r="L113" s="19" t="s">
        <v>3281</v>
      </c>
      <c r="M113" s="17"/>
      <c r="N113" s="17"/>
      <c r="O113" s="17"/>
      <c r="P113" s="88">
        <v>3.4369999999999998</v>
      </c>
      <c r="Q113" s="88">
        <v>2.0670000000000002</v>
      </c>
      <c r="R113" s="17">
        <v>0</v>
      </c>
      <c r="S113" s="66">
        <v>914.76473141191218</v>
      </c>
      <c r="T113" s="19" t="s">
        <v>3282</v>
      </c>
      <c r="U113" s="21" t="s">
        <v>3283</v>
      </c>
      <c r="V113" s="86" t="s">
        <v>3284</v>
      </c>
      <c r="W113" s="81" t="s">
        <v>726</v>
      </c>
      <c r="X113" s="16"/>
      <c r="Y113" s="16"/>
      <c r="Z113" s="16"/>
      <c r="AA113" s="16"/>
      <c r="AB113" s="16"/>
      <c r="AC113" s="16"/>
      <c r="AD113"/>
      <c r="AE113"/>
      <c r="AF113"/>
      <c r="AG113"/>
      <c r="AH113"/>
      <c r="AI113"/>
      <c r="AJ113"/>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row>
    <row r="114" spans="1:137" s="32" customFormat="1" ht="76">
      <c r="A114" s="17" t="s">
        <v>218</v>
      </c>
      <c r="B114" s="17" t="s">
        <v>389</v>
      </c>
      <c r="C114" s="18" t="s">
        <v>390</v>
      </c>
      <c r="D114" s="18" t="s">
        <v>1950</v>
      </c>
      <c r="E114" s="17">
        <v>892</v>
      </c>
      <c r="F114" s="17" t="s">
        <v>275</v>
      </c>
      <c r="G114" s="19" t="s">
        <v>276</v>
      </c>
      <c r="H114" s="17" t="s">
        <v>277</v>
      </c>
      <c r="I114" s="17" t="s">
        <v>104</v>
      </c>
      <c r="J114" s="19" t="s">
        <v>105</v>
      </c>
      <c r="K114" s="19" t="s">
        <v>3280</v>
      </c>
      <c r="L114" s="19" t="s">
        <v>3281</v>
      </c>
      <c r="M114" s="17"/>
      <c r="N114" s="17"/>
      <c r="O114" s="17"/>
      <c r="P114" s="88">
        <v>4</v>
      </c>
      <c r="Q114" s="88">
        <v>1.6</v>
      </c>
      <c r="R114" s="17">
        <v>0</v>
      </c>
      <c r="S114" s="66">
        <v>768.13062868761756</v>
      </c>
      <c r="T114" s="19" t="s">
        <v>3282</v>
      </c>
      <c r="U114" s="21" t="s">
        <v>3283</v>
      </c>
      <c r="V114" s="86" t="s">
        <v>3284</v>
      </c>
      <c r="W114" s="81" t="s">
        <v>726</v>
      </c>
      <c r="X114" s="16"/>
      <c r="Y114" s="16"/>
      <c r="Z114" s="16"/>
      <c r="AA114" s="16"/>
      <c r="AB114" s="16"/>
      <c r="AC114" s="16"/>
      <c r="AD114"/>
      <c r="AE114"/>
      <c r="AF114"/>
      <c r="AG114"/>
      <c r="AH114"/>
      <c r="AI114"/>
      <c r="AJ114"/>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row>
    <row r="115" spans="1:137" s="32" customFormat="1" ht="76">
      <c r="A115" s="17" t="s">
        <v>218</v>
      </c>
      <c r="B115" s="17" t="s">
        <v>389</v>
      </c>
      <c r="C115" s="18" t="s">
        <v>390</v>
      </c>
      <c r="D115" s="18" t="s">
        <v>1950</v>
      </c>
      <c r="E115" s="17">
        <v>892</v>
      </c>
      <c r="F115" s="17" t="s">
        <v>275</v>
      </c>
      <c r="G115" s="19" t="s">
        <v>276</v>
      </c>
      <c r="H115" s="17" t="s">
        <v>277</v>
      </c>
      <c r="I115" s="17" t="s">
        <v>104</v>
      </c>
      <c r="J115" s="19" t="s">
        <v>105</v>
      </c>
      <c r="K115" s="19" t="s">
        <v>3280</v>
      </c>
      <c r="L115" s="19" t="s">
        <v>3281</v>
      </c>
      <c r="M115" s="17"/>
      <c r="N115" s="17"/>
      <c r="O115" s="17"/>
      <c r="P115" s="88">
        <v>3.45</v>
      </c>
      <c r="Q115" s="88">
        <v>1.59</v>
      </c>
      <c r="R115" s="17">
        <v>0</v>
      </c>
      <c r="S115" s="66">
        <v>593.48543043772156</v>
      </c>
      <c r="T115" s="19" t="s">
        <v>3282</v>
      </c>
      <c r="U115" s="21" t="s">
        <v>3283</v>
      </c>
      <c r="V115" s="86" t="s">
        <v>3284</v>
      </c>
      <c r="W115" s="81" t="s">
        <v>726</v>
      </c>
      <c r="X115" s="16"/>
      <c r="Y115" s="16"/>
      <c r="Z115" s="16"/>
      <c r="AA115" s="16"/>
      <c r="AB115" s="16"/>
      <c r="AC115" s="16"/>
      <c r="AD115"/>
      <c r="AE115"/>
      <c r="AF115"/>
      <c r="AG115"/>
      <c r="AH115"/>
      <c r="AI115"/>
      <c r="AJ11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row>
    <row r="116" spans="1:137" s="32" customFormat="1" ht="76">
      <c r="A116" s="17" t="s">
        <v>218</v>
      </c>
      <c r="B116" s="17" t="s">
        <v>389</v>
      </c>
      <c r="C116" s="18" t="s">
        <v>390</v>
      </c>
      <c r="D116" s="18" t="s">
        <v>1950</v>
      </c>
      <c r="E116" s="17">
        <v>892</v>
      </c>
      <c r="F116" s="17" t="s">
        <v>275</v>
      </c>
      <c r="G116" s="19" t="s">
        <v>276</v>
      </c>
      <c r="H116" s="17" t="s">
        <v>277</v>
      </c>
      <c r="I116" s="17" t="s">
        <v>104</v>
      </c>
      <c r="J116" s="19" t="s">
        <v>105</v>
      </c>
      <c r="K116" s="19" t="s">
        <v>3280</v>
      </c>
      <c r="L116" s="19" t="s">
        <v>3281</v>
      </c>
      <c r="M116" s="17"/>
      <c r="N116" s="17"/>
      <c r="O116" s="17"/>
      <c r="P116" s="88">
        <v>3.5049999999999999</v>
      </c>
      <c r="Q116" s="88">
        <v>1.544</v>
      </c>
      <c r="R116" s="17">
        <v>0</v>
      </c>
      <c r="S116" s="66">
        <v>580.19480104778631</v>
      </c>
      <c r="T116" s="19" t="s">
        <v>3282</v>
      </c>
      <c r="U116" s="21" t="s">
        <v>3283</v>
      </c>
      <c r="V116" s="86" t="s">
        <v>3284</v>
      </c>
      <c r="W116" s="81" t="s">
        <v>726</v>
      </c>
      <c r="X116" s="16"/>
      <c r="Y116" s="16"/>
      <c r="Z116" s="16"/>
      <c r="AA116" s="16"/>
      <c r="AB116" s="16"/>
      <c r="AC116" s="16"/>
      <c r="AD116"/>
      <c r="AE116"/>
      <c r="AF116"/>
      <c r="AG116"/>
      <c r="AH116"/>
      <c r="AI116"/>
      <c r="AJ116"/>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row>
    <row r="117" spans="1:137" s="32" customFormat="1" ht="76">
      <c r="A117" s="17" t="s">
        <v>218</v>
      </c>
      <c r="B117" s="17" t="s">
        <v>389</v>
      </c>
      <c r="C117" s="18" t="s">
        <v>390</v>
      </c>
      <c r="D117" s="18" t="s">
        <v>1950</v>
      </c>
      <c r="E117" s="17">
        <v>892</v>
      </c>
      <c r="F117" s="17" t="s">
        <v>275</v>
      </c>
      <c r="G117" s="19" t="s">
        <v>276</v>
      </c>
      <c r="H117" s="17" t="s">
        <v>277</v>
      </c>
      <c r="I117" s="17" t="s">
        <v>104</v>
      </c>
      <c r="J117" s="19" t="s">
        <v>105</v>
      </c>
      <c r="K117" s="19" t="s">
        <v>3280</v>
      </c>
      <c r="L117" s="19" t="s">
        <v>3281</v>
      </c>
      <c r="M117" s="17"/>
      <c r="N117" s="17"/>
      <c r="O117" s="17"/>
      <c r="P117" s="88">
        <v>3.3020000000000005</v>
      </c>
      <c r="Q117" s="88">
        <v>1.575</v>
      </c>
      <c r="R117" s="17">
        <v>0</v>
      </c>
      <c r="S117" s="66">
        <v>542.84718094754908</v>
      </c>
      <c r="T117" s="19" t="s">
        <v>3282</v>
      </c>
      <c r="U117" s="21" t="s">
        <v>3283</v>
      </c>
      <c r="V117" s="86" t="s">
        <v>3284</v>
      </c>
      <c r="W117" s="81" t="s">
        <v>726</v>
      </c>
      <c r="X117" s="16"/>
      <c r="Y117" s="16"/>
      <c r="Z117" s="16"/>
      <c r="AA117" s="16"/>
      <c r="AB117" s="16"/>
      <c r="AC117" s="16"/>
      <c r="AD117"/>
      <c r="AE117"/>
      <c r="AF117"/>
      <c r="AG117"/>
      <c r="AH117"/>
      <c r="AI117"/>
      <c r="AJ117"/>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row>
    <row r="118" spans="1:137" s="32" customFormat="1" ht="57">
      <c r="A118" s="17" t="s">
        <v>218</v>
      </c>
      <c r="B118" s="17" t="s">
        <v>389</v>
      </c>
      <c r="C118" s="18" t="s">
        <v>390</v>
      </c>
      <c r="D118" s="18" t="s">
        <v>1950</v>
      </c>
      <c r="E118" s="17">
        <v>892</v>
      </c>
      <c r="F118" s="17" t="s">
        <v>275</v>
      </c>
      <c r="G118" s="19" t="s">
        <v>276</v>
      </c>
      <c r="H118" s="17" t="s">
        <v>277</v>
      </c>
      <c r="I118" s="17" t="s">
        <v>104</v>
      </c>
      <c r="J118" s="19" t="s">
        <v>393</v>
      </c>
      <c r="K118" s="19" t="s">
        <v>3255</v>
      </c>
      <c r="L118" s="17" t="s">
        <v>3253</v>
      </c>
      <c r="M118" s="17" t="s">
        <v>108</v>
      </c>
      <c r="N118" s="16"/>
      <c r="O118" s="16"/>
      <c r="P118" s="89">
        <v>48</v>
      </c>
      <c r="Q118" s="89"/>
      <c r="R118" s="16"/>
      <c r="S118" s="66">
        <f t="shared" ref="S118:S123" si="4">10^(((LOG(P118))*3.9842)+-3.8078)</f>
        <v>777.32267752998291</v>
      </c>
      <c r="T118" s="17" t="s">
        <v>3247</v>
      </c>
      <c r="U118" s="17">
        <v>0.84499999999999997</v>
      </c>
      <c r="V118" s="17">
        <v>46</v>
      </c>
      <c r="W118" s="81" t="s">
        <v>694</v>
      </c>
      <c r="X118" s="16"/>
      <c r="Y118" s="16"/>
      <c r="Z118" s="16"/>
      <c r="AA118" s="16"/>
      <c r="AB118" s="16"/>
      <c r="AC118" s="16"/>
      <c r="AD118" s="85"/>
      <c r="AE118" s="85"/>
      <c r="AF118" s="85"/>
      <c r="AG118" s="85"/>
      <c r="AH118" s="85"/>
      <c r="AI118" s="85"/>
      <c r="AJ118" s="85"/>
    </row>
    <row r="119" spans="1:137" s="32" customFormat="1" ht="57">
      <c r="A119" s="17" t="s">
        <v>218</v>
      </c>
      <c r="B119" s="17" t="s">
        <v>389</v>
      </c>
      <c r="C119" s="18" t="s">
        <v>390</v>
      </c>
      <c r="D119" s="18" t="s">
        <v>1950</v>
      </c>
      <c r="E119" s="17">
        <v>892</v>
      </c>
      <c r="F119" s="17" t="s">
        <v>690</v>
      </c>
      <c r="G119" s="19" t="s">
        <v>276</v>
      </c>
      <c r="H119" s="17" t="s">
        <v>277</v>
      </c>
      <c r="I119" s="17" t="s">
        <v>104</v>
      </c>
      <c r="J119" s="19" t="s">
        <v>393</v>
      </c>
      <c r="K119" s="19" t="s">
        <v>3255</v>
      </c>
      <c r="L119" s="17" t="s">
        <v>3253</v>
      </c>
      <c r="M119" s="17" t="s">
        <v>114</v>
      </c>
      <c r="N119" s="16"/>
      <c r="O119" s="16"/>
      <c r="P119" s="89">
        <v>39.700000000000003</v>
      </c>
      <c r="Q119" s="89"/>
      <c r="R119" s="16"/>
      <c r="S119" s="66">
        <f t="shared" si="4"/>
        <v>364.83889949549081</v>
      </c>
      <c r="T119" s="17" t="s">
        <v>3247</v>
      </c>
      <c r="U119" s="17">
        <v>0.84499999999999997</v>
      </c>
      <c r="V119" s="17">
        <v>46</v>
      </c>
      <c r="W119" s="81" t="s">
        <v>694</v>
      </c>
      <c r="X119" s="16"/>
      <c r="Y119" s="16"/>
      <c r="Z119" s="16"/>
      <c r="AA119" s="16"/>
      <c r="AB119" s="16"/>
      <c r="AC119" s="16"/>
      <c r="AD119" s="85"/>
      <c r="AE119" s="85"/>
      <c r="AF119" s="85"/>
      <c r="AG119" s="85"/>
      <c r="AH119" s="85"/>
      <c r="AI119" s="85"/>
      <c r="AJ119" s="85"/>
    </row>
    <row r="120" spans="1:137" s="32" customFormat="1" ht="57">
      <c r="A120" s="17" t="s">
        <v>218</v>
      </c>
      <c r="B120" s="17" t="s">
        <v>389</v>
      </c>
      <c r="C120" s="18" t="s">
        <v>390</v>
      </c>
      <c r="D120" s="18" t="s">
        <v>1950</v>
      </c>
      <c r="E120" s="17">
        <v>892</v>
      </c>
      <c r="F120" s="17" t="s">
        <v>690</v>
      </c>
      <c r="G120" s="19" t="s">
        <v>276</v>
      </c>
      <c r="H120" s="17" t="s">
        <v>277</v>
      </c>
      <c r="I120" s="17" t="s">
        <v>104</v>
      </c>
      <c r="J120" s="19" t="s">
        <v>393</v>
      </c>
      <c r="K120" s="19" t="s">
        <v>3255</v>
      </c>
      <c r="L120" s="17" t="s">
        <v>3253</v>
      </c>
      <c r="M120" s="17" t="s">
        <v>114</v>
      </c>
      <c r="N120" s="16"/>
      <c r="O120" s="16"/>
      <c r="P120" s="89">
        <v>38.700000000000003</v>
      </c>
      <c r="Q120" s="89"/>
      <c r="R120" s="16"/>
      <c r="S120" s="66">
        <f t="shared" si="4"/>
        <v>329.5778579930676</v>
      </c>
      <c r="T120" s="17" t="s">
        <v>3247</v>
      </c>
      <c r="U120" s="17">
        <v>0.84499999999999997</v>
      </c>
      <c r="V120" s="17">
        <v>46</v>
      </c>
      <c r="W120" s="81" t="s">
        <v>694</v>
      </c>
      <c r="X120" s="16"/>
      <c r="Y120" s="16"/>
      <c r="Z120" s="16"/>
      <c r="AA120" s="16"/>
      <c r="AB120" s="16"/>
      <c r="AC120" s="16"/>
      <c r="AD120" s="85"/>
      <c r="AE120" s="85"/>
      <c r="AF120" s="85"/>
      <c r="AG120" s="85"/>
      <c r="AH120" s="85"/>
      <c r="AI120" s="85"/>
      <c r="AJ120" s="85"/>
    </row>
    <row r="121" spans="1:137" s="32" customFormat="1" ht="57">
      <c r="A121" s="17" t="s">
        <v>218</v>
      </c>
      <c r="B121" s="17" t="s">
        <v>389</v>
      </c>
      <c r="C121" s="18" t="s">
        <v>390</v>
      </c>
      <c r="D121" s="18" t="s">
        <v>1950</v>
      </c>
      <c r="E121" s="17">
        <v>892</v>
      </c>
      <c r="F121" s="17" t="s">
        <v>690</v>
      </c>
      <c r="G121" s="19" t="s">
        <v>276</v>
      </c>
      <c r="H121" s="17" t="s">
        <v>277</v>
      </c>
      <c r="I121" s="17" t="s">
        <v>104</v>
      </c>
      <c r="J121" s="19" t="s">
        <v>393</v>
      </c>
      <c r="K121" s="19" t="s">
        <v>3255</v>
      </c>
      <c r="L121" s="17" t="s">
        <v>3253</v>
      </c>
      <c r="M121" s="17" t="s">
        <v>108</v>
      </c>
      <c r="N121" s="16"/>
      <c r="O121" s="16"/>
      <c r="P121" s="89">
        <v>38.5</v>
      </c>
      <c r="Q121" s="89"/>
      <c r="R121" s="16"/>
      <c r="S121" s="66">
        <f t="shared" si="4"/>
        <v>322.84393977086216</v>
      </c>
      <c r="T121" s="17" t="s">
        <v>3247</v>
      </c>
      <c r="U121" s="17">
        <v>0.84499999999999997</v>
      </c>
      <c r="V121" s="17">
        <v>46</v>
      </c>
      <c r="W121" s="81" t="s">
        <v>694</v>
      </c>
      <c r="X121" s="16"/>
      <c r="Y121" s="16"/>
      <c r="Z121" s="16"/>
      <c r="AA121" s="16"/>
      <c r="AB121" s="16"/>
      <c r="AC121" s="16"/>
      <c r="AD121" s="85"/>
      <c r="AE121" s="85"/>
      <c r="AF121" s="85"/>
      <c r="AG121" s="85"/>
      <c r="AH121" s="85"/>
      <c r="AI121" s="85"/>
      <c r="AJ121" s="85"/>
    </row>
    <row r="122" spans="1:137" s="32" customFormat="1" ht="57">
      <c r="A122" s="17" t="s">
        <v>218</v>
      </c>
      <c r="B122" s="17" t="s">
        <v>389</v>
      </c>
      <c r="C122" s="18" t="s">
        <v>390</v>
      </c>
      <c r="D122" s="18" t="s">
        <v>1950</v>
      </c>
      <c r="E122" s="17">
        <v>892</v>
      </c>
      <c r="F122" s="17" t="s">
        <v>690</v>
      </c>
      <c r="G122" s="19" t="s">
        <v>276</v>
      </c>
      <c r="H122" s="17" t="s">
        <v>277</v>
      </c>
      <c r="I122" s="17" t="s">
        <v>104</v>
      </c>
      <c r="J122" s="19" t="s">
        <v>393</v>
      </c>
      <c r="K122" s="19" t="s">
        <v>3255</v>
      </c>
      <c r="L122" s="17" t="s">
        <v>3253</v>
      </c>
      <c r="M122" s="17" t="s">
        <v>114</v>
      </c>
      <c r="N122" s="16"/>
      <c r="O122" s="16"/>
      <c r="P122" s="89">
        <v>34.4</v>
      </c>
      <c r="Q122" s="89"/>
      <c r="R122" s="16"/>
      <c r="S122" s="66">
        <f t="shared" si="4"/>
        <v>206.1370928463939</v>
      </c>
      <c r="T122" s="17" t="s">
        <v>3247</v>
      </c>
      <c r="U122" s="17">
        <v>0.84499999999999997</v>
      </c>
      <c r="V122" s="17">
        <v>46</v>
      </c>
      <c r="W122" s="81" t="s">
        <v>694</v>
      </c>
      <c r="X122" s="16"/>
      <c r="Y122" s="16"/>
      <c r="Z122" s="16"/>
      <c r="AA122" s="16"/>
      <c r="AB122" s="16"/>
      <c r="AC122" s="16"/>
      <c r="AD122" s="85"/>
      <c r="AE122" s="85"/>
      <c r="AF122" s="85"/>
      <c r="AG122" s="85"/>
      <c r="AH122" s="85"/>
      <c r="AI122" s="85"/>
      <c r="AJ122" s="85"/>
    </row>
    <row r="123" spans="1:137" s="32" customFormat="1" ht="57">
      <c r="A123" s="17" t="s">
        <v>218</v>
      </c>
      <c r="B123" s="17" t="s">
        <v>389</v>
      </c>
      <c r="C123" s="18" t="s">
        <v>390</v>
      </c>
      <c r="D123" s="18" t="s">
        <v>1950</v>
      </c>
      <c r="E123" s="17">
        <v>892</v>
      </c>
      <c r="F123" s="17" t="s">
        <v>695</v>
      </c>
      <c r="G123" s="19" t="s">
        <v>276</v>
      </c>
      <c r="H123" s="17" t="s">
        <v>277</v>
      </c>
      <c r="I123" s="17" t="s">
        <v>104</v>
      </c>
      <c r="J123" s="19" t="s">
        <v>393</v>
      </c>
      <c r="K123" s="19" t="s">
        <v>3255</v>
      </c>
      <c r="L123" s="17" t="s">
        <v>3253</v>
      </c>
      <c r="M123" s="17" t="s">
        <v>114</v>
      </c>
      <c r="N123" s="16"/>
      <c r="O123" s="16"/>
      <c r="P123" s="89">
        <v>35.200000000000003</v>
      </c>
      <c r="Q123" s="89"/>
      <c r="R123" s="16"/>
      <c r="S123" s="66">
        <f t="shared" si="4"/>
        <v>225.9099085830982</v>
      </c>
      <c r="T123" s="17" t="s">
        <v>3247</v>
      </c>
      <c r="U123" s="17">
        <v>0.84499999999999997</v>
      </c>
      <c r="V123" s="17">
        <v>46</v>
      </c>
      <c r="W123" s="81" t="s">
        <v>694</v>
      </c>
      <c r="X123" s="16"/>
      <c r="Y123" s="16"/>
      <c r="Z123" s="16"/>
      <c r="AA123" s="16"/>
      <c r="AB123" s="16"/>
      <c r="AC123" s="16"/>
      <c r="AD123" s="85"/>
      <c r="AE123" s="85"/>
      <c r="AF123" s="85"/>
      <c r="AG123" s="85"/>
      <c r="AH123" s="85"/>
      <c r="AI123" s="85"/>
      <c r="AJ123" s="85"/>
    </row>
    <row r="124" spans="1:137" s="32" customFormat="1" ht="95">
      <c r="A124" s="17" t="s">
        <v>218</v>
      </c>
      <c r="B124" s="17" t="s">
        <v>389</v>
      </c>
      <c r="C124" s="18" t="s">
        <v>390</v>
      </c>
      <c r="D124" s="18" t="s">
        <v>1950</v>
      </c>
      <c r="E124" s="17">
        <v>892</v>
      </c>
      <c r="F124" s="17">
        <v>481</v>
      </c>
      <c r="G124" s="19" t="s">
        <v>276</v>
      </c>
      <c r="H124" s="17" t="s">
        <v>277</v>
      </c>
      <c r="I124" s="17" t="s">
        <v>104</v>
      </c>
      <c r="J124" s="19" t="s">
        <v>105</v>
      </c>
      <c r="K124" s="19" t="s">
        <v>143</v>
      </c>
      <c r="L124" s="19" t="s">
        <v>1531</v>
      </c>
      <c r="M124" s="17" t="s">
        <v>114</v>
      </c>
      <c r="N124" s="17"/>
      <c r="O124" s="17"/>
      <c r="P124" s="88">
        <v>3.3159999999999998</v>
      </c>
      <c r="Q124" s="88">
        <v>2.69</v>
      </c>
      <c r="R124" s="17">
        <v>0</v>
      </c>
      <c r="S124" s="66">
        <v>845.15435650669599</v>
      </c>
      <c r="T124" s="19" t="s">
        <v>3266</v>
      </c>
      <c r="U124" s="21">
        <v>0.93100000000000005</v>
      </c>
      <c r="V124" s="86">
        <v>32.4</v>
      </c>
      <c r="W124" s="81" t="s">
        <v>3267</v>
      </c>
      <c r="X124" s="16"/>
      <c r="Y124" s="16"/>
      <c r="Z124" s="16"/>
      <c r="AA124" s="16"/>
      <c r="AB124" s="16"/>
      <c r="AC124" s="16"/>
      <c r="AD124"/>
      <c r="AE124"/>
      <c r="AF124"/>
      <c r="AG124"/>
      <c r="AH124"/>
      <c r="AI124"/>
      <c r="AJ124"/>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row>
    <row r="125" spans="1:137" s="32" customFormat="1" ht="95">
      <c r="A125" s="17" t="s">
        <v>218</v>
      </c>
      <c r="B125" s="17" t="s">
        <v>389</v>
      </c>
      <c r="C125" s="18" t="s">
        <v>390</v>
      </c>
      <c r="D125" s="18" t="s">
        <v>1950</v>
      </c>
      <c r="E125" s="17">
        <v>892</v>
      </c>
      <c r="F125" s="17">
        <v>482</v>
      </c>
      <c r="G125" s="19" t="s">
        <v>276</v>
      </c>
      <c r="H125" s="17" t="s">
        <v>277</v>
      </c>
      <c r="I125" s="17" t="s">
        <v>104</v>
      </c>
      <c r="J125" s="19" t="s">
        <v>105</v>
      </c>
      <c r="K125" s="19" t="s">
        <v>143</v>
      </c>
      <c r="L125" s="19" t="s">
        <v>1531</v>
      </c>
      <c r="M125" s="17" t="s">
        <v>114</v>
      </c>
      <c r="N125" s="17"/>
      <c r="O125" s="17"/>
      <c r="P125" s="88">
        <v>3.6049999999999995</v>
      </c>
      <c r="Q125" s="88">
        <v>2.66</v>
      </c>
      <c r="R125" s="17">
        <v>0</v>
      </c>
      <c r="S125" s="66">
        <v>958.11688633984409</v>
      </c>
      <c r="T125" s="19" t="s">
        <v>3266</v>
      </c>
      <c r="U125" s="21">
        <v>0.93100000000000005</v>
      </c>
      <c r="V125" s="86">
        <v>32.4</v>
      </c>
      <c r="W125" s="81" t="s">
        <v>3267</v>
      </c>
      <c r="X125" s="16"/>
      <c r="Y125" s="16"/>
      <c r="Z125" s="16"/>
      <c r="AA125" s="16"/>
      <c r="AB125" s="16"/>
      <c r="AC125" s="16"/>
      <c r="AD125"/>
      <c r="AE125"/>
      <c r="AF125"/>
      <c r="AG125"/>
      <c r="AH125"/>
      <c r="AI125"/>
      <c r="AJ12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row>
    <row r="126" spans="1:137" s="32" customFormat="1" ht="19">
      <c r="A126" s="17" t="s">
        <v>218</v>
      </c>
      <c r="B126" s="17" t="s">
        <v>389</v>
      </c>
      <c r="C126" s="18" t="s">
        <v>390</v>
      </c>
      <c r="D126" s="18" t="s">
        <v>1950</v>
      </c>
      <c r="E126" s="17">
        <v>1273</v>
      </c>
      <c r="F126" s="17">
        <v>1</v>
      </c>
      <c r="G126" s="19" t="s">
        <v>205</v>
      </c>
      <c r="H126" s="19" t="s">
        <v>205</v>
      </c>
      <c r="I126" s="17" t="s">
        <v>104</v>
      </c>
      <c r="J126" s="19" t="s">
        <v>105</v>
      </c>
      <c r="K126" s="19" t="s">
        <v>775</v>
      </c>
      <c r="L126" s="19" t="s">
        <v>776</v>
      </c>
      <c r="M126" s="17"/>
      <c r="N126" s="17"/>
      <c r="O126" s="17">
        <v>0</v>
      </c>
      <c r="P126" s="88">
        <v>0</v>
      </c>
      <c r="Q126" s="88">
        <v>37.200000000000003</v>
      </c>
      <c r="R126" s="17">
        <v>0</v>
      </c>
      <c r="S126" s="66"/>
      <c r="T126" s="19"/>
      <c r="U126" s="21"/>
      <c r="V126" s="86"/>
      <c r="W126" s="81"/>
      <c r="X126" s="16"/>
      <c r="Y126" s="16"/>
      <c r="Z126" s="16"/>
      <c r="AA126" s="16"/>
      <c r="AB126" s="16"/>
      <c r="AC126" s="16"/>
      <c r="AD126"/>
      <c r="AE126"/>
      <c r="AF126"/>
      <c r="AG126"/>
      <c r="AH126"/>
      <c r="AI126"/>
      <c r="AJ126"/>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row>
    <row r="127" spans="1:137" s="32" customFormat="1" ht="95">
      <c r="A127" s="17" t="s">
        <v>218</v>
      </c>
      <c r="B127" s="17" t="s">
        <v>389</v>
      </c>
      <c r="C127" s="18" t="s">
        <v>390</v>
      </c>
      <c r="D127" s="18" t="s">
        <v>1950</v>
      </c>
      <c r="E127" s="17">
        <v>31135</v>
      </c>
      <c r="F127" s="17">
        <v>55</v>
      </c>
      <c r="G127" s="19" t="s">
        <v>212</v>
      </c>
      <c r="H127" s="17" t="s">
        <v>171</v>
      </c>
      <c r="I127" s="17" t="s">
        <v>104</v>
      </c>
      <c r="J127" s="19" t="s">
        <v>105</v>
      </c>
      <c r="K127" s="19" t="s">
        <v>143</v>
      </c>
      <c r="L127" s="19" t="s">
        <v>1531</v>
      </c>
      <c r="M127" s="17" t="s">
        <v>108</v>
      </c>
      <c r="N127" s="17"/>
      <c r="O127" s="17"/>
      <c r="P127" s="88">
        <v>3.8600000000000003</v>
      </c>
      <c r="Q127" s="88">
        <v>2.63</v>
      </c>
      <c r="R127" s="17">
        <v>0</v>
      </c>
      <c r="S127" s="66">
        <v>1057.6589631434442</v>
      </c>
      <c r="T127" s="19" t="s">
        <v>3266</v>
      </c>
      <c r="U127" s="21">
        <v>0.93100000000000005</v>
      </c>
      <c r="V127" s="86">
        <v>32.4</v>
      </c>
      <c r="W127" s="81" t="s">
        <v>3267</v>
      </c>
      <c r="X127" s="16"/>
      <c r="Y127" s="16"/>
      <c r="Z127" s="16"/>
      <c r="AA127" s="16"/>
      <c r="AB127" s="16"/>
      <c r="AC127" s="16"/>
      <c r="AD127"/>
      <c r="AE127"/>
      <c r="AF127"/>
      <c r="AG127"/>
      <c r="AH127"/>
      <c r="AI127"/>
      <c r="AJ127"/>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row>
    <row r="128" spans="1:137" s="32" customFormat="1" ht="57">
      <c r="A128" s="17" t="s">
        <v>218</v>
      </c>
      <c r="B128" s="17" t="s">
        <v>389</v>
      </c>
      <c r="C128" s="18" t="s">
        <v>390</v>
      </c>
      <c r="D128" s="18" t="s">
        <v>1950</v>
      </c>
      <c r="E128" s="17">
        <v>725</v>
      </c>
      <c r="F128" s="17">
        <v>398</v>
      </c>
      <c r="G128" s="19" t="s">
        <v>701</v>
      </c>
      <c r="H128" s="17" t="s">
        <v>702</v>
      </c>
      <c r="I128" s="17" t="s">
        <v>104</v>
      </c>
      <c r="J128" s="19" t="s">
        <v>105</v>
      </c>
      <c r="K128" s="19" t="s">
        <v>155</v>
      </c>
      <c r="L128" s="19" t="s">
        <v>3285</v>
      </c>
      <c r="M128" s="17" t="s">
        <v>108</v>
      </c>
      <c r="N128" s="17"/>
      <c r="O128" s="17"/>
      <c r="P128" s="88">
        <v>2.7</v>
      </c>
      <c r="Q128" s="88">
        <v>1.94</v>
      </c>
      <c r="R128" s="17">
        <v>0</v>
      </c>
      <c r="S128" s="66">
        <v>256.29978456464886</v>
      </c>
      <c r="T128" s="19" t="s">
        <v>3286</v>
      </c>
      <c r="U128" s="21">
        <v>0.92</v>
      </c>
      <c r="V128" s="86">
        <v>41.2</v>
      </c>
      <c r="W128" s="81" t="s">
        <v>3287</v>
      </c>
      <c r="X128" s="16"/>
      <c r="Y128" s="16"/>
      <c r="Z128" s="16"/>
      <c r="AA128" s="16"/>
      <c r="AB128" s="16"/>
      <c r="AC128" s="16"/>
      <c r="AD128"/>
      <c r="AE128"/>
      <c r="AF128"/>
      <c r="AG128"/>
      <c r="AH128"/>
      <c r="AI128"/>
      <c r="AJ128"/>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row>
    <row r="129" spans="1:137" s="32" customFormat="1" ht="76">
      <c r="A129" s="17" t="s">
        <v>218</v>
      </c>
      <c r="B129" s="17" t="s">
        <v>389</v>
      </c>
      <c r="C129" s="18" t="s">
        <v>390</v>
      </c>
      <c r="D129" s="18" t="s">
        <v>3288</v>
      </c>
      <c r="E129" s="17">
        <v>937</v>
      </c>
      <c r="F129" s="17">
        <v>38</v>
      </c>
      <c r="G129" s="19" t="s">
        <v>706</v>
      </c>
      <c r="H129" s="17" t="s">
        <v>707</v>
      </c>
      <c r="I129" s="17" t="s">
        <v>104</v>
      </c>
      <c r="J129" s="19" t="s">
        <v>105</v>
      </c>
      <c r="K129" s="19" t="s">
        <v>3280</v>
      </c>
      <c r="L129" s="19" t="s">
        <v>3281</v>
      </c>
      <c r="M129" s="17"/>
      <c r="N129" s="17"/>
      <c r="O129" s="17"/>
      <c r="P129" s="88">
        <v>3.6799999999999997</v>
      </c>
      <c r="Q129" s="88">
        <v>2.3760000000000003</v>
      </c>
      <c r="R129" s="17">
        <v>0</v>
      </c>
      <c r="S129" s="66">
        <v>1294.9952243984751</v>
      </c>
      <c r="T129" s="19" t="s">
        <v>3282</v>
      </c>
      <c r="U129" s="21" t="s">
        <v>3283</v>
      </c>
      <c r="V129" s="86" t="s">
        <v>3284</v>
      </c>
      <c r="W129" s="81" t="s">
        <v>726</v>
      </c>
      <c r="X129" s="16"/>
      <c r="Y129" s="16"/>
      <c r="Z129" s="16"/>
      <c r="AA129" s="16"/>
      <c r="AB129" s="16"/>
      <c r="AC129" s="16"/>
      <c r="AD129"/>
      <c r="AE129"/>
      <c r="AF129"/>
      <c r="AG129"/>
      <c r="AH129"/>
      <c r="AI129"/>
      <c r="AJ129"/>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row>
    <row r="130" spans="1:137" s="32" customFormat="1" ht="57">
      <c r="A130" s="17" t="s">
        <v>218</v>
      </c>
      <c r="B130" s="17" t="s">
        <v>389</v>
      </c>
      <c r="C130" s="18" t="s">
        <v>390</v>
      </c>
      <c r="D130" s="18" t="s">
        <v>3288</v>
      </c>
      <c r="E130" s="17">
        <v>933</v>
      </c>
      <c r="F130" s="17">
        <v>583</v>
      </c>
      <c r="G130" s="19" t="s">
        <v>102</v>
      </c>
      <c r="H130" s="17" t="s">
        <v>103</v>
      </c>
      <c r="I130" s="17" t="s">
        <v>104</v>
      </c>
      <c r="J130" s="19" t="s">
        <v>105</v>
      </c>
      <c r="K130" s="19" t="s">
        <v>3258</v>
      </c>
      <c r="L130" s="19" t="s">
        <v>3259</v>
      </c>
      <c r="M130" s="17" t="s">
        <v>108</v>
      </c>
      <c r="N130" s="17"/>
      <c r="O130" s="17"/>
      <c r="P130" s="88">
        <v>9.0920000000000005</v>
      </c>
      <c r="Q130" s="88">
        <v>4.359</v>
      </c>
      <c r="R130" s="17">
        <v>0</v>
      </c>
      <c r="S130" s="66">
        <v>1549.3160321163434</v>
      </c>
      <c r="T130" s="19" t="s">
        <v>3260</v>
      </c>
      <c r="U130" s="21">
        <v>0.94199999999999995</v>
      </c>
      <c r="V130" s="86">
        <v>22</v>
      </c>
      <c r="W130" s="81" t="s">
        <v>694</v>
      </c>
      <c r="X130" s="16"/>
      <c r="Y130" s="16"/>
      <c r="Z130" s="16"/>
      <c r="AA130" s="16"/>
      <c r="AB130" s="16"/>
      <c r="AC130" s="16"/>
      <c r="AD130"/>
      <c r="AE130"/>
      <c r="AF130"/>
      <c r="AG130"/>
      <c r="AH130"/>
      <c r="AI130"/>
      <c r="AJ130"/>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5"/>
    </row>
    <row r="131" spans="1:137" s="32" customFormat="1" ht="57">
      <c r="A131" s="17" t="s">
        <v>218</v>
      </c>
      <c r="B131" s="17" t="s">
        <v>389</v>
      </c>
      <c r="C131" s="18" t="s">
        <v>390</v>
      </c>
      <c r="D131" s="18" t="s">
        <v>3288</v>
      </c>
      <c r="E131" s="17">
        <v>908</v>
      </c>
      <c r="F131" s="17">
        <v>2482</v>
      </c>
      <c r="G131" s="19" t="s">
        <v>250</v>
      </c>
      <c r="H131" s="17" t="s">
        <v>251</v>
      </c>
      <c r="I131" s="17" t="s">
        <v>104</v>
      </c>
      <c r="J131" s="19" t="s">
        <v>105</v>
      </c>
      <c r="K131" s="19" t="s">
        <v>3289</v>
      </c>
      <c r="L131" s="19" t="s">
        <v>3290</v>
      </c>
      <c r="M131" s="17" t="s">
        <v>114</v>
      </c>
      <c r="N131" s="17"/>
      <c r="O131" s="17"/>
      <c r="P131" s="88">
        <v>8.9319999999999986</v>
      </c>
      <c r="Q131" s="88">
        <v>4.7530000000000001</v>
      </c>
      <c r="R131" s="17">
        <v>0</v>
      </c>
      <c r="S131" s="66">
        <v>1335.6683000219939</v>
      </c>
      <c r="T131" s="19" t="s">
        <v>3291</v>
      </c>
      <c r="U131" s="21">
        <v>0.95289999999999997</v>
      </c>
      <c r="V131" s="86">
        <v>20</v>
      </c>
      <c r="W131" s="81" t="s">
        <v>694</v>
      </c>
      <c r="X131" s="16"/>
      <c r="Y131" s="16"/>
      <c r="Z131" s="16"/>
      <c r="AA131" s="16"/>
      <c r="AB131" s="16"/>
      <c r="AC131" s="16"/>
      <c r="AD131"/>
      <c r="AE131"/>
      <c r="AF131"/>
      <c r="AG131"/>
      <c r="AH131"/>
      <c r="AI131"/>
      <c r="AJ131"/>
      <c r="AK131" s="82"/>
      <c r="AL131" s="82"/>
      <c r="AM131" s="82"/>
      <c r="AN131" s="82"/>
      <c r="AO131" s="82"/>
      <c r="AP131" s="82"/>
      <c r="AQ131" s="82"/>
      <c r="AR131" s="82"/>
      <c r="AS131" s="82"/>
      <c r="AT131" s="82"/>
      <c r="AU131" s="82"/>
      <c r="AV131" s="82"/>
      <c r="AW131" s="82"/>
      <c r="AX131" s="82"/>
      <c r="AY131" s="82"/>
      <c r="AZ131" s="82"/>
      <c r="BA131" s="82"/>
      <c r="BB131" s="82"/>
      <c r="BC131" s="82"/>
      <c r="BD131" s="82"/>
      <c r="BE131" s="82"/>
      <c r="BF131" s="82"/>
      <c r="BG131" s="82"/>
      <c r="BH131" s="82"/>
      <c r="BI131" s="82"/>
      <c r="BJ131" s="82"/>
      <c r="BK131" s="82"/>
      <c r="BL131" s="82"/>
      <c r="BM131" s="82"/>
      <c r="BN131" s="82"/>
      <c r="BO131" s="82"/>
      <c r="BP131" s="82"/>
      <c r="BQ131" s="82"/>
      <c r="BR131" s="82"/>
      <c r="BS131" s="82"/>
      <c r="BT131" s="82"/>
      <c r="BU131" s="82"/>
      <c r="BV131" s="82"/>
      <c r="BW131" s="82"/>
      <c r="BX131" s="82"/>
      <c r="BY131" s="82"/>
      <c r="BZ131" s="82"/>
      <c r="CA131" s="82"/>
      <c r="CB131" s="82"/>
      <c r="CC131" s="82"/>
      <c r="CD131" s="82"/>
      <c r="CE131" s="82"/>
      <c r="CF131" s="82"/>
      <c r="CG131" s="82"/>
      <c r="CH131" s="82"/>
      <c r="CI131" s="82"/>
      <c r="CJ131" s="82"/>
      <c r="CK131" s="82"/>
      <c r="CL131" s="82"/>
      <c r="CM131" s="82"/>
      <c r="CN131" s="82"/>
      <c r="CO131" s="82"/>
      <c r="CP131" s="82"/>
      <c r="CQ131" s="82"/>
      <c r="CR131" s="82"/>
      <c r="CS131" s="82"/>
      <c r="CT131" s="82"/>
      <c r="CU131" s="82"/>
      <c r="CV131" s="82"/>
      <c r="CW131" s="82"/>
      <c r="CX131" s="82"/>
      <c r="CY131" s="82"/>
      <c r="CZ131" s="82"/>
      <c r="DA131" s="82"/>
      <c r="DB131" s="82"/>
      <c r="DC131" s="82"/>
      <c r="DD131" s="82"/>
      <c r="DE131" s="82"/>
      <c r="DF131" s="82"/>
      <c r="DG131" s="82"/>
      <c r="DH131" s="82"/>
      <c r="DI131" s="82"/>
      <c r="DJ131" s="82"/>
      <c r="DK131" s="82"/>
      <c r="DL131" s="82"/>
      <c r="DM131" s="82"/>
      <c r="DN131" s="82"/>
      <c r="DO131" s="82"/>
      <c r="DP131" s="82"/>
      <c r="DQ131" s="82"/>
      <c r="DR131" s="82"/>
      <c r="DS131" s="82"/>
      <c r="DT131" s="82"/>
      <c r="DU131" s="82"/>
      <c r="DV131" s="82"/>
      <c r="DW131" s="82"/>
      <c r="DX131" s="82"/>
      <c r="DY131" s="82"/>
      <c r="DZ131" s="82"/>
      <c r="EA131" s="82"/>
      <c r="EB131" s="82"/>
      <c r="EC131" s="5"/>
      <c r="ED131" s="5"/>
      <c r="EE131" s="5"/>
      <c r="EF131" s="5"/>
      <c r="EG131" s="5"/>
    </row>
    <row r="132" spans="1:137" s="32" customFormat="1" ht="57">
      <c r="A132" s="17" t="s">
        <v>218</v>
      </c>
      <c r="B132" s="17" t="s">
        <v>389</v>
      </c>
      <c r="C132" s="18" t="s">
        <v>390</v>
      </c>
      <c r="D132" s="18" t="s">
        <v>3288</v>
      </c>
      <c r="E132" s="17">
        <v>40279</v>
      </c>
      <c r="F132" s="17"/>
      <c r="G132" s="19" t="s">
        <v>119</v>
      </c>
      <c r="H132" s="17" t="s">
        <v>120</v>
      </c>
      <c r="I132" s="17" t="s">
        <v>104</v>
      </c>
      <c r="J132" s="19" t="s">
        <v>105</v>
      </c>
      <c r="K132" s="19" t="s">
        <v>3292</v>
      </c>
      <c r="L132" s="19" t="s">
        <v>3293</v>
      </c>
      <c r="M132" s="17"/>
      <c r="N132" s="17"/>
      <c r="O132" s="17"/>
      <c r="P132" s="88">
        <v>3.6420000000000003</v>
      </c>
      <c r="Q132" s="88">
        <v>2.0529999999999999</v>
      </c>
      <c r="R132" s="17">
        <v>0</v>
      </c>
      <c r="S132" s="66">
        <v>1463.2816836828647</v>
      </c>
      <c r="T132" s="19" t="s">
        <v>3294</v>
      </c>
      <c r="U132" s="21" t="s">
        <v>3295</v>
      </c>
      <c r="V132" s="86" t="s">
        <v>3296</v>
      </c>
      <c r="W132" s="81" t="s">
        <v>700</v>
      </c>
      <c r="X132" s="16"/>
      <c r="Y132" s="16"/>
      <c r="Z132" s="16"/>
      <c r="AA132" s="16"/>
      <c r="AB132" s="16"/>
      <c r="AC132" s="16"/>
      <c r="AD132"/>
      <c r="AE132"/>
      <c r="AF132"/>
      <c r="AG132"/>
      <c r="AH132"/>
      <c r="AI132"/>
      <c r="AJ132"/>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row>
    <row r="133" spans="1:137" s="32" customFormat="1" ht="57">
      <c r="A133" s="17" t="s">
        <v>218</v>
      </c>
      <c r="B133" s="17" t="s">
        <v>389</v>
      </c>
      <c r="C133" s="18" t="s">
        <v>390</v>
      </c>
      <c r="D133" s="18" t="s">
        <v>3288</v>
      </c>
      <c r="E133" s="17">
        <v>892</v>
      </c>
      <c r="F133" s="17">
        <v>4</v>
      </c>
      <c r="G133" s="19" t="s">
        <v>276</v>
      </c>
      <c r="H133" s="17" t="s">
        <v>277</v>
      </c>
      <c r="I133" s="17" t="s">
        <v>104</v>
      </c>
      <c r="J133" s="19" t="s">
        <v>105</v>
      </c>
      <c r="K133" s="19" t="s">
        <v>112</v>
      </c>
      <c r="L133" s="19" t="s">
        <v>113</v>
      </c>
      <c r="M133" s="17" t="s">
        <v>114</v>
      </c>
      <c r="N133" s="17"/>
      <c r="O133" s="17"/>
      <c r="P133" s="88">
        <v>3.0100000000000002</v>
      </c>
      <c r="Q133" s="88">
        <v>2.1100000000000003</v>
      </c>
      <c r="R133" s="17">
        <v>0</v>
      </c>
      <c r="S133" s="66">
        <v>1355.2264776057584</v>
      </c>
      <c r="T133" s="19" t="s">
        <v>3257</v>
      </c>
      <c r="U133" s="21">
        <v>0.94199999999999995</v>
      </c>
      <c r="V133" s="86">
        <v>29.2</v>
      </c>
      <c r="W133" s="81" t="s">
        <v>700</v>
      </c>
      <c r="X133" s="16"/>
      <c r="Y133" s="16"/>
      <c r="Z133" s="16"/>
      <c r="AA133" s="16"/>
      <c r="AB133" s="16"/>
      <c r="AC133" s="16"/>
      <c r="AD133" s="16"/>
      <c r="AE133" s="16"/>
      <c r="AF133" s="16"/>
      <c r="AG133" s="16"/>
      <c r="AH133" s="16"/>
      <c r="AI133" s="16"/>
      <c r="AJ133" s="16"/>
      <c r="AK133" s="17"/>
      <c r="AL133" s="17"/>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c r="BP133" s="17"/>
      <c r="BQ133" s="17"/>
      <c r="BR133" s="17"/>
      <c r="BS133" s="17"/>
      <c r="BT133" s="17"/>
      <c r="BU133" s="17"/>
      <c r="BV133" s="17"/>
      <c r="BW133" s="17"/>
      <c r="BX133" s="17"/>
      <c r="BY133" s="17"/>
      <c r="BZ133" s="17"/>
      <c r="CA133" s="17"/>
      <c r="CB133" s="17"/>
      <c r="CC133" s="17"/>
      <c r="CD133" s="17"/>
      <c r="CE133" s="17"/>
      <c r="CF133" s="17"/>
      <c r="CG133" s="17"/>
      <c r="CH133" s="17"/>
      <c r="CI133" s="17"/>
      <c r="CJ133" s="17"/>
      <c r="CK133" s="17"/>
      <c r="CL133" s="17"/>
      <c r="CM133" s="17"/>
      <c r="CN133" s="17"/>
      <c r="CO133" s="17"/>
      <c r="CP133" s="17"/>
      <c r="CQ133" s="17"/>
      <c r="CR133" s="17"/>
      <c r="CS133" s="17"/>
      <c r="CT133" s="17"/>
      <c r="CU133" s="17"/>
      <c r="CV133" s="17"/>
      <c r="CW133" s="17"/>
      <c r="CX133" s="17"/>
      <c r="CY133" s="17"/>
      <c r="CZ133" s="17"/>
      <c r="DA133" s="17"/>
      <c r="DB133" s="17"/>
      <c r="DC133" s="17"/>
      <c r="DD133" s="17"/>
      <c r="DE133" s="17"/>
      <c r="DF133" s="17"/>
      <c r="DG133" s="17"/>
      <c r="DH133" s="17"/>
      <c r="DI133" s="17"/>
      <c r="DJ133" s="17"/>
      <c r="DK133" s="17"/>
      <c r="DL133" s="17"/>
      <c r="DM133" s="17"/>
      <c r="DN133" s="17"/>
      <c r="DO133" s="17"/>
      <c r="DP133" s="17"/>
      <c r="DQ133" s="17"/>
      <c r="DR133" s="17"/>
      <c r="DS133" s="17"/>
      <c r="DT133" s="17"/>
      <c r="DU133" s="17"/>
      <c r="DV133" s="17"/>
      <c r="DW133" s="17"/>
      <c r="DX133" s="17"/>
      <c r="DY133" s="17"/>
      <c r="DZ133" s="17"/>
      <c r="EA133" s="17"/>
      <c r="EB133" s="17"/>
      <c r="EC133" s="17"/>
      <c r="ED133" s="17"/>
      <c r="EE133" s="17"/>
      <c r="EF133" s="17"/>
      <c r="EG133" s="17"/>
    </row>
    <row r="134" spans="1:137" s="32" customFormat="1" ht="57">
      <c r="A134" s="17" t="s">
        <v>218</v>
      </c>
      <c r="B134" s="17" t="s">
        <v>389</v>
      </c>
      <c r="C134" s="18" t="s">
        <v>390</v>
      </c>
      <c r="D134" s="18" t="s">
        <v>3288</v>
      </c>
      <c r="E134" s="17">
        <v>892</v>
      </c>
      <c r="F134" s="17" t="s">
        <v>736</v>
      </c>
      <c r="G134" s="19" t="s">
        <v>276</v>
      </c>
      <c r="H134" s="17" t="s">
        <v>277</v>
      </c>
      <c r="I134" s="17" t="s">
        <v>104</v>
      </c>
      <c r="J134" s="19" t="s">
        <v>105</v>
      </c>
      <c r="K134" s="19" t="s">
        <v>233</v>
      </c>
      <c r="L134" s="19" t="s">
        <v>234</v>
      </c>
      <c r="M134" s="17" t="s">
        <v>108</v>
      </c>
      <c r="N134" s="17"/>
      <c r="O134" s="17"/>
      <c r="P134" s="88">
        <v>2.7</v>
      </c>
      <c r="Q134" s="88">
        <v>1.3900000000000001</v>
      </c>
      <c r="R134" s="17">
        <v>0</v>
      </c>
      <c r="S134" s="66">
        <v>1218.7508379554704</v>
      </c>
      <c r="T134" s="19" t="s">
        <v>3279</v>
      </c>
      <c r="U134" s="21">
        <v>0.751</v>
      </c>
      <c r="V134" s="86">
        <v>67.3</v>
      </c>
      <c r="W134" s="81" t="s">
        <v>700</v>
      </c>
      <c r="X134" s="16"/>
      <c r="Y134" s="16"/>
      <c r="Z134" s="16"/>
      <c r="AA134" s="16"/>
      <c r="AB134" s="16"/>
      <c r="AC134" s="16"/>
      <c r="AD134"/>
      <c r="AE134"/>
      <c r="AF134"/>
      <c r="AG134"/>
      <c r="AH134"/>
      <c r="AI134"/>
      <c r="AJ134"/>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row>
    <row r="135" spans="1:137" s="32" customFormat="1" ht="76">
      <c r="A135" s="17" t="s">
        <v>218</v>
      </c>
      <c r="B135" s="17" t="s">
        <v>389</v>
      </c>
      <c r="C135" s="18" t="s">
        <v>390</v>
      </c>
      <c r="D135" s="18" t="s">
        <v>3288</v>
      </c>
      <c r="E135" s="17">
        <v>892</v>
      </c>
      <c r="F135" s="17">
        <v>228</v>
      </c>
      <c r="G135" s="19" t="s">
        <v>276</v>
      </c>
      <c r="H135" s="17" t="s">
        <v>277</v>
      </c>
      <c r="I135" s="17" t="s">
        <v>104</v>
      </c>
      <c r="J135" s="19" t="s">
        <v>105</v>
      </c>
      <c r="K135" s="19" t="s">
        <v>3280</v>
      </c>
      <c r="L135" s="19" t="s">
        <v>3281</v>
      </c>
      <c r="M135" s="17"/>
      <c r="N135" s="17"/>
      <c r="O135" s="17"/>
      <c r="P135" s="88">
        <v>3.3560000000000003</v>
      </c>
      <c r="Q135" s="88">
        <v>2.5070000000000001</v>
      </c>
      <c r="R135" s="17">
        <v>0</v>
      </c>
      <c r="S135" s="66">
        <v>1214.1584362391648</v>
      </c>
      <c r="T135" s="19" t="s">
        <v>3282</v>
      </c>
      <c r="U135" s="21" t="s">
        <v>3283</v>
      </c>
      <c r="V135" s="86" t="s">
        <v>3284</v>
      </c>
      <c r="W135" s="81" t="s">
        <v>726</v>
      </c>
      <c r="X135" s="16"/>
      <c r="Y135" s="16"/>
      <c r="Z135" s="16"/>
      <c r="AA135" s="16"/>
      <c r="AB135" s="16"/>
      <c r="AC135" s="16"/>
      <c r="AD135"/>
      <c r="AE135"/>
      <c r="AF135"/>
      <c r="AG135"/>
      <c r="AH135"/>
      <c r="AI135"/>
      <c r="AJ13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row>
    <row r="136" spans="1:137" s="32" customFormat="1" ht="76">
      <c r="A136" s="17" t="s">
        <v>218</v>
      </c>
      <c r="B136" s="17" t="s">
        <v>389</v>
      </c>
      <c r="C136" s="18" t="s">
        <v>390</v>
      </c>
      <c r="D136" s="18" t="s">
        <v>3288</v>
      </c>
      <c r="E136" s="17">
        <v>892</v>
      </c>
      <c r="F136" s="17">
        <v>435</v>
      </c>
      <c r="G136" s="19" t="s">
        <v>276</v>
      </c>
      <c r="H136" s="17" t="s">
        <v>277</v>
      </c>
      <c r="I136" s="17" t="s">
        <v>104</v>
      </c>
      <c r="J136" s="19" t="s">
        <v>105</v>
      </c>
      <c r="K136" s="19" t="s">
        <v>3280</v>
      </c>
      <c r="L136" s="19" t="s">
        <v>3281</v>
      </c>
      <c r="M136" s="17"/>
      <c r="N136" s="17"/>
      <c r="O136" s="17"/>
      <c r="P136" s="88">
        <v>3.5700000000000003</v>
      </c>
      <c r="Q136" s="88">
        <v>2.6850000000000001</v>
      </c>
      <c r="R136" s="17">
        <v>0</v>
      </c>
      <c r="S136" s="66">
        <v>1510.4906921190627</v>
      </c>
      <c r="T136" s="19" t="s">
        <v>3282</v>
      </c>
      <c r="U136" s="21" t="s">
        <v>3283</v>
      </c>
      <c r="V136" s="86" t="s">
        <v>3284</v>
      </c>
      <c r="W136" s="81" t="s">
        <v>726</v>
      </c>
      <c r="X136" s="16"/>
      <c r="Y136" s="16"/>
      <c r="Z136" s="16"/>
      <c r="AA136" s="16"/>
      <c r="AB136" s="16"/>
      <c r="AC136" s="16"/>
      <c r="AD136"/>
      <c r="AE136"/>
      <c r="AF136"/>
      <c r="AG136"/>
      <c r="AH136"/>
      <c r="AI136"/>
      <c r="AJ136"/>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row>
    <row r="137" spans="1:137" s="32" customFormat="1" ht="76">
      <c r="A137" s="17" t="s">
        <v>218</v>
      </c>
      <c r="B137" s="17" t="s">
        <v>389</v>
      </c>
      <c r="C137" s="18" t="s">
        <v>390</v>
      </c>
      <c r="D137" s="18" t="s">
        <v>3288</v>
      </c>
      <c r="E137" s="17">
        <v>892</v>
      </c>
      <c r="F137" s="17">
        <v>436</v>
      </c>
      <c r="G137" s="19" t="s">
        <v>276</v>
      </c>
      <c r="H137" s="17" t="s">
        <v>277</v>
      </c>
      <c r="I137" s="17" t="s">
        <v>104</v>
      </c>
      <c r="J137" s="19" t="s">
        <v>105</v>
      </c>
      <c r="K137" s="19" t="s">
        <v>3280</v>
      </c>
      <c r="L137" s="19" t="s">
        <v>3281</v>
      </c>
      <c r="M137" s="17"/>
      <c r="N137" s="17"/>
      <c r="O137" s="17"/>
      <c r="P137" s="88">
        <v>3.7170000000000001</v>
      </c>
      <c r="Q137" s="88">
        <v>2.4319999999999999</v>
      </c>
      <c r="R137" s="17">
        <v>0</v>
      </c>
      <c r="S137" s="66">
        <v>1369.2582887359176</v>
      </c>
      <c r="T137" s="19" t="s">
        <v>3282</v>
      </c>
      <c r="U137" s="21" t="s">
        <v>3283</v>
      </c>
      <c r="V137" s="86" t="s">
        <v>3284</v>
      </c>
      <c r="W137" s="81" t="s">
        <v>726</v>
      </c>
      <c r="X137" s="16"/>
      <c r="Y137" s="16"/>
      <c r="Z137" s="16"/>
      <c r="AA137" s="16"/>
      <c r="AB137" s="16"/>
      <c r="AC137" s="16"/>
      <c r="AD137"/>
      <c r="AE137"/>
      <c r="AF137"/>
      <c r="AG137"/>
      <c r="AH137"/>
      <c r="AI137"/>
      <c r="AJ137"/>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row>
    <row r="138" spans="1:137" s="32" customFormat="1" ht="76">
      <c r="A138" s="17" t="s">
        <v>218</v>
      </c>
      <c r="B138" s="17" t="s">
        <v>389</v>
      </c>
      <c r="C138" s="18" t="s">
        <v>390</v>
      </c>
      <c r="D138" s="18" t="s">
        <v>3288</v>
      </c>
      <c r="E138" s="17">
        <v>892</v>
      </c>
      <c r="F138" s="17">
        <v>439</v>
      </c>
      <c r="G138" s="19" t="s">
        <v>276</v>
      </c>
      <c r="H138" s="17" t="s">
        <v>277</v>
      </c>
      <c r="I138" s="17" t="s">
        <v>104</v>
      </c>
      <c r="J138" s="19" t="s">
        <v>105</v>
      </c>
      <c r="K138" s="19" t="s">
        <v>3280</v>
      </c>
      <c r="L138" s="19" t="s">
        <v>3281</v>
      </c>
      <c r="M138" s="17"/>
      <c r="N138" s="17"/>
      <c r="O138" s="17"/>
      <c r="P138" s="88">
        <v>3.7</v>
      </c>
      <c r="Q138" s="88">
        <v>2.4219999999999997</v>
      </c>
      <c r="R138" s="17">
        <v>0</v>
      </c>
      <c r="S138" s="66">
        <v>1349.4441888143583</v>
      </c>
      <c r="T138" s="19" t="s">
        <v>3282</v>
      </c>
      <c r="U138" s="21" t="s">
        <v>3283</v>
      </c>
      <c r="V138" s="86" t="s">
        <v>3284</v>
      </c>
      <c r="W138" s="81" t="s">
        <v>726</v>
      </c>
      <c r="X138" s="16"/>
      <c r="Y138" s="16"/>
      <c r="Z138" s="16"/>
      <c r="AA138" s="16"/>
      <c r="AB138" s="16"/>
      <c r="AC138" s="16"/>
      <c r="AD138"/>
      <c r="AE138"/>
      <c r="AF138"/>
      <c r="AG138"/>
      <c r="AH138"/>
      <c r="AI138"/>
      <c r="AJ138"/>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c r="EB138" s="5"/>
      <c r="EC138" s="5"/>
      <c r="ED138" s="5"/>
      <c r="EE138" s="5"/>
      <c r="EF138" s="5"/>
      <c r="EG138" s="5"/>
    </row>
    <row r="139" spans="1:137" s="32" customFormat="1" ht="76">
      <c r="A139" s="17" t="s">
        <v>218</v>
      </c>
      <c r="B139" s="17" t="s">
        <v>389</v>
      </c>
      <c r="C139" s="18" t="s">
        <v>390</v>
      </c>
      <c r="D139" s="18" t="s">
        <v>3288</v>
      </c>
      <c r="E139" s="17">
        <v>892</v>
      </c>
      <c r="F139" s="17">
        <v>497</v>
      </c>
      <c r="G139" s="19" t="s">
        <v>276</v>
      </c>
      <c r="H139" s="17" t="s">
        <v>277</v>
      </c>
      <c r="I139" s="17" t="s">
        <v>104</v>
      </c>
      <c r="J139" s="19" t="s">
        <v>105</v>
      </c>
      <c r="K139" s="19" t="s">
        <v>3280</v>
      </c>
      <c r="L139" s="19" t="s">
        <v>3281</v>
      </c>
      <c r="M139" s="17"/>
      <c r="N139" s="17"/>
      <c r="O139" s="17"/>
      <c r="P139" s="88">
        <v>3.5990000000000002</v>
      </c>
      <c r="Q139" s="88">
        <v>2.6280000000000001</v>
      </c>
      <c r="R139" s="17">
        <v>0</v>
      </c>
      <c r="S139" s="66">
        <v>1477.0500341091281</v>
      </c>
      <c r="T139" s="19" t="s">
        <v>3282</v>
      </c>
      <c r="U139" s="21" t="s">
        <v>3283</v>
      </c>
      <c r="V139" s="86" t="s">
        <v>3284</v>
      </c>
      <c r="W139" s="81" t="s">
        <v>726</v>
      </c>
      <c r="X139" s="16"/>
      <c r="Y139" s="16"/>
      <c r="Z139" s="16"/>
      <c r="AA139" s="16"/>
      <c r="AB139" s="16"/>
      <c r="AC139" s="16"/>
      <c r="AD139"/>
      <c r="AE139"/>
      <c r="AF139"/>
      <c r="AG139"/>
      <c r="AH139"/>
      <c r="AI139"/>
      <c r="AJ139"/>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row>
    <row r="140" spans="1:137" s="32" customFormat="1" ht="76">
      <c r="A140" s="17" t="s">
        <v>218</v>
      </c>
      <c r="B140" s="17" t="s">
        <v>389</v>
      </c>
      <c r="C140" s="18" t="s">
        <v>390</v>
      </c>
      <c r="D140" s="18" t="s">
        <v>3288</v>
      </c>
      <c r="E140" s="17">
        <v>892</v>
      </c>
      <c r="F140" s="17" t="s">
        <v>753</v>
      </c>
      <c r="G140" s="19" t="s">
        <v>276</v>
      </c>
      <c r="H140" s="17" t="s">
        <v>277</v>
      </c>
      <c r="I140" s="17" t="s">
        <v>104</v>
      </c>
      <c r="J140" s="19" t="s">
        <v>105</v>
      </c>
      <c r="K140" s="19" t="s">
        <v>3280</v>
      </c>
      <c r="L140" s="19" t="s">
        <v>3281</v>
      </c>
      <c r="M140" s="17"/>
      <c r="N140" s="17"/>
      <c r="O140" s="17"/>
      <c r="P140" s="88">
        <v>3.9049999999999998</v>
      </c>
      <c r="Q140" s="88">
        <v>2.73</v>
      </c>
      <c r="R140" s="17">
        <v>0</v>
      </c>
      <c r="S140" s="66">
        <v>1804.917138108</v>
      </c>
      <c r="T140" s="19" t="s">
        <v>3282</v>
      </c>
      <c r="U140" s="21" t="s">
        <v>3283</v>
      </c>
      <c r="V140" s="86" t="s">
        <v>3284</v>
      </c>
      <c r="W140" s="81" t="s">
        <v>726</v>
      </c>
      <c r="X140" s="16"/>
      <c r="Y140" s="16"/>
      <c r="Z140" s="16"/>
      <c r="AA140" s="16"/>
      <c r="AB140" s="16"/>
      <c r="AC140" s="16"/>
      <c r="AD140"/>
      <c r="AE140"/>
      <c r="AF140"/>
      <c r="AG140"/>
      <c r="AH140"/>
      <c r="AI140"/>
      <c r="AJ140"/>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row>
    <row r="141" spans="1:137" s="32" customFormat="1" ht="76">
      <c r="A141" s="17" t="s">
        <v>218</v>
      </c>
      <c r="B141" s="17" t="s">
        <v>389</v>
      </c>
      <c r="C141" s="18" t="s">
        <v>390</v>
      </c>
      <c r="D141" s="18" t="s">
        <v>3288</v>
      </c>
      <c r="E141" s="17">
        <v>892</v>
      </c>
      <c r="F141" s="17" t="s">
        <v>753</v>
      </c>
      <c r="G141" s="19" t="s">
        <v>276</v>
      </c>
      <c r="H141" s="17" t="s">
        <v>277</v>
      </c>
      <c r="I141" s="17" t="s">
        <v>104</v>
      </c>
      <c r="J141" s="19" t="s">
        <v>105</v>
      </c>
      <c r="K141" s="19" t="s">
        <v>3280</v>
      </c>
      <c r="L141" s="19" t="s">
        <v>3281</v>
      </c>
      <c r="M141" s="17"/>
      <c r="N141" s="17"/>
      <c r="O141" s="17"/>
      <c r="P141" s="88">
        <v>3.7270000000000003</v>
      </c>
      <c r="Q141" s="88">
        <v>2.4300000000000002</v>
      </c>
      <c r="R141" s="17">
        <v>0</v>
      </c>
      <c r="S141" s="66">
        <v>1373.5391569644617</v>
      </c>
      <c r="T141" s="19" t="s">
        <v>3282</v>
      </c>
      <c r="U141" s="21" t="s">
        <v>3283</v>
      </c>
      <c r="V141" s="86" t="s">
        <v>3284</v>
      </c>
      <c r="W141" s="81" t="s">
        <v>726</v>
      </c>
      <c r="X141" s="16"/>
      <c r="Y141" s="16"/>
      <c r="Z141" s="16"/>
      <c r="AA141" s="16"/>
      <c r="AB141" s="16"/>
      <c r="AC141" s="16"/>
      <c r="AD141"/>
      <c r="AE141"/>
      <c r="AF141"/>
      <c r="AG141"/>
      <c r="AH141"/>
      <c r="AI141"/>
      <c r="AJ141"/>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row>
    <row r="142" spans="1:137" s="32" customFormat="1" ht="76">
      <c r="A142" s="17" t="s">
        <v>218</v>
      </c>
      <c r="B142" s="17" t="s">
        <v>389</v>
      </c>
      <c r="C142" s="18" t="s">
        <v>390</v>
      </c>
      <c r="D142" s="18" t="s">
        <v>3288</v>
      </c>
      <c r="E142" s="17">
        <v>892</v>
      </c>
      <c r="F142" s="17" t="s">
        <v>753</v>
      </c>
      <c r="G142" s="19" t="s">
        <v>276</v>
      </c>
      <c r="H142" s="17" t="s">
        <v>277</v>
      </c>
      <c r="I142" s="17" t="s">
        <v>104</v>
      </c>
      <c r="J142" s="19" t="s">
        <v>105</v>
      </c>
      <c r="K142" s="19" t="s">
        <v>3280</v>
      </c>
      <c r="L142" s="19" t="s">
        <v>3281</v>
      </c>
      <c r="M142" s="17"/>
      <c r="N142" s="17"/>
      <c r="O142" s="17"/>
      <c r="P142" s="88">
        <v>3.585</v>
      </c>
      <c r="Q142" s="88">
        <v>2.395</v>
      </c>
      <c r="R142" s="17">
        <v>0</v>
      </c>
      <c r="S142" s="66">
        <v>1256.1476392066756</v>
      </c>
      <c r="T142" s="19" t="s">
        <v>3282</v>
      </c>
      <c r="U142" s="21" t="s">
        <v>3283</v>
      </c>
      <c r="V142" s="86" t="s">
        <v>3284</v>
      </c>
      <c r="W142" s="81" t="s">
        <v>726</v>
      </c>
      <c r="X142" s="16"/>
      <c r="Y142" s="16"/>
      <c r="Z142" s="16"/>
      <c r="AA142" s="16"/>
      <c r="AB142" s="16"/>
      <c r="AC142" s="16"/>
      <c r="AD142"/>
      <c r="AE142"/>
      <c r="AF142"/>
      <c r="AG142"/>
      <c r="AH142"/>
      <c r="AI142"/>
      <c r="AJ142"/>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row>
    <row r="143" spans="1:137" s="32" customFormat="1" ht="76">
      <c r="A143" s="17" t="s">
        <v>218</v>
      </c>
      <c r="B143" s="17" t="s">
        <v>389</v>
      </c>
      <c r="C143" s="18" t="s">
        <v>390</v>
      </c>
      <c r="D143" s="18" t="s">
        <v>3288</v>
      </c>
      <c r="E143" s="17">
        <v>892</v>
      </c>
      <c r="F143" s="17" t="s">
        <v>753</v>
      </c>
      <c r="G143" s="19" t="s">
        <v>276</v>
      </c>
      <c r="H143" s="17" t="s">
        <v>277</v>
      </c>
      <c r="I143" s="17" t="s">
        <v>104</v>
      </c>
      <c r="J143" s="19" t="s">
        <v>105</v>
      </c>
      <c r="K143" s="19" t="s">
        <v>3280</v>
      </c>
      <c r="L143" s="19" t="s">
        <v>3281</v>
      </c>
      <c r="M143" s="17"/>
      <c r="N143" s="17"/>
      <c r="O143" s="17"/>
      <c r="P143" s="88">
        <v>4.1270000000000007</v>
      </c>
      <c r="Q143" s="88">
        <v>2.044</v>
      </c>
      <c r="R143" s="17">
        <v>0</v>
      </c>
      <c r="S143" s="66">
        <v>1219.5021304702668</v>
      </c>
      <c r="T143" s="19" t="s">
        <v>3282</v>
      </c>
      <c r="U143" s="21" t="s">
        <v>3283</v>
      </c>
      <c r="V143" s="86" t="s">
        <v>3284</v>
      </c>
      <c r="W143" s="81" t="s">
        <v>726</v>
      </c>
      <c r="X143" s="16"/>
      <c r="Y143" s="16"/>
      <c r="Z143" s="16"/>
      <c r="AA143" s="16"/>
      <c r="AB143" s="16"/>
      <c r="AC143" s="16"/>
      <c r="AD143"/>
      <c r="AE143"/>
      <c r="AF143"/>
      <c r="AG143"/>
      <c r="AH143"/>
      <c r="AI143"/>
      <c r="AJ143"/>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row>
    <row r="144" spans="1:137" s="32" customFormat="1" ht="57">
      <c r="A144" s="17" t="s">
        <v>218</v>
      </c>
      <c r="B144" s="17" t="s">
        <v>389</v>
      </c>
      <c r="C144" s="18" t="s">
        <v>390</v>
      </c>
      <c r="D144" s="18" t="s">
        <v>3288</v>
      </c>
      <c r="E144" s="17">
        <v>31034</v>
      </c>
      <c r="F144" s="17">
        <v>142</v>
      </c>
      <c r="G144" s="19" t="s">
        <v>183</v>
      </c>
      <c r="H144" s="17" t="s">
        <v>184</v>
      </c>
      <c r="I144" s="17" t="s">
        <v>104</v>
      </c>
      <c r="J144" s="19" t="s">
        <v>105</v>
      </c>
      <c r="K144" s="19" t="s">
        <v>209</v>
      </c>
      <c r="L144" s="19" t="s">
        <v>216</v>
      </c>
      <c r="M144" s="17" t="s">
        <v>108</v>
      </c>
      <c r="N144" s="17"/>
      <c r="O144" s="17"/>
      <c r="P144" s="88">
        <v>3.6350000000000002</v>
      </c>
      <c r="Q144" s="88">
        <v>2.1350000000000002</v>
      </c>
      <c r="R144" s="17">
        <v>0</v>
      </c>
      <c r="S144" s="66">
        <v>1215.0536769982921</v>
      </c>
      <c r="T144" s="19" t="s">
        <v>3244</v>
      </c>
      <c r="U144" s="21">
        <v>0.93500000000000005</v>
      </c>
      <c r="V144" s="86">
        <v>30.8</v>
      </c>
      <c r="W144" s="81" t="s">
        <v>700</v>
      </c>
      <c r="X144" s="16"/>
      <c r="Y144" s="16"/>
      <c r="Z144" s="16"/>
      <c r="AA144" s="16"/>
      <c r="AB144" s="16"/>
      <c r="AC144" s="16"/>
      <c r="AD144"/>
      <c r="AE144"/>
      <c r="AF144"/>
      <c r="AG144"/>
      <c r="AH144"/>
      <c r="AI144"/>
      <c r="AJ144"/>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5"/>
    </row>
    <row r="145" spans="1:137" s="32" customFormat="1" ht="57">
      <c r="A145" s="17" t="s">
        <v>218</v>
      </c>
      <c r="B145" s="17" t="s">
        <v>389</v>
      </c>
      <c r="C145" s="18" t="s">
        <v>390</v>
      </c>
      <c r="D145" s="18" t="s">
        <v>3288</v>
      </c>
      <c r="E145" s="17">
        <v>725</v>
      </c>
      <c r="F145" s="17" t="s">
        <v>753</v>
      </c>
      <c r="G145" s="19" t="s">
        <v>701</v>
      </c>
      <c r="H145" s="17" t="s">
        <v>702</v>
      </c>
      <c r="I145" s="17" t="s">
        <v>104</v>
      </c>
      <c r="J145" s="19" t="s">
        <v>105</v>
      </c>
      <c r="K145" s="19" t="s">
        <v>3292</v>
      </c>
      <c r="L145" s="19" t="s">
        <v>3293</v>
      </c>
      <c r="M145" s="17"/>
      <c r="N145" s="17"/>
      <c r="O145" s="17"/>
      <c r="P145" s="88">
        <v>3.8020000000000005</v>
      </c>
      <c r="Q145" s="88">
        <v>2.1239999999999997</v>
      </c>
      <c r="R145" s="17">
        <v>0</v>
      </c>
      <c r="S145" s="66">
        <v>1666.2458582134279</v>
      </c>
      <c r="T145" s="19" t="s">
        <v>3294</v>
      </c>
      <c r="U145" s="21" t="s">
        <v>3295</v>
      </c>
      <c r="V145" s="86" t="s">
        <v>3296</v>
      </c>
      <c r="W145" s="81" t="s">
        <v>700</v>
      </c>
      <c r="X145" s="16"/>
      <c r="Y145" s="16"/>
      <c r="Z145" s="16"/>
      <c r="AA145" s="16"/>
      <c r="AB145" s="16"/>
      <c r="AC145" s="16"/>
      <c r="AD145"/>
      <c r="AE145"/>
      <c r="AF145"/>
      <c r="AG145"/>
      <c r="AH145"/>
      <c r="AI145"/>
      <c r="AJ14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5"/>
    </row>
    <row r="146" spans="1:137" s="32" customFormat="1" ht="57">
      <c r="A146" s="17" t="s">
        <v>218</v>
      </c>
      <c r="B146" s="17" t="s">
        <v>389</v>
      </c>
      <c r="C146" s="18" t="s">
        <v>390</v>
      </c>
      <c r="D146" s="18" t="s">
        <v>3288</v>
      </c>
      <c r="E146" s="17">
        <v>725</v>
      </c>
      <c r="F146" s="17" t="s">
        <v>753</v>
      </c>
      <c r="G146" s="19" t="s">
        <v>701</v>
      </c>
      <c r="H146" s="17" t="s">
        <v>702</v>
      </c>
      <c r="I146" s="17" t="s">
        <v>104</v>
      </c>
      <c r="J146" s="19" t="s">
        <v>105</v>
      </c>
      <c r="K146" s="19" t="s">
        <v>3292</v>
      </c>
      <c r="L146" s="19" t="s">
        <v>3293</v>
      </c>
      <c r="M146" s="17"/>
      <c r="N146" s="17"/>
      <c r="O146" s="17"/>
      <c r="P146" s="88">
        <v>3.6399999999999997</v>
      </c>
      <c r="Q146" s="88">
        <v>2.0019999999999998</v>
      </c>
      <c r="R146" s="17">
        <v>0</v>
      </c>
      <c r="S146" s="66">
        <v>1401.1823650139963</v>
      </c>
      <c r="T146" s="19" t="s">
        <v>3294</v>
      </c>
      <c r="U146" s="21" t="s">
        <v>3295</v>
      </c>
      <c r="V146" s="86" t="s">
        <v>3296</v>
      </c>
      <c r="W146" s="81" t="s">
        <v>700</v>
      </c>
      <c r="X146" s="16"/>
      <c r="Y146" s="16"/>
      <c r="Z146" s="16"/>
      <c r="AA146" s="16"/>
      <c r="AB146" s="16"/>
      <c r="AC146" s="16"/>
      <c r="AD146"/>
      <c r="AE146"/>
      <c r="AF146"/>
      <c r="AG146"/>
      <c r="AH146"/>
      <c r="AI146"/>
      <c r="AJ146"/>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row>
    <row r="147" spans="1:137" s="32" customFormat="1" ht="57">
      <c r="A147" s="17" t="s">
        <v>218</v>
      </c>
      <c r="B147" s="17" t="s">
        <v>389</v>
      </c>
      <c r="C147" s="18" t="s">
        <v>390</v>
      </c>
      <c r="D147" s="18" t="s">
        <v>3288</v>
      </c>
      <c r="E147" s="17">
        <v>725</v>
      </c>
      <c r="F147" s="17" t="s">
        <v>753</v>
      </c>
      <c r="G147" s="19" t="s">
        <v>701</v>
      </c>
      <c r="H147" s="17" t="s">
        <v>702</v>
      </c>
      <c r="I147" s="17" t="s">
        <v>104</v>
      </c>
      <c r="J147" s="19" t="s">
        <v>105</v>
      </c>
      <c r="K147" s="19" t="s">
        <v>3292</v>
      </c>
      <c r="L147" s="19" t="s">
        <v>3293</v>
      </c>
      <c r="M147" s="17"/>
      <c r="N147" s="17"/>
      <c r="O147" s="17"/>
      <c r="P147" s="88">
        <v>3.69</v>
      </c>
      <c r="Q147" s="88">
        <v>1.9</v>
      </c>
      <c r="R147" s="17">
        <v>0</v>
      </c>
      <c r="S147" s="66">
        <v>1312.7339045986178</v>
      </c>
      <c r="T147" s="19" t="s">
        <v>3294</v>
      </c>
      <c r="U147" s="21" t="s">
        <v>3295</v>
      </c>
      <c r="V147" s="86" t="s">
        <v>3296</v>
      </c>
      <c r="W147" s="81" t="s">
        <v>700</v>
      </c>
      <c r="X147" s="16"/>
      <c r="Y147" s="16"/>
      <c r="Z147" s="16"/>
      <c r="AA147" s="16"/>
      <c r="AB147" s="16"/>
      <c r="AC147" s="16"/>
      <c r="AD147"/>
      <c r="AE147"/>
      <c r="AF147"/>
      <c r="AG147"/>
      <c r="AH147"/>
      <c r="AI147"/>
      <c r="AJ147"/>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c r="EB147" s="5"/>
      <c r="EC147" s="5"/>
      <c r="ED147" s="5"/>
      <c r="EE147" s="5"/>
      <c r="EF147" s="5"/>
      <c r="EG147" s="5"/>
    </row>
    <row r="148" spans="1:137" s="32" customFormat="1" ht="57">
      <c r="A148" s="17" t="s">
        <v>218</v>
      </c>
      <c r="B148" s="17" t="s">
        <v>389</v>
      </c>
      <c r="C148" s="18" t="s">
        <v>390</v>
      </c>
      <c r="D148" s="18" t="s">
        <v>3288</v>
      </c>
      <c r="E148" s="17">
        <v>725</v>
      </c>
      <c r="F148" s="17" t="s">
        <v>753</v>
      </c>
      <c r="G148" s="19" t="s">
        <v>701</v>
      </c>
      <c r="H148" s="17" t="s">
        <v>702</v>
      </c>
      <c r="I148" s="17" t="s">
        <v>104</v>
      </c>
      <c r="J148" s="19" t="s">
        <v>105</v>
      </c>
      <c r="K148" s="19" t="s">
        <v>3292</v>
      </c>
      <c r="L148" s="19" t="s">
        <v>3293</v>
      </c>
      <c r="M148" s="17"/>
      <c r="N148" s="17"/>
      <c r="O148" s="17"/>
      <c r="P148" s="88">
        <v>3.6189999999999998</v>
      </c>
      <c r="Q148" s="88">
        <v>1.9129999999999998</v>
      </c>
      <c r="R148" s="17">
        <v>0</v>
      </c>
      <c r="S148" s="66">
        <v>1285.1023526848055</v>
      </c>
      <c r="T148" s="19" t="s">
        <v>3294</v>
      </c>
      <c r="U148" s="21" t="s">
        <v>3295</v>
      </c>
      <c r="V148" s="86" t="s">
        <v>3296</v>
      </c>
      <c r="W148" s="81" t="s">
        <v>700</v>
      </c>
      <c r="X148" s="16"/>
      <c r="Y148" s="16"/>
      <c r="Z148" s="16"/>
      <c r="AA148" s="16"/>
      <c r="AB148" s="16"/>
      <c r="AC148" s="16"/>
      <c r="AD148"/>
      <c r="AE148"/>
      <c r="AF148"/>
      <c r="AG148"/>
      <c r="AH148"/>
      <c r="AI148"/>
      <c r="AJ148"/>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c r="EG148" s="5"/>
    </row>
    <row r="149" spans="1:137" s="32" customFormat="1" ht="57">
      <c r="A149" s="17" t="s">
        <v>218</v>
      </c>
      <c r="B149" s="17" t="s">
        <v>389</v>
      </c>
      <c r="C149" s="18" t="s">
        <v>390</v>
      </c>
      <c r="D149" s="18" t="s">
        <v>3288</v>
      </c>
      <c r="E149" s="17">
        <v>725</v>
      </c>
      <c r="F149" s="17" t="s">
        <v>753</v>
      </c>
      <c r="G149" s="19" t="s">
        <v>701</v>
      </c>
      <c r="H149" s="17" t="s">
        <v>702</v>
      </c>
      <c r="I149" s="17" t="s">
        <v>104</v>
      </c>
      <c r="J149" s="19" t="s">
        <v>105</v>
      </c>
      <c r="K149" s="19" t="s">
        <v>3292</v>
      </c>
      <c r="L149" s="19" t="s">
        <v>3293</v>
      </c>
      <c r="M149" s="17"/>
      <c r="N149" s="17"/>
      <c r="O149" s="17"/>
      <c r="P149" s="88">
        <v>3.5350000000000001</v>
      </c>
      <c r="Q149" s="88">
        <v>1.9510000000000001</v>
      </c>
      <c r="R149" s="17">
        <v>0</v>
      </c>
      <c r="S149" s="66">
        <v>1276.8577118843027</v>
      </c>
      <c r="T149" s="19" t="s">
        <v>3294</v>
      </c>
      <c r="U149" s="21" t="s">
        <v>3295</v>
      </c>
      <c r="V149" s="86" t="s">
        <v>3296</v>
      </c>
      <c r="W149" s="81" t="s">
        <v>700</v>
      </c>
      <c r="X149" s="16"/>
      <c r="Y149" s="16"/>
      <c r="Z149" s="16"/>
      <c r="AA149" s="16"/>
      <c r="AB149" s="16"/>
      <c r="AC149" s="16"/>
      <c r="AD149"/>
      <c r="AE149"/>
      <c r="AF149"/>
      <c r="AG149"/>
      <c r="AH149"/>
      <c r="AI149"/>
      <c r="AJ149"/>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c r="EG149" s="5"/>
    </row>
    <row r="150" spans="1:137" s="32" customFormat="1" ht="57">
      <c r="A150" s="17" t="s">
        <v>218</v>
      </c>
      <c r="B150" s="17" t="s">
        <v>389</v>
      </c>
      <c r="C150" s="18" t="s">
        <v>390</v>
      </c>
      <c r="D150" s="18" t="s">
        <v>3288</v>
      </c>
      <c r="E150" s="17">
        <v>725</v>
      </c>
      <c r="F150" s="17" t="s">
        <v>753</v>
      </c>
      <c r="G150" s="19" t="s">
        <v>701</v>
      </c>
      <c r="H150" s="17" t="s">
        <v>702</v>
      </c>
      <c r="I150" s="17" t="s">
        <v>104</v>
      </c>
      <c r="J150" s="19" t="s">
        <v>105</v>
      </c>
      <c r="K150" s="19" t="s">
        <v>3292</v>
      </c>
      <c r="L150" s="19" t="s">
        <v>3293</v>
      </c>
      <c r="M150" s="17"/>
      <c r="N150" s="17"/>
      <c r="O150" s="17"/>
      <c r="P150" s="88">
        <v>3.4509999999999996</v>
      </c>
      <c r="Q150" s="88">
        <v>1.9710000000000001</v>
      </c>
      <c r="R150" s="17">
        <v>0</v>
      </c>
      <c r="S150" s="66">
        <v>1247.3683610205694</v>
      </c>
      <c r="T150" s="19" t="s">
        <v>3294</v>
      </c>
      <c r="U150" s="21" t="s">
        <v>3295</v>
      </c>
      <c r="V150" s="86" t="s">
        <v>3296</v>
      </c>
      <c r="W150" s="81" t="s">
        <v>700</v>
      </c>
      <c r="X150" s="16"/>
      <c r="Y150" s="16"/>
      <c r="Z150" s="16"/>
      <c r="AA150" s="16"/>
      <c r="AB150" s="16"/>
      <c r="AC150" s="16"/>
      <c r="AD150"/>
      <c r="AE150"/>
      <c r="AF150"/>
      <c r="AG150"/>
      <c r="AH150"/>
      <c r="AI150"/>
      <c r="AJ150"/>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row>
    <row r="151" spans="1:137" s="32" customFormat="1" ht="57">
      <c r="A151" s="17" t="s">
        <v>218</v>
      </c>
      <c r="B151" s="17" t="s">
        <v>389</v>
      </c>
      <c r="C151" s="18" t="s">
        <v>390</v>
      </c>
      <c r="D151" s="18" t="s">
        <v>3288</v>
      </c>
      <c r="E151" s="17">
        <v>725</v>
      </c>
      <c r="F151" s="17" t="s">
        <v>753</v>
      </c>
      <c r="G151" s="19" t="s">
        <v>701</v>
      </c>
      <c r="H151" s="17" t="s">
        <v>702</v>
      </c>
      <c r="I151" s="17" t="s">
        <v>104</v>
      </c>
      <c r="J151" s="19" t="s">
        <v>105</v>
      </c>
      <c r="K151" s="19" t="s">
        <v>3292</v>
      </c>
      <c r="L151" s="19" t="s">
        <v>3293</v>
      </c>
      <c r="M151" s="17"/>
      <c r="N151" s="17"/>
      <c r="O151" s="17"/>
      <c r="P151" s="88">
        <v>3.55</v>
      </c>
      <c r="Q151" s="88">
        <v>1.8829999999999998</v>
      </c>
      <c r="R151" s="17">
        <v>0</v>
      </c>
      <c r="S151" s="66">
        <v>1211.3024314997483</v>
      </c>
      <c r="T151" s="19" t="s">
        <v>3294</v>
      </c>
      <c r="U151" s="21" t="s">
        <v>3295</v>
      </c>
      <c r="V151" s="86" t="s">
        <v>3296</v>
      </c>
      <c r="W151" s="81" t="s">
        <v>700</v>
      </c>
      <c r="X151" s="16"/>
      <c r="Y151" s="16"/>
      <c r="Z151" s="16"/>
      <c r="AA151" s="16"/>
      <c r="AB151" s="16"/>
      <c r="AC151" s="16"/>
      <c r="AD151"/>
      <c r="AE151"/>
      <c r="AF151"/>
      <c r="AG151"/>
      <c r="AH151"/>
      <c r="AI151"/>
      <c r="AJ151"/>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row>
    <row r="152" spans="1:137" s="32" customFormat="1" ht="57">
      <c r="A152" s="17" t="s">
        <v>218</v>
      </c>
      <c r="B152" s="17" t="s">
        <v>389</v>
      </c>
      <c r="C152" s="18" t="s">
        <v>390</v>
      </c>
      <c r="D152" s="18" t="s">
        <v>3288</v>
      </c>
      <c r="E152" s="17">
        <v>725</v>
      </c>
      <c r="F152" s="17" t="s">
        <v>753</v>
      </c>
      <c r="G152" s="19" t="s">
        <v>701</v>
      </c>
      <c r="H152" s="17" t="s">
        <v>702</v>
      </c>
      <c r="I152" s="17" t="s">
        <v>104</v>
      </c>
      <c r="J152" s="19" t="s">
        <v>105</v>
      </c>
      <c r="K152" s="19" t="s">
        <v>3292</v>
      </c>
      <c r="L152" s="19" t="s">
        <v>3293</v>
      </c>
      <c r="M152" s="17"/>
      <c r="N152" s="17"/>
      <c r="O152" s="17"/>
      <c r="P152" s="88">
        <v>3.6799999999999997</v>
      </c>
      <c r="Q152" s="88">
        <v>1.8069999999999999</v>
      </c>
      <c r="R152" s="17">
        <v>0</v>
      </c>
      <c r="S152" s="66">
        <v>1200.6555376932306</v>
      </c>
      <c r="T152" s="19" t="s">
        <v>3294</v>
      </c>
      <c r="U152" s="21" t="s">
        <v>3295</v>
      </c>
      <c r="V152" s="86" t="s">
        <v>3296</v>
      </c>
      <c r="W152" s="81" t="s">
        <v>700</v>
      </c>
      <c r="X152" s="16"/>
      <c r="Y152" s="16"/>
      <c r="Z152" s="16"/>
      <c r="AA152" s="16"/>
      <c r="AB152" s="16"/>
      <c r="AC152" s="16"/>
      <c r="AD152"/>
      <c r="AE152"/>
      <c r="AF152"/>
      <c r="AG152"/>
      <c r="AH152"/>
      <c r="AI152"/>
      <c r="AJ152"/>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row>
    <row r="153" spans="1:137" s="32" customFormat="1" ht="57">
      <c r="A153" s="17" t="s">
        <v>218</v>
      </c>
      <c r="B153" s="17" t="s">
        <v>389</v>
      </c>
      <c r="C153" s="18" t="s">
        <v>390</v>
      </c>
      <c r="D153" s="18" t="s">
        <v>3288</v>
      </c>
      <c r="E153" s="17">
        <v>31041</v>
      </c>
      <c r="F153" s="17">
        <v>47</v>
      </c>
      <c r="G153" s="19" t="s">
        <v>170</v>
      </c>
      <c r="H153" s="17" t="s">
        <v>171</v>
      </c>
      <c r="I153" s="17" t="s">
        <v>104</v>
      </c>
      <c r="J153" s="19" t="s">
        <v>105</v>
      </c>
      <c r="K153" s="19" t="s">
        <v>112</v>
      </c>
      <c r="L153" s="19" t="s">
        <v>113</v>
      </c>
      <c r="M153" s="17" t="s">
        <v>114</v>
      </c>
      <c r="N153" s="17"/>
      <c r="O153" s="17"/>
      <c r="P153" s="88">
        <v>3.085</v>
      </c>
      <c r="Q153" s="88">
        <v>2.1109999999999998</v>
      </c>
      <c r="R153" s="17">
        <v>0</v>
      </c>
      <c r="S153" s="66">
        <v>1413.8801764849932</v>
      </c>
      <c r="T153" s="19" t="s">
        <v>3257</v>
      </c>
      <c r="U153" s="21">
        <v>0.94199999999999995</v>
      </c>
      <c r="V153" s="86">
        <v>29.2</v>
      </c>
      <c r="W153" s="81" t="s">
        <v>700</v>
      </c>
      <c r="X153" s="16"/>
      <c r="Y153" s="16"/>
      <c r="Z153" s="16"/>
      <c r="AA153" s="16"/>
      <c r="AB153" s="16"/>
      <c r="AC153" s="16"/>
      <c r="AD153" s="16"/>
      <c r="AE153" s="16"/>
      <c r="AF153" s="16"/>
      <c r="AG153" s="16"/>
      <c r="AH153" s="16"/>
      <c r="AI153" s="16"/>
      <c r="AJ153" s="16"/>
      <c r="AK153" s="17"/>
      <c r="AL153" s="17"/>
      <c r="AM153" s="17"/>
      <c r="AN153" s="17"/>
      <c r="AO153" s="17"/>
      <c r="AP153" s="17"/>
      <c r="AQ153" s="17"/>
      <c r="AR153" s="17"/>
      <c r="AS153" s="17"/>
      <c r="AT153" s="17"/>
      <c r="AU153" s="17"/>
      <c r="AV153" s="17"/>
      <c r="AW153" s="17"/>
      <c r="AX153" s="17"/>
      <c r="AY153" s="17"/>
      <c r="AZ153" s="17"/>
      <c r="BA153" s="17"/>
      <c r="BB153" s="17"/>
      <c r="BC153" s="17"/>
      <c r="BD153" s="17"/>
      <c r="BE153" s="17"/>
      <c r="BF153" s="17"/>
      <c r="BG153" s="17"/>
      <c r="BH153" s="17"/>
      <c r="BI153" s="17"/>
      <c r="BJ153" s="17"/>
      <c r="BK153" s="17"/>
      <c r="BL153" s="17"/>
      <c r="BM153" s="17"/>
      <c r="BN153" s="17"/>
      <c r="BO153" s="17"/>
      <c r="BP153" s="17"/>
      <c r="BQ153" s="17"/>
      <c r="BR153" s="17"/>
      <c r="BS153" s="17"/>
      <c r="BT153" s="17"/>
      <c r="BU153" s="17"/>
      <c r="BV153" s="17"/>
      <c r="BW153" s="17"/>
      <c r="BX153" s="17"/>
      <c r="BY153" s="17"/>
      <c r="BZ153" s="17"/>
      <c r="CA153" s="17"/>
      <c r="CB153" s="17"/>
      <c r="CC153" s="17"/>
      <c r="CD153" s="17"/>
      <c r="CE153" s="17"/>
      <c r="CF153" s="17"/>
      <c r="CG153" s="17"/>
      <c r="CH153" s="17"/>
      <c r="CI153" s="17"/>
      <c r="CJ153" s="17"/>
      <c r="CK153" s="17"/>
      <c r="CL153" s="17"/>
      <c r="CM153" s="17"/>
      <c r="CN153" s="17"/>
      <c r="CO153" s="17"/>
      <c r="CP153" s="17"/>
      <c r="CQ153" s="17"/>
      <c r="CR153" s="17"/>
      <c r="CS153" s="17"/>
      <c r="CT153" s="17"/>
      <c r="CU153" s="17"/>
      <c r="CV153" s="17"/>
      <c r="CW153" s="17"/>
      <c r="CX153" s="17"/>
      <c r="CY153" s="17"/>
      <c r="CZ153" s="17"/>
      <c r="DA153" s="17"/>
      <c r="DB153" s="17"/>
      <c r="DC153" s="17"/>
      <c r="DD153" s="17"/>
      <c r="DE153" s="17"/>
      <c r="DF153" s="17"/>
      <c r="DG153" s="17"/>
      <c r="DH153" s="17"/>
      <c r="DI153" s="17"/>
      <c r="DJ153" s="17"/>
      <c r="DK153" s="17"/>
      <c r="DL153" s="17"/>
      <c r="DM153" s="17"/>
      <c r="DN153" s="17"/>
      <c r="DO153" s="17"/>
      <c r="DP153" s="17"/>
      <c r="DQ153" s="17"/>
      <c r="DR153" s="17"/>
      <c r="DS153" s="17"/>
      <c r="DT153" s="17"/>
      <c r="DU153" s="17"/>
      <c r="DV153" s="17"/>
      <c r="DW153" s="17"/>
      <c r="DX153" s="17"/>
      <c r="DY153" s="17"/>
      <c r="DZ153" s="17"/>
      <c r="EA153" s="17"/>
      <c r="EB153" s="17"/>
      <c r="EC153" s="17"/>
      <c r="ED153" s="17"/>
      <c r="EE153" s="17"/>
      <c r="EF153" s="17"/>
      <c r="EG153" s="17"/>
    </row>
    <row r="154" spans="1:137" s="32" customFormat="1" ht="76">
      <c r="A154" s="17" t="s">
        <v>218</v>
      </c>
      <c r="B154" s="17" t="s">
        <v>389</v>
      </c>
      <c r="C154" s="18" t="s">
        <v>390</v>
      </c>
      <c r="D154" s="18" t="s">
        <v>3288</v>
      </c>
      <c r="E154" s="17">
        <v>1018</v>
      </c>
      <c r="F154" s="17">
        <v>2</v>
      </c>
      <c r="G154" s="19" t="s">
        <v>779</v>
      </c>
      <c r="H154" s="17" t="s">
        <v>780</v>
      </c>
      <c r="I154" s="17" t="s">
        <v>104</v>
      </c>
      <c r="J154" s="19" t="s">
        <v>105</v>
      </c>
      <c r="K154" s="19" t="s">
        <v>174</v>
      </c>
      <c r="L154" s="19" t="s">
        <v>127</v>
      </c>
      <c r="M154" s="17"/>
      <c r="N154" s="17"/>
      <c r="O154" s="17"/>
      <c r="P154" s="88">
        <v>4.383</v>
      </c>
      <c r="Q154" s="88">
        <v>1.482</v>
      </c>
      <c r="R154" s="17">
        <v>0</v>
      </c>
      <c r="S154" s="66">
        <v>558.07729135318539</v>
      </c>
      <c r="T154" s="19" t="s">
        <v>3245</v>
      </c>
      <c r="U154" s="21">
        <v>0.94299999999999995</v>
      </c>
      <c r="V154" s="86">
        <v>29.1</v>
      </c>
      <c r="W154" s="81" t="s">
        <v>3297</v>
      </c>
      <c r="X154" s="16"/>
      <c r="Y154" s="16"/>
      <c r="Z154" s="16"/>
      <c r="AA154" s="16"/>
      <c r="AB154" s="16"/>
      <c r="AC154" s="16"/>
      <c r="AD154"/>
      <c r="AE154"/>
      <c r="AF154"/>
      <c r="AG154"/>
      <c r="AH154"/>
      <c r="AI154"/>
      <c r="AJ154"/>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row>
    <row r="155" spans="1:137" s="32" customFormat="1" ht="57">
      <c r="A155" s="17" t="s">
        <v>218</v>
      </c>
      <c r="B155" s="17" t="s">
        <v>389</v>
      </c>
      <c r="C155" s="18" t="s">
        <v>390</v>
      </c>
      <c r="D155" s="18" t="s">
        <v>3288</v>
      </c>
      <c r="E155" s="17">
        <v>1018</v>
      </c>
      <c r="F155" s="17">
        <v>3</v>
      </c>
      <c r="G155" s="19" t="s">
        <v>779</v>
      </c>
      <c r="H155" s="17" t="s">
        <v>780</v>
      </c>
      <c r="I155" s="17" t="s">
        <v>104</v>
      </c>
      <c r="J155" s="19" t="s">
        <v>105</v>
      </c>
      <c r="K155" s="19" t="s">
        <v>112</v>
      </c>
      <c r="L155" s="19" t="s">
        <v>113</v>
      </c>
      <c r="M155" s="17" t="s">
        <v>108</v>
      </c>
      <c r="N155" s="17"/>
      <c r="O155" s="17"/>
      <c r="P155" s="88">
        <v>3.2399999999999998</v>
      </c>
      <c r="Q155" s="88">
        <v>2.1149999999999998</v>
      </c>
      <c r="R155" s="17">
        <v>0</v>
      </c>
      <c r="S155" s="66">
        <v>1540.8477909064934</v>
      </c>
      <c r="T155" s="19" t="s">
        <v>3257</v>
      </c>
      <c r="U155" s="21">
        <v>0.94199999999999995</v>
      </c>
      <c r="V155" s="86">
        <v>29.2</v>
      </c>
      <c r="W155" s="81" t="s">
        <v>700</v>
      </c>
      <c r="X155" s="16"/>
      <c r="Y155" s="16"/>
      <c r="Z155" s="16"/>
      <c r="AA155" s="16"/>
      <c r="AB155" s="16"/>
      <c r="AC155" s="16"/>
      <c r="AD155" s="16"/>
      <c r="AE155" s="16"/>
      <c r="AF155" s="16"/>
      <c r="AG155" s="16"/>
      <c r="AH155" s="16"/>
      <c r="AI155" s="16"/>
      <c r="AJ155" s="16"/>
      <c r="AK155" s="17"/>
      <c r="AL155" s="17"/>
      <c r="AM155" s="17"/>
      <c r="AN155" s="17"/>
      <c r="AO155" s="17"/>
      <c r="AP155" s="17"/>
      <c r="AQ155" s="17"/>
      <c r="AR155" s="17"/>
      <c r="AS155" s="17"/>
      <c r="AT155" s="17"/>
      <c r="AU155" s="17"/>
      <c r="AV155" s="17"/>
      <c r="AW155" s="17"/>
      <c r="AX155" s="17"/>
      <c r="AY155" s="17"/>
      <c r="AZ155" s="17"/>
      <c r="BA155" s="17"/>
      <c r="BB155" s="17"/>
      <c r="BC155" s="17"/>
      <c r="BD155" s="17"/>
      <c r="BE155" s="17"/>
      <c r="BF155" s="17"/>
      <c r="BG155" s="17"/>
      <c r="BH155" s="17"/>
      <c r="BI155" s="17"/>
      <c r="BJ155" s="17"/>
      <c r="BK155" s="17"/>
      <c r="BL155" s="17"/>
      <c r="BM155" s="17"/>
      <c r="BN155" s="17"/>
      <c r="BO155" s="17"/>
      <c r="BP155" s="17"/>
      <c r="BQ155" s="17"/>
      <c r="BR155" s="17"/>
      <c r="BS155" s="17"/>
      <c r="BT155" s="17"/>
      <c r="BU155" s="17"/>
      <c r="BV155" s="17"/>
      <c r="BW155" s="17"/>
      <c r="BX155" s="17"/>
      <c r="BY155" s="17"/>
      <c r="BZ155" s="17"/>
      <c r="CA155" s="17"/>
      <c r="CB155" s="17"/>
      <c r="CC155" s="17"/>
      <c r="CD155" s="17"/>
      <c r="CE155" s="17"/>
      <c r="CF155" s="17"/>
      <c r="CG155" s="17"/>
      <c r="CH155" s="17"/>
      <c r="CI155" s="17"/>
      <c r="CJ155" s="17"/>
      <c r="CK155" s="17"/>
      <c r="CL155" s="17"/>
      <c r="CM155" s="17"/>
      <c r="CN155" s="17"/>
      <c r="CO155" s="17"/>
      <c r="CP155" s="17"/>
      <c r="CQ155" s="17"/>
      <c r="CR155" s="17"/>
      <c r="CS155" s="17"/>
      <c r="CT155" s="17"/>
      <c r="CU155" s="17"/>
      <c r="CV155" s="17"/>
      <c r="CW155" s="17"/>
      <c r="CX155" s="17"/>
      <c r="CY155" s="17"/>
      <c r="CZ155" s="17"/>
      <c r="DA155" s="17"/>
      <c r="DB155" s="17"/>
      <c r="DC155" s="17"/>
      <c r="DD155" s="17"/>
      <c r="DE155" s="17"/>
      <c r="DF155" s="17"/>
      <c r="DG155" s="17"/>
      <c r="DH155" s="17"/>
      <c r="DI155" s="17"/>
      <c r="DJ155" s="17"/>
      <c r="DK155" s="17"/>
      <c r="DL155" s="17"/>
      <c r="DM155" s="17"/>
      <c r="DN155" s="17"/>
      <c r="DO155" s="17"/>
      <c r="DP155" s="17"/>
      <c r="DQ155" s="17"/>
      <c r="DR155" s="17"/>
      <c r="DS155" s="17"/>
      <c r="DT155" s="17"/>
      <c r="DU155" s="17"/>
      <c r="DV155" s="17"/>
      <c r="DW155" s="17"/>
      <c r="DX155" s="17"/>
      <c r="DY155" s="17"/>
      <c r="DZ155" s="17"/>
      <c r="EA155" s="17"/>
      <c r="EB155" s="17"/>
      <c r="EC155" s="17"/>
      <c r="ED155" s="17"/>
      <c r="EE155" s="17"/>
      <c r="EF155" s="17"/>
      <c r="EG155" s="17"/>
    </row>
    <row r="156" spans="1:137" s="32" customFormat="1" ht="76">
      <c r="A156" s="17" t="s">
        <v>218</v>
      </c>
      <c r="B156" s="17" t="s">
        <v>389</v>
      </c>
      <c r="C156" s="18" t="s">
        <v>390</v>
      </c>
      <c r="D156" s="18" t="s">
        <v>3288</v>
      </c>
      <c r="E156" s="17">
        <v>1018</v>
      </c>
      <c r="F156" s="17">
        <v>3</v>
      </c>
      <c r="G156" s="19" t="s">
        <v>779</v>
      </c>
      <c r="H156" s="17" t="s">
        <v>780</v>
      </c>
      <c r="I156" s="17" t="s">
        <v>104</v>
      </c>
      <c r="J156" s="19" t="s">
        <v>105</v>
      </c>
      <c r="K156" s="19" t="s">
        <v>174</v>
      </c>
      <c r="L156" s="19" t="s">
        <v>127</v>
      </c>
      <c r="M156" s="17"/>
      <c r="N156" s="17"/>
      <c r="O156" s="17"/>
      <c r="P156" s="88">
        <v>4.2229999999999999</v>
      </c>
      <c r="Q156" s="88">
        <v>1.845</v>
      </c>
      <c r="R156" s="17">
        <v>0</v>
      </c>
      <c r="S156" s="66">
        <v>749.8713170150678</v>
      </c>
      <c r="T156" s="19" t="s">
        <v>3245</v>
      </c>
      <c r="U156" s="21">
        <v>0.94299999999999995</v>
      </c>
      <c r="V156" s="86">
        <v>29.1</v>
      </c>
      <c r="W156" s="81" t="s">
        <v>3297</v>
      </c>
      <c r="X156" s="16"/>
      <c r="Y156" s="16"/>
      <c r="Z156" s="16"/>
      <c r="AA156" s="16"/>
      <c r="AB156" s="16"/>
      <c r="AC156" s="16"/>
      <c r="AD156"/>
      <c r="AE156"/>
      <c r="AF156"/>
      <c r="AG156"/>
      <c r="AH156"/>
      <c r="AI156"/>
      <c r="AJ156"/>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row>
    <row r="157" spans="1:137" s="32" customFormat="1" ht="76">
      <c r="A157" s="17" t="s">
        <v>218</v>
      </c>
      <c r="B157" s="17" t="s">
        <v>389</v>
      </c>
      <c r="C157" s="18" t="s">
        <v>390</v>
      </c>
      <c r="D157" s="18" t="s">
        <v>3288</v>
      </c>
      <c r="E157" s="17">
        <v>1018</v>
      </c>
      <c r="F157" s="17">
        <v>4</v>
      </c>
      <c r="G157" s="19" t="s">
        <v>779</v>
      </c>
      <c r="H157" s="17" t="s">
        <v>780</v>
      </c>
      <c r="I157" s="17" t="s">
        <v>104</v>
      </c>
      <c r="J157" s="19" t="s">
        <v>105</v>
      </c>
      <c r="K157" s="19" t="s">
        <v>174</v>
      </c>
      <c r="L157" s="19" t="s">
        <v>127</v>
      </c>
      <c r="M157" s="17"/>
      <c r="N157" s="17"/>
      <c r="O157" s="17"/>
      <c r="P157" s="88">
        <v>4.5810000000000004</v>
      </c>
      <c r="Q157" s="88">
        <v>1.45</v>
      </c>
      <c r="R157" s="17">
        <v>0</v>
      </c>
      <c r="S157" s="66">
        <v>578.71021656075879</v>
      </c>
      <c r="T157" s="19" t="s">
        <v>3245</v>
      </c>
      <c r="U157" s="21">
        <v>0.94299999999999995</v>
      </c>
      <c r="V157" s="86">
        <v>29.1</v>
      </c>
      <c r="W157" s="81" t="s">
        <v>3297</v>
      </c>
      <c r="X157" s="16"/>
      <c r="Y157" s="16"/>
      <c r="Z157" s="16"/>
      <c r="AA157" s="16"/>
      <c r="AB157" s="16"/>
      <c r="AC157" s="16"/>
      <c r="AD157"/>
      <c r="AE157"/>
      <c r="AF157"/>
      <c r="AG157"/>
      <c r="AH157"/>
      <c r="AI157"/>
      <c r="AJ157"/>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c r="DX157" s="5"/>
      <c r="DY157" s="5"/>
      <c r="DZ157" s="5"/>
      <c r="EA157" s="5"/>
      <c r="EB157" s="5"/>
      <c r="EC157" s="5"/>
      <c r="ED157" s="5"/>
      <c r="EE157" s="5"/>
      <c r="EF157" s="5"/>
      <c r="EG157" s="5"/>
    </row>
    <row r="158" spans="1:137" s="32" customFormat="1" ht="76">
      <c r="A158" s="17" t="s">
        <v>218</v>
      </c>
      <c r="B158" s="17" t="s">
        <v>389</v>
      </c>
      <c r="C158" s="18" t="s">
        <v>390</v>
      </c>
      <c r="D158" s="18" t="s">
        <v>3288</v>
      </c>
      <c r="E158" s="17">
        <v>1018</v>
      </c>
      <c r="F158" s="17">
        <v>5</v>
      </c>
      <c r="G158" s="19" t="s">
        <v>779</v>
      </c>
      <c r="H158" s="17" t="s">
        <v>780</v>
      </c>
      <c r="I158" s="17" t="s">
        <v>104</v>
      </c>
      <c r="J158" s="19" t="s">
        <v>105</v>
      </c>
      <c r="K158" s="19" t="s">
        <v>174</v>
      </c>
      <c r="L158" s="19" t="s">
        <v>127</v>
      </c>
      <c r="M158" s="17"/>
      <c r="N158" s="17"/>
      <c r="O158" s="17"/>
      <c r="P158" s="88">
        <v>4.4240000000000004</v>
      </c>
      <c r="Q158" s="88">
        <v>1.393</v>
      </c>
      <c r="R158" s="17">
        <v>0</v>
      </c>
      <c r="S158" s="66">
        <v>512.3660736458761</v>
      </c>
      <c r="T158" s="19" t="s">
        <v>3245</v>
      </c>
      <c r="U158" s="21">
        <v>0.94299999999999995</v>
      </c>
      <c r="V158" s="86">
        <v>29.1</v>
      </c>
      <c r="W158" s="81" t="s">
        <v>3297</v>
      </c>
      <c r="X158" s="16"/>
      <c r="Y158" s="16"/>
      <c r="Z158" s="16"/>
      <c r="AA158" s="16"/>
      <c r="AB158" s="16"/>
      <c r="AC158" s="16"/>
      <c r="AD158"/>
      <c r="AE158"/>
      <c r="AF158"/>
      <c r="AG158"/>
      <c r="AH158"/>
      <c r="AI158"/>
      <c r="AJ158"/>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row>
    <row r="159" spans="1:137" s="32" customFormat="1" ht="76">
      <c r="A159" s="17" t="s">
        <v>218</v>
      </c>
      <c r="B159" s="17" t="s">
        <v>389</v>
      </c>
      <c r="C159" s="18" t="s">
        <v>390</v>
      </c>
      <c r="D159" s="18" t="s">
        <v>3288</v>
      </c>
      <c r="E159" s="17">
        <v>1018</v>
      </c>
      <c r="F159" s="17">
        <v>6</v>
      </c>
      <c r="G159" s="19" t="s">
        <v>779</v>
      </c>
      <c r="H159" s="17" t="s">
        <v>780</v>
      </c>
      <c r="I159" s="17" t="s">
        <v>104</v>
      </c>
      <c r="J159" s="19" t="s">
        <v>105</v>
      </c>
      <c r="K159" s="19" t="s">
        <v>174</v>
      </c>
      <c r="L159" s="19" t="s">
        <v>127</v>
      </c>
      <c r="M159" s="17"/>
      <c r="N159" s="17"/>
      <c r="O159" s="17"/>
      <c r="P159" s="88">
        <v>4.3770000000000007</v>
      </c>
      <c r="Q159" s="88">
        <v>1.454</v>
      </c>
      <c r="R159" s="17">
        <v>0</v>
      </c>
      <c r="S159" s="66">
        <v>539.85273743360699</v>
      </c>
      <c r="T159" s="19" t="s">
        <v>3245</v>
      </c>
      <c r="U159" s="21">
        <v>0.94299999999999995</v>
      </c>
      <c r="V159" s="86">
        <v>29.1</v>
      </c>
      <c r="W159" s="81" t="s">
        <v>3297</v>
      </c>
      <c r="X159" s="16"/>
      <c r="Y159" s="16"/>
      <c r="Z159" s="16"/>
      <c r="AA159" s="16"/>
      <c r="AB159" s="16"/>
      <c r="AC159" s="16"/>
      <c r="AD159"/>
      <c r="AE159"/>
      <c r="AF159"/>
      <c r="AG159"/>
      <c r="AH159"/>
      <c r="AI159"/>
      <c r="AJ159"/>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c r="EG159" s="5"/>
    </row>
    <row r="160" spans="1:137" s="32" customFormat="1" ht="57">
      <c r="A160" s="17" t="s">
        <v>218</v>
      </c>
      <c r="B160" s="17" t="s">
        <v>389</v>
      </c>
      <c r="C160" s="18" t="s">
        <v>390</v>
      </c>
      <c r="D160" s="18" t="s">
        <v>3288</v>
      </c>
      <c r="E160" s="17">
        <v>1018</v>
      </c>
      <c r="F160" s="17">
        <v>8</v>
      </c>
      <c r="G160" s="19" t="s">
        <v>779</v>
      </c>
      <c r="H160" s="17" t="s">
        <v>780</v>
      </c>
      <c r="I160" s="17" t="s">
        <v>104</v>
      </c>
      <c r="J160" s="19" t="s">
        <v>105</v>
      </c>
      <c r="K160" s="19" t="s">
        <v>126</v>
      </c>
      <c r="L160" s="19" t="s">
        <v>127</v>
      </c>
      <c r="M160" s="17" t="s">
        <v>114</v>
      </c>
      <c r="N160" s="17"/>
      <c r="O160" s="17"/>
      <c r="P160" s="88">
        <v>5.04</v>
      </c>
      <c r="Q160" s="88">
        <v>1.5</v>
      </c>
      <c r="R160" s="17">
        <v>0</v>
      </c>
      <c r="S160" s="66">
        <v>714.0348285083777</v>
      </c>
      <c r="T160" s="19" t="s">
        <v>3245</v>
      </c>
      <c r="U160" s="21">
        <v>0.94299999999999995</v>
      </c>
      <c r="V160" s="86">
        <v>29.1</v>
      </c>
      <c r="W160" s="81" t="s">
        <v>700</v>
      </c>
      <c r="X160" s="16"/>
      <c r="Y160" s="16"/>
      <c r="Z160" s="16"/>
      <c r="AA160" s="16"/>
      <c r="AB160" s="16"/>
      <c r="AC160" s="16"/>
      <c r="AD160"/>
      <c r="AE160"/>
      <c r="AF160"/>
      <c r="AG160"/>
      <c r="AH160"/>
      <c r="AI160"/>
      <c r="AJ160"/>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c r="EG160" s="5"/>
    </row>
    <row r="161" spans="1:137" s="32" customFormat="1" ht="57">
      <c r="A161" s="17" t="s">
        <v>218</v>
      </c>
      <c r="B161" s="17" t="s">
        <v>389</v>
      </c>
      <c r="C161" s="18" t="s">
        <v>390</v>
      </c>
      <c r="D161" s="18" t="s">
        <v>3288</v>
      </c>
      <c r="E161" s="17">
        <v>1018</v>
      </c>
      <c r="F161" s="17">
        <v>11</v>
      </c>
      <c r="G161" s="19" t="s">
        <v>779</v>
      </c>
      <c r="H161" s="17" t="s">
        <v>780</v>
      </c>
      <c r="I161" s="17" t="s">
        <v>104</v>
      </c>
      <c r="J161" s="19" t="s">
        <v>105</v>
      </c>
      <c r="K161" s="19" t="s">
        <v>112</v>
      </c>
      <c r="L161" s="19" t="s">
        <v>113</v>
      </c>
      <c r="M161" s="17" t="s">
        <v>114</v>
      </c>
      <c r="N161" s="17"/>
      <c r="O161" s="17"/>
      <c r="P161" s="88">
        <v>3.1070000000000002</v>
      </c>
      <c r="Q161" s="88">
        <v>1.8539999999999999</v>
      </c>
      <c r="R161" s="17">
        <v>0</v>
      </c>
      <c r="S161" s="66">
        <v>1149.2161231845064</v>
      </c>
      <c r="T161" s="19" t="s">
        <v>3257</v>
      </c>
      <c r="U161" s="21">
        <v>0.94199999999999995</v>
      </c>
      <c r="V161" s="86">
        <v>29.2</v>
      </c>
      <c r="W161" s="81" t="s">
        <v>700</v>
      </c>
      <c r="X161" s="16"/>
      <c r="Y161" s="16"/>
      <c r="Z161" s="16"/>
      <c r="AA161" s="16"/>
      <c r="AB161" s="16"/>
      <c r="AC161" s="16"/>
      <c r="AD161" s="16"/>
      <c r="AE161" s="16"/>
      <c r="AF161" s="16"/>
      <c r="AG161" s="16"/>
      <c r="AH161" s="16"/>
      <c r="AI161" s="16"/>
      <c r="AJ161" s="16"/>
      <c r="AK161" s="17"/>
      <c r="AL161" s="17"/>
      <c r="AM161" s="17"/>
      <c r="AN161" s="17"/>
      <c r="AO161" s="17"/>
      <c r="AP161" s="17"/>
      <c r="AQ161" s="17"/>
      <c r="AR161" s="17"/>
      <c r="AS161" s="17"/>
      <c r="AT161" s="17"/>
      <c r="AU161" s="17"/>
      <c r="AV161" s="17"/>
      <c r="AW161" s="17"/>
      <c r="AX161" s="17"/>
      <c r="AY161" s="17"/>
      <c r="AZ161" s="17"/>
      <c r="BA161" s="17"/>
      <c r="BB161" s="17"/>
      <c r="BC161" s="17"/>
      <c r="BD161" s="17"/>
      <c r="BE161" s="17"/>
      <c r="BF161" s="17"/>
      <c r="BG161" s="17"/>
      <c r="BH161" s="17"/>
      <c r="BI161" s="17"/>
      <c r="BJ161" s="17"/>
      <c r="BK161" s="17"/>
      <c r="BL161" s="17"/>
      <c r="BM161" s="17"/>
      <c r="BN161" s="17"/>
      <c r="BO161" s="17"/>
      <c r="BP161" s="17"/>
      <c r="BQ161" s="17"/>
      <c r="BR161" s="17"/>
      <c r="BS161" s="17"/>
      <c r="BT161" s="17"/>
      <c r="BU161" s="17"/>
      <c r="BV161" s="17"/>
      <c r="BW161" s="17"/>
      <c r="BX161" s="17"/>
      <c r="BY161" s="17"/>
      <c r="BZ161" s="17"/>
      <c r="CA161" s="17"/>
      <c r="CB161" s="17"/>
      <c r="CC161" s="17"/>
      <c r="CD161" s="17"/>
      <c r="CE161" s="17"/>
      <c r="CF161" s="17"/>
      <c r="CG161" s="17"/>
      <c r="CH161" s="17"/>
      <c r="CI161" s="17"/>
      <c r="CJ161" s="17"/>
      <c r="CK161" s="17"/>
      <c r="CL161" s="17"/>
      <c r="CM161" s="17"/>
      <c r="CN161" s="17"/>
      <c r="CO161" s="17"/>
      <c r="CP161" s="17"/>
      <c r="CQ161" s="17"/>
      <c r="CR161" s="17"/>
      <c r="CS161" s="17"/>
      <c r="CT161" s="17"/>
      <c r="CU161" s="17"/>
      <c r="CV161" s="17"/>
      <c r="CW161" s="17"/>
      <c r="CX161" s="17"/>
      <c r="CY161" s="17"/>
      <c r="CZ161" s="17"/>
      <c r="DA161" s="17"/>
      <c r="DB161" s="17"/>
      <c r="DC161" s="17"/>
      <c r="DD161" s="17"/>
      <c r="DE161" s="17"/>
      <c r="DF161" s="17"/>
      <c r="DG161" s="17"/>
      <c r="DH161" s="17"/>
      <c r="DI161" s="17"/>
      <c r="DJ161" s="17"/>
      <c r="DK161" s="17"/>
      <c r="DL161" s="17"/>
      <c r="DM161" s="17"/>
      <c r="DN161" s="17"/>
      <c r="DO161" s="17"/>
      <c r="DP161" s="17"/>
      <c r="DQ161" s="17"/>
      <c r="DR161" s="17"/>
      <c r="DS161" s="17"/>
      <c r="DT161" s="17"/>
      <c r="DU161" s="17"/>
      <c r="DV161" s="17"/>
      <c r="DW161" s="17"/>
      <c r="DX161" s="17"/>
      <c r="DY161" s="17"/>
      <c r="DZ161" s="17"/>
      <c r="EA161" s="17"/>
      <c r="EB161" s="17"/>
      <c r="EC161" s="17"/>
      <c r="ED161" s="17"/>
      <c r="EE161" s="17"/>
      <c r="EF161" s="17"/>
      <c r="EG161" s="17"/>
    </row>
    <row r="162" spans="1:137" s="32" customFormat="1" ht="57">
      <c r="A162" s="17" t="s">
        <v>218</v>
      </c>
      <c r="B162" s="17" t="s">
        <v>389</v>
      </c>
      <c r="C162" s="18" t="s">
        <v>390</v>
      </c>
      <c r="D162" s="18" t="s">
        <v>3288</v>
      </c>
      <c r="E162" s="17">
        <v>1018</v>
      </c>
      <c r="F162" s="17">
        <v>12</v>
      </c>
      <c r="G162" s="19" t="s">
        <v>779</v>
      </c>
      <c r="H162" s="17" t="s">
        <v>780</v>
      </c>
      <c r="I162" s="17" t="s">
        <v>104</v>
      </c>
      <c r="J162" s="19" t="s">
        <v>105</v>
      </c>
      <c r="K162" s="19" t="s">
        <v>126</v>
      </c>
      <c r="L162" s="19" t="s">
        <v>127</v>
      </c>
      <c r="M162" s="17" t="s">
        <v>108</v>
      </c>
      <c r="N162" s="17"/>
      <c r="O162" s="17"/>
      <c r="P162" s="88">
        <v>4.085</v>
      </c>
      <c r="Q162" s="88">
        <v>1.48</v>
      </c>
      <c r="R162" s="17">
        <v>0</v>
      </c>
      <c r="S162" s="66">
        <v>496.68487219679957</v>
      </c>
      <c r="T162" s="19" t="s">
        <v>3245</v>
      </c>
      <c r="U162" s="21">
        <v>0.94299999999999995</v>
      </c>
      <c r="V162" s="86">
        <v>29.1</v>
      </c>
      <c r="W162" s="81" t="s">
        <v>700</v>
      </c>
      <c r="X162" s="16"/>
      <c r="Y162" s="16"/>
      <c r="Z162" s="16"/>
      <c r="AA162" s="16"/>
      <c r="AB162" s="16"/>
      <c r="AC162" s="16"/>
      <c r="AD162"/>
      <c r="AE162"/>
      <c r="AF162"/>
      <c r="AG162"/>
      <c r="AH162"/>
      <c r="AI162"/>
      <c r="AJ162"/>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c r="EB162" s="5"/>
      <c r="EC162" s="5"/>
      <c r="ED162" s="5"/>
      <c r="EE162" s="5"/>
      <c r="EF162" s="5"/>
      <c r="EG162" s="5"/>
    </row>
    <row r="163" spans="1:137" s="32" customFormat="1" ht="57">
      <c r="A163" s="17" t="s">
        <v>218</v>
      </c>
      <c r="B163" s="17" t="s">
        <v>389</v>
      </c>
      <c r="C163" s="18" t="s">
        <v>390</v>
      </c>
      <c r="D163" s="18" t="s">
        <v>3288</v>
      </c>
      <c r="E163" s="17">
        <v>1018</v>
      </c>
      <c r="F163" s="17">
        <v>13</v>
      </c>
      <c r="G163" s="19" t="s">
        <v>779</v>
      </c>
      <c r="H163" s="17" t="s">
        <v>780</v>
      </c>
      <c r="I163" s="17" t="s">
        <v>104</v>
      </c>
      <c r="J163" s="19" t="s">
        <v>105</v>
      </c>
      <c r="K163" s="19" t="s">
        <v>112</v>
      </c>
      <c r="L163" s="19" t="s">
        <v>113</v>
      </c>
      <c r="M163" s="17" t="s">
        <v>114</v>
      </c>
      <c r="N163" s="17"/>
      <c r="O163" s="17"/>
      <c r="P163" s="88">
        <v>3.0300000000000002</v>
      </c>
      <c r="Q163" s="88">
        <v>1.9410000000000001</v>
      </c>
      <c r="R163" s="17">
        <v>0</v>
      </c>
      <c r="S163" s="66">
        <v>1190.2322918610641</v>
      </c>
      <c r="T163" s="19" t="s">
        <v>3257</v>
      </c>
      <c r="U163" s="21">
        <v>0.94199999999999995</v>
      </c>
      <c r="V163" s="86">
        <v>29.2</v>
      </c>
      <c r="W163" s="81" t="s">
        <v>700</v>
      </c>
      <c r="X163" s="16"/>
      <c r="Y163" s="16"/>
      <c r="Z163" s="16"/>
      <c r="AA163" s="16"/>
      <c r="AB163" s="16"/>
      <c r="AC163" s="16"/>
      <c r="AD163" s="16"/>
      <c r="AE163" s="16"/>
      <c r="AF163" s="16"/>
      <c r="AG163" s="16"/>
      <c r="AH163" s="16"/>
      <c r="AI163" s="16"/>
      <c r="AJ163" s="16"/>
      <c r="AK163" s="17"/>
      <c r="AL163" s="17"/>
      <c r="AM163" s="17"/>
      <c r="AN163" s="17"/>
      <c r="AO163" s="17"/>
      <c r="AP163" s="17"/>
      <c r="AQ163" s="17"/>
      <c r="AR163" s="17"/>
      <c r="AS163" s="17"/>
      <c r="AT163" s="17"/>
      <c r="AU163" s="17"/>
      <c r="AV163" s="17"/>
      <c r="AW163" s="17"/>
      <c r="AX163" s="17"/>
      <c r="AY163" s="17"/>
      <c r="AZ163" s="17"/>
      <c r="BA163" s="17"/>
      <c r="BB163" s="17"/>
      <c r="BC163" s="17"/>
      <c r="BD163" s="17"/>
      <c r="BE163" s="17"/>
      <c r="BF163" s="17"/>
      <c r="BG163" s="17"/>
      <c r="BH163" s="17"/>
      <c r="BI163" s="17"/>
      <c r="BJ163" s="17"/>
      <c r="BK163" s="17"/>
      <c r="BL163" s="17"/>
      <c r="BM163" s="17"/>
      <c r="BN163" s="17"/>
      <c r="BO163" s="17"/>
      <c r="BP163" s="17"/>
      <c r="BQ163" s="17"/>
      <c r="BR163" s="17"/>
      <c r="BS163" s="17"/>
      <c r="BT163" s="17"/>
      <c r="BU163" s="17"/>
      <c r="BV163" s="17"/>
      <c r="BW163" s="17"/>
      <c r="BX163" s="17"/>
      <c r="BY163" s="17"/>
      <c r="BZ163" s="17"/>
      <c r="CA163" s="17"/>
      <c r="CB163" s="17"/>
      <c r="CC163" s="17"/>
      <c r="CD163" s="17"/>
      <c r="CE163" s="17"/>
      <c r="CF163" s="17"/>
      <c r="CG163" s="17"/>
      <c r="CH163" s="17"/>
      <c r="CI163" s="17"/>
      <c r="CJ163" s="17"/>
      <c r="CK163" s="17"/>
      <c r="CL163" s="17"/>
      <c r="CM163" s="17"/>
      <c r="CN163" s="17"/>
      <c r="CO163" s="17"/>
      <c r="CP163" s="17"/>
      <c r="CQ163" s="17"/>
      <c r="CR163" s="17"/>
      <c r="CS163" s="17"/>
      <c r="CT163" s="17"/>
      <c r="CU163" s="17"/>
      <c r="CV163" s="17"/>
      <c r="CW163" s="17"/>
      <c r="CX163" s="17"/>
      <c r="CY163" s="17"/>
      <c r="CZ163" s="17"/>
      <c r="DA163" s="17"/>
      <c r="DB163" s="17"/>
      <c r="DC163" s="17"/>
      <c r="DD163" s="17"/>
      <c r="DE163" s="17"/>
      <c r="DF163" s="17"/>
      <c r="DG163" s="17"/>
      <c r="DH163" s="17"/>
      <c r="DI163" s="17"/>
      <c r="DJ163" s="17"/>
      <c r="DK163" s="17"/>
      <c r="DL163" s="17"/>
      <c r="DM163" s="17"/>
      <c r="DN163" s="17"/>
      <c r="DO163" s="17"/>
      <c r="DP163" s="17"/>
      <c r="DQ163" s="17"/>
      <c r="DR163" s="17"/>
      <c r="DS163" s="17"/>
      <c r="DT163" s="17"/>
      <c r="DU163" s="17"/>
      <c r="DV163" s="17"/>
      <c r="DW163" s="17"/>
      <c r="DX163" s="17"/>
      <c r="DY163" s="17"/>
      <c r="DZ163" s="17"/>
      <c r="EA163" s="17"/>
      <c r="EB163" s="17"/>
      <c r="EC163" s="17"/>
      <c r="ED163" s="17"/>
      <c r="EE163" s="17"/>
      <c r="EF163" s="17"/>
      <c r="EG163" s="17"/>
    </row>
    <row r="164" spans="1:137" s="32" customFormat="1" ht="57">
      <c r="A164" s="17" t="s">
        <v>218</v>
      </c>
      <c r="B164" s="17" t="s">
        <v>389</v>
      </c>
      <c r="C164" s="18" t="s">
        <v>390</v>
      </c>
      <c r="D164" s="18" t="s">
        <v>3288</v>
      </c>
      <c r="E164" s="17">
        <v>1018</v>
      </c>
      <c r="F164" s="17">
        <v>70</v>
      </c>
      <c r="G164" s="19" t="s">
        <v>779</v>
      </c>
      <c r="H164" s="17" t="s">
        <v>780</v>
      </c>
      <c r="I164" s="17" t="s">
        <v>104</v>
      </c>
      <c r="J164" s="19" t="s">
        <v>105</v>
      </c>
      <c r="K164" s="19" t="s">
        <v>112</v>
      </c>
      <c r="L164" s="19" t="s">
        <v>113</v>
      </c>
      <c r="M164" s="17" t="s">
        <v>114</v>
      </c>
      <c r="N164" s="17"/>
      <c r="O164" s="17"/>
      <c r="P164" s="88">
        <v>3.1219999999999999</v>
      </c>
      <c r="Q164" s="88">
        <v>1.9300000000000002</v>
      </c>
      <c r="R164" s="17">
        <v>0</v>
      </c>
      <c r="S164" s="66">
        <v>1239.9479669721002</v>
      </c>
      <c r="T164" s="19" t="s">
        <v>3257</v>
      </c>
      <c r="U164" s="21">
        <v>0.94199999999999995</v>
      </c>
      <c r="V164" s="86">
        <v>29.2</v>
      </c>
      <c r="W164" s="81" t="s">
        <v>700</v>
      </c>
      <c r="X164" s="16"/>
      <c r="Y164" s="16"/>
      <c r="Z164" s="16"/>
      <c r="AA164" s="16"/>
      <c r="AB164" s="16"/>
      <c r="AC164" s="16"/>
      <c r="AD164" s="16"/>
      <c r="AE164" s="16"/>
      <c r="AF164" s="16"/>
      <c r="AG164" s="16"/>
      <c r="AH164" s="16"/>
      <c r="AI164" s="16"/>
      <c r="AJ164" s="16"/>
      <c r="AK164" s="17"/>
      <c r="AL164" s="17"/>
      <c r="AM164" s="17"/>
      <c r="AN164" s="17"/>
      <c r="AO164" s="17"/>
      <c r="AP164" s="17"/>
      <c r="AQ164" s="17"/>
      <c r="AR164" s="17"/>
      <c r="AS164" s="17"/>
      <c r="AT164" s="17"/>
      <c r="AU164" s="17"/>
      <c r="AV164" s="17"/>
      <c r="AW164" s="17"/>
      <c r="AX164" s="17"/>
      <c r="AY164" s="17"/>
      <c r="AZ164" s="17"/>
      <c r="BA164" s="17"/>
      <c r="BB164" s="17"/>
      <c r="BC164" s="17"/>
      <c r="BD164" s="17"/>
      <c r="BE164" s="17"/>
      <c r="BF164" s="17"/>
      <c r="BG164" s="17"/>
      <c r="BH164" s="17"/>
      <c r="BI164" s="17"/>
      <c r="BJ164" s="17"/>
      <c r="BK164" s="17"/>
      <c r="BL164" s="17"/>
      <c r="BM164" s="17"/>
      <c r="BN164" s="17"/>
      <c r="BO164" s="17"/>
      <c r="BP164" s="17"/>
      <c r="BQ164" s="17"/>
      <c r="BR164" s="17"/>
      <c r="BS164" s="17"/>
      <c r="BT164" s="17"/>
      <c r="BU164" s="17"/>
      <c r="BV164" s="17"/>
      <c r="BW164" s="17"/>
      <c r="BX164" s="17"/>
      <c r="BY164" s="17"/>
      <c r="BZ164" s="17"/>
      <c r="CA164" s="17"/>
      <c r="CB164" s="17"/>
      <c r="CC164" s="17"/>
      <c r="CD164" s="17"/>
      <c r="CE164" s="17"/>
      <c r="CF164" s="17"/>
      <c r="CG164" s="17"/>
      <c r="CH164" s="17"/>
      <c r="CI164" s="17"/>
      <c r="CJ164" s="17"/>
      <c r="CK164" s="17"/>
      <c r="CL164" s="17"/>
      <c r="CM164" s="17"/>
      <c r="CN164" s="17"/>
      <c r="CO164" s="17"/>
      <c r="CP164" s="17"/>
      <c r="CQ164" s="17"/>
      <c r="CR164" s="17"/>
      <c r="CS164" s="17"/>
      <c r="CT164" s="17"/>
      <c r="CU164" s="17"/>
      <c r="CV164" s="17"/>
      <c r="CW164" s="17"/>
      <c r="CX164" s="17"/>
      <c r="CY164" s="17"/>
      <c r="CZ164" s="17"/>
      <c r="DA164" s="17"/>
      <c r="DB164" s="17"/>
      <c r="DC164" s="17"/>
      <c r="DD164" s="17"/>
      <c r="DE164" s="17"/>
      <c r="DF164" s="17"/>
      <c r="DG164" s="17"/>
      <c r="DH164" s="17"/>
      <c r="DI164" s="17"/>
      <c r="DJ164" s="17"/>
      <c r="DK164" s="17"/>
      <c r="DL164" s="17"/>
      <c r="DM164" s="17"/>
      <c r="DN164" s="17"/>
      <c r="DO164" s="17"/>
      <c r="DP164" s="17"/>
      <c r="DQ164" s="17"/>
      <c r="DR164" s="17"/>
      <c r="DS164" s="17"/>
      <c r="DT164" s="17"/>
      <c r="DU164" s="17"/>
      <c r="DV164" s="17"/>
      <c r="DW164" s="17"/>
      <c r="DX164" s="17"/>
      <c r="DY164" s="17"/>
      <c r="DZ164" s="17"/>
      <c r="EA164" s="17"/>
      <c r="EB164" s="17"/>
      <c r="EC164" s="17"/>
      <c r="ED164" s="17"/>
      <c r="EE164" s="17"/>
      <c r="EF164" s="17"/>
      <c r="EG164" s="17"/>
    </row>
    <row r="165" spans="1:137" s="32" customFormat="1" ht="57">
      <c r="A165" s="17" t="s">
        <v>218</v>
      </c>
      <c r="B165" s="17" t="s">
        <v>389</v>
      </c>
      <c r="C165" s="18" t="s">
        <v>390</v>
      </c>
      <c r="D165" s="18" t="s">
        <v>3288</v>
      </c>
      <c r="E165" s="17">
        <v>1018</v>
      </c>
      <c r="F165" s="17">
        <v>71</v>
      </c>
      <c r="G165" s="19" t="s">
        <v>779</v>
      </c>
      <c r="H165" s="17" t="s">
        <v>780</v>
      </c>
      <c r="I165" s="17" t="s">
        <v>104</v>
      </c>
      <c r="J165" s="19" t="s">
        <v>105</v>
      </c>
      <c r="K165" s="19" t="s">
        <v>112</v>
      </c>
      <c r="L165" s="19" t="s">
        <v>113</v>
      </c>
      <c r="M165" s="17" t="s">
        <v>114</v>
      </c>
      <c r="N165" s="17"/>
      <c r="O165" s="17"/>
      <c r="P165" s="88">
        <v>2.6879999999999997</v>
      </c>
      <c r="Q165" s="88">
        <v>1.6670000000000003</v>
      </c>
      <c r="R165" s="17">
        <v>0</v>
      </c>
      <c r="S165" s="66">
        <v>751.89163922899832</v>
      </c>
      <c r="T165" s="19" t="s">
        <v>3257</v>
      </c>
      <c r="U165" s="21">
        <v>0.94199999999999995</v>
      </c>
      <c r="V165" s="86">
        <v>29.2</v>
      </c>
      <c r="W165" s="81" t="s">
        <v>700</v>
      </c>
      <c r="X165" s="16"/>
      <c r="Y165" s="16"/>
      <c r="Z165" s="16"/>
      <c r="AA165" s="16"/>
      <c r="AB165" s="16"/>
      <c r="AC165" s="16"/>
      <c r="AD165" s="16"/>
      <c r="AE165" s="16"/>
      <c r="AF165" s="16"/>
      <c r="AG165" s="16"/>
      <c r="AH165" s="16"/>
      <c r="AI165" s="16"/>
      <c r="AJ165" s="16"/>
      <c r="AK165" s="17"/>
      <c r="AL165" s="17"/>
      <c r="AM165" s="17"/>
      <c r="AN165" s="17"/>
      <c r="AO165" s="17"/>
      <c r="AP165" s="17"/>
      <c r="AQ165" s="17"/>
      <c r="AR165" s="17"/>
      <c r="AS165" s="17"/>
      <c r="AT165" s="17"/>
      <c r="AU165" s="17"/>
      <c r="AV165" s="17"/>
      <c r="AW165" s="17"/>
      <c r="AX165" s="17"/>
      <c r="AY165" s="17"/>
      <c r="AZ165" s="17"/>
      <c r="BA165" s="17"/>
      <c r="BB165" s="17"/>
      <c r="BC165" s="17"/>
      <c r="BD165" s="17"/>
      <c r="BE165" s="17"/>
      <c r="BF165" s="17"/>
      <c r="BG165" s="17"/>
      <c r="BH165" s="17"/>
      <c r="BI165" s="17"/>
      <c r="BJ165" s="17"/>
      <c r="BK165" s="17"/>
      <c r="BL165" s="17"/>
      <c r="BM165" s="17"/>
      <c r="BN165" s="17"/>
      <c r="BO165" s="17"/>
      <c r="BP165" s="17"/>
      <c r="BQ165" s="17"/>
      <c r="BR165" s="17"/>
      <c r="BS165" s="17"/>
      <c r="BT165" s="17"/>
      <c r="BU165" s="17"/>
      <c r="BV165" s="17"/>
      <c r="BW165" s="17"/>
      <c r="BX165" s="17"/>
      <c r="BY165" s="17"/>
      <c r="BZ165" s="17"/>
      <c r="CA165" s="17"/>
      <c r="CB165" s="17"/>
      <c r="CC165" s="17"/>
      <c r="CD165" s="17"/>
      <c r="CE165" s="17"/>
      <c r="CF165" s="17"/>
      <c r="CG165" s="17"/>
      <c r="CH165" s="17"/>
      <c r="CI165" s="17"/>
      <c r="CJ165" s="17"/>
      <c r="CK165" s="17"/>
      <c r="CL165" s="17"/>
      <c r="CM165" s="17"/>
      <c r="CN165" s="17"/>
      <c r="CO165" s="17"/>
      <c r="CP165" s="17"/>
      <c r="CQ165" s="17"/>
      <c r="CR165" s="17"/>
      <c r="CS165" s="17"/>
      <c r="CT165" s="17"/>
      <c r="CU165" s="17"/>
      <c r="CV165" s="17"/>
      <c r="CW165" s="17"/>
      <c r="CX165" s="17"/>
      <c r="CY165" s="17"/>
      <c r="CZ165" s="17"/>
      <c r="DA165" s="17"/>
      <c r="DB165" s="17"/>
      <c r="DC165" s="17"/>
      <c r="DD165" s="17"/>
      <c r="DE165" s="17"/>
      <c r="DF165" s="17"/>
      <c r="DG165" s="17"/>
      <c r="DH165" s="17"/>
      <c r="DI165" s="17"/>
      <c r="DJ165" s="17"/>
      <c r="DK165" s="17"/>
      <c r="DL165" s="17"/>
      <c r="DM165" s="17"/>
      <c r="DN165" s="17"/>
      <c r="DO165" s="17"/>
      <c r="DP165" s="17"/>
      <c r="DQ165" s="17"/>
      <c r="DR165" s="17"/>
      <c r="DS165" s="17"/>
      <c r="DT165" s="17"/>
      <c r="DU165" s="17"/>
      <c r="DV165" s="17"/>
      <c r="DW165" s="17"/>
      <c r="DX165" s="17"/>
      <c r="DY165" s="17"/>
      <c r="DZ165" s="17"/>
      <c r="EA165" s="17"/>
      <c r="EB165" s="17"/>
      <c r="EC165" s="17"/>
      <c r="ED165" s="17"/>
      <c r="EE165" s="17"/>
      <c r="EF165" s="17"/>
      <c r="EG165" s="17"/>
    </row>
    <row r="166" spans="1:137" s="32" customFormat="1" ht="57">
      <c r="A166" s="17" t="s">
        <v>218</v>
      </c>
      <c r="B166" s="17" t="s">
        <v>389</v>
      </c>
      <c r="C166" s="18" t="s">
        <v>390</v>
      </c>
      <c r="D166" s="18" t="s">
        <v>3288</v>
      </c>
      <c r="E166" s="17">
        <v>1018</v>
      </c>
      <c r="F166" s="17" t="s">
        <v>923</v>
      </c>
      <c r="G166" s="19" t="s">
        <v>779</v>
      </c>
      <c r="H166" s="17" t="s">
        <v>780</v>
      </c>
      <c r="I166" s="17" t="s">
        <v>104</v>
      </c>
      <c r="J166" s="19" t="s">
        <v>105</v>
      </c>
      <c r="K166" s="19" t="s">
        <v>172</v>
      </c>
      <c r="L166" s="19" t="s">
        <v>3298</v>
      </c>
      <c r="M166" s="17"/>
      <c r="N166" s="17"/>
      <c r="O166" s="17"/>
      <c r="P166" s="88">
        <v>3.3609999999999998</v>
      </c>
      <c r="Q166" s="88">
        <v>1.97</v>
      </c>
      <c r="R166" s="17">
        <v>0</v>
      </c>
      <c r="S166" s="66">
        <v>909.11663889736383</v>
      </c>
      <c r="T166" s="19" t="s">
        <v>3299</v>
      </c>
      <c r="U166" s="21" t="s">
        <v>3300</v>
      </c>
      <c r="V166" s="86" t="s">
        <v>3301</v>
      </c>
      <c r="W166" s="81" t="s">
        <v>726</v>
      </c>
      <c r="X166" s="16"/>
      <c r="Y166" s="16"/>
      <c r="Z166" s="16"/>
      <c r="AA166" s="16"/>
      <c r="AB166" s="16"/>
      <c r="AC166" s="16"/>
      <c r="AD166"/>
      <c r="AE166"/>
      <c r="AF166"/>
      <c r="AG166"/>
      <c r="AH166"/>
      <c r="AI166"/>
      <c r="AJ166"/>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c r="EG166" s="5"/>
    </row>
    <row r="167" spans="1:137" s="32" customFormat="1" ht="57">
      <c r="A167" s="17" t="s">
        <v>218</v>
      </c>
      <c r="B167" s="17" t="s">
        <v>389</v>
      </c>
      <c r="C167" s="18" t="s">
        <v>390</v>
      </c>
      <c r="D167" s="18" t="s">
        <v>3288</v>
      </c>
      <c r="E167" s="17">
        <v>1018</v>
      </c>
      <c r="F167" s="17" t="s">
        <v>923</v>
      </c>
      <c r="G167" s="19" t="s">
        <v>779</v>
      </c>
      <c r="H167" s="17" t="s">
        <v>780</v>
      </c>
      <c r="I167" s="17" t="s">
        <v>104</v>
      </c>
      <c r="J167" s="19" t="s">
        <v>105</v>
      </c>
      <c r="K167" s="19" t="s">
        <v>172</v>
      </c>
      <c r="L167" s="19" t="s">
        <v>3298</v>
      </c>
      <c r="M167" s="17"/>
      <c r="N167" s="17"/>
      <c r="O167" s="17"/>
      <c r="P167" s="88">
        <v>3.2039999999999997</v>
      </c>
      <c r="Q167" s="88">
        <v>1.996</v>
      </c>
      <c r="R167" s="17">
        <v>0</v>
      </c>
      <c r="S167" s="66">
        <v>858.4582181766848</v>
      </c>
      <c r="T167" s="19" t="s">
        <v>3299</v>
      </c>
      <c r="U167" s="21" t="s">
        <v>3300</v>
      </c>
      <c r="V167" s="86" t="s">
        <v>3301</v>
      </c>
      <c r="W167" s="81" t="s">
        <v>726</v>
      </c>
      <c r="X167" s="16"/>
      <c r="Y167" s="16"/>
      <c r="Z167" s="16"/>
      <c r="AA167" s="16"/>
      <c r="AB167" s="16"/>
      <c r="AC167" s="16"/>
      <c r="AD167"/>
      <c r="AE167"/>
      <c r="AF167"/>
      <c r="AG167"/>
      <c r="AH167"/>
      <c r="AI167"/>
      <c r="AJ167"/>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5"/>
      <c r="EC167" s="5"/>
      <c r="ED167" s="5"/>
      <c r="EE167" s="5"/>
      <c r="EF167" s="5"/>
      <c r="EG167" s="5"/>
    </row>
    <row r="168" spans="1:137" s="32" customFormat="1" ht="57">
      <c r="A168" s="17" t="s">
        <v>218</v>
      </c>
      <c r="B168" s="17" t="s">
        <v>389</v>
      </c>
      <c r="C168" s="18" t="s">
        <v>390</v>
      </c>
      <c r="D168" s="18" t="s">
        <v>3288</v>
      </c>
      <c r="E168" s="17">
        <v>1018</v>
      </c>
      <c r="F168" s="17"/>
      <c r="G168" s="19" t="s">
        <v>779</v>
      </c>
      <c r="H168" s="17" t="s">
        <v>780</v>
      </c>
      <c r="I168" s="17" t="s">
        <v>104</v>
      </c>
      <c r="J168" s="19" t="s">
        <v>105</v>
      </c>
      <c r="K168" s="19" t="s">
        <v>172</v>
      </c>
      <c r="L168" s="19" t="s">
        <v>3298</v>
      </c>
      <c r="M168" s="17"/>
      <c r="N168" s="17"/>
      <c r="O168" s="17"/>
      <c r="P168" s="88">
        <v>3.556</v>
      </c>
      <c r="Q168" s="88">
        <v>2.4850000000000003</v>
      </c>
      <c r="R168" s="17">
        <v>0</v>
      </c>
      <c r="S168" s="66">
        <v>1464.5279334808004</v>
      </c>
      <c r="T168" s="19" t="s">
        <v>3299</v>
      </c>
      <c r="U168" s="21" t="s">
        <v>3300</v>
      </c>
      <c r="V168" s="86" t="s">
        <v>3301</v>
      </c>
      <c r="W168" s="81" t="s">
        <v>726</v>
      </c>
      <c r="X168" s="16"/>
      <c r="Y168" s="16"/>
      <c r="Z168" s="16"/>
      <c r="AA168" s="16"/>
      <c r="AB168" s="16"/>
      <c r="AC168" s="16"/>
      <c r="AD168"/>
      <c r="AE168"/>
      <c r="AF168"/>
      <c r="AG168"/>
      <c r="AH168"/>
      <c r="AI168"/>
      <c r="AJ168"/>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5"/>
      <c r="EC168" s="5"/>
      <c r="ED168" s="5"/>
      <c r="EE168" s="5"/>
      <c r="EF168" s="5"/>
      <c r="EG168" s="5"/>
    </row>
    <row r="169" spans="1:137" s="32" customFormat="1" ht="57">
      <c r="A169" s="17" t="s">
        <v>218</v>
      </c>
      <c r="B169" s="17" t="s">
        <v>389</v>
      </c>
      <c r="C169" s="18" t="s">
        <v>390</v>
      </c>
      <c r="D169" s="18" t="s">
        <v>3288</v>
      </c>
      <c r="E169" s="17">
        <v>1018</v>
      </c>
      <c r="F169" s="17"/>
      <c r="G169" s="19" t="s">
        <v>779</v>
      </c>
      <c r="H169" s="17" t="s">
        <v>780</v>
      </c>
      <c r="I169" s="17" t="s">
        <v>104</v>
      </c>
      <c r="J169" s="19" t="s">
        <v>105</v>
      </c>
      <c r="K169" s="19" t="s">
        <v>172</v>
      </c>
      <c r="L169" s="19" t="s">
        <v>3298</v>
      </c>
      <c r="M169" s="17"/>
      <c r="N169" s="17"/>
      <c r="O169" s="17"/>
      <c r="P169" s="88">
        <v>3.569</v>
      </c>
      <c r="Q169" s="88">
        <v>2.2489999999999997</v>
      </c>
      <c r="R169" s="17">
        <v>0</v>
      </c>
      <c r="S169" s="66">
        <v>1249.4027719009684</v>
      </c>
      <c r="T169" s="19" t="s">
        <v>3299</v>
      </c>
      <c r="U169" s="21" t="s">
        <v>3300</v>
      </c>
      <c r="V169" s="86" t="s">
        <v>3301</v>
      </c>
      <c r="W169" s="81" t="s">
        <v>726</v>
      </c>
      <c r="X169" s="16"/>
      <c r="Y169" s="16"/>
      <c r="Z169" s="16"/>
      <c r="AA169" s="16"/>
      <c r="AB169" s="16"/>
      <c r="AC169" s="16"/>
      <c r="AD169"/>
      <c r="AE169"/>
      <c r="AF169"/>
      <c r="AG169"/>
      <c r="AH169"/>
      <c r="AI169"/>
      <c r="AJ169"/>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row>
    <row r="170" spans="1:137" s="32" customFormat="1" ht="57">
      <c r="A170" s="17" t="s">
        <v>218</v>
      </c>
      <c r="B170" s="17" t="s">
        <v>389</v>
      </c>
      <c r="C170" s="18" t="s">
        <v>390</v>
      </c>
      <c r="D170" s="18" t="s">
        <v>3288</v>
      </c>
      <c r="E170" s="17">
        <v>1018</v>
      </c>
      <c r="F170" s="17"/>
      <c r="G170" s="19" t="s">
        <v>779</v>
      </c>
      <c r="H170" s="17" t="s">
        <v>780</v>
      </c>
      <c r="I170" s="17" t="s">
        <v>104</v>
      </c>
      <c r="J170" s="19" t="s">
        <v>105</v>
      </c>
      <c r="K170" s="19" t="s">
        <v>172</v>
      </c>
      <c r="L170" s="19" t="s">
        <v>3298</v>
      </c>
      <c r="M170" s="17"/>
      <c r="N170" s="17"/>
      <c r="O170" s="17"/>
      <c r="P170" s="88">
        <v>3.339</v>
      </c>
      <c r="Q170" s="88">
        <v>2.2090000000000001</v>
      </c>
      <c r="R170" s="17">
        <v>0</v>
      </c>
      <c r="S170" s="66">
        <v>1086.513261429649</v>
      </c>
      <c r="T170" s="19" t="s">
        <v>3299</v>
      </c>
      <c r="U170" s="21" t="s">
        <v>3300</v>
      </c>
      <c r="V170" s="86" t="s">
        <v>3301</v>
      </c>
      <c r="W170" s="81" t="s">
        <v>726</v>
      </c>
      <c r="X170" s="16"/>
      <c r="Y170" s="16"/>
      <c r="Z170" s="16"/>
      <c r="AA170" s="16"/>
      <c r="AB170" s="16"/>
      <c r="AC170" s="16"/>
      <c r="AD170"/>
      <c r="AE170"/>
      <c r="AF170"/>
      <c r="AG170"/>
      <c r="AH170"/>
      <c r="AI170"/>
      <c r="AJ170"/>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c r="DN170" s="5"/>
      <c r="DO170" s="5"/>
      <c r="DP170" s="5"/>
      <c r="DQ170" s="5"/>
      <c r="DR170" s="5"/>
      <c r="DS170" s="5"/>
      <c r="DT170" s="5"/>
      <c r="DU170" s="5"/>
      <c r="DV170" s="5"/>
      <c r="DW170" s="5"/>
      <c r="DX170" s="5"/>
      <c r="DY170" s="5"/>
      <c r="DZ170" s="5"/>
      <c r="EA170" s="5"/>
      <c r="EB170" s="5"/>
      <c r="EC170" s="5"/>
      <c r="ED170" s="5"/>
      <c r="EE170" s="5"/>
      <c r="EF170" s="5"/>
      <c r="EG170" s="5"/>
    </row>
    <row r="171" spans="1:137" s="32" customFormat="1" ht="57">
      <c r="A171" s="17" t="s">
        <v>218</v>
      </c>
      <c r="B171" s="17" t="s">
        <v>389</v>
      </c>
      <c r="C171" s="18" t="s">
        <v>390</v>
      </c>
      <c r="D171" s="18" t="s">
        <v>3288</v>
      </c>
      <c r="E171" s="17">
        <v>1018</v>
      </c>
      <c r="F171" s="17"/>
      <c r="G171" s="19" t="s">
        <v>779</v>
      </c>
      <c r="H171" s="17" t="s">
        <v>780</v>
      </c>
      <c r="I171" s="17" t="s">
        <v>104</v>
      </c>
      <c r="J171" s="19" t="s">
        <v>105</v>
      </c>
      <c r="K171" s="19" t="s">
        <v>172</v>
      </c>
      <c r="L171" s="19" t="s">
        <v>3298</v>
      </c>
      <c r="M171" s="17"/>
      <c r="N171" s="17"/>
      <c r="O171" s="17"/>
      <c r="P171" s="88">
        <v>2.7229999999999999</v>
      </c>
      <c r="Q171" s="88">
        <v>2.573</v>
      </c>
      <c r="R171" s="17">
        <v>0</v>
      </c>
      <c r="S171" s="66">
        <v>998.0755671691893</v>
      </c>
      <c r="T171" s="19" t="s">
        <v>3299</v>
      </c>
      <c r="U171" s="21" t="s">
        <v>3300</v>
      </c>
      <c r="V171" s="86" t="s">
        <v>3301</v>
      </c>
      <c r="W171" s="81" t="s">
        <v>726</v>
      </c>
      <c r="X171" s="16"/>
      <c r="Y171" s="16"/>
      <c r="Z171" s="16"/>
      <c r="AA171" s="16"/>
      <c r="AB171" s="16"/>
      <c r="AC171" s="16"/>
      <c r="AD171"/>
      <c r="AE171"/>
      <c r="AF171"/>
      <c r="AG171"/>
      <c r="AH171"/>
      <c r="AI171"/>
      <c r="AJ171"/>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c r="DA171" s="5"/>
      <c r="DB171" s="5"/>
      <c r="DC171" s="5"/>
      <c r="DD171" s="5"/>
      <c r="DE171" s="5"/>
      <c r="DF171" s="5"/>
      <c r="DG171" s="5"/>
      <c r="DH171" s="5"/>
      <c r="DI171" s="5"/>
      <c r="DJ171" s="5"/>
      <c r="DK171" s="5"/>
      <c r="DL171" s="5"/>
      <c r="DM171" s="5"/>
      <c r="DN171" s="5"/>
      <c r="DO171" s="5"/>
      <c r="DP171" s="5"/>
      <c r="DQ171" s="5"/>
      <c r="DR171" s="5"/>
      <c r="DS171" s="5"/>
      <c r="DT171" s="5"/>
      <c r="DU171" s="5"/>
      <c r="DV171" s="5"/>
      <c r="DW171" s="5"/>
      <c r="DX171" s="5"/>
      <c r="DY171" s="5"/>
      <c r="DZ171" s="5"/>
      <c r="EA171" s="5"/>
      <c r="EB171" s="5"/>
      <c r="EC171" s="5"/>
      <c r="ED171" s="5"/>
      <c r="EE171" s="5"/>
      <c r="EF171" s="5"/>
      <c r="EG171" s="5"/>
    </row>
    <row r="172" spans="1:137" s="32" customFormat="1" ht="57">
      <c r="A172" s="17" t="s">
        <v>218</v>
      </c>
      <c r="B172" s="17" t="s">
        <v>389</v>
      </c>
      <c r="C172" s="18" t="s">
        <v>390</v>
      </c>
      <c r="D172" s="18" t="s">
        <v>3288</v>
      </c>
      <c r="E172" s="17">
        <v>1018</v>
      </c>
      <c r="F172" s="17"/>
      <c r="G172" s="19" t="s">
        <v>779</v>
      </c>
      <c r="H172" s="17" t="s">
        <v>780</v>
      </c>
      <c r="I172" s="17" t="s">
        <v>104</v>
      </c>
      <c r="J172" s="19" t="s">
        <v>105</v>
      </c>
      <c r="K172" s="19" t="s">
        <v>172</v>
      </c>
      <c r="L172" s="19" t="s">
        <v>3298</v>
      </c>
      <c r="M172" s="17"/>
      <c r="N172" s="17"/>
      <c r="O172" s="17"/>
      <c r="P172" s="88">
        <v>3.2250000000000001</v>
      </c>
      <c r="Q172" s="88">
        <v>2.1510000000000002</v>
      </c>
      <c r="R172" s="17">
        <v>0</v>
      </c>
      <c r="S172" s="66">
        <v>981.82413348933312</v>
      </c>
      <c r="T172" s="19" t="s">
        <v>3299</v>
      </c>
      <c r="U172" s="21" t="s">
        <v>3300</v>
      </c>
      <c r="V172" s="86" t="s">
        <v>3301</v>
      </c>
      <c r="W172" s="81" t="s">
        <v>726</v>
      </c>
      <c r="X172" s="16"/>
      <c r="Y172" s="16"/>
      <c r="Z172" s="16"/>
      <c r="AA172" s="16"/>
      <c r="AB172" s="16"/>
      <c r="AC172" s="16"/>
      <c r="AD172"/>
      <c r="AE172"/>
      <c r="AF172"/>
      <c r="AG172"/>
      <c r="AH172"/>
      <c r="AI172"/>
      <c r="AJ172"/>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c r="EB172" s="5"/>
      <c r="EC172" s="5"/>
      <c r="ED172" s="5"/>
      <c r="EE172" s="5"/>
      <c r="EF172" s="5"/>
      <c r="EG172" s="5"/>
    </row>
    <row r="173" spans="1:137" s="32" customFormat="1" ht="57">
      <c r="A173" s="17" t="s">
        <v>218</v>
      </c>
      <c r="B173" s="17" t="s">
        <v>389</v>
      </c>
      <c r="C173" s="18" t="s">
        <v>390</v>
      </c>
      <c r="D173" s="18" t="s">
        <v>3288</v>
      </c>
      <c r="E173" s="17">
        <v>1018</v>
      </c>
      <c r="F173" s="17"/>
      <c r="G173" s="19" t="s">
        <v>779</v>
      </c>
      <c r="H173" s="17" t="s">
        <v>780</v>
      </c>
      <c r="I173" s="17" t="s">
        <v>104</v>
      </c>
      <c r="J173" s="19" t="s">
        <v>105</v>
      </c>
      <c r="K173" s="19" t="s">
        <v>172</v>
      </c>
      <c r="L173" s="19" t="s">
        <v>3298</v>
      </c>
      <c r="M173" s="17"/>
      <c r="N173" s="17"/>
      <c r="O173" s="17"/>
      <c r="P173" s="88">
        <v>3.2290000000000001</v>
      </c>
      <c r="Q173" s="88">
        <v>2.1280000000000001</v>
      </c>
      <c r="R173" s="17">
        <v>0</v>
      </c>
      <c r="S173" s="66">
        <v>966.52426050684358</v>
      </c>
      <c r="T173" s="19" t="s">
        <v>3299</v>
      </c>
      <c r="U173" s="21" t="s">
        <v>3300</v>
      </c>
      <c r="V173" s="86" t="s">
        <v>3301</v>
      </c>
      <c r="W173" s="81" t="s">
        <v>726</v>
      </c>
      <c r="X173" s="16"/>
      <c r="Y173" s="16"/>
      <c r="Z173" s="16"/>
      <c r="AA173" s="16"/>
      <c r="AB173" s="16"/>
      <c r="AC173" s="16"/>
      <c r="AD173"/>
      <c r="AE173"/>
      <c r="AF173"/>
      <c r="AG173"/>
      <c r="AH173"/>
      <c r="AI173"/>
      <c r="AJ173"/>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
      <c r="EC173" s="5"/>
      <c r="ED173" s="5"/>
      <c r="EE173" s="5"/>
      <c r="EF173" s="5"/>
      <c r="EG173" s="5"/>
    </row>
    <row r="174" spans="1:137" s="32" customFormat="1" ht="57">
      <c r="A174" s="17" t="s">
        <v>218</v>
      </c>
      <c r="B174" s="17" t="s">
        <v>389</v>
      </c>
      <c r="C174" s="18" t="s">
        <v>390</v>
      </c>
      <c r="D174" s="18" t="s">
        <v>3288</v>
      </c>
      <c r="E174" s="17">
        <v>1018</v>
      </c>
      <c r="F174" s="17"/>
      <c r="G174" s="19" t="s">
        <v>779</v>
      </c>
      <c r="H174" s="17" t="s">
        <v>780</v>
      </c>
      <c r="I174" s="17" t="s">
        <v>104</v>
      </c>
      <c r="J174" s="19" t="s">
        <v>105</v>
      </c>
      <c r="K174" s="19" t="s">
        <v>172</v>
      </c>
      <c r="L174" s="19" t="s">
        <v>3298</v>
      </c>
      <c r="M174" s="17"/>
      <c r="N174" s="17"/>
      <c r="O174" s="17"/>
      <c r="P174" s="88">
        <v>3.2149999999999999</v>
      </c>
      <c r="Q174" s="88">
        <v>2.0010000000000003</v>
      </c>
      <c r="R174" s="17">
        <v>0</v>
      </c>
      <c r="S174" s="66">
        <v>866.90280298772609</v>
      </c>
      <c r="T174" s="19" t="s">
        <v>3299</v>
      </c>
      <c r="U174" s="21" t="s">
        <v>3300</v>
      </c>
      <c r="V174" s="86" t="s">
        <v>3301</v>
      </c>
      <c r="W174" s="81" t="s">
        <v>726</v>
      </c>
      <c r="X174" s="16"/>
      <c r="Y174" s="16"/>
      <c r="Z174" s="16"/>
      <c r="AA174" s="16"/>
      <c r="AB174" s="16"/>
      <c r="AC174" s="16"/>
      <c r="AD174"/>
      <c r="AE174"/>
      <c r="AF174"/>
      <c r="AG174"/>
      <c r="AH174"/>
      <c r="AI174"/>
      <c r="AJ174"/>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row>
    <row r="175" spans="1:137" s="32" customFormat="1" ht="57">
      <c r="A175" s="17" t="s">
        <v>218</v>
      </c>
      <c r="B175" s="17" t="s">
        <v>389</v>
      </c>
      <c r="C175" s="18" t="s">
        <v>390</v>
      </c>
      <c r="D175" s="18" t="s">
        <v>3288</v>
      </c>
      <c r="E175" s="17">
        <v>1018</v>
      </c>
      <c r="F175" s="17"/>
      <c r="G175" s="19" t="s">
        <v>779</v>
      </c>
      <c r="H175" s="17" t="s">
        <v>780</v>
      </c>
      <c r="I175" s="17" t="s">
        <v>104</v>
      </c>
      <c r="J175" s="19" t="s">
        <v>105</v>
      </c>
      <c r="K175" s="19" t="s">
        <v>172</v>
      </c>
      <c r="L175" s="19" t="s">
        <v>3302</v>
      </c>
      <c r="M175" s="17"/>
      <c r="N175" s="17"/>
      <c r="O175" s="17"/>
      <c r="P175" s="88">
        <v>2.7730000000000001</v>
      </c>
      <c r="Q175" s="88">
        <v>0</v>
      </c>
      <c r="R175" s="17">
        <v>0</v>
      </c>
      <c r="S175" s="66">
        <v>853.46072616547428</v>
      </c>
      <c r="T175" s="19" t="s">
        <v>3303</v>
      </c>
      <c r="U175" s="21">
        <v>0.93100000000000005</v>
      </c>
      <c r="V175" s="86">
        <v>34</v>
      </c>
      <c r="W175" s="81" t="s">
        <v>726</v>
      </c>
      <c r="X175" s="16"/>
      <c r="Y175" s="16"/>
      <c r="Z175" s="16"/>
      <c r="AA175" s="16"/>
      <c r="AB175" s="16"/>
      <c r="AC175" s="16"/>
      <c r="AD175"/>
      <c r="AE175"/>
      <c r="AF175"/>
      <c r="AG175"/>
      <c r="AH175"/>
      <c r="AI175"/>
      <c r="AJ17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5"/>
      <c r="EC175" s="5"/>
      <c r="ED175" s="5"/>
      <c r="EE175" s="5"/>
      <c r="EF175" s="5"/>
      <c r="EG175" s="5"/>
    </row>
    <row r="176" spans="1:137" s="32" customFormat="1" ht="57">
      <c r="A176" s="17" t="s">
        <v>218</v>
      </c>
      <c r="B176" s="17" t="s">
        <v>389</v>
      </c>
      <c r="C176" s="18" t="s">
        <v>390</v>
      </c>
      <c r="D176" s="18" t="s">
        <v>3288</v>
      </c>
      <c r="E176" s="17">
        <v>1018</v>
      </c>
      <c r="F176" s="17"/>
      <c r="G176" s="19" t="s">
        <v>779</v>
      </c>
      <c r="H176" s="17" t="s">
        <v>780</v>
      </c>
      <c r="I176" s="17" t="s">
        <v>104</v>
      </c>
      <c r="J176" s="19" t="s">
        <v>105</v>
      </c>
      <c r="K176" s="19" t="s">
        <v>172</v>
      </c>
      <c r="L176" s="19" t="s">
        <v>3298</v>
      </c>
      <c r="M176" s="17"/>
      <c r="N176" s="17"/>
      <c r="O176" s="17"/>
      <c r="P176" s="88">
        <v>3.0940000000000003</v>
      </c>
      <c r="Q176" s="88">
        <v>2.0300000000000002</v>
      </c>
      <c r="R176" s="17">
        <v>0</v>
      </c>
      <c r="S176" s="66">
        <v>833.26217592279295</v>
      </c>
      <c r="T176" s="19" t="s">
        <v>3299</v>
      </c>
      <c r="U176" s="21" t="s">
        <v>3300</v>
      </c>
      <c r="V176" s="86" t="s">
        <v>3301</v>
      </c>
      <c r="W176" s="81" t="s">
        <v>726</v>
      </c>
      <c r="X176" s="16"/>
      <c r="Y176" s="16"/>
      <c r="Z176" s="16"/>
      <c r="AA176" s="16"/>
      <c r="AB176" s="16"/>
      <c r="AC176" s="16"/>
      <c r="AD176"/>
      <c r="AE176"/>
      <c r="AF176"/>
      <c r="AG176"/>
      <c r="AH176"/>
      <c r="AI176"/>
      <c r="AJ176"/>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c r="DC176" s="5"/>
      <c r="DD176" s="5"/>
      <c r="DE176" s="5"/>
      <c r="DF176" s="5"/>
      <c r="DG176" s="5"/>
      <c r="DH176" s="5"/>
      <c r="DI176" s="5"/>
      <c r="DJ176" s="5"/>
      <c r="DK176" s="5"/>
      <c r="DL176" s="5"/>
      <c r="DM176" s="5"/>
      <c r="DN176" s="5"/>
      <c r="DO176" s="5"/>
      <c r="DP176" s="5"/>
      <c r="DQ176" s="5"/>
      <c r="DR176" s="5"/>
      <c r="DS176" s="5"/>
      <c r="DT176" s="5"/>
      <c r="DU176" s="5"/>
      <c r="DV176" s="5"/>
      <c r="DW176" s="5"/>
      <c r="DX176" s="5"/>
      <c r="DY176" s="5"/>
      <c r="DZ176" s="5"/>
      <c r="EA176" s="5"/>
      <c r="EB176" s="5"/>
      <c r="EC176" s="5"/>
      <c r="ED176" s="5"/>
      <c r="EE176" s="5"/>
      <c r="EF176" s="5"/>
      <c r="EG176" s="5"/>
    </row>
    <row r="177" spans="1:137" s="32" customFormat="1" ht="57">
      <c r="A177" s="17" t="s">
        <v>218</v>
      </c>
      <c r="B177" s="17" t="s">
        <v>389</v>
      </c>
      <c r="C177" s="18" t="s">
        <v>390</v>
      </c>
      <c r="D177" s="18" t="s">
        <v>3288</v>
      </c>
      <c r="E177" s="17">
        <v>1018</v>
      </c>
      <c r="F177" s="17"/>
      <c r="G177" s="19" t="s">
        <v>779</v>
      </c>
      <c r="H177" s="17" t="s">
        <v>780</v>
      </c>
      <c r="I177" s="17" t="s">
        <v>104</v>
      </c>
      <c r="J177" s="19" t="s">
        <v>105</v>
      </c>
      <c r="K177" s="19" t="s">
        <v>172</v>
      </c>
      <c r="L177" s="19" t="s">
        <v>3298</v>
      </c>
      <c r="M177" s="17"/>
      <c r="N177" s="17"/>
      <c r="O177" s="17"/>
      <c r="P177" s="88">
        <v>3.343</v>
      </c>
      <c r="Q177" s="88">
        <v>1.7690000000000001</v>
      </c>
      <c r="R177" s="17">
        <v>0</v>
      </c>
      <c r="S177" s="66">
        <v>754.42030502240061</v>
      </c>
      <c r="T177" s="19" t="s">
        <v>3299</v>
      </c>
      <c r="U177" s="21" t="s">
        <v>3300</v>
      </c>
      <c r="V177" s="86" t="s">
        <v>3301</v>
      </c>
      <c r="W177" s="81" t="s">
        <v>726</v>
      </c>
      <c r="X177" s="16"/>
      <c r="Y177" s="16"/>
      <c r="Z177" s="16"/>
      <c r="AA177" s="16"/>
      <c r="AB177" s="16"/>
      <c r="AC177" s="16"/>
      <c r="AD177"/>
      <c r="AE177"/>
      <c r="AF177"/>
      <c r="AG177"/>
      <c r="AH177"/>
      <c r="AI177"/>
      <c r="AJ177"/>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5"/>
      <c r="EC177" s="5"/>
      <c r="ED177" s="5"/>
      <c r="EE177" s="5"/>
      <c r="EF177" s="5"/>
      <c r="EG177" s="5"/>
    </row>
    <row r="178" spans="1:137" s="32" customFormat="1" ht="57">
      <c r="A178" s="17" t="s">
        <v>218</v>
      </c>
      <c r="B178" s="17" t="s">
        <v>389</v>
      </c>
      <c r="C178" s="18" t="s">
        <v>390</v>
      </c>
      <c r="D178" s="18" t="s">
        <v>3288</v>
      </c>
      <c r="E178" s="17">
        <v>1018</v>
      </c>
      <c r="F178" s="17"/>
      <c r="G178" s="19" t="s">
        <v>779</v>
      </c>
      <c r="H178" s="17" t="s">
        <v>780</v>
      </c>
      <c r="I178" s="17" t="s">
        <v>104</v>
      </c>
      <c r="J178" s="19" t="s">
        <v>105</v>
      </c>
      <c r="K178" s="19" t="s">
        <v>172</v>
      </c>
      <c r="L178" s="19" t="s">
        <v>3298</v>
      </c>
      <c r="M178" s="17"/>
      <c r="N178" s="17"/>
      <c r="O178" s="17"/>
      <c r="P178" s="88">
        <v>3.15</v>
      </c>
      <c r="Q178" s="88">
        <v>1.8210000000000002</v>
      </c>
      <c r="R178" s="17">
        <v>0</v>
      </c>
      <c r="S178" s="66">
        <v>717.39108950956006</v>
      </c>
      <c r="T178" s="19" t="s">
        <v>3299</v>
      </c>
      <c r="U178" s="21" t="s">
        <v>3300</v>
      </c>
      <c r="V178" s="86" t="s">
        <v>3301</v>
      </c>
      <c r="W178" s="81" t="s">
        <v>726</v>
      </c>
      <c r="X178" s="16"/>
      <c r="Y178" s="16"/>
      <c r="Z178" s="16"/>
      <c r="AA178" s="16"/>
      <c r="AB178" s="16"/>
      <c r="AC178" s="16"/>
      <c r="AD178"/>
      <c r="AE178"/>
      <c r="AF178"/>
      <c r="AG178"/>
      <c r="AH178"/>
      <c r="AI178"/>
      <c r="AJ178"/>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c r="CY178" s="5"/>
      <c r="CZ178" s="5"/>
      <c r="DA178" s="5"/>
      <c r="DB178" s="5"/>
      <c r="DC178" s="5"/>
      <c r="DD178" s="5"/>
      <c r="DE178" s="5"/>
      <c r="DF178" s="5"/>
      <c r="DG178" s="5"/>
      <c r="DH178" s="5"/>
      <c r="DI178" s="5"/>
      <c r="DJ178" s="5"/>
      <c r="DK178" s="5"/>
      <c r="DL178" s="5"/>
      <c r="DM178" s="5"/>
      <c r="DN178" s="5"/>
      <c r="DO178" s="5"/>
      <c r="DP178" s="5"/>
      <c r="DQ178" s="5"/>
      <c r="DR178" s="5"/>
      <c r="DS178" s="5"/>
      <c r="DT178" s="5"/>
      <c r="DU178" s="5"/>
      <c r="DV178" s="5"/>
      <c r="DW178" s="5"/>
      <c r="DX178" s="5"/>
      <c r="DY178" s="5"/>
      <c r="DZ178" s="5"/>
      <c r="EA178" s="5"/>
      <c r="EB178" s="5"/>
      <c r="EC178" s="5"/>
      <c r="ED178" s="5"/>
      <c r="EE178" s="5"/>
      <c r="EF178" s="5"/>
      <c r="EG178" s="5"/>
    </row>
    <row r="179" spans="1:137" s="32" customFormat="1" ht="76">
      <c r="A179" s="17" t="s">
        <v>218</v>
      </c>
      <c r="B179" s="17" t="s">
        <v>389</v>
      </c>
      <c r="C179" s="18" t="s">
        <v>390</v>
      </c>
      <c r="D179" s="18" t="s">
        <v>3288</v>
      </c>
      <c r="E179" s="17">
        <v>1018</v>
      </c>
      <c r="F179" s="17"/>
      <c r="G179" s="19" t="s">
        <v>779</v>
      </c>
      <c r="H179" s="17" t="s">
        <v>780</v>
      </c>
      <c r="I179" s="17" t="s">
        <v>104</v>
      </c>
      <c r="J179" s="19" t="s">
        <v>105</v>
      </c>
      <c r="K179" s="19" t="s">
        <v>174</v>
      </c>
      <c r="L179" s="19" t="s">
        <v>127</v>
      </c>
      <c r="M179" s="17"/>
      <c r="N179" s="17"/>
      <c r="O179" s="17"/>
      <c r="P179" s="88">
        <v>4.9159999999999995</v>
      </c>
      <c r="Q179" s="88">
        <v>1.8030000000000002</v>
      </c>
      <c r="R179" s="17">
        <v>0</v>
      </c>
      <c r="S179" s="66">
        <v>924.51666483355132</v>
      </c>
      <c r="T179" s="19" t="s">
        <v>3245</v>
      </c>
      <c r="U179" s="21">
        <v>0.94299999999999995</v>
      </c>
      <c r="V179" s="86">
        <v>29.1</v>
      </c>
      <c r="W179" s="81" t="s">
        <v>3297</v>
      </c>
      <c r="X179" s="16"/>
      <c r="Y179" s="16"/>
      <c r="Z179" s="16"/>
      <c r="AA179" s="16"/>
      <c r="AB179" s="16"/>
      <c r="AC179" s="16"/>
      <c r="AD179"/>
      <c r="AE179"/>
      <c r="AF179"/>
      <c r="AG179"/>
      <c r="AH179"/>
      <c r="AI179"/>
      <c r="AJ179"/>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row>
    <row r="180" spans="1:137" s="32" customFormat="1" ht="76">
      <c r="A180" s="17" t="s">
        <v>218</v>
      </c>
      <c r="B180" s="17" t="s">
        <v>389</v>
      </c>
      <c r="C180" s="18" t="s">
        <v>390</v>
      </c>
      <c r="D180" s="18" t="s">
        <v>3288</v>
      </c>
      <c r="E180" s="17">
        <v>1018</v>
      </c>
      <c r="F180" s="17"/>
      <c r="G180" s="19" t="s">
        <v>779</v>
      </c>
      <c r="H180" s="17" t="s">
        <v>780</v>
      </c>
      <c r="I180" s="17" t="s">
        <v>104</v>
      </c>
      <c r="J180" s="19" t="s">
        <v>105</v>
      </c>
      <c r="K180" s="19" t="s">
        <v>174</v>
      </c>
      <c r="L180" s="19" t="s">
        <v>127</v>
      </c>
      <c r="M180" s="17"/>
      <c r="N180" s="17"/>
      <c r="O180" s="17"/>
      <c r="P180" s="88">
        <v>4.4189999999999996</v>
      </c>
      <c r="Q180" s="88">
        <v>1.7239999999999998</v>
      </c>
      <c r="R180" s="17">
        <v>0</v>
      </c>
      <c r="S180" s="66">
        <v>723.00731486606469</v>
      </c>
      <c r="T180" s="19" t="s">
        <v>3245</v>
      </c>
      <c r="U180" s="21">
        <v>0.94299999999999995</v>
      </c>
      <c r="V180" s="86">
        <v>29.1</v>
      </c>
      <c r="W180" s="81" t="s">
        <v>3297</v>
      </c>
      <c r="X180" s="16"/>
      <c r="Y180" s="16"/>
      <c r="Z180" s="16"/>
      <c r="AA180" s="16"/>
      <c r="AB180" s="16"/>
      <c r="AC180" s="16"/>
      <c r="AD180"/>
      <c r="AE180"/>
      <c r="AF180"/>
      <c r="AG180"/>
      <c r="AH180"/>
      <c r="AI180"/>
      <c r="AJ180"/>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c r="DK180" s="5"/>
      <c r="DL180" s="5"/>
      <c r="DM180" s="5"/>
      <c r="DN180" s="5"/>
      <c r="DO180" s="5"/>
      <c r="DP180" s="5"/>
      <c r="DQ180" s="5"/>
      <c r="DR180" s="5"/>
      <c r="DS180" s="5"/>
      <c r="DT180" s="5"/>
      <c r="DU180" s="5"/>
      <c r="DV180" s="5"/>
      <c r="DW180" s="5"/>
      <c r="DX180" s="5"/>
      <c r="DY180" s="5"/>
      <c r="DZ180" s="5"/>
      <c r="EA180" s="5"/>
      <c r="EB180" s="5"/>
      <c r="EC180" s="5"/>
      <c r="ED180" s="5"/>
      <c r="EE180" s="5"/>
      <c r="EF180" s="5"/>
      <c r="EG180" s="5"/>
    </row>
    <row r="181" spans="1:137" s="32" customFormat="1" ht="76">
      <c r="A181" s="17" t="s">
        <v>218</v>
      </c>
      <c r="B181" s="17" t="s">
        <v>389</v>
      </c>
      <c r="C181" s="18" t="s">
        <v>390</v>
      </c>
      <c r="D181" s="18" t="s">
        <v>3288</v>
      </c>
      <c r="E181" s="17">
        <v>1018</v>
      </c>
      <c r="F181" s="17"/>
      <c r="G181" s="19" t="s">
        <v>779</v>
      </c>
      <c r="H181" s="17" t="s">
        <v>780</v>
      </c>
      <c r="I181" s="17" t="s">
        <v>104</v>
      </c>
      <c r="J181" s="19" t="s">
        <v>105</v>
      </c>
      <c r="K181" s="19" t="s">
        <v>174</v>
      </c>
      <c r="L181" s="19" t="s">
        <v>127</v>
      </c>
      <c r="M181" s="17"/>
      <c r="N181" s="17"/>
      <c r="O181" s="17"/>
      <c r="P181" s="88">
        <v>4.1850000000000005</v>
      </c>
      <c r="Q181" s="88">
        <v>1.484</v>
      </c>
      <c r="R181" s="17">
        <v>0</v>
      </c>
      <c r="S181" s="66">
        <v>518.85031645620609</v>
      </c>
      <c r="T181" s="19" t="s">
        <v>3245</v>
      </c>
      <c r="U181" s="21">
        <v>0.94299999999999995</v>
      </c>
      <c r="V181" s="86">
        <v>29.1</v>
      </c>
      <c r="W181" s="81" t="s">
        <v>3297</v>
      </c>
      <c r="X181" s="16"/>
      <c r="Y181" s="16"/>
      <c r="Z181" s="16"/>
      <c r="AA181" s="16"/>
      <c r="AB181" s="16"/>
      <c r="AC181" s="16"/>
      <c r="AD181"/>
      <c r="AE181"/>
      <c r="AF181"/>
      <c r="AG181"/>
      <c r="AH181"/>
      <c r="AI181"/>
      <c r="AJ181"/>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c r="DQ181" s="5"/>
      <c r="DR181" s="5"/>
      <c r="DS181" s="5"/>
      <c r="DT181" s="5"/>
      <c r="DU181" s="5"/>
      <c r="DV181" s="5"/>
      <c r="DW181" s="5"/>
      <c r="DX181" s="5"/>
      <c r="DY181" s="5"/>
      <c r="DZ181" s="5"/>
      <c r="EA181" s="5"/>
      <c r="EB181" s="5"/>
      <c r="EC181" s="5"/>
      <c r="ED181" s="5"/>
      <c r="EE181" s="5"/>
      <c r="EF181" s="5"/>
      <c r="EG181" s="5"/>
    </row>
    <row r="182" spans="1:137" s="32" customFormat="1" ht="18">
      <c r="A182" s="17"/>
      <c r="B182" s="17"/>
      <c r="C182" s="18"/>
      <c r="D182" s="18"/>
      <c r="E182" s="17"/>
      <c r="F182" s="17"/>
      <c r="G182" s="19"/>
      <c r="H182" s="17"/>
      <c r="I182" s="17"/>
      <c r="J182" s="19"/>
      <c r="K182" s="19"/>
      <c r="L182" s="19"/>
      <c r="M182" s="17"/>
      <c r="N182" s="17"/>
      <c r="O182" s="17"/>
      <c r="P182" s="88"/>
      <c r="Q182" s="88"/>
      <c r="R182" s="17"/>
      <c r="S182" s="66"/>
      <c r="T182" s="19"/>
      <c r="U182" s="21"/>
      <c r="V182" s="86"/>
      <c r="W182" s="81"/>
      <c r="X182" s="16"/>
      <c r="Y182" s="16"/>
      <c r="Z182" s="16"/>
      <c r="AA182" s="16"/>
      <c r="AB182" s="16"/>
      <c r="AC182" s="16"/>
      <c r="AD182"/>
      <c r="AE182"/>
      <c r="AF182"/>
      <c r="AG182"/>
      <c r="AH182"/>
      <c r="AI182"/>
      <c r="AJ182"/>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c r="DA182" s="5"/>
      <c r="DB182" s="5"/>
      <c r="DC182" s="5"/>
      <c r="DD182" s="5"/>
      <c r="DE182" s="5"/>
      <c r="DF182" s="5"/>
      <c r="DG182" s="5"/>
      <c r="DH182" s="5"/>
      <c r="DI182" s="5"/>
      <c r="DJ182" s="5"/>
      <c r="DK182" s="5"/>
      <c r="DL182" s="5"/>
      <c r="DM182" s="5"/>
      <c r="DN182" s="5"/>
      <c r="DO182" s="5"/>
      <c r="DP182" s="5"/>
      <c r="DQ182" s="5"/>
      <c r="DR182" s="5"/>
      <c r="DS182" s="5"/>
      <c r="DT182" s="5"/>
      <c r="DU182" s="5"/>
      <c r="DV182" s="5"/>
      <c r="DW182" s="5"/>
      <c r="DX182" s="5"/>
      <c r="DY182" s="5"/>
      <c r="DZ182" s="5"/>
      <c r="EA182" s="5"/>
      <c r="EB182" s="5"/>
      <c r="EC182" s="5"/>
      <c r="ED182" s="5"/>
      <c r="EE182" s="5"/>
      <c r="EF182" s="5"/>
      <c r="EG182" s="5"/>
    </row>
    <row r="183" spans="1:137" s="32" customFormat="1" ht="18">
      <c r="A183" s="17"/>
      <c r="B183" s="17"/>
      <c r="C183" s="18"/>
      <c r="D183" s="18"/>
      <c r="E183" s="17"/>
      <c r="F183" s="17"/>
      <c r="G183" s="19"/>
      <c r="H183" s="17"/>
      <c r="I183" s="17"/>
      <c r="J183" s="19"/>
      <c r="K183" s="19"/>
      <c r="L183" s="19"/>
      <c r="M183" s="17"/>
      <c r="N183" s="17"/>
      <c r="O183" s="17"/>
      <c r="P183" s="88" t="s">
        <v>3263</v>
      </c>
      <c r="Q183" s="88">
        <f>COUNT(S78:S181)</f>
        <v>99</v>
      </c>
      <c r="R183" s="17"/>
      <c r="S183" s="66"/>
      <c r="T183" s="19"/>
      <c r="U183" s="21"/>
      <c r="V183" s="86"/>
      <c r="W183" s="81"/>
      <c r="X183" s="16"/>
      <c r="Y183" s="16"/>
      <c r="Z183" s="16"/>
      <c r="AA183" s="16"/>
      <c r="AB183" s="16"/>
      <c r="AC183" s="16"/>
      <c r="AD183"/>
      <c r="AE183"/>
      <c r="AF183"/>
      <c r="AG183"/>
      <c r="AH183"/>
      <c r="AI183"/>
      <c r="AJ183"/>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c r="CZ183" s="5"/>
      <c r="DA183" s="5"/>
      <c r="DB183" s="5"/>
      <c r="DC183" s="5"/>
      <c r="DD183" s="5"/>
      <c r="DE183" s="5"/>
      <c r="DF183" s="5"/>
      <c r="DG183" s="5"/>
      <c r="DH183" s="5"/>
      <c r="DI183" s="5"/>
      <c r="DJ183" s="5"/>
      <c r="DK183" s="5"/>
      <c r="DL183" s="5"/>
      <c r="DM183" s="5"/>
      <c r="DN183" s="5"/>
      <c r="DO183" s="5"/>
      <c r="DP183" s="5"/>
      <c r="DQ183" s="5"/>
      <c r="DR183" s="5"/>
      <c r="DS183" s="5"/>
      <c r="DT183" s="5"/>
      <c r="DU183" s="5"/>
      <c r="DV183" s="5"/>
      <c r="DW183" s="5"/>
      <c r="DX183" s="5"/>
      <c r="DY183" s="5"/>
      <c r="DZ183" s="5"/>
      <c r="EA183" s="5"/>
      <c r="EB183" s="5"/>
      <c r="EC183" s="5"/>
      <c r="ED183" s="5"/>
      <c r="EE183" s="5"/>
      <c r="EF183" s="5"/>
      <c r="EG183" s="5"/>
    </row>
    <row r="184" spans="1:137" s="32" customFormat="1" ht="18">
      <c r="A184" s="17"/>
      <c r="B184" s="17"/>
      <c r="C184" s="18"/>
      <c r="D184" s="18"/>
      <c r="E184" s="17"/>
      <c r="F184" s="17"/>
      <c r="G184" s="19"/>
      <c r="H184" s="17"/>
      <c r="I184" s="17"/>
      <c r="J184" s="19"/>
      <c r="K184" s="19"/>
      <c r="L184" s="19"/>
      <c r="M184" s="17"/>
      <c r="N184" s="17"/>
      <c r="O184" s="17"/>
      <c r="P184" s="88" t="s">
        <v>3264</v>
      </c>
      <c r="Q184" s="88">
        <f>AVERAGE(S78:S181)</f>
        <v>970.14865886406028</v>
      </c>
      <c r="R184" s="17"/>
      <c r="S184" s="66"/>
      <c r="T184" s="19"/>
      <c r="U184" s="21"/>
      <c r="V184" s="86"/>
      <c r="W184" s="81"/>
      <c r="X184" s="16"/>
      <c r="Y184" s="16"/>
      <c r="Z184" s="16"/>
      <c r="AA184" s="16"/>
      <c r="AB184" s="16"/>
      <c r="AC184" s="16"/>
      <c r="AD184"/>
      <c r="AE184"/>
      <c r="AF184"/>
      <c r="AG184"/>
      <c r="AH184"/>
      <c r="AI184"/>
      <c r="AJ184"/>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row>
    <row r="185" spans="1:137" s="32" customFormat="1" ht="18">
      <c r="A185" s="17"/>
      <c r="B185" s="17"/>
      <c r="C185" s="18"/>
      <c r="D185" s="18"/>
      <c r="E185" s="17"/>
      <c r="F185" s="17"/>
      <c r="G185" s="19"/>
      <c r="H185" s="17"/>
      <c r="I185" s="17"/>
      <c r="J185" s="19"/>
      <c r="K185" s="19"/>
      <c r="L185" s="19"/>
      <c r="M185" s="17"/>
      <c r="N185" s="17"/>
      <c r="O185" s="17"/>
      <c r="P185" s="88" t="s">
        <v>3304</v>
      </c>
      <c r="Q185" s="88">
        <f>STDEV(S78:S181)</f>
        <v>372.25687468189204</v>
      </c>
      <c r="R185" s="17"/>
      <c r="S185" s="66"/>
      <c r="T185" s="19"/>
      <c r="U185" s="21"/>
      <c r="V185" s="86"/>
      <c r="W185" s="81"/>
      <c r="X185" s="16"/>
      <c r="Y185" s="16"/>
      <c r="Z185" s="16"/>
      <c r="AA185" s="16"/>
      <c r="AB185" s="16"/>
      <c r="AC185" s="16"/>
      <c r="AD185"/>
      <c r="AE185"/>
      <c r="AF185"/>
      <c r="AG185"/>
      <c r="AH185"/>
      <c r="AI185"/>
      <c r="AJ18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c r="CU185" s="5"/>
      <c r="CV185" s="5"/>
      <c r="CW185" s="5"/>
      <c r="CX185" s="5"/>
      <c r="CY185" s="5"/>
      <c r="CZ185" s="5"/>
      <c r="DA185" s="5"/>
      <c r="DB185" s="5"/>
      <c r="DC185" s="5"/>
      <c r="DD185" s="5"/>
      <c r="DE185" s="5"/>
      <c r="DF185" s="5"/>
      <c r="DG185" s="5"/>
      <c r="DH185" s="5"/>
      <c r="DI185" s="5"/>
      <c r="DJ185" s="5"/>
      <c r="DK185" s="5"/>
      <c r="DL185" s="5"/>
      <c r="DM185" s="5"/>
      <c r="DN185" s="5"/>
      <c r="DO185" s="5"/>
      <c r="DP185" s="5"/>
      <c r="DQ185" s="5"/>
      <c r="DR185" s="5"/>
      <c r="DS185" s="5"/>
      <c r="DT185" s="5"/>
      <c r="DU185" s="5"/>
      <c r="DV185" s="5"/>
      <c r="DW185" s="5"/>
      <c r="DX185" s="5"/>
      <c r="DY185" s="5"/>
      <c r="DZ185" s="5"/>
      <c r="EA185" s="5"/>
      <c r="EB185" s="5"/>
      <c r="EC185" s="5"/>
      <c r="ED185" s="5"/>
      <c r="EE185" s="5"/>
      <c r="EF185" s="5"/>
      <c r="EG185" s="5"/>
    </row>
    <row r="186" spans="1:137" s="32" customFormat="1" ht="18">
      <c r="A186" s="17"/>
      <c r="B186" s="17"/>
      <c r="C186" s="18"/>
      <c r="D186" s="18"/>
      <c r="E186" s="17"/>
      <c r="F186" s="17"/>
      <c r="G186" s="19"/>
      <c r="H186" s="17"/>
      <c r="I186" s="17"/>
      <c r="J186" s="19"/>
      <c r="K186" s="19"/>
      <c r="L186" s="19"/>
      <c r="M186" s="17"/>
      <c r="N186" s="17"/>
      <c r="O186" s="17"/>
      <c r="P186" s="88"/>
      <c r="Q186" s="88"/>
      <c r="R186" s="17"/>
      <c r="S186" s="66"/>
      <c r="T186" s="19"/>
      <c r="U186" s="21"/>
      <c r="V186" s="86"/>
      <c r="W186" s="81"/>
      <c r="X186" s="16"/>
      <c r="Y186" s="16"/>
      <c r="Z186" s="16"/>
      <c r="AA186" s="16"/>
      <c r="AB186" s="16"/>
      <c r="AC186" s="16"/>
      <c r="AD186"/>
      <c r="AE186"/>
      <c r="AF186"/>
      <c r="AG186"/>
      <c r="AH186"/>
      <c r="AI186"/>
      <c r="AJ186"/>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5"/>
      <c r="EC186" s="5"/>
      <c r="ED186" s="5"/>
      <c r="EE186" s="5"/>
      <c r="EF186" s="5"/>
      <c r="EG186" s="5"/>
    </row>
    <row r="187" spans="1:137" s="32" customFormat="1" ht="76">
      <c r="A187" s="17" t="s">
        <v>218</v>
      </c>
      <c r="B187" s="17" t="s">
        <v>389</v>
      </c>
      <c r="C187" s="18" t="s">
        <v>390</v>
      </c>
      <c r="D187" s="18" t="s">
        <v>151</v>
      </c>
      <c r="E187" s="17">
        <v>937</v>
      </c>
      <c r="F187" s="17">
        <v>38</v>
      </c>
      <c r="G187" s="19" t="s">
        <v>706</v>
      </c>
      <c r="H187" s="17" t="s">
        <v>707</v>
      </c>
      <c r="I187" s="17" t="s">
        <v>104</v>
      </c>
      <c r="J187" s="19" t="s">
        <v>105</v>
      </c>
      <c r="K187" s="19" t="s">
        <v>3280</v>
      </c>
      <c r="L187" s="19" t="s">
        <v>3281</v>
      </c>
      <c r="M187" s="17"/>
      <c r="N187" s="17"/>
      <c r="O187" s="17"/>
      <c r="P187" s="88">
        <v>3.335</v>
      </c>
      <c r="Q187" s="88">
        <v>1.69</v>
      </c>
      <c r="R187" s="17">
        <v>0</v>
      </c>
      <c r="S187" s="66">
        <v>620.99925762912255</v>
      </c>
      <c r="T187" s="19" t="s">
        <v>3282</v>
      </c>
      <c r="U187" s="21" t="s">
        <v>3283</v>
      </c>
      <c r="V187" s="86" t="s">
        <v>3284</v>
      </c>
      <c r="W187" s="81" t="s">
        <v>726</v>
      </c>
      <c r="X187" s="16"/>
      <c r="Y187" s="16"/>
      <c r="Z187" s="16"/>
      <c r="AA187" s="16"/>
      <c r="AB187" s="16"/>
      <c r="AC187" s="16"/>
      <c r="AD187"/>
      <c r="AE187"/>
      <c r="AF187"/>
      <c r="AG187"/>
      <c r="AH187"/>
      <c r="AI187"/>
      <c r="AJ187"/>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c r="EB187" s="5"/>
      <c r="EC187" s="5"/>
      <c r="ED187" s="5"/>
      <c r="EE187" s="5"/>
      <c r="EF187" s="5"/>
      <c r="EG187" s="5"/>
    </row>
    <row r="188" spans="1:137" s="32" customFormat="1" ht="76">
      <c r="A188" s="17" t="s">
        <v>218</v>
      </c>
      <c r="B188" s="17" t="s">
        <v>389</v>
      </c>
      <c r="C188" s="18" t="s">
        <v>390</v>
      </c>
      <c r="D188" s="18" t="s">
        <v>151</v>
      </c>
      <c r="E188" s="17">
        <v>40450</v>
      </c>
      <c r="F188" s="17">
        <v>1975</v>
      </c>
      <c r="G188" s="19" t="s">
        <v>783</v>
      </c>
      <c r="H188" s="17" t="s">
        <v>784</v>
      </c>
      <c r="I188" s="17" t="s">
        <v>104</v>
      </c>
      <c r="J188" s="19" t="s">
        <v>105</v>
      </c>
      <c r="K188" s="19" t="s">
        <v>3280</v>
      </c>
      <c r="L188" s="19" t="s">
        <v>3281</v>
      </c>
      <c r="M188" s="17"/>
      <c r="N188" s="17"/>
      <c r="O188" s="17"/>
      <c r="P188" s="88">
        <v>3.4780000000000002</v>
      </c>
      <c r="Q188" s="88">
        <v>2.2809999999999997</v>
      </c>
      <c r="R188" s="17">
        <v>0</v>
      </c>
      <c r="S188" s="66">
        <v>1100.3904992647026</v>
      </c>
      <c r="T188" s="19" t="s">
        <v>3282</v>
      </c>
      <c r="U188" s="21" t="s">
        <v>3283</v>
      </c>
      <c r="V188" s="86" t="s">
        <v>3284</v>
      </c>
      <c r="W188" s="81" t="s">
        <v>726</v>
      </c>
      <c r="X188" s="16"/>
      <c r="Y188" s="16"/>
      <c r="Z188" s="16"/>
      <c r="AA188" s="16"/>
      <c r="AB188" s="16"/>
      <c r="AC188" s="16"/>
      <c r="AD188"/>
      <c r="AE188"/>
      <c r="AF188"/>
      <c r="AG188"/>
      <c r="AH188"/>
      <c r="AI188"/>
      <c r="AJ188"/>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c r="EB188" s="5"/>
      <c r="EC188" s="5"/>
      <c r="ED188" s="5"/>
      <c r="EE188" s="5"/>
      <c r="EF188" s="5"/>
      <c r="EG188" s="5"/>
    </row>
    <row r="189" spans="1:137" s="32" customFormat="1" ht="57">
      <c r="A189" s="17" t="s">
        <v>218</v>
      </c>
      <c r="B189" s="17" t="s">
        <v>389</v>
      </c>
      <c r="C189" s="18" t="s">
        <v>390</v>
      </c>
      <c r="D189" s="18" t="s">
        <v>151</v>
      </c>
      <c r="E189" s="17">
        <v>40450</v>
      </c>
      <c r="F189" s="17" t="s">
        <v>782</v>
      </c>
      <c r="G189" s="19" t="s">
        <v>783</v>
      </c>
      <c r="H189" s="17" t="s">
        <v>784</v>
      </c>
      <c r="I189" s="17" t="s">
        <v>104</v>
      </c>
      <c r="J189" s="19" t="s">
        <v>105</v>
      </c>
      <c r="K189" s="19" t="s">
        <v>3289</v>
      </c>
      <c r="L189" s="19" t="s">
        <v>3290</v>
      </c>
      <c r="M189" s="17"/>
      <c r="N189" s="17"/>
      <c r="O189" s="19"/>
      <c r="P189" s="88">
        <v>3.4240000000000004</v>
      </c>
      <c r="Q189" s="88">
        <v>4.1139999999999999</v>
      </c>
      <c r="R189" s="17">
        <v>0</v>
      </c>
      <c r="S189" s="66">
        <v>169.5</v>
      </c>
      <c r="T189" s="19" t="s">
        <v>3291</v>
      </c>
      <c r="U189" s="21">
        <v>0.95289999999999997</v>
      </c>
      <c r="V189" s="86">
        <v>20</v>
      </c>
      <c r="W189" s="81" t="s">
        <v>694</v>
      </c>
      <c r="X189" s="16"/>
      <c r="Y189" s="16"/>
      <c r="Z189" s="16"/>
      <c r="AA189" s="16"/>
      <c r="AB189" s="16"/>
      <c r="AC189" s="16"/>
      <c r="AD189"/>
      <c r="AE189"/>
      <c r="AF189"/>
      <c r="AG189"/>
      <c r="AH189"/>
      <c r="AI189"/>
      <c r="AJ189"/>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c r="EB189" s="5"/>
      <c r="EC189" s="5"/>
      <c r="ED189" s="5"/>
      <c r="EE189" s="5"/>
      <c r="EF189" s="5"/>
      <c r="EG189" s="5"/>
    </row>
    <row r="190" spans="1:137" s="32" customFormat="1" ht="57">
      <c r="A190" s="17" t="s">
        <v>218</v>
      </c>
      <c r="B190" s="17" t="s">
        <v>389</v>
      </c>
      <c r="C190" s="18" t="s">
        <v>390</v>
      </c>
      <c r="D190" s="18" t="s">
        <v>151</v>
      </c>
      <c r="E190" s="17">
        <v>933</v>
      </c>
      <c r="F190" s="17">
        <v>609</v>
      </c>
      <c r="G190" s="19" t="s">
        <v>102</v>
      </c>
      <c r="H190" s="17" t="s">
        <v>103</v>
      </c>
      <c r="I190" s="17" t="s">
        <v>104</v>
      </c>
      <c r="J190" s="19" t="s">
        <v>105</v>
      </c>
      <c r="K190" s="19" t="s">
        <v>209</v>
      </c>
      <c r="L190" s="19" t="s">
        <v>216</v>
      </c>
      <c r="M190" s="17" t="s">
        <v>114</v>
      </c>
      <c r="N190" s="17"/>
      <c r="O190" s="17"/>
      <c r="P190" s="88">
        <v>4.6390000000000002</v>
      </c>
      <c r="Q190" s="88">
        <v>1.627</v>
      </c>
      <c r="R190" s="17">
        <v>0</v>
      </c>
      <c r="S190" s="66">
        <v>1159.405303026434</v>
      </c>
      <c r="T190" s="19" t="s">
        <v>3244</v>
      </c>
      <c r="U190" s="21">
        <v>0.93500000000000005</v>
      </c>
      <c r="V190" s="86">
        <v>30.8</v>
      </c>
      <c r="W190" s="81" t="s">
        <v>700</v>
      </c>
      <c r="X190" s="16"/>
      <c r="Y190" s="16"/>
      <c r="Z190" s="16"/>
      <c r="AA190" s="16"/>
      <c r="AB190" s="16"/>
      <c r="AC190" s="16"/>
      <c r="AD190"/>
      <c r="AE190"/>
      <c r="AF190"/>
      <c r="AG190"/>
      <c r="AH190"/>
      <c r="AI190"/>
      <c r="AJ190"/>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row>
    <row r="191" spans="1:137" s="32" customFormat="1" ht="95">
      <c r="A191" s="17" t="s">
        <v>218</v>
      </c>
      <c r="B191" s="17" t="s">
        <v>389</v>
      </c>
      <c r="C191" s="18" t="s">
        <v>390</v>
      </c>
      <c r="D191" s="18" t="s">
        <v>151</v>
      </c>
      <c r="E191" s="17">
        <v>933</v>
      </c>
      <c r="F191" s="17">
        <v>999</v>
      </c>
      <c r="G191" s="19" t="s">
        <v>102</v>
      </c>
      <c r="H191" s="17" t="s">
        <v>103</v>
      </c>
      <c r="I191" s="17" t="s">
        <v>104</v>
      </c>
      <c r="J191" s="19" t="s">
        <v>105</v>
      </c>
      <c r="K191" s="19" t="s">
        <v>143</v>
      </c>
      <c r="L191" s="19" t="s">
        <v>1531</v>
      </c>
      <c r="M191" s="17" t="s">
        <v>114</v>
      </c>
      <c r="N191" s="17"/>
      <c r="O191" s="17"/>
      <c r="P191" s="88">
        <v>3.694</v>
      </c>
      <c r="Q191" s="88">
        <v>1.9010000000000002</v>
      </c>
      <c r="R191" s="17">
        <v>0</v>
      </c>
      <c r="S191" s="66">
        <v>558.20612793005716</v>
      </c>
      <c r="T191" s="19" t="s">
        <v>3266</v>
      </c>
      <c r="U191" s="21">
        <v>0.93100000000000005</v>
      </c>
      <c r="V191" s="86">
        <v>32.4</v>
      </c>
      <c r="W191" s="81" t="s">
        <v>3267</v>
      </c>
      <c r="X191" s="16"/>
      <c r="Y191" s="16"/>
      <c r="Z191" s="16"/>
      <c r="AA191" s="16"/>
      <c r="AB191" s="16"/>
      <c r="AC191" s="16"/>
      <c r="AD191"/>
      <c r="AE191"/>
      <c r="AF191"/>
      <c r="AG191"/>
      <c r="AH191"/>
      <c r="AI191"/>
      <c r="AJ191"/>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5"/>
      <c r="CY191" s="5"/>
      <c r="CZ191" s="5"/>
      <c r="DA191" s="5"/>
      <c r="DB191" s="5"/>
      <c r="DC191" s="5"/>
      <c r="DD191" s="5"/>
      <c r="DE191" s="5"/>
      <c r="DF191" s="5"/>
      <c r="DG191" s="5"/>
      <c r="DH191" s="5"/>
      <c r="DI191" s="5"/>
      <c r="DJ191" s="5"/>
      <c r="DK191" s="5"/>
      <c r="DL191" s="5"/>
      <c r="DM191" s="5"/>
      <c r="DN191" s="5"/>
      <c r="DO191" s="5"/>
      <c r="DP191" s="5"/>
      <c r="DQ191" s="5"/>
      <c r="DR191" s="5"/>
      <c r="DS191" s="5"/>
      <c r="DT191" s="5"/>
      <c r="DU191" s="5"/>
      <c r="DV191" s="5"/>
      <c r="DW191" s="5"/>
      <c r="DX191" s="5"/>
      <c r="DY191" s="5"/>
      <c r="DZ191" s="5"/>
      <c r="EA191" s="5"/>
      <c r="EB191" s="5"/>
      <c r="EC191" s="5"/>
      <c r="ED191" s="5"/>
      <c r="EE191" s="5"/>
      <c r="EF191" s="5"/>
      <c r="EG191" s="5"/>
    </row>
    <row r="192" spans="1:137" s="32" customFormat="1" ht="57">
      <c r="A192" s="17" t="s">
        <v>218</v>
      </c>
      <c r="B192" s="17" t="s">
        <v>389</v>
      </c>
      <c r="C192" s="18" t="s">
        <v>390</v>
      </c>
      <c r="D192" s="18" t="s">
        <v>151</v>
      </c>
      <c r="E192" s="17">
        <v>933</v>
      </c>
      <c r="F192" s="17">
        <v>1280</v>
      </c>
      <c r="G192" s="19" t="s">
        <v>102</v>
      </c>
      <c r="H192" s="17" t="s">
        <v>103</v>
      </c>
      <c r="I192" s="17" t="s">
        <v>104</v>
      </c>
      <c r="J192" s="19" t="s">
        <v>105</v>
      </c>
      <c r="K192" s="19" t="s">
        <v>112</v>
      </c>
      <c r="L192" s="19" t="s">
        <v>113</v>
      </c>
      <c r="M192" s="17" t="s">
        <v>108</v>
      </c>
      <c r="N192" s="17"/>
      <c r="O192" s="17"/>
      <c r="P192" s="88">
        <v>3.7670000000000003</v>
      </c>
      <c r="Q192" s="88">
        <v>1.5489999999999999</v>
      </c>
      <c r="R192" s="17">
        <v>0</v>
      </c>
      <c r="S192" s="66">
        <v>1174.5011520825869</v>
      </c>
      <c r="T192" s="19" t="s">
        <v>3257</v>
      </c>
      <c r="U192" s="21">
        <v>0.94199999999999995</v>
      </c>
      <c r="V192" s="86">
        <v>29.2</v>
      </c>
      <c r="W192" s="81" t="s">
        <v>700</v>
      </c>
      <c r="X192" s="16"/>
      <c r="Y192" s="16"/>
      <c r="Z192" s="16"/>
      <c r="AA192" s="16"/>
      <c r="AB192" s="16"/>
      <c r="AC192" s="16"/>
      <c r="AD192" s="16"/>
      <c r="AE192" s="16"/>
      <c r="AF192" s="16"/>
      <c r="AG192" s="16"/>
      <c r="AH192" s="16"/>
      <c r="AI192" s="16"/>
      <c r="AJ192" s="16"/>
      <c r="AK192" s="17"/>
      <c r="AL192" s="17"/>
      <c r="AM192" s="17"/>
      <c r="AN192" s="17"/>
      <c r="AO192" s="17"/>
      <c r="AP192" s="17"/>
      <c r="AQ192" s="17"/>
      <c r="AR192" s="17"/>
      <c r="AS192" s="17"/>
      <c r="AT192" s="17"/>
      <c r="AU192" s="17"/>
      <c r="AV192" s="17"/>
      <c r="AW192" s="17"/>
      <c r="AX192" s="17"/>
      <c r="AY192" s="17"/>
      <c r="AZ192" s="17"/>
      <c r="BA192" s="17"/>
      <c r="BB192" s="17"/>
      <c r="BC192" s="17"/>
      <c r="BD192" s="17"/>
      <c r="BE192" s="17"/>
      <c r="BF192" s="17"/>
      <c r="BG192" s="17"/>
      <c r="BH192" s="17"/>
      <c r="BI192" s="17"/>
      <c r="BJ192" s="17"/>
      <c r="BK192" s="17"/>
      <c r="BL192" s="17"/>
      <c r="BM192" s="17"/>
      <c r="BN192" s="17"/>
      <c r="BO192" s="17"/>
      <c r="BP192" s="17"/>
      <c r="BQ192" s="17"/>
      <c r="BR192" s="17"/>
      <c r="BS192" s="17"/>
      <c r="BT192" s="17"/>
      <c r="BU192" s="17"/>
      <c r="BV192" s="17"/>
      <c r="BW192" s="17"/>
      <c r="BX192" s="17"/>
      <c r="BY192" s="17"/>
      <c r="BZ192" s="17"/>
      <c r="CA192" s="17"/>
      <c r="CB192" s="17"/>
      <c r="CC192" s="17"/>
      <c r="CD192" s="17"/>
      <c r="CE192" s="17"/>
      <c r="CF192" s="17"/>
      <c r="CG192" s="17"/>
      <c r="CH192" s="17"/>
      <c r="CI192" s="17"/>
      <c r="CJ192" s="17"/>
      <c r="CK192" s="17"/>
      <c r="CL192" s="17"/>
      <c r="CM192" s="17"/>
      <c r="CN192" s="17"/>
      <c r="CO192" s="17"/>
      <c r="CP192" s="17"/>
      <c r="CQ192" s="17"/>
      <c r="CR192" s="17"/>
      <c r="CS192" s="17"/>
      <c r="CT192" s="17"/>
      <c r="CU192" s="17"/>
      <c r="CV192" s="17"/>
      <c r="CW192" s="17"/>
      <c r="CX192" s="17"/>
      <c r="CY192" s="17"/>
      <c r="CZ192" s="17"/>
      <c r="DA192" s="17"/>
      <c r="DB192" s="17"/>
      <c r="DC192" s="17"/>
      <c r="DD192" s="17"/>
      <c r="DE192" s="17"/>
      <c r="DF192" s="17"/>
      <c r="DG192" s="17"/>
      <c r="DH192" s="17"/>
      <c r="DI192" s="17"/>
      <c r="DJ192" s="17"/>
      <c r="DK192" s="17"/>
      <c r="DL192" s="17"/>
      <c r="DM192" s="17"/>
      <c r="DN192" s="17"/>
      <c r="DO192" s="17"/>
      <c r="DP192" s="17"/>
      <c r="DQ192" s="17"/>
      <c r="DR192" s="17"/>
      <c r="DS192" s="17"/>
      <c r="DT192" s="17"/>
      <c r="DU192" s="17"/>
      <c r="DV192" s="17"/>
      <c r="DW192" s="17"/>
      <c r="DX192" s="17"/>
      <c r="DY192" s="17"/>
      <c r="DZ192" s="17"/>
      <c r="EA192" s="17"/>
      <c r="EB192" s="17"/>
      <c r="EC192" s="17"/>
      <c r="ED192" s="17"/>
      <c r="EE192" s="17"/>
      <c r="EF192" s="17"/>
      <c r="EG192" s="17"/>
    </row>
    <row r="193" spans="1:137" s="32" customFormat="1" ht="57">
      <c r="A193" s="17" t="s">
        <v>218</v>
      </c>
      <c r="B193" s="17" t="s">
        <v>389</v>
      </c>
      <c r="C193" s="18" t="s">
        <v>390</v>
      </c>
      <c r="D193" s="18" t="s">
        <v>151</v>
      </c>
      <c r="E193" s="17">
        <v>933</v>
      </c>
      <c r="F193" s="17">
        <v>2198</v>
      </c>
      <c r="G193" s="19" t="s">
        <v>102</v>
      </c>
      <c r="H193" s="17" t="s">
        <v>103</v>
      </c>
      <c r="I193" s="17" t="s">
        <v>104</v>
      </c>
      <c r="J193" s="19" t="s">
        <v>105</v>
      </c>
      <c r="K193" s="19" t="s">
        <v>209</v>
      </c>
      <c r="L193" s="19" t="s">
        <v>216</v>
      </c>
      <c r="M193" s="17" t="s">
        <v>114</v>
      </c>
      <c r="N193" s="17"/>
      <c r="O193" s="17"/>
      <c r="P193" s="88">
        <v>3.7590000000000003</v>
      </c>
      <c r="Q193" s="88">
        <v>1.6940000000000002</v>
      </c>
      <c r="R193" s="17">
        <v>0</v>
      </c>
      <c r="S193" s="66">
        <v>870.78707092381853</v>
      </c>
      <c r="T193" s="19" t="s">
        <v>3244</v>
      </c>
      <c r="U193" s="21">
        <v>0.93500000000000005</v>
      </c>
      <c r="V193" s="86">
        <v>30.8</v>
      </c>
      <c r="W193" s="81" t="s">
        <v>700</v>
      </c>
      <c r="X193" s="16"/>
      <c r="Y193" s="16"/>
      <c r="Z193" s="16"/>
      <c r="AA193" s="16"/>
      <c r="AB193" s="16"/>
      <c r="AC193" s="16"/>
      <c r="AD193"/>
      <c r="AE193"/>
      <c r="AF193"/>
      <c r="AG193"/>
      <c r="AH193"/>
      <c r="AI193"/>
      <c r="AJ193"/>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c r="DA193" s="5"/>
      <c r="DB193" s="5"/>
      <c r="DC193" s="5"/>
      <c r="DD193" s="5"/>
      <c r="DE193" s="5"/>
      <c r="DF193" s="5"/>
      <c r="DG193" s="5"/>
      <c r="DH193" s="5"/>
      <c r="DI193" s="5"/>
      <c r="DJ193" s="5"/>
      <c r="DK193" s="5"/>
      <c r="DL193" s="5"/>
      <c r="DM193" s="5"/>
      <c r="DN193" s="5"/>
      <c r="DO193" s="5"/>
      <c r="DP193" s="5"/>
      <c r="DQ193" s="5"/>
      <c r="DR193" s="5"/>
      <c r="DS193" s="5"/>
      <c r="DT193" s="5"/>
      <c r="DU193" s="5"/>
      <c r="DV193" s="5"/>
      <c r="DW193" s="5"/>
      <c r="DX193" s="5"/>
      <c r="DY193" s="5"/>
      <c r="DZ193" s="5"/>
      <c r="EA193" s="5"/>
      <c r="EB193" s="5"/>
      <c r="EC193" s="5"/>
      <c r="ED193" s="5"/>
      <c r="EE193" s="5"/>
      <c r="EF193" s="5"/>
      <c r="EG193" s="5"/>
    </row>
    <row r="194" spans="1:137" s="32" customFormat="1" ht="57">
      <c r="A194" s="17" t="s">
        <v>218</v>
      </c>
      <c r="B194" s="17" t="s">
        <v>389</v>
      </c>
      <c r="C194" s="18" t="s">
        <v>390</v>
      </c>
      <c r="D194" s="18" t="s">
        <v>151</v>
      </c>
      <c r="E194" s="17">
        <v>933</v>
      </c>
      <c r="F194" s="17">
        <v>3285</v>
      </c>
      <c r="G194" s="19" t="s">
        <v>102</v>
      </c>
      <c r="H194" s="17" t="s">
        <v>103</v>
      </c>
      <c r="I194" s="17" t="s">
        <v>104</v>
      </c>
      <c r="J194" s="19" t="s">
        <v>105</v>
      </c>
      <c r="K194" s="19" t="s">
        <v>209</v>
      </c>
      <c r="L194" s="19" t="s">
        <v>216</v>
      </c>
      <c r="M194" s="17" t="s">
        <v>114</v>
      </c>
      <c r="N194" s="17"/>
      <c r="O194" s="17"/>
      <c r="P194" s="88">
        <v>4.1109999999999998</v>
      </c>
      <c r="Q194" s="88">
        <v>1.556</v>
      </c>
      <c r="R194" s="17">
        <v>0</v>
      </c>
      <c r="S194" s="66">
        <v>877.46884373283001</v>
      </c>
      <c r="T194" s="19" t="s">
        <v>3244</v>
      </c>
      <c r="U194" s="21">
        <v>0.93500000000000005</v>
      </c>
      <c r="V194" s="86">
        <v>30.8</v>
      </c>
      <c r="W194" s="81" t="s">
        <v>700</v>
      </c>
      <c r="X194" s="16"/>
      <c r="Y194" s="16"/>
      <c r="Z194" s="16"/>
      <c r="AA194" s="16"/>
      <c r="AB194" s="16"/>
      <c r="AC194" s="16"/>
      <c r="AD194"/>
      <c r="AE194"/>
      <c r="AF194"/>
      <c r="AG194"/>
      <c r="AH194"/>
      <c r="AI194"/>
      <c r="AJ194"/>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c r="CK194" s="5"/>
      <c r="CL194" s="5"/>
      <c r="CM194" s="5"/>
      <c r="CN194" s="5"/>
      <c r="CO194" s="5"/>
      <c r="CP194" s="5"/>
      <c r="CQ194" s="5"/>
      <c r="CR194" s="5"/>
      <c r="CS194" s="5"/>
      <c r="CT194" s="5"/>
      <c r="CU194" s="5"/>
      <c r="CV194" s="5"/>
      <c r="CW194" s="5"/>
      <c r="CX194" s="5"/>
      <c r="CY194" s="5"/>
      <c r="CZ194" s="5"/>
      <c r="DA194" s="5"/>
      <c r="DB194" s="5"/>
      <c r="DC194" s="5"/>
      <c r="DD194" s="5"/>
      <c r="DE194" s="5"/>
      <c r="DF194" s="5"/>
      <c r="DG194" s="5"/>
      <c r="DH194" s="5"/>
      <c r="DI194" s="5"/>
      <c r="DJ194" s="5"/>
      <c r="DK194" s="5"/>
      <c r="DL194" s="5"/>
      <c r="DM194" s="5"/>
      <c r="DN194" s="5"/>
      <c r="DO194" s="5"/>
      <c r="DP194" s="5"/>
      <c r="DQ194" s="5"/>
      <c r="DR194" s="5"/>
      <c r="DS194" s="5"/>
      <c r="DT194" s="5"/>
      <c r="DU194" s="5"/>
      <c r="DV194" s="5"/>
      <c r="DW194" s="5"/>
      <c r="DX194" s="5"/>
      <c r="DY194" s="5"/>
      <c r="DZ194" s="5"/>
      <c r="EA194" s="5"/>
      <c r="EB194" s="5"/>
      <c r="EC194" s="5"/>
      <c r="ED194" s="5"/>
      <c r="EE194" s="5"/>
      <c r="EF194" s="5"/>
      <c r="EG194" s="5"/>
    </row>
    <row r="195" spans="1:137" s="32" customFormat="1" ht="57">
      <c r="A195" s="17" t="s">
        <v>218</v>
      </c>
      <c r="B195" s="17" t="s">
        <v>389</v>
      </c>
      <c r="C195" s="18" t="s">
        <v>390</v>
      </c>
      <c r="D195" s="18" t="s">
        <v>151</v>
      </c>
      <c r="E195" s="17">
        <v>933</v>
      </c>
      <c r="F195" s="17">
        <v>3390</v>
      </c>
      <c r="G195" s="19" t="s">
        <v>102</v>
      </c>
      <c r="H195" s="17" t="s">
        <v>103</v>
      </c>
      <c r="I195" s="17" t="s">
        <v>104</v>
      </c>
      <c r="J195" s="19" t="s">
        <v>105</v>
      </c>
      <c r="K195" s="19" t="s">
        <v>126</v>
      </c>
      <c r="L195" s="19" t="s">
        <v>127</v>
      </c>
      <c r="M195" s="17" t="s">
        <v>114</v>
      </c>
      <c r="N195" s="17"/>
      <c r="O195" s="17"/>
      <c r="P195" s="88">
        <v>4.9979999999999993</v>
      </c>
      <c r="Q195" s="88">
        <v>1.716</v>
      </c>
      <c r="R195" s="17">
        <v>0</v>
      </c>
      <c r="S195" s="66">
        <v>876.39760353158306</v>
      </c>
      <c r="T195" s="19" t="s">
        <v>3245</v>
      </c>
      <c r="U195" s="21">
        <v>0.94299999999999995</v>
      </c>
      <c r="V195" s="86">
        <v>29.1</v>
      </c>
      <c r="W195" s="81" t="s">
        <v>700</v>
      </c>
      <c r="X195" s="16"/>
      <c r="Y195" s="16"/>
      <c r="Z195" s="16"/>
      <c r="AA195" s="16"/>
      <c r="AB195" s="16"/>
      <c r="AC195" s="16"/>
      <c r="AD195"/>
      <c r="AE195"/>
      <c r="AF195"/>
      <c r="AG195"/>
      <c r="AH195"/>
      <c r="AI195"/>
      <c r="AJ19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c r="ED195" s="5"/>
      <c r="EE195" s="5"/>
      <c r="EF195" s="5"/>
      <c r="EG195" s="5"/>
    </row>
    <row r="196" spans="1:137" s="32" customFormat="1" ht="57">
      <c r="A196" s="17" t="s">
        <v>218</v>
      </c>
      <c r="B196" s="17" t="s">
        <v>389</v>
      </c>
      <c r="C196" s="18" t="s">
        <v>390</v>
      </c>
      <c r="D196" s="18" t="s">
        <v>151</v>
      </c>
      <c r="E196" s="17">
        <v>31322</v>
      </c>
      <c r="F196" s="17">
        <v>1</v>
      </c>
      <c r="G196" s="19" t="s">
        <v>832</v>
      </c>
      <c r="H196" s="17" t="s">
        <v>833</v>
      </c>
      <c r="I196" s="17" t="s">
        <v>104</v>
      </c>
      <c r="J196" s="19" t="s">
        <v>105</v>
      </c>
      <c r="K196" s="19" t="s">
        <v>3289</v>
      </c>
      <c r="L196" s="19" t="s">
        <v>3290</v>
      </c>
      <c r="M196" s="17" t="s">
        <v>108</v>
      </c>
      <c r="N196" s="17"/>
      <c r="O196" s="17"/>
      <c r="P196" s="88">
        <v>5.38</v>
      </c>
      <c r="Q196" s="88">
        <v>2.7</v>
      </c>
      <c r="R196" s="17">
        <v>0</v>
      </c>
      <c r="S196" s="66">
        <v>348.63231471550483</v>
      </c>
      <c r="T196" s="19" t="s">
        <v>3291</v>
      </c>
      <c r="U196" s="21">
        <v>0.95289999999999997</v>
      </c>
      <c r="V196" s="86">
        <v>20</v>
      </c>
      <c r="W196" s="81" t="s">
        <v>694</v>
      </c>
      <c r="X196" s="16"/>
      <c r="Y196" s="16"/>
      <c r="Z196" s="16"/>
      <c r="AA196" s="16"/>
      <c r="AB196" s="16"/>
      <c r="AC196" s="16"/>
      <c r="AD196"/>
      <c r="AE196"/>
      <c r="AF196"/>
      <c r="AG196"/>
      <c r="AH196"/>
      <c r="AI196"/>
      <c r="AJ196"/>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
      <c r="CK196" s="5"/>
      <c r="CL196" s="5"/>
      <c r="CM196" s="5"/>
      <c r="CN196" s="5"/>
      <c r="CO196" s="5"/>
      <c r="CP196" s="5"/>
      <c r="CQ196" s="5"/>
      <c r="CR196" s="5"/>
      <c r="CS196" s="5"/>
      <c r="CT196" s="5"/>
      <c r="CU196" s="5"/>
      <c r="CV196" s="5"/>
      <c r="CW196" s="5"/>
      <c r="CX196" s="5"/>
      <c r="CY196" s="5"/>
      <c r="CZ196" s="5"/>
      <c r="DA196" s="5"/>
      <c r="DB196" s="5"/>
      <c r="DC196" s="5"/>
      <c r="DD196" s="5"/>
      <c r="DE196" s="5"/>
      <c r="DF196" s="5"/>
      <c r="DG196" s="5"/>
      <c r="DH196" s="5"/>
      <c r="DI196" s="5"/>
      <c r="DJ196" s="5"/>
      <c r="DK196" s="5"/>
      <c r="DL196" s="5"/>
      <c r="DM196" s="5"/>
      <c r="DN196" s="5"/>
      <c r="DO196" s="5"/>
      <c r="DP196" s="5"/>
      <c r="DQ196" s="5"/>
      <c r="DR196" s="5"/>
      <c r="DS196" s="5"/>
      <c r="DT196" s="5"/>
      <c r="DU196" s="5"/>
      <c r="DV196" s="5"/>
      <c r="DW196" s="5"/>
      <c r="DX196" s="5"/>
      <c r="DY196" s="5"/>
      <c r="DZ196" s="5"/>
      <c r="EA196" s="5"/>
      <c r="EB196" s="5"/>
      <c r="EC196" s="5"/>
      <c r="ED196" s="5"/>
      <c r="EE196" s="5"/>
      <c r="EF196" s="5"/>
      <c r="EG196" s="5"/>
    </row>
    <row r="197" spans="1:137" s="32" customFormat="1" ht="57">
      <c r="A197" s="17" t="s">
        <v>218</v>
      </c>
      <c r="B197" s="17" t="s">
        <v>389</v>
      </c>
      <c r="C197" s="18" t="s">
        <v>390</v>
      </c>
      <c r="D197" s="18" t="s">
        <v>151</v>
      </c>
      <c r="E197" s="17">
        <v>908</v>
      </c>
      <c r="F197" s="17">
        <v>831</v>
      </c>
      <c r="G197" s="19" t="s">
        <v>250</v>
      </c>
      <c r="H197" s="17" t="s">
        <v>251</v>
      </c>
      <c r="I197" s="17" t="s">
        <v>104</v>
      </c>
      <c r="J197" s="19" t="s">
        <v>105</v>
      </c>
      <c r="K197" s="19" t="s">
        <v>3305</v>
      </c>
      <c r="L197" s="19" t="s">
        <v>3306</v>
      </c>
      <c r="M197" s="17" t="s">
        <v>114</v>
      </c>
      <c r="N197" s="17">
        <v>0</v>
      </c>
      <c r="O197" s="17">
        <v>0</v>
      </c>
      <c r="P197" s="88">
        <v>7.51</v>
      </c>
      <c r="Q197" s="88">
        <v>5.5469999999999997</v>
      </c>
      <c r="R197" s="17">
        <v>0</v>
      </c>
      <c r="S197" s="66">
        <v>645.4</v>
      </c>
      <c r="T197" s="19" t="s">
        <v>3307</v>
      </c>
      <c r="U197" s="21">
        <v>0.95399999999999996</v>
      </c>
      <c r="V197" s="86">
        <v>20</v>
      </c>
      <c r="W197" s="81" t="s">
        <v>694</v>
      </c>
      <c r="X197" s="16"/>
      <c r="Y197" s="16"/>
      <c r="Z197" s="16"/>
      <c r="AA197" s="16"/>
      <c r="AB197" s="16"/>
      <c r="AC197" s="16"/>
      <c r="AD197"/>
      <c r="AE197"/>
      <c r="AF197"/>
      <c r="AG197"/>
      <c r="AH197"/>
      <c r="AI197"/>
      <c r="AJ197"/>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c r="CE197" s="5"/>
      <c r="CF197" s="5"/>
      <c r="CG197" s="5"/>
      <c r="CH197" s="5"/>
      <c r="CI197" s="5"/>
      <c r="CJ197" s="5"/>
      <c r="CK197" s="5"/>
      <c r="CL197" s="5"/>
      <c r="CM197" s="5"/>
      <c r="CN197" s="5"/>
      <c r="CO197" s="5"/>
      <c r="CP197" s="5"/>
      <c r="CQ197" s="5"/>
      <c r="CR197" s="5"/>
      <c r="CS197" s="5"/>
      <c r="CT197" s="5"/>
      <c r="CU197" s="5"/>
      <c r="CV197" s="5"/>
      <c r="CW197" s="5"/>
      <c r="CX197" s="5"/>
      <c r="CY197" s="5"/>
      <c r="CZ197" s="5"/>
      <c r="DA197" s="5"/>
      <c r="DB197" s="5"/>
      <c r="DC197" s="5"/>
      <c r="DD197" s="5"/>
      <c r="DE197" s="5"/>
      <c r="DF197" s="5"/>
      <c r="DG197" s="5"/>
      <c r="DH197" s="5"/>
      <c r="DI197" s="5"/>
      <c r="DJ197" s="5"/>
      <c r="DK197" s="5"/>
      <c r="DL197" s="5"/>
      <c r="DM197" s="5"/>
      <c r="DN197" s="5"/>
      <c r="DO197" s="5"/>
      <c r="DP197" s="5"/>
      <c r="DQ197" s="5"/>
      <c r="DR197" s="5"/>
      <c r="DS197" s="5"/>
      <c r="DT197" s="5"/>
      <c r="DU197" s="5"/>
      <c r="DV197" s="5"/>
      <c r="DW197" s="5"/>
      <c r="DX197" s="5"/>
      <c r="DY197" s="5"/>
      <c r="DZ197" s="5"/>
      <c r="EA197" s="5"/>
      <c r="EB197" s="5"/>
      <c r="EC197" s="5"/>
      <c r="ED197" s="5"/>
      <c r="EE197" s="5"/>
      <c r="EF197" s="5"/>
      <c r="EG197" s="5"/>
    </row>
    <row r="198" spans="1:137" s="32" customFormat="1" ht="57">
      <c r="A198" s="17" t="s">
        <v>218</v>
      </c>
      <c r="B198" s="17" t="s">
        <v>389</v>
      </c>
      <c r="C198" s="18" t="s">
        <v>390</v>
      </c>
      <c r="D198" s="18" t="s">
        <v>151</v>
      </c>
      <c r="E198" s="17">
        <v>908</v>
      </c>
      <c r="F198" s="17">
        <v>855</v>
      </c>
      <c r="G198" s="19" t="s">
        <v>250</v>
      </c>
      <c r="H198" s="17" t="s">
        <v>251</v>
      </c>
      <c r="I198" s="17" t="s">
        <v>104</v>
      </c>
      <c r="J198" s="19" t="s">
        <v>105</v>
      </c>
      <c r="K198" s="19" t="s">
        <v>3289</v>
      </c>
      <c r="L198" s="19" t="s">
        <v>3290</v>
      </c>
      <c r="M198" s="17" t="s">
        <v>114</v>
      </c>
      <c r="N198" s="17"/>
      <c r="O198" s="17"/>
      <c r="P198" s="88">
        <v>7.5</v>
      </c>
      <c r="Q198" s="88">
        <v>3.6079999999999997</v>
      </c>
      <c r="R198" s="17">
        <v>0</v>
      </c>
      <c r="S198" s="66">
        <v>840.68794003882124</v>
      </c>
      <c r="T198" s="19" t="s">
        <v>3291</v>
      </c>
      <c r="U198" s="21">
        <v>0.95289999999999997</v>
      </c>
      <c r="V198" s="86">
        <v>20</v>
      </c>
      <c r="W198" s="81" t="s">
        <v>694</v>
      </c>
      <c r="X198" s="16"/>
      <c r="Y198" s="16"/>
      <c r="Z198" s="16"/>
      <c r="AA198" s="16"/>
      <c r="AB198" s="16"/>
      <c r="AC198" s="16"/>
      <c r="AD198"/>
      <c r="AE198"/>
      <c r="AF198"/>
      <c r="AG198"/>
      <c r="AH198"/>
      <c r="AI198"/>
      <c r="AJ198"/>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c r="DU198" s="5"/>
      <c r="DV198" s="5"/>
      <c r="DW198" s="5"/>
      <c r="DX198" s="5"/>
      <c r="DY198" s="5"/>
      <c r="DZ198" s="5"/>
      <c r="EA198" s="5"/>
      <c r="EB198" s="5"/>
      <c r="EC198" s="5"/>
      <c r="ED198" s="5"/>
      <c r="EE198" s="5"/>
      <c r="EF198" s="5"/>
      <c r="EG198" s="5"/>
    </row>
    <row r="199" spans="1:137" s="32" customFormat="1" ht="57">
      <c r="A199" s="17" t="s">
        <v>218</v>
      </c>
      <c r="B199" s="17" t="s">
        <v>389</v>
      </c>
      <c r="C199" s="18" t="s">
        <v>390</v>
      </c>
      <c r="D199" s="18" t="s">
        <v>151</v>
      </c>
      <c r="E199" s="17">
        <v>908</v>
      </c>
      <c r="F199" s="17">
        <v>2454</v>
      </c>
      <c r="G199" s="19" t="s">
        <v>250</v>
      </c>
      <c r="H199" s="17" t="s">
        <v>251</v>
      </c>
      <c r="I199" s="17" t="s">
        <v>104</v>
      </c>
      <c r="J199" s="19" t="s">
        <v>105</v>
      </c>
      <c r="K199" s="19" t="s">
        <v>883</v>
      </c>
      <c r="L199" s="19" t="s">
        <v>3308</v>
      </c>
      <c r="M199" s="17"/>
      <c r="N199" s="17"/>
      <c r="O199" s="17"/>
      <c r="P199" s="88">
        <v>2.5750000000000002</v>
      </c>
      <c r="Q199" s="88">
        <v>1.1960000000000002</v>
      </c>
      <c r="R199" s="17">
        <v>0</v>
      </c>
      <c r="S199" s="66">
        <v>124.61512547832643</v>
      </c>
      <c r="T199" s="19" t="s">
        <v>3309</v>
      </c>
      <c r="U199" s="21" t="s">
        <v>3310</v>
      </c>
      <c r="V199" s="86" t="s">
        <v>3311</v>
      </c>
      <c r="W199" s="81" t="s">
        <v>3287</v>
      </c>
      <c r="X199" s="16"/>
      <c r="Y199" s="16"/>
      <c r="Z199" s="16"/>
      <c r="AA199" s="16"/>
      <c r="AB199" s="16"/>
      <c r="AC199" s="16"/>
      <c r="AD199"/>
      <c r="AE199"/>
      <c r="AF199"/>
      <c r="AG199"/>
      <c r="AH199"/>
      <c r="AI199"/>
      <c r="AJ199"/>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c r="CD199" s="5"/>
      <c r="CE199" s="5"/>
      <c r="CF199" s="5"/>
      <c r="CG199" s="5"/>
      <c r="CH199" s="5"/>
      <c r="CI199" s="5"/>
      <c r="CJ199" s="5"/>
      <c r="CK199" s="5"/>
      <c r="CL199" s="5"/>
      <c r="CM199" s="5"/>
      <c r="CN199" s="5"/>
      <c r="CO199" s="5"/>
      <c r="CP199" s="5"/>
      <c r="CQ199" s="5"/>
      <c r="CR199" s="5"/>
      <c r="CS199" s="5"/>
      <c r="CT199" s="5"/>
      <c r="CU199" s="5"/>
      <c r="CV199" s="5"/>
      <c r="CW199" s="5"/>
      <c r="CX199" s="5"/>
      <c r="CY199" s="5"/>
      <c r="CZ199" s="5"/>
      <c r="DA199" s="5"/>
      <c r="DB199" s="5"/>
      <c r="DC199" s="5"/>
      <c r="DD199" s="5"/>
      <c r="DE199" s="5"/>
      <c r="DF199" s="5"/>
      <c r="DG199" s="5"/>
      <c r="DH199" s="5"/>
      <c r="DI199" s="5"/>
      <c r="DJ199" s="5"/>
      <c r="DK199" s="5"/>
      <c r="DL199" s="5"/>
      <c r="DM199" s="5"/>
      <c r="DN199" s="5"/>
      <c r="DO199" s="5"/>
      <c r="DP199" s="5"/>
      <c r="DQ199" s="5"/>
      <c r="DR199" s="5"/>
      <c r="DS199" s="5"/>
      <c r="DT199" s="5"/>
      <c r="DU199" s="5"/>
      <c r="DV199" s="5"/>
      <c r="DW199" s="5"/>
      <c r="DX199" s="5"/>
      <c r="DY199" s="5"/>
      <c r="DZ199" s="5"/>
      <c r="EA199" s="5"/>
      <c r="EB199" s="5"/>
      <c r="EC199" s="5"/>
      <c r="ED199" s="5"/>
      <c r="EE199" s="5"/>
      <c r="EF199" s="5"/>
      <c r="EG199" s="5"/>
    </row>
    <row r="200" spans="1:137" s="32" customFormat="1" ht="57">
      <c r="A200" s="17" t="s">
        <v>218</v>
      </c>
      <c r="B200" s="17" t="s">
        <v>389</v>
      </c>
      <c r="C200" s="18" t="s">
        <v>390</v>
      </c>
      <c r="D200" s="18" t="s">
        <v>151</v>
      </c>
      <c r="E200" s="17">
        <v>908</v>
      </c>
      <c r="F200" s="17" t="s">
        <v>848</v>
      </c>
      <c r="G200" s="19" t="s">
        <v>250</v>
      </c>
      <c r="H200" s="17" t="s">
        <v>251</v>
      </c>
      <c r="I200" s="17" t="s">
        <v>104</v>
      </c>
      <c r="J200" s="19" t="s">
        <v>105</v>
      </c>
      <c r="K200" s="19" t="s">
        <v>3305</v>
      </c>
      <c r="L200" s="19" t="s">
        <v>3306</v>
      </c>
      <c r="M200" s="17" t="s">
        <v>114</v>
      </c>
      <c r="N200" s="17">
        <v>0</v>
      </c>
      <c r="O200" s="17">
        <v>0</v>
      </c>
      <c r="P200" s="88">
        <v>6.4459999999999997</v>
      </c>
      <c r="Q200" s="88">
        <v>4.83</v>
      </c>
      <c r="R200" s="17">
        <v>0</v>
      </c>
      <c r="S200" s="66">
        <v>418.1</v>
      </c>
      <c r="T200" s="19" t="s">
        <v>3307</v>
      </c>
      <c r="U200" s="21">
        <v>0.95399999999999996</v>
      </c>
      <c r="V200" s="86">
        <v>20</v>
      </c>
      <c r="W200" s="81" t="s">
        <v>694</v>
      </c>
      <c r="X200" s="16"/>
      <c r="Y200" s="16"/>
      <c r="Z200" s="16"/>
      <c r="AA200" s="16"/>
      <c r="AB200" s="16"/>
      <c r="AC200" s="16"/>
      <c r="AD200"/>
      <c r="AE200"/>
      <c r="AF200"/>
      <c r="AG200"/>
      <c r="AH200"/>
      <c r="AI200"/>
      <c r="AJ200"/>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5"/>
      <c r="CY200" s="5"/>
      <c r="CZ200" s="5"/>
      <c r="DA200" s="5"/>
      <c r="DB200" s="5"/>
      <c r="DC200" s="5"/>
      <c r="DD200" s="5"/>
      <c r="DE200" s="5"/>
      <c r="DF200" s="5"/>
      <c r="DG200" s="5"/>
      <c r="DH200" s="5"/>
      <c r="DI200" s="5"/>
      <c r="DJ200" s="5"/>
      <c r="DK200" s="5"/>
      <c r="DL200" s="5"/>
      <c r="DM200" s="5"/>
      <c r="DN200" s="5"/>
      <c r="DO200" s="5"/>
      <c r="DP200" s="5"/>
      <c r="DQ200" s="5"/>
      <c r="DR200" s="5"/>
      <c r="DS200" s="5"/>
      <c r="DT200" s="5"/>
      <c r="DU200" s="5"/>
      <c r="DV200" s="5"/>
      <c r="DW200" s="5"/>
      <c r="DX200" s="5"/>
      <c r="DY200" s="5"/>
      <c r="DZ200" s="5"/>
      <c r="EA200" s="5"/>
      <c r="EB200" s="5"/>
      <c r="EC200" s="5"/>
      <c r="ED200" s="5"/>
      <c r="EE200" s="5"/>
      <c r="EF200" s="5"/>
      <c r="EG200" s="5"/>
    </row>
    <row r="201" spans="1:137" s="32" customFormat="1" ht="57">
      <c r="A201" s="17" t="s">
        <v>218</v>
      </c>
      <c r="B201" s="17" t="s">
        <v>389</v>
      </c>
      <c r="C201" s="18" t="s">
        <v>390</v>
      </c>
      <c r="D201" s="18" t="s">
        <v>151</v>
      </c>
      <c r="E201" s="17">
        <v>40449</v>
      </c>
      <c r="F201" s="17">
        <v>112</v>
      </c>
      <c r="G201" s="19" t="s">
        <v>305</v>
      </c>
      <c r="H201" s="17" t="s">
        <v>306</v>
      </c>
      <c r="I201" s="17" t="s">
        <v>104</v>
      </c>
      <c r="J201" s="19" t="s">
        <v>105</v>
      </c>
      <c r="K201" s="19" t="s">
        <v>3289</v>
      </c>
      <c r="L201" s="19" t="s">
        <v>3290</v>
      </c>
      <c r="M201" s="17" t="s">
        <v>114</v>
      </c>
      <c r="N201" s="17"/>
      <c r="O201" s="17"/>
      <c r="P201" s="88">
        <v>8.5629999999999988</v>
      </c>
      <c r="Q201" s="88">
        <v>4.3710000000000004</v>
      </c>
      <c r="R201" s="17">
        <v>0</v>
      </c>
      <c r="S201" s="66">
        <v>1194.4072714851588</v>
      </c>
      <c r="T201" s="19" t="s">
        <v>3291</v>
      </c>
      <c r="U201" s="21">
        <v>0.95289999999999997</v>
      </c>
      <c r="V201" s="86">
        <v>20</v>
      </c>
      <c r="W201" s="81" t="s">
        <v>694</v>
      </c>
      <c r="X201" s="16"/>
      <c r="Y201" s="16"/>
      <c r="Z201" s="16"/>
      <c r="AA201" s="16"/>
      <c r="AB201" s="16"/>
      <c r="AC201" s="16"/>
      <c r="AD201"/>
      <c r="AE201"/>
      <c r="AF201"/>
      <c r="AG201"/>
      <c r="AH201"/>
      <c r="AI201"/>
      <c r="AJ201"/>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c r="CG201" s="5"/>
      <c r="CH201" s="5"/>
      <c r="CI201" s="5"/>
      <c r="CJ201" s="5"/>
      <c r="CK201" s="5"/>
      <c r="CL201" s="5"/>
      <c r="CM201" s="5"/>
      <c r="CN201" s="5"/>
      <c r="CO201" s="5"/>
      <c r="CP201" s="5"/>
      <c r="CQ201" s="5"/>
      <c r="CR201" s="5"/>
      <c r="CS201" s="5"/>
      <c r="CT201" s="5"/>
      <c r="CU201" s="5"/>
      <c r="CV201" s="5"/>
      <c r="CW201" s="5"/>
      <c r="CX201" s="5"/>
      <c r="CY201" s="5"/>
      <c r="CZ201" s="5"/>
      <c r="DA201" s="5"/>
      <c r="DB201" s="5"/>
      <c r="DC201" s="5"/>
      <c r="DD201" s="5"/>
      <c r="DE201" s="5"/>
      <c r="DF201" s="5"/>
      <c r="DG201" s="5"/>
      <c r="DH201" s="5"/>
      <c r="DI201" s="5"/>
      <c r="DJ201" s="5"/>
      <c r="DK201" s="5"/>
      <c r="DL201" s="5"/>
      <c r="DM201" s="5"/>
      <c r="DN201" s="5"/>
      <c r="DO201" s="5"/>
      <c r="DP201" s="5"/>
      <c r="DQ201" s="5"/>
      <c r="DR201" s="5"/>
      <c r="DS201" s="5"/>
      <c r="DT201" s="5"/>
      <c r="DU201" s="5"/>
      <c r="DV201" s="5"/>
      <c r="DW201" s="5"/>
      <c r="DX201" s="5"/>
      <c r="DY201" s="5"/>
      <c r="DZ201" s="5"/>
      <c r="EA201" s="5"/>
      <c r="EB201" s="5"/>
      <c r="EC201" s="5"/>
      <c r="ED201" s="5"/>
      <c r="EE201" s="5"/>
      <c r="EF201" s="5"/>
      <c r="EG201" s="5"/>
    </row>
    <row r="202" spans="1:137" s="32" customFormat="1" ht="57">
      <c r="A202" s="17" t="s">
        <v>218</v>
      </c>
      <c r="B202" s="17" t="s">
        <v>389</v>
      </c>
      <c r="C202" s="18" t="s">
        <v>390</v>
      </c>
      <c r="D202" s="18" t="s">
        <v>151</v>
      </c>
      <c r="E202" s="17">
        <v>892</v>
      </c>
      <c r="F202" s="17">
        <v>258</v>
      </c>
      <c r="G202" s="19" t="s">
        <v>276</v>
      </c>
      <c r="H202" s="17" t="s">
        <v>277</v>
      </c>
      <c r="I202" s="17" t="s">
        <v>104</v>
      </c>
      <c r="J202" s="19" t="s">
        <v>105</v>
      </c>
      <c r="K202" s="19" t="s">
        <v>112</v>
      </c>
      <c r="L202" s="19" t="s">
        <v>113</v>
      </c>
      <c r="M202" s="17" t="s">
        <v>114</v>
      </c>
      <c r="N202" s="17"/>
      <c r="O202" s="17"/>
      <c r="P202" s="88">
        <v>2.4950000000000001</v>
      </c>
      <c r="Q202" s="88">
        <v>1.573</v>
      </c>
      <c r="R202" s="17">
        <v>0</v>
      </c>
      <c r="S202" s="66">
        <v>601.07265586260121</v>
      </c>
      <c r="T202" s="19" t="s">
        <v>3257</v>
      </c>
      <c r="U202" s="21">
        <v>0.94199999999999995</v>
      </c>
      <c r="V202" s="86">
        <v>29.2</v>
      </c>
      <c r="W202" s="81" t="s">
        <v>700</v>
      </c>
      <c r="X202" s="16"/>
      <c r="Y202" s="16"/>
      <c r="Z202" s="16"/>
      <c r="AA202" s="16"/>
      <c r="AB202" s="16"/>
      <c r="AC202" s="16"/>
      <c r="AD202"/>
      <c r="AE202"/>
      <c r="AF202"/>
      <c r="AG202"/>
      <c r="AH202"/>
      <c r="AI202"/>
      <c r="AJ202"/>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c r="CH202" s="5"/>
      <c r="CI202" s="5"/>
      <c r="CJ202" s="5"/>
      <c r="CK202" s="5"/>
      <c r="CL202" s="5"/>
      <c r="CM202" s="5"/>
      <c r="CN202" s="5"/>
      <c r="CO202" s="5"/>
      <c r="CP202" s="5"/>
      <c r="CQ202" s="5"/>
      <c r="CR202" s="5"/>
      <c r="CS202" s="5"/>
      <c r="CT202" s="5"/>
      <c r="CU202" s="5"/>
      <c r="CV202" s="5"/>
      <c r="CW202" s="5"/>
      <c r="CX202" s="5"/>
      <c r="CY202" s="5"/>
      <c r="CZ202" s="5"/>
      <c r="DA202" s="5"/>
      <c r="DB202" s="5"/>
      <c r="DC202" s="5"/>
      <c r="DD202" s="5"/>
      <c r="DE202" s="5"/>
      <c r="DF202" s="5"/>
      <c r="DG202" s="5"/>
      <c r="DH202" s="5"/>
      <c r="DI202" s="5"/>
      <c r="DJ202" s="5"/>
      <c r="DK202" s="5"/>
      <c r="DL202" s="5"/>
      <c r="DM202" s="5"/>
      <c r="DN202" s="5"/>
      <c r="DO202" s="5"/>
      <c r="DP202" s="5"/>
      <c r="DQ202" s="5"/>
      <c r="DR202" s="5"/>
      <c r="DS202" s="5"/>
      <c r="DT202" s="5"/>
      <c r="DU202" s="5"/>
      <c r="DV202" s="5"/>
      <c r="DW202" s="5"/>
      <c r="DX202" s="5"/>
      <c r="DY202" s="5"/>
      <c r="DZ202" s="5"/>
      <c r="EA202" s="5"/>
      <c r="EB202" s="5"/>
      <c r="EC202" s="5"/>
      <c r="ED202" s="5"/>
      <c r="EE202" s="5"/>
      <c r="EF202" s="5"/>
      <c r="EG202" s="5"/>
    </row>
    <row r="203" spans="1:137" s="32" customFormat="1" ht="57">
      <c r="A203" s="17" t="s">
        <v>218</v>
      </c>
      <c r="B203" s="17" t="s">
        <v>389</v>
      </c>
      <c r="C203" s="18" t="s">
        <v>390</v>
      </c>
      <c r="D203" s="18" t="s">
        <v>151</v>
      </c>
      <c r="E203" s="17">
        <v>892</v>
      </c>
      <c r="F203" s="17" t="s">
        <v>753</v>
      </c>
      <c r="G203" s="19" t="s">
        <v>276</v>
      </c>
      <c r="H203" s="17" t="s">
        <v>277</v>
      </c>
      <c r="I203" s="17" t="s">
        <v>104</v>
      </c>
      <c r="J203" s="19" t="s">
        <v>105</v>
      </c>
      <c r="K203" s="19" t="s">
        <v>112</v>
      </c>
      <c r="L203" s="19" t="s">
        <v>113</v>
      </c>
      <c r="M203" s="17" t="s">
        <v>114</v>
      </c>
      <c r="N203" s="17"/>
      <c r="O203" s="17"/>
      <c r="P203" s="88">
        <v>2.851</v>
      </c>
      <c r="Q203" s="88">
        <v>1.9600000000000002</v>
      </c>
      <c r="R203" s="17">
        <v>0</v>
      </c>
      <c r="S203" s="66">
        <v>1091.71883870186</v>
      </c>
      <c r="T203" s="19" t="s">
        <v>3257</v>
      </c>
      <c r="U203" s="21">
        <v>0.94199999999999995</v>
      </c>
      <c r="V203" s="86">
        <v>29.2</v>
      </c>
      <c r="W203" s="81" t="s">
        <v>700</v>
      </c>
      <c r="X203" s="16"/>
      <c r="Y203" s="16"/>
      <c r="Z203" s="16"/>
      <c r="AA203" s="16"/>
      <c r="AB203" s="16"/>
      <c r="AC203" s="16"/>
      <c r="AD203"/>
      <c r="AE203"/>
      <c r="AF203"/>
      <c r="AG203"/>
      <c r="AH203"/>
      <c r="AI203"/>
      <c r="AJ203"/>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
      <c r="CK203" s="5"/>
      <c r="CL203" s="5"/>
      <c r="CM203" s="5"/>
      <c r="CN203" s="5"/>
      <c r="CO203" s="5"/>
      <c r="CP203" s="5"/>
      <c r="CQ203" s="5"/>
      <c r="CR203" s="5"/>
      <c r="CS203" s="5"/>
      <c r="CT203" s="5"/>
      <c r="CU203" s="5"/>
      <c r="CV203" s="5"/>
      <c r="CW203" s="5"/>
      <c r="CX203" s="5"/>
      <c r="CY203" s="5"/>
      <c r="CZ203" s="5"/>
      <c r="DA203" s="5"/>
      <c r="DB203" s="5"/>
      <c r="DC203" s="5"/>
      <c r="DD203" s="5"/>
      <c r="DE203" s="5"/>
      <c r="DF203" s="5"/>
      <c r="DG203" s="5"/>
      <c r="DH203" s="5"/>
      <c r="DI203" s="5"/>
      <c r="DJ203" s="5"/>
      <c r="DK203" s="5"/>
      <c r="DL203" s="5"/>
      <c r="DM203" s="5"/>
      <c r="DN203" s="5"/>
      <c r="DO203" s="5"/>
      <c r="DP203" s="5"/>
      <c r="DQ203" s="5"/>
      <c r="DR203" s="5"/>
      <c r="DS203" s="5"/>
      <c r="DT203" s="5"/>
      <c r="DU203" s="5"/>
      <c r="DV203" s="5"/>
      <c r="DW203" s="5"/>
      <c r="DX203" s="5"/>
      <c r="DY203" s="5"/>
      <c r="DZ203" s="5"/>
      <c r="EA203" s="5"/>
      <c r="EB203" s="5"/>
      <c r="EC203" s="5"/>
      <c r="ED203" s="5"/>
      <c r="EE203" s="5"/>
      <c r="EF203" s="5"/>
      <c r="EG203" s="5"/>
    </row>
    <row r="204" spans="1:137" s="32" customFormat="1" ht="57">
      <c r="A204" s="17" t="s">
        <v>218</v>
      </c>
      <c r="B204" s="17" t="s">
        <v>389</v>
      </c>
      <c r="C204" s="18" t="s">
        <v>390</v>
      </c>
      <c r="D204" s="18" t="s">
        <v>151</v>
      </c>
      <c r="E204" s="17">
        <v>892</v>
      </c>
      <c r="F204" s="17" t="s">
        <v>753</v>
      </c>
      <c r="G204" s="19" t="s">
        <v>276</v>
      </c>
      <c r="H204" s="17" t="s">
        <v>277</v>
      </c>
      <c r="I204" s="17" t="s">
        <v>104</v>
      </c>
      <c r="J204" s="19" t="s">
        <v>105</v>
      </c>
      <c r="K204" s="19" t="s">
        <v>112</v>
      </c>
      <c r="L204" s="19" t="s">
        <v>113</v>
      </c>
      <c r="M204" s="17" t="s">
        <v>108</v>
      </c>
      <c r="N204" s="17"/>
      <c r="O204" s="17"/>
      <c r="P204" s="88">
        <v>2.9609999999999999</v>
      </c>
      <c r="Q204" s="88">
        <v>1.8699999999999999</v>
      </c>
      <c r="R204" s="17">
        <v>0</v>
      </c>
      <c r="S204" s="66">
        <v>1074.9789090207248</v>
      </c>
      <c r="T204" s="19" t="s">
        <v>3257</v>
      </c>
      <c r="U204" s="21">
        <v>0.94199999999999995</v>
      </c>
      <c r="V204" s="86">
        <v>29.2</v>
      </c>
      <c r="W204" s="81" t="s">
        <v>700</v>
      </c>
      <c r="X204" s="16"/>
      <c r="Y204" s="16"/>
      <c r="Z204" s="16"/>
      <c r="AA204" s="16"/>
      <c r="AB204" s="16"/>
      <c r="AC204" s="16"/>
      <c r="AD204"/>
      <c r="AE204"/>
      <c r="AF204"/>
      <c r="AG204"/>
      <c r="AH204"/>
      <c r="AI204"/>
      <c r="AJ204"/>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5"/>
      <c r="CH204" s="5"/>
      <c r="CI204" s="5"/>
      <c r="CJ204" s="5"/>
      <c r="CK204" s="5"/>
      <c r="CL204" s="5"/>
      <c r="CM204" s="5"/>
      <c r="CN204" s="5"/>
      <c r="CO204" s="5"/>
      <c r="CP204" s="5"/>
      <c r="CQ204" s="5"/>
      <c r="CR204" s="5"/>
      <c r="CS204" s="5"/>
      <c r="CT204" s="5"/>
      <c r="CU204" s="5"/>
      <c r="CV204" s="5"/>
      <c r="CW204" s="5"/>
      <c r="CX204" s="5"/>
      <c r="CY204" s="5"/>
      <c r="CZ204" s="5"/>
      <c r="DA204" s="5"/>
      <c r="DB204" s="5"/>
      <c r="DC204" s="5"/>
      <c r="DD204" s="5"/>
      <c r="DE204" s="5"/>
      <c r="DF204" s="5"/>
      <c r="DG204" s="5"/>
      <c r="DH204" s="5"/>
      <c r="DI204" s="5"/>
      <c r="DJ204" s="5"/>
      <c r="DK204" s="5"/>
      <c r="DL204" s="5"/>
      <c r="DM204" s="5"/>
      <c r="DN204" s="5"/>
      <c r="DO204" s="5"/>
      <c r="DP204" s="5"/>
      <c r="DQ204" s="5"/>
      <c r="DR204" s="5"/>
      <c r="DS204" s="5"/>
      <c r="DT204" s="5"/>
      <c r="DU204" s="5"/>
      <c r="DV204" s="5"/>
      <c r="DW204" s="5"/>
      <c r="DX204" s="5"/>
      <c r="DY204" s="5"/>
      <c r="DZ204" s="5"/>
      <c r="EA204" s="5"/>
      <c r="EB204" s="5"/>
      <c r="EC204" s="5"/>
      <c r="ED204" s="5"/>
      <c r="EE204" s="5"/>
      <c r="EF204" s="5"/>
      <c r="EG204" s="5"/>
    </row>
    <row r="205" spans="1:137" s="32" customFormat="1" ht="57">
      <c r="A205" s="17" t="s">
        <v>218</v>
      </c>
      <c r="B205" s="17" t="s">
        <v>389</v>
      </c>
      <c r="C205" s="18" t="s">
        <v>390</v>
      </c>
      <c r="D205" s="18" t="s">
        <v>151</v>
      </c>
      <c r="E205" s="17">
        <v>892</v>
      </c>
      <c r="F205" s="17" t="s">
        <v>753</v>
      </c>
      <c r="G205" s="19" t="s">
        <v>276</v>
      </c>
      <c r="H205" s="17" t="s">
        <v>277</v>
      </c>
      <c r="I205" s="17" t="s">
        <v>104</v>
      </c>
      <c r="J205" s="19" t="s">
        <v>105</v>
      </c>
      <c r="K205" s="19" t="s">
        <v>112</v>
      </c>
      <c r="L205" s="19" t="s">
        <v>113</v>
      </c>
      <c r="M205" s="17" t="s">
        <v>108</v>
      </c>
      <c r="N205" s="17"/>
      <c r="O205" s="17"/>
      <c r="P205" s="88">
        <v>3.1320000000000001</v>
      </c>
      <c r="Q205" s="88">
        <v>1.514</v>
      </c>
      <c r="R205" s="17">
        <v>0</v>
      </c>
      <c r="S205" s="66">
        <v>827.32385060956938</v>
      </c>
      <c r="T205" s="19" t="s">
        <v>3257</v>
      </c>
      <c r="U205" s="21">
        <v>0.94199999999999995</v>
      </c>
      <c r="V205" s="86">
        <v>29.2</v>
      </c>
      <c r="W205" s="81" t="s">
        <v>700</v>
      </c>
      <c r="X205" s="16"/>
      <c r="Y205" s="16"/>
      <c r="Z205" s="16"/>
      <c r="AA205" s="16"/>
      <c r="AB205" s="16"/>
      <c r="AC205" s="16"/>
      <c r="AD205"/>
      <c r="AE205"/>
      <c r="AF205"/>
      <c r="AG205"/>
      <c r="AH205"/>
      <c r="AI205"/>
      <c r="AJ20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
      <c r="CK205" s="5"/>
      <c r="CL205" s="5"/>
      <c r="CM205" s="5"/>
      <c r="CN205" s="5"/>
      <c r="CO205" s="5"/>
      <c r="CP205" s="5"/>
      <c r="CQ205" s="5"/>
      <c r="CR205" s="5"/>
      <c r="CS205" s="5"/>
      <c r="CT205" s="5"/>
      <c r="CU205" s="5"/>
      <c r="CV205" s="5"/>
      <c r="CW205" s="5"/>
      <c r="CX205" s="5"/>
      <c r="CY205" s="5"/>
      <c r="CZ205" s="5"/>
      <c r="DA205" s="5"/>
      <c r="DB205" s="5"/>
      <c r="DC205" s="5"/>
      <c r="DD205" s="5"/>
      <c r="DE205" s="5"/>
      <c r="DF205" s="5"/>
      <c r="DG205" s="5"/>
      <c r="DH205" s="5"/>
      <c r="DI205" s="5"/>
      <c r="DJ205" s="5"/>
      <c r="DK205" s="5"/>
      <c r="DL205" s="5"/>
      <c r="DM205" s="5"/>
      <c r="DN205" s="5"/>
      <c r="DO205" s="5"/>
      <c r="DP205" s="5"/>
      <c r="DQ205" s="5"/>
      <c r="DR205" s="5"/>
      <c r="DS205" s="5"/>
      <c r="DT205" s="5"/>
      <c r="DU205" s="5"/>
      <c r="DV205" s="5"/>
      <c r="DW205" s="5"/>
      <c r="DX205" s="5"/>
      <c r="DY205" s="5"/>
      <c r="DZ205" s="5"/>
      <c r="EA205" s="5"/>
      <c r="EB205" s="5"/>
      <c r="EC205" s="5"/>
      <c r="ED205" s="5"/>
      <c r="EE205" s="5"/>
      <c r="EF205" s="5"/>
      <c r="EG205" s="5"/>
    </row>
    <row r="206" spans="1:137" s="32" customFormat="1" ht="57">
      <c r="A206" s="17" t="s">
        <v>218</v>
      </c>
      <c r="B206" s="17" t="s">
        <v>389</v>
      </c>
      <c r="C206" s="18" t="s">
        <v>390</v>
      </c>
      <c r="D206" s="18" t="s">
        <v>151</v>
      </c>
      <c r="E206" s="17">
        <v>892</v>
      </c>
      <c r="F206" s="17" t="s">
        <v>753</v>
      </c>
      <c r="G206" s="19" t="s">
        <v>276</v>
      </c>
      <c r="H206" s="17" t="s">
        <v>277</v>
      </c>
      <c r="I206" s="17" t="s">
        <v>104</v>
      </c>
      <c r="J206" s="19" t="s">
        <v>105</v>
      </c>
      <c r="K206" s="19" t="s">
        <v>112</v>
      </c>
      <c r="L206" s="19" t="s">
        <v>113</v>
      </c>
      <c r="M206" s="17" t="s">
        <v>108</v>
      </c>
      <c r="N206" s="17"/>
      <c r="O206" s="17"/>
      <c r="P206" s="88">
        <v>2.6190000000000002</v>
      </c>
      <c r="Q206" s="88">
        <v>1.6800000000000002</v>
      </c>
      <c r="R206" s="17">
        <v>0</v>
      </c>
      <c r="S206" s="66">
        <v>729.0851181971907</v>
      </c>
      <c r="T206" s="19" t="s">
        <v>3257</v>
      </c>
      <c r="U206" s="21">
        <v>0.94199999999999995</v>
      </c>
      <c r="V206" s="86">
        <v>29.2</v>
      </c>
      <c r="W206" s="81" t="s">
        <v>700</v>
      </c>
      <c r="X206" s="16"/>
      <c r="Y206" s="16"/>
      <c r="Z206" s="16"/>
      <c r="AA206" s="16"/>
      <c r="AB206" s="16"/>
      <c r="AC206" s="16"/>
      <c r="AD206"/>
      <c r="AE206"/>
      <c r="AF206"/>
      <c r="AG206"/>
      <c r="AH206"/>
      <c r="AI206"/>
      <c r="AJ206"/>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5"/>
      <c r="CY206" s="5"/>
      <c r="CZ206" s="5"/>
      <c r="DA206" s="5"/>
      <c r="DB206" s="5"/>
      <c r="DC206" s="5"/>
      <c r="DD206" s="5"/>
      <c r="DE206" s="5"/>
      <c r="DF206" s="5"/>
      <c r="DG206" s="5"/>
      <c r="DH206" s="5"/>
      <c r="DI206" s="5"/>
      <c r="DJ206" s="5"/>
      <c r="DK206" s="5"/>
      <c r="DL206" s="5"/>
      <c r="DM206" s="5"/>
      <c r="DN206" s="5"/>
      <c r="DO206" s="5"/>
      <c r="DP206" s="5"/>
      <c r="DQ206" s="5"/>
      <c r="DR206" s="5"/>
      <c r="DS206" s="5"/>
      <c r="DT206" s="5"/>
      <c r="DU206" s="5"/>
      <c r="DV206" s="5"/>
      <c r="DW206" s="5"/>
      <c r="DX206" s="5"/>
      <c r="DY206" s="5"/>
      <c r="DZ206" s="5"/>
      <c r="EA206" s="5"/>
      <c r="EB206" s="5"/>
      <c r="EC206" s="5"/>
      <c r="ED206" s="5"/>
      <c r="EE206" s="5"/>
      <c r="EF206" s="5"/>
      <c r="EG206" s="5"/>
    </row>
    <row r="207" spans="1:137" s="5" customFormat="1" ht="57">
      <c r="A207" s="17" t="s">
        <v>218</v>
      </c>
      <c r="B207" s="17" t="s">
        <v>389</v>
      </c>
      <c r="C207" s="18" t="s">
        <v>390</v>
      </c>
      <c r="D207" s="18" t="s">
        <v>151</v>
      </c>
      <c r="E207" s="17">
        <v>892</v>
      </c>
      <c r="F207" s="17">
        <v>474</v>
      </c>
      <c r="G207" s="19" t="s">
        <v>276</v>
      </c>
      <c r="H207" s="17" t="s">
        <v>277</v>
      </c>
      <c r="I207" s="17" t="s">
        <v>104</v>
      </c>
      <c r="J207" s="19" t="s">
        <v>105</v>
      </c>
      <c r="K207" s="19" t="s">
        <v>209</v>
      </c>
      <c r="L207" s="19" t="s">
        <v>216</v>
      </c>
      <c r="M207" s="17" t="s">
        <v>108</v>
      </c>
      <c r="N207" s="17"/>
      <c r="O207" s="17"/>
      <c r="P207" s="88">
        <v>3.3380000000000001</v>
      </c>
      <c r="Q207" s="88">
        <v>1.3980000000000001</v>
      </c>
      <c r="R207" s="17">
        <v>0</v>
      </c>
      <c r="S207" s="66">
        <v>515.92320318633074</v>
      </c>
      <c r="T207" s="19" t="s">
        <v>3244</v>
      </c>
      <c r="U207" s="21">
        <v>0.93500000000000005</v>
      </c>
      <c r="V207" s="86">
        <v>30.8</v>
      </c>
      <c r="W207" s="81" t="s">
        <v>700</v>
      </c>
      <c r="X207" s="16"/>
      <c r="Y207" s="16"/>
      <c r="Z207" s="16"/>
      <c r="AA207" s="16"/>
      <c r="AB207" s="16"/>
      <c r="AC207" s="16"/>
      <c r="AD207"/>
      <c r="AE207"/>
      <c r="AF207"/>
      <c r="AG207"/>
      <c r="AH207"/>
      <c r="AI207"/>
      <c r="AJ207"/>
    </row>
    <row r="208" spans="1:137" s="5" customFormat="1" ht="57">
      <c r="A208" s="17" t="s">
        <v>218</v>
      </c>
      <c r="B208" s="17" t="s">
        <v>389</v>
      </c>
      <c r="C208" s="18" t="s">
        <v>390</v>
      </c>
      <c r="D208" s="18" t="s">
        <v>151</v>
      </c>
      <c r="E208" s="17">
        <v>892</v>
      </c>
      <c r="F208" s="17" t="s">
        <v>753</v>
      </c>
      <c r="G208" s="19" t="s">
        <v>276</v>
      </c>
      <c r="H208" s="17" t="s">
        <v>277</v>
      </c>
      <c r="I208" s="17" t="s">
        <v>104</v>
      </c>
      <c r="J208" s="19" t="s">
        <v>105</v>
      </c>
      <c r="K208" s="19" t="s">
        <v>209</v>
      </c>
      <c r="L208" s="19" t="s">
        <v>216</v>
      </c>
      <c r="M208" s="17" t="s">
        <v>108</v>
      </c>
      <c r="N208" s="17"/>
      <c r="O208" s="17"/>
      <c r="P208" s="88">
        <v>3.45</v>
      </c>
      <c r="Q208" s="88">
        <v>2.17</v>
      </c>
      <c r="R208" s="17">
        <v>0</v>
      </c>
      <c r="S208" s="66">
        <v>1143.6300224962847</v>
      </c>
      <c r="T208" s="19" t="s">
        <v>3244</v>
      </c>
      <c r="U208" s="21">
        <v>0.93500000000000005</v>
      </c>
      <c r="V208" s="86">
        <v>30.8</v>
      </c>
      <c r="W208" s="81" t="s">
        <v>700</v>
      </c>
      <c r="X208" s="16"/>
      <c r="Y208" s="16"/>
      <c r="Z208" s="16"/>
      <c r="AA208" s="16"/>
      <c r="AB208" s="16"/>
      <c r="AC208" s="16"/>
      <c r="AD208"/>
      <c r="AE208"/>
      <c r="AF208"/>
      <c r="AG208"/>
      <c r="AH208"/>
      <c r="AI208"/>
      <c r="AJ208"/>
    </row>
    <row r="209" spans="1:36" s="5" customFormat="1" ht="57">
      <c r="A209" s="17" t="s">
        <v>218</v>
      </c>
      <c r="B209" s="17" t="s">
        <v>389</v>
      </c>
      <c r="C209" s="18" t="s">
        <v>390</v>
      </c>
      <c r="D209" s="18" t="s">
        <v>151</v>
      </c>
      <c r="E209" s="17">
        <v>892</v>
      </c>
      <c r="F209" s="17" t="s">
        <v>753</v>
      </c>
      <c r="G209" s="19" t="s">
        <v>276</v>
      </c>
      <c r="H209" s="17" t="s">
        <v>277</v>
      </c>
      <c r="I209" s="17" t="s">
        <v>104</v>
      </c>
      <c r="J209" s="19" t="s">
        <v>105</v>
      </c>
      <c r="K209" s="19" t="s">
        <v>209</v>
      </c>
      <c r="L209" s="19" t="s">
        <v>216</v>
      </c>
      <c r="M209" s="17" t="s">
        <v>114</v>
      </c>
      <c r="N209" s="17"/>
      <c r="O209" s="17"/>
      <c r="P209" s="88">
        <v>3.1930000000000001</v>
      </c>
      <c r="Q209" s="88">
        <v>2.13</v>
      </c>
      <c r="R209" s="17">
        <v>0</v>
      </c>
      <c r="S209" s="66">
        <v>972.8866208526016</v>
      </c>
      <c r="T209" s="19" t="s">
        <v>3244</v>
      </c>
      <c r="U209" s="21">
        <v>0.93500000000000005</v>
      </c>
      <c r="V209" s="86">
        <v>30.8</v>
      </c>
      <c r="W209" s="81" t="s">
        <v>700</v>
      </c>
      <c r="X209" s="16"/>
      <c r="Y209" s="16"/>
      <c r="Z209" s="16"/>
      <c r="AA209" s="16"/>
      <c r="AB209" s="16"/>
      <c r="AC209" s="16"/>
      <c r="AD209"/>
      <c r="AE209"/>
      <c r="AF209"/>
      <c r="AG209"/>
      <c r="AH209"/>
      <c r="AI209"/>
      <c r="AJ209"/>
    </row>
    <row r="210" spans="1:36" s="5" customFormat="1" ht="57">
      <c r="A210" s="17" t="s">
        <v>218</v>
      </c>
      <c r="B210" s="17" t="s">
        <v>389</v>
      </c>
      <c r="C210" s="18" t="s">
        <v>390</v>
      </c>
      <c r="D210" s="18" t="s">
        <v>151</v>
      </c>
      <c r="E210" s="17">
        <v>892</v>
      </c>
      <c r="F210" s="17" t="s">
        <v>753</v>
      </c>
      <c r="G210" s="19" t="s">
        <v>276</v>
      </c>
      <c r="H210" s="17" t="s">
        <v>277</v>
      </c>
      <c r="I210" s="17" t="s">
        <v>104</v>
      </c>
      <c r="J210" s="19" t="s">
        <v>105</v>
      </c>
      <c r="K210" s="19" t="s">
        <v>209</v>
      </c>
      <c r="L210" s="19" t="s">
        <v>216</v>
      </c>
      <c r="M210" s="17" t="s">
        <v>108</v>
      </c>
      <c r="N210" s="17"/>
      <c r="O210" s="17"/>
      <c r="P210" s="88">
        <v>3.8310000000000004</v>
      </c>
      <c r="Q210" s="88">
        <v>1.6170000000000002</v>
      </c>
      <c r="R210" s="17">
        <v>0</v>
      </c>
      <c r="S210" s="66">
        <v>831.31446519759402</v>
      </c>
      <c r="T210" s="19" t="s">
        <v>3244</v>
      </c>
      <c r="U210" s="21">
        <v>0.93500000000000005</v>
      </c>
      <c r="V210" s="86">
        <v>30.8</v>
      </c>
      <c r="W210" s="81" t="s">
        <v>700</v>
      </c>
      <c r="X210" s="16"/>
      <c r="Y210" s="16"/>
      <c r="Z210" s="16"/>
      <c r="AA210" s="16"/>
      <c r="AB210" s="16"/>
      <c r="AC210" s="16"/>
      <c r="AD210"/>
      <c r="AE210"/>
      <c r="AF210"/>
      <c r="AG210"/>
      <c r="AH210"/>
      <c r="AI210"/>
      <c r="AJ210"/>
    </row>
    <row r="211" spans="1:36" s="5" customFormat="1" ht="57">
      <c r="A211" s="17" t="s">
        <v>218</v>
      </c>
      <c r="B211" s="17" t="s">
        <v>389</v>
      </c>
      <c r="C211" s="18" t="s">
        <v>390</v>
      </c>
      <c r="D211" s="18" t="s">
        <v>151</v>
      </c>
      <c r="E211" s="17">
        <v>892</v>
      </c>
      <c r="F211" s="17" t="s">
        <v>753</v>
      </c>
      <c r="G211" s="19" t="s">
        <v>276</v>
      </c>
      <c r="H211" s="17" t="s">
        <v>277</v>
      </c>
      <c r="I211" s="17" t="s">
        <v>104</v>
      </c>
      <c r="J211" s="19" t="s">
        <v>105</v>
      </c>
      <c r="K211" s="19" t="s">
        <v>209</v>
      </c>
      <c r="L211" s="19" t="s">
        <v>216</v>
      </c>
      <c r="M211" s="17" t="s">
        <v>108</v>
      </c>
      <c r="N211" s="17"/>
      <c r="O211" s="17"/>
      <c r="P211" s="88">
        <v>3.0489999999999999</v>
      </c>
      <c r="Q211" s="88">
        <v>1.5130000000000001</v>
      </c>
      <c r="R211" s="17">
        <v>0</v>
      </c>
      <c r="S211" s="66">
        <v>506.02253437031715</v>
      </c>
      <c r="T211" s="19" t="s">
        <v>3244</v>
      </c>
      <c r="U211" s="21">
        <v>0.93500000000000005</v>
      </c>
      <c r="V211" s="86">
        <v>30.8</v>
      </c>
      <c r="W211" s="81" t="s">
        <v>700</v>
      </c>
      <c r="X211" s="16"/>
      <c r="Y211" s="16"/>
      <c r="Z211" s="16"/>
      <c r="AA211" s="16"/>
      <c r="AB211" s="16"/>
      <c r="AC211" s="16"/>
      <c r="AD211"/>
      <c r="AE211"/>
      <c r="AF211"/>
      <c r="AG211"/>
      <c r="AH211"/>
      <c r="AI211"/>
      <c r="AJ211"/>
    </row>
    <row r="212" spans="1:36" s="5" customFormat="1" ht="57">
      <c r="A212" s="17" t="s">
        <v>218</v>
      </c>
      <c r="B212" s="17" t="s">
        <v>389</v>
      </c>
      <c r="C212" s="18" t="s">
        <v>390</v>
      </c>
      <c r="D212" s="18" t="s">
        <v>151</v>
      </c>
      <c r="E212" s="17">
        <v>892</v>
      </c>
      <c r="F212" s="17">
        <v>2</v>
      </c>
      <c r="G212" s="19" t="s">
        <v>276</v>
      </c>
      <c r="H212" s="17" t="s">
        <v>277</v>
      </c>
      <c r="I212" s="17" t="s">
        <v>104</v>
      </c>
      <c r="J212" s="19" t="s">
        <v>105</v>
      </c>
      <c r="K212" s="19" t="s">
        <v>126</v>
      </c>
      <c r="L212" s="19" t="s">
        <v>127</v>
      </c>
      <c r="M212" s="17" t="s">
        <v>108</v>
      </c>
      <c r="N212" s="17"/>
      <c r="O212" s="17"/>
      <c r="P212" s="88">
        <v>4.5529999999999999</v>
      </c>
      <c r="Q212" s="88">
        <v>1.9300000000000002</v>
      </c>
      <c r="R212" s="17">
        <v>0</v>
      </c>
      <c r="S212" s="66">
        <v>911.63387366572204</v>
      </c>
      <c r="T212" s="19" t="s">
        <v>3245</v>
      </c>
      <c r="U212" s="21">
        <v>0.94299999999999995</v>
      </c>
      <c r="V212" s="86">
        <v>29.1</v>
      </c>
      <c r="W212" s="81" t="s">
        <v>700</v>
      </c>
      <c r="X212" s="16"/>
      <c r="Y212" s="16"/>
      <c r="Z212" s="16"/>
      <c r="AA212" s="16"/>
      <c r="AB212" s="16"/>
      <c r="AC212" s="16"/>
      <c r="AD212"/>
      <c r="AE212"/>
      <c r="AF212"/>
      <c r="AG212"/>
      <c r="AH212"/>
      <c r="AI212"/>
      <c r="AJ212"/>
    </row>
    <row r="213" spans="1:36" s="5" customFormat="1" ht="57">
      <c r="A213" s="17" t="s">
        <v>218</v>
      </c>
      <c r="B213" s="17" t="s">
        <v>389</v>
      </c>
      <c r="C213" s="18" t="s">
        <v>390</v>
      </c>
      <c r="D213" s="18" t="s">
        <v>151</v>
      </c>
      <c r="E213" s="17">
        <v>892</v>
      </c>
      <c r="F213" s="17">
        <v>19</v>
      </c>
      <c r="G213" s="19" t="s">
        <v>276</v>
      </c>
      <c r="H213" s="17" t="s">
        <v>277</v>
      </c>
      <c r="I213" s="17" t="s">
        <v>104</v>
      </c>
      <c r="J213" s="19" t="s">
        <v>105</v>
      </c>
      <c r="K213" s="19" t="s">
        <v>126</v>
      </c>
      <c r="L213" s="19" t="s">
        <v>127</v>
      </c>
      <c r="M213" s="17" t="s">
        <v>114</v>
      </c>
      <c r="N213" s="17"/>
      <c r="O213" s="17"/>
      <c r="P213" s="88">
        <v>4.8100000000000005</v>
      </c>
      <c r="Q213" s="88">
        <v>1.732</v>
      </c>
      <c r="R213" s="17">
        <v>0</v>
      </c>
      <c r="S213" s="66">
        <v>835.99826019606849</v>
      </c>
      <c r="T213" s="19" t="s">
        <v>3245</v>
      </c>
      <c r="U213" s="21">
        <v>0.94299999999999995</v>
      </c>
      <c r="V213" s="86">
        <v>29.1</v>
      </c>
      <c r="W213" s="81" t="s">
        <v>700</v>
      </c>
      <c r="X213" s="16"/>
      <c r="Y213" s="16"/>
      <c r="Z213" s="16"/>
      <c r="AA213" s="16"/>
      <c r="AB213" s="16"/>
      <c r="AC213" s="16"/>
      <c r="AD213"/>
      <c r="AE213"/>
      <c r="AF213"/>
      <c r="AG213"/>
      <c r="AH213"/>
      <c r="AI213"/>
      <c r="AJ213"/>
    </row>
    <row r="214" spans="1:36" s="5" customFormat="1" ht="57">
      <c r="A214" s="17" t="s">
        <v>218</v>
      </c>
      <c r="B214" s="17" t="s">
        <v>389</v>
      </c>
      <c r="C214" s="18" t="s">
        <v>390</v>
      </c>
      <c r="D214" s="18" t="s">
        <v>151</v>
      </c>
      <c r="E214" s="17">
        <v>892</v>
      </c>
      <c r="F214" s="17">
        <v>386</v>
      </c>
      <c r="G214" s="19" t="s">
        <v>276</v>
      </c>
      <c r="H214" s="17" t="s">
        <v>277</v>
      </c>
      <c r="I214" s="17" t="s">
        <v>104</v>
      </c>
      <c r="J214" s="19" t="s">
        <v>105</v>
      </c>
      <c r="K214" s="19" t="s">
        <v>126</v>
      </c>
      <c r="L214" s="19" t="s">
        <v>127</v>
      </c>
      <c r="M214" s="17" t="s">
        <v>114</v>
      </c>
      <c r="N214" s="17"/>
      <c r="O214" s="17"/>
      <c r="P214" s="88">
        <v>4.9740000000000002</v>
      </c>
      <c r="Q214" s="88">
        <v>2</v>
      </c>
      <c r="R214" s="17">
        <v>0</v>
      </c>
      <c r="S214" s="66">
        <v>1115.1233279794812</v>
      </c>
      <c r="T214" s="19" t="s">
        <v>3245</v>
      </c>
      <c r="U214" s="21">
        <v>0.94299999999999995</v>
      </c>
      <c r="V214" s="86">
        <v>29.1</v>
      </c>
      <c r="W214" s="81" t="s">
        <v>700</v>
      </c>
      <c r="X214" s="16"/>
      <c r="Y214" s="16"/>
      <c r="Z214" s="16"/>
      <c r="AA214" s="16"/>
      <c r="AB214" s="16"/>
      <c r="AC214" s="16"/>
      <c r="AD214"/>
      <c r="AE214"/>
      <c r="AF214"/>
      <c r="AG214"/>
      <c r="AH214"/>
      <c r="AI214"/>
      <c r="AJ214"/>
    </row>
    <row r="215" spans="1:36" s="5" customFormat="1" ht="57">
      <c r="A215" s="17" t="s">
        <v>218</v>
      </c>
      <c r="B215" s="17" t="s">
        <v>389</v>
      </c>
      <c r="C215" s="18" t="s">
        <v>390</v>
      </c>
      <c r="D215" s="18" t="s">
        <v>151</v>
      </c>
      <c r="E215" s="17">
        <v>892</v>
      </c>
      <c r="F215" s="17" t="s">
        <v>753</v>
      </c>
      <c r="G215" s="19" t="s">
        <v>276</v>
      </c>
      <c r="H215" s="17" t="s">
        <v>277</v>
      </c>
      <c r="I215" s="17" t="s">
        <v>104</v>
      </c>
      <c r="J215" s="19" t="s">
        <v>105</v>
      </c>
      <c r="K215" s="19" t="s">
        <v>126</v>
      </c>
      <c r="L215" s="19" t="s">
        <v>127</v>
      </c>
      <c r="M215" s="17" t="s">
        <v>108</v>
      </c>
      <c r="N215" s="17"/>
      <c r="O215" s="17"/>
      <c r="P215" s="88">
        <v>5</v>
      </c>
      <c r="Q215" s="88">
        <v>1.925</v>
      </c>
      <c r="R215" s="17">
        <v>0</v>
      </c>
      <c r="S215" s="66">
        <v>1056.9216614821016</v>
      </c>
      <c r="T215" s="19" t="s">
        <v>3245</v>
      </c>
      <c r="U215" s="21">
        <v>0.94299999999999995</v>
      </c>
      <c r="V215" s="86">
        <v>29.1</v>
      </c>
      <c r="W215" s="81" t="s">
        <v>700</v>
      </c>
      <c r="X215" s="16"/>
      <c r="Y215" s="16"/>
      <c r="Z215" s="16"/>
      <c r="AA215" s="16"/>
      <c r="AB215" s="16"/>
      <c r="AC215" s="16"/>
      <c r="AD215"/>
      <c r="AE215"/>
      <c r="AF215"/>
      <c r="AG215"/>
      <c r="AH215"/>
      <c r="AI215"/>
      <c r="AJ215"/>
    </row>
    <row r="216" spans="1:36" s="5" customFormat="1" ht="57">
      <c r="A216" s="17" t="s">
        <v>218</v>
      </c>
      <c r="B216" s="17" t="s">
        <v>389</v>
      </c>
      <c r="C216" s="18" t="s">
        <v>390</v>
      </c>
      <c r="D216" s="18" t="s">
        <v>151</v>
      </c>
      <c r="E216" s="17">
        <v>892</v>
      </c>
      <c r="F216" s="17" t="s">
        <v>753</v>
      </c>
      <c r="G216" s="19" t="s">
        <v>276</v>
      </c>
      <c r="H216" s="17" t="s">
        <v>277</v>
      </c>
      <c r="I216" s="17" t="s">
        <v>104</v>
      </c>
      <c r="J216" s="19" t="s">
        <v>105</v>
      </c>
      <c r="K216" s="19" t="s">
        <v>126</v>
      </c>
      <c r="L216" s="19" t="s">
        <v>127</v>
      </c>
      <c r="M216" s="17" t="s">
        <v>108</v>
      </c>
      <c r="N216" s="17"/>
      <c r="O216" s="17"/>
      <c r="P216" s="88">
        <v>5.1899999999999995</v>
      </c>
      <c r="Q216" s="88">
        <v>1.623</v>
      </c>
      <c r="R216" s="17">
        <v>0</v>
      </c>
      <c r="S216" s="66">
        <v>851.1166085385438</v>
      </c>
      <c r="T216" s="19" t="s">
        <v>3245</v>
      </c>
      <c r="U216" s="21">
        <v>0.94299999999999995</v>
      </c>
      <c r="V216" s="86">
        <v>29.1</v>
      </c>
      <c r="W216" s="81" t="s">
        <v>700</v>
      </c>
      <c r="X216" s="16"/>
      <c r="Y216" s="16"/>
      <c r="Z216" s="16"/>
      <c r="AA216" s="16"/>
      <c r="AB216" s="16"/>
      <c r="AC216" s="16"/>
      <c r="AD216"/>
      <c r="AE216"/>
      <c r="AF216"/>
      <c r="AG216"/>
      <c r="AH216"/>
      <c r="AI216"/>
      <c r="AJ216"/>
    </row>
    <row r="217" spans="1:36" s="5" customFormat="1" ht="57">
      <c r="A217" s="17" t="s">
        <v>218</v>
      </c>
      <c r="B217" s="17" t="s">
        <v>389</v>
      </c>
      <c r="C217" s="18" t="s">
        <v>390</v>
      </c>
      <c r="D217" s="18" t="s">
        <v>151</v>
      </c>
      <c r="E217" s="17">
        <v>892</v>
      </c>
      <c r="F217" s="17" t="s">
        <v>753</v>
      </c>
      <c r="G217" s="19" t="s">
        <v>276</v>
      </c>
      <c r="H217" s="17" t="s">
        <v>277</v>
      </c>
      <c r="I217" s="17" t="s">
        <v>104</v>
      </c>
      <c r="J217" s="19" t="s">
        <v>105</v>
      </c>
      <c r="K217" s="19" t="s">
        <v>126</v>
      </c>
      <c r="L217" s="19" t="s">
        <v>127</v>
      </c>
      <c r="M217" s="17" t="s">
        <v>108</v>
      </c>
      <c r="N217" s="17"/>
      <c r="O217" s="17"/>
      <c r="P217" s="88">
        <v>3.9889999999999999</v>
      </c>
      <c r="Q217" s="88">
        <v>1.3240000000000001</v>
      </c>
      <c r="R217" s="17">
        <v>0</v>
      </c>
      <c r="S217" s="66">
        <v>398.79461266564226</v>
      </c>
      <c r="T217" s="19" t="s">
        <v>3245</v>
      </c>
      <c r="U217" s="21">
        <v>0.94299999999999995</v>
      </c>
      <c r="V217" s="86">
        <v>29.1</v>
      </c>
      <c r="W217" s="81" t="s">
        <v>700</v>
      </c>
      <c r="X217" s="16"/>
      <c r="Y217" s="16"/>
      <c r="Z217" s="16"/>
      <c r="AA217" s="16"/>
      <c r="AB217" s="16"/>
      <c r="AC217" s="16"/>
      <c r="AD217"/>
      <c r="AE217"/>
      <c r="AF217"/>
      <c r="AG217"/>
      <c r="AH217"/>
      <c r="AI217"/>
      <c r="AJ217"/>
    </row>
    <row r="218" spans="1:36" s="5" customFormat="1" ht="76">
      <c r="A218" s="17" t="s">
        <v>218</v>
      </c>
      <c r="B218" s="17" t="s">
        <v>389</v>
      </c>
      <c r="C218" s="18" t="s">
        <v>390</v>
      </c>
      <c r="D218" s="18" t="s">
        <v>151</v>
      </c>
      <c r="E218" s="17">
        <v>892</v>
      </c>
      <c r="F218" s="17">
        <v>348</v>
      </c>
      <c r="G218" s="19" t="s">
        <v>276</v>
      </c>
      <c r="H218" s="17" t="s">
        <v>277</v>
      </c>
      <c r="I218" s="17" t="s">
        <v>104</v>
      </c>
      <c r="J218" s="19" t="s">
        <v>105</v>
      </c>
      <c r="K218" s="19" t="s">
        <v>3280</v>
      </c>
      <c r="L218" s="19" t="s">
        <v>3281</v>
      </c>
      <c r="M218" s="17"/>
      <c r="N218" s="17"/>
      <c r="O218" s="17"/>
      <c r="P218" s="88">
        <v>3.125</v>
      </c>
      <c r="Q218" s="88">
        <v>1.45</v>
      </c>
      <c r="R218" s="17">
        <v>0</v>
      </c>
      <c r="S218" s="66">
        <v>431.14238610856444</v>
      </c>
      <c r="T218" s="19" t="s">
        <v>3282</v>
      </c>
      <c r="U218" s="21" t="s">
        <v>3283</v>
      </c>
      <c r="V218" s="86" t="s">
        <v>3284</v>
      </c>
      <c r="W218" s="81" t="s">
        <v>726</v>
      </c>
      <c r="X218" s="16"/>
      <c r="Y218" s="16"/>
      <c r="Z218" s="16"/>
      <c r="AA218" s="16"/>
      <c r="AB218" s="16"/>
      <c r="AC218" s="16"/>
      <c r="AD218"/>
      <c r="AE218"/>
      <c r="AF218"/>
      <c r="AG218"/>
      <c r="AH218"/>
      <c r="AI218"/>
      <c r="AJ218"/>
    </row>
    <row r="219" spans="1:36" s="5" customFormat="1" ht="76">
      <c r="A219" s="17" t="s">
        <v>218</v>
      </c>
      <c r="B219" s="17" t="s">
        <v>389</v>
      </c>
      <c r="C219" s="18" t="s">
        <v>390</v>
      </c>
      <c r="D219" s="18" t="s">
        <v>151</v>
      </c>
      <c r="E219" s="17">
        <v>892</v>
      </c>
      <c r="F219" s="17">
        <v>438</v>
      </c>
      <c r="G219" s="19" t="s">
        <v>276</v>
      </c>
      <c r="H219" s="17" t="s">
        <v>277</v>
      </c>
      <c r="I219" s="17" t="s">
        <v>104</v>
      </c>
      <c r="J219" s="19" t="s">
        <v>105</v>
      </c>
      <c r="K219" s="19" t="s">
        <v>3280</v>
      </c>
      <c r="L219" s="19" t="s">
        <v>3281</v>
      </c>
      <c r="M219" s="17"/>
      <c r="N219" s="17"/>
      <c r="O219" s="17"/>
      <c r="P219" s="88">
        <v>3.9850000000000003</v>
      </c>
      <c r="Q219" s="88">
        <v>1.6600000000000001</v>
      </c>
      <c r="R219" s="17">
        <v>0</v>
      </c>
      <c r="S219" s="66">
        <v>811.81635637108673</v>
      </c>
      <c r="T219" s="19" t="s">
        <v>3282</v>
      </c>
      <c r="U219" s="21" t="s">
        <v>3283</v>
      </c>
      <c r="V219" s="86" t="s">
        <v>3284</v>
      </c>
      <c r="W219" s="81" t="s">
        <v>726</v>
      </c>
      <c r="X219" s="16"/>
      <c r="Y219" s="16"/>
      <c r="Z219" s="16"/>
      <c r="AA219" s="16"/>
      <c r="AB219" s="16"/>
      <c r="AC219" s="16"/>
      <c r="AD219"/>
      <c r="AE219"/>
      <c r="AF219"/>
      <c r="AG219"/>
      <c r="AH219"/>
      <c r="AI219"/>
      <c r="AJ219"/>
    </row>
    <row r="220" spans="1:36" s="5" customFormat="1" ht="76">
      <c r="A220" s="17" t="s">
        <v>218</v>
      </c>
      <c r="B220" s="17" t="s">
        <v>389</v>
      </c>
      <c r="C220" s="18" t="s">
        <v>390</v>
      </c>
      <c r="D220" s="18" t="s">
        <v>151</v>
      </c>
      <c r="E220" s="17">
        <v>892</v>
      </c>
      <c r="F220" s="17" t="s">
        <v>753</v>
      </c>
      <c r="G220" s="19" t="s">
        <v>276</v>
      </c>
      <c r="H220" s="17" t="s">
        <v>277</v>
      </c>
      <c r="I220" s="17" t="s">
        <v>104</v>
      </c>
      <c r="J220" s="19" t="s">
        <v>105</v>
      </c>
      <c r="K220" s="19" t="s">
        <v>3280</v>
      </c>
      <c r="L220" s="19" t="s">
        <v>3281</v>
      </c>
      <c r="M220" s="17"/>
      <c r="N220" s="17"/>
      <c r="O220" s="17"/>
      <c r="P220" s="88">
        <v>3.5310000000000001</v>
      </c>
      <c r="Q220" s="88">
        <v>2.3340000000000001</v>
      </c>
      <c r="R220" s="17">
        <v>0</v>
      </c>
      <c r="S220" s="66">
        <v>1172.8541061070619</v>
      </c>
      <c r="T220" s="19" t="s">
        <v>3282</v>
      </c>
      <c r="U220" s="21" t="s">
        <v>3283</v>
      </c>
      <c r="V220" s="86" t="s">
        <v>3284</v>
      </c>
      <c r="W220" s="81" t="s">
        <v>726</v>
      </c>
      <c r="X220" s="16"/>
      <c r="Y220" s="16"/>
      <c r="Z220" s="16"/>
      <c r="AA220" s="16"/>
      <c r="AB220" s="16"/>
      <c r="AC220" s="16"/>
      <c r="AD220"/>
      <c r="AE220"/>
      <c r="AF220"/>
      <c r="AG220"/>
      <c r="AH220"/>
      <c r="AI220"/>
      <c r="AJ220"/>
    </row>
    <row r="221" spans="1:36" s="5" customFormat="1" ht="76">
      <c r="A221" s="17" t="s">
        <v>218</v>
      </c>
      <c r="B221" s="17" t="s">
        <v>389</v>
      </c>
      <c r="C221" s="18" t="s">
        <v>390</v>
      </c>
      <c r="D221" s="18" t="s">
        <v>151</v>
      </c>
      <c r="E221" s="17">
        <v>892</v>
      </c>
      <c r="F221" s="17" t="s">
        <v>753</v>
      </c>
      <c r="G221" s="19" t="s">
        <v>276</v>
      </c>
      <c r="H221" s="17" t="s">
        <v>277</v>
      </c>
      <c r="I221" s="17" t="s">
        <v>104</v>
      </c>
      <c r="J221" s="19" t="s">
        <v>105</v>
      </c>
      <c r="K221" s="19" t="s">
        <v>3280</v>
      </c>
      <c r="L221" s="19" t="s">
        <v>3281</v>
      </c>
      <c r="M221" s="17"/>
      <c r="N221" s="17"/>
      <c r="O221" s="17"/>
      <c r="P221" s="88">
        <v>3.5340000000000003</v>
      </c>
      <c r="Q221" s="88">
        <v>2.3170000000000002</v>
      </c>
      <c r="R221" s="17">
        <v>0</v>
      </c>
      <c r="S221" s="66">
        <v>1160.2353158150304</v>
      </c>
      <c r="T221" s="19" t="s">
        <v>3282</v>
      </c>
      <c r="U221" s="21" t="s">
        <v>3283</v>
      </c>
      <c r="V221" s="86" t="s">
        <v>3284</v>
      </c>
      <c r="W221" s="81" t="s">
        <v>726</v>
      </c>
      <c r="X221" s="16"/>
      <c r="Y221" s="16"/>
      <c r="Z221" s="16"/>
      <c r="AA221" s="16"/>
      <c r="AB221" s="16"/>
      <c r="AC221" s="16"/>
      <c r="AD221"/>
      <c r="AE221"/>
      <c r="AF221"/>
      <c r="AG221"/>
      <c r="AH221"/>
      <c r="AI221"/>
      <c r="AJ221"/>
    </row>
    <row r="222" spans="1:36" s="5" customFormat="1" ht="76">
      <c r="A222" s="17" t="s">
        <v>218</v>
      </c>
      <c r="B222" s="17" t="s">
        <v>389</v>
      </c>
      <c r="C222" s="18" t="s">
        <v>390</v>
      </c>
      <c r="D222" s="18" t="s">
        <v>151</v>
      </c>
      <c r="E222" s="17">
        <v>892</v>
      </c>
      <c r="F222" s="17" t="s">
        <v>753</v>
      </c>
      <c r="G222" s="19" t="s">
        <v>276</v>
      </c>
      <c r="H222" s="17" t="s">
        <v>277</v>
      </c>
      <c r="I222" s="17" t="s">
        <v>104</v>
      </c>
      <c r="J222" s="19" t="s">
        <v>105</v>
      </c>
      <c r="K222" s="19" t="s">
        <v>3280</v>
      </c>
      <c r="L222" s="19" t="s">
        <v>3281</v>
      </c>
      <c r="M222" s="17"/>
      <c r="N222" s="17"/>
      <c r="O222" s="17"/>
      <c r="P222" s="88">
        <v>3.2920000000000003</v>
      </c>
      <c r="Q222" s="88">
        <v>2.29</v>
      </c>
      <c r="R222" s="17">
        <v>0</v>
      </c>
      <c r="S222" s="66">
        <v>1010.3030337506773</v>
      </c>
      <c r="T222" s="19" t="s">
        <v>3282</v>
      </c>
      <c r="U222" s="21" t="s">
        <v>3283</v>
      </c>
      <c r="V222" s="86" t="s">
        <v>3284</v>
      </c>
      <c r="W222" s="81" t="s">
        <v>726</v>
      </c>
      <c r="X222" s="16"/>
      <c r="Y222" s="16"/>
      <c r="Z222" s="16"/>
      <c r="AA222" s="16"/>
      <c r="AB222" s="16"/>
      <c r="AC222" s="16"/>
      <c r="AD222"/>
      <c r="AE222"/>
      <c r="AF222"/>
      <c r="AG222"/>
      <c r="AH222"/>
      <c r="AI222"/>
      <c r="AJ222"/>
    </row>
    <row r="223" spans="1:36" s="5" customFormat="1" ht="76">
      <c r="A223" s="17" t="s">
        <v>218</v>
      </c>
      <c r="B223" s="17" t="s">
        <v>389</v>
      </c>
      <c r="C223" s="18" t="s">
        <v>390</v>
      </c>
      <c r="D223" s="18" t="s">
        <v>151</v>
      </c>
      <c r="E223" s="17">
        <v>892</v>
      </c>
      <c r="F223" s="17" t="s">
        <v>753</v>
      </c>
      <c r="G223" s="19" t="s">
        <v>276</v>
      </c>
      <c r="H223" s="17" t="s">
        <v>277</v>
      </c>
      <c r="I223" s="17" t="s">
        <v>104</v>
      </c>
      <c r="J223" s="19" t="s">
        <v>105</v>
      </c>
      <c r="K223" s="19" t="s">
        <v>3280</v>
      </c>
      <c r="L223" s="19" t="s">
        <v>3281</v>
      </c>
      <c r="M223" s="17"/>
      <c r="N223" s="17"/>
      <c r="O223" s="17"/>
      <c r="P223" s="88">
        <v>3.4299999999999997</v>
      </c>
      <c r="Q223" s="88">
        <v>2.117</v>
      </c>
      <c r="R223" s="17">
        <v>0</v>
      </c>
      <c r="S223" s="66">
        <v>948.857967823492</v>
      </c>
      <c r="T223" s="19" t="s">
        <v>3282</v>
      </c>
      <c r="U223" s="21" t="s">
        <v>3283</v>
      </c>
      <c r="V223" s="86" t="s">
        <v>3284</v>
      </c>
      <c r="W223" s="81" t="s">
        <v>726</v>
      </c>
      <c r="X223" s="16"/>
      <c r="Y223" s="16"/>
      <c r="Z223" s="16"/>
      <c r="AA223" s="16"/>
      <c r="AB223" s="16"/>
      <c r="AC223" s="16"/>
      <c r="AD223"/>
      <c r="AE223"/>
      <c r="AF223"/>
      <c r="AG223"/>
      <c r="AH223"/>
      <c r="AI223"/>
      <c r="AJ223"/>
    </row>
    <row r="224" spans="1:36" s="5" customFormat="1" ht="76">
      <c r="A224" s="17" t="s">
        <v>218</v>
      </c>
      <c r="B224" s="17" t="s">
        <v>389</v>
      </c>
      <c r="C224" s="18" t="s">
        <v>390</v>
      </c>
      <c r="D224" s="18" t="s">
        <v>151</v>
      </c>
      <c r="E224" s="17">
        <v>892</v>
      </c>
      <c r="F224" s="17" t="s">
        <v>753</v>
      </c>
      <c r="G224" s="19" t="s">
        <v>276</v>
      </c>
      <c r="H224" s="17" t="s">
        <v>277</v>
      </c>
      <c r="I224" s="17" t="s">
        <v>104</v>
      </c>
      <c r="J224" s="19" t="s">
        <v>105</v>
      </c>
      <c r="K224" s="19" t="s">
        <v>3280</v>
      </c>
      <c r="L224" s="19" t="s">
        <v>3281</v>
      </c>
      <c r="M224" s="17"/>
      <c r="N224" s="17"/>
      <c r="O224" s="17"/>
      <c r="P224" s="88">
        <v>4.0860000000000003</v>
      </c>
      <c r="Q224" s="88">
        <v>1.5760000000000001</v>
      </c>
      <c r="R224" s="17">
        <v>0</v>
      </c>
      <c r="S224" s="66">
        <v>776.08691610321762</v>
      </c>
      <c r="T224" s="19" t="s">
        <v>3282</v>
      </c>
      <c r="U224" s="21" t="s">
        <v>3283</v>
      </c>
      <c r="V224" s="86" t="s">
        <v>3284</v>
      </c>
      <c r="W224" s="81" t="s">
        <v>726</v>
      </c>
      <c r="X224" s="16"/>
      <c r="Y224" s="16"/>
      <c r="Z224" s="16"/>
      <c r="AA224" s="16"/>
      <c r="AB224" s="16"/>
      <c r="AC224" s="16"/>
      <c r="AD224"/>
      <c r="AE224"/>
      <c r="AF224"/>
      <c r="AG224"/>
      <c r="AH224"/>
      <c r="AI224"/>
      <c r="AJ224"/>
    </row>
    <row r="225" spans="1:36" s="5" customFormat="1" ht="76">
      <c r="A225" s="17" t="s">
        <v>218</v>
      </c>
      <c r="B225" s="17" t="s">
        <v>389</v>
      </c>
      <c r="C225" s="18" t="s">
        <v>390</v>
      </c>
      <c r="D225" s="18" t="s">
        <v>151</v>
      </c>
      <c r="E225" s="17">
        <v>892</v>
      </c>
      <c r="F225" s="17" t="s">
        <v>753</v>
      </c>
      <c r="G225" s="19" t="s">
        <v>276</v>
      </c>
      <c r="H225" s="17" t="s">
        <v>277</v>
      </c>
      <c r="I225" s="17" t="s">
        <v>104</v>
      </c>
      <c r="J225" s="19" t="s">
        <v>105</v>
      </c>
      <c r="K225" s="19" t="s">
        <v>3280</v>
      </c>
      <c r="L225" s="19" t="s">
        <v>3281</v>
      </c>
      <c r="M225" s="17"/>
      <c r="N225" s="17"/>
      <c r="O225" s="17"/>
      <c r="P225" s="88">
        <v>3.274</v>
      </c>
      <c r="Q225" s="88">
        <v>1.5740000000000001</v>
      </c>
      <c r="R225" s="17">
        <v>0</v>
      </c>
      <c r="S225" s="66">
        <v>534.6028448947842</v>
      </c>
      <c r="T225" s="19" t="s">
        <v>3282</v>
      </c>
      <c r="U225" s="21" t="s">
        <v>3283</v>
      </c>
      <c r="V225" s="86" t="s">
        <v>3284</v>
      </c>
      <c r="W225" s="81" t="s">
        <v>726</v>
      </c>
      <c r="X225" s="16"/>
      <c r="Y225" s="16"/>
      <c r="Z225" s="16"/>
      <c r="AA225" s="16"/>
      <c r="AB225" s="16"/>
      <c r="AC225" s="16"/>
      <c r="AD225"/>
      <c r="AE225"/>
      <c r="AF225"/>
      <c r="AG225"/>
      <c r="AH225"/>
      <c r="AI225"/>
      <c r="AJ225"/>
    </row>
    <row r="226" spans="1:36" s="5" customFormat="1" ht="57">
      <c r="A226" s="17" t="s">
        <v>218</v>
      </c>
      <c r="B226" s="17" t="s">
        <v>389</v>
      </c>
      <c r="C226" s="18" t="s">
        <v>390</v>
      </c>
      <c r="D226" s="18" t="s">
        <v>151</v>
      </c>
      <c r="E226" s="17">
        <v>892</v>
      </c>
      <c r="F226" s="17">
        <v>568</v>
      </c>
      <c r="G226" s="19" t="s">
        <v>276</v>
      </c>
      <c r="H226" s="17" t="s">
        <v>277</v>
      </c>
      <c r="I226" s="17" t="s">
        <v>104</v>
      </c>
      <c r="J226" s="19" t="s">
        <v>105</v>
      </c>
      <c r="K226" s="19" t="s">
        <v>166</v>
      </c>
      <c r="L226" s="19" t="s">
        <v>3312</v>
      </c>
      <c r="M226" s="17" t="s">
        <v>108</v>
      </c>
      <c r="N226" s="17"/>
      <c r="O226" s="17"/>
      <c r="P226" s="88">
        <v>3.5869999999999997</v>
      </c>
      <c r="Q226" s="88">
        <v>2.4699999999999998</v>
      </c>
      <c r="R226" s="17">
        <v>0</v>
      </c>
      <c r="S226" s="66">
        <v>1176.9936148477091</v>
      </c>
      <c r="T226" s="19" t="s">
        <v>3313</v>
      </c>
      <c r="U226" s="21" t="s">
        <v>3314</v>
      </c>
      <c r="V226" s="86" t="s">
        <v>3315</v>
      </c>
      <c r="W226" s="81" t="s">
        <v>700</v>
      </c>
      <c r="X226" s="16"/>
      <c r="Y226" s="16"/>
      <c r="Z226" s="16"/>
      <c r="AA226" s="16"/>
      <c r="AB226" s="16"/>
      <c r="AC226" s="16"/>
      <c r="AD226"/>
      <c r="AE226"/>
      <c r="AF226"/>
      <c r="AG226"/>
      <c r="AH226"/>
      <c r="AI226"/>
      <c r="AJ226"/>
    </row>
    <row r="227" spans="1:36" s="5" customFormat="1" ht="76">
      <c r="A227" s="17" t="s">
        <v>218</v>
      </c>
      <c r="B227" s="17" t="s">
        <v>389</v>
      </c>
      <c r="C227" s="18" t="s">
        <v>390</v>
      </c>
      <c r="D227" s="18" t="s">
        <v>151</v>
      </c>
      <c r="E227" s="17">
        <v>892</v>
      </c>
      <c r="F227" s="17">
        <v>433.1</v>
      </c>
      <c r="G227" s="19" t="s">
        <v>276</v>
      </c>
      <c r="H227" s="17" t="s">
        <v>277</v>
      </c>
      <c r="I227" s="17" t="s">
        <v>104</v>
      </c>
      <c r="J227" s="19" t="s">
        <v>105</v>
      </c>
      <c r="K227" s="19" t="s">
        <v>174</v>
      </c>
      <c r="L227" s="19" t="s">
        <v>127</v>
      </c>
      <c r="M227" s="17" t="s">
        <v>108</v>
      </c>
      <c r="N227" s="17"/>
      <c r="O227" s="17"/>
      <c r="P227" s="88">
        <v>4.8689999999999998</v>
      </c>
      <c r="Q227" s="88">
        <v>1.7440000000000002</v>
      </c>
      <c r="R227" s="17">
        <v>0</v>
      </c>
      <c r="S227" s="66">
        <v>862.33036359079995</v>
      </c>
      <c r="T227" s="19" t="s">
        <v>3245</v>
      </c>
      <c r="U227" s="21">
        <v>0.94299999999999995</v>
      </c>
      <c r="V227" s="86">
        <v>29.1</v>
      </c>
      <c r="W227" s="81" t="s">
        <v>3297</v>
      </c>
      <c r="X227" s="16"/>
      <c r="Y227" s="16"/>
      <c r="Z227" s="16"/>
      <c r="AA227" s="16"/>
      <c r="AB227" s="16"/>
      <c r="AC227" s="16"/>
      <c r="AD227"/>
      <c r="AE227"/>
      <c r="AF227"/>
      <c r="AG227"/>
      <c r="AH227"/>
      <c r="AI227"/>
      <c r="AJ227"/>
    </row>
    <row r="228" spans="1:36" s="5" customFormat="1" ht="76">
      <c r="A228" s="17" t="s">
        <v>218</v>
      </c>
      <c r="B228" s="17" t="s">
        <v>389</v>
      </c>
      <c r="C228" s="18" t="s">
        <v>390</v>
      </c>
      <c r="D228" s="18" t="s">
        <v>151</v>
      </c>
      <c r="E228" s="17">
        <v>892</v>
      </c>
      <c r="F228" s="17">
        <v>434</v>
      </c>
      <c r="G228" s="19" t="s">
        <v>276</v>
      </c>
      <c r="H228" s="17" t="s">
        <v>277</v>
      </c>
      <c r="I228" s="17" t="s">
        <v>104</v>
      </c>
      <c r="J228" s="19" t="s">
        <v>105</v>
      </c>
      <c r="K228" s="19" t="s">
        <v>174</v>
      </c>
      <c r="L228" s="19" t="s">
        <v>127</v>
      </c>
      <c r="M228" s="17"/>
      <c r="N228" s="17"/>
      <c r="O228" s="17"/>
      <c r="P228" s="88">
        <v>5.0540000000000003</v>
      </c>
      <c r="Q228" s="88">
        <v>1.6160000000000001</v>
      </c>
      <c r="R228" s="17">
        <v>0</v>
      </c>
      <c r="S228" s="66">
        <v>809.49167866303719</v>
      </c>
      <c r="T228" s="19" t="s">
        <v>3245</v>
      </c>
      <c r="U228" s="21">
        <v>0.94299999999999995</v>
      </c>
      <c r="V228" s="86">
        <v>29.1</v>
      </c>
      <c r="W228" s="81" t="s">
        <v>3297</v>
      </c>
      <c r="X228" s="16"/>
      <c r="Y228" s="16"/>
      <c r="Z228" s="16"/>
      <c r="AA228" s="16"/>
      <c r="AB228" s="16"/>
      <c r="AC228" s="16"/>
      <c r="AD228"/>
      <c r="AE228"/>
      <c r="AF228"/>
      <c r="AG228"/>
      <c r="AH228"/>
      <c r="AI228"/>
      <c r="AJ228"/>
    </row>
    <row r="229" spans="1:36" s="5" customFormat="1" ht="76">
      <c r="A229" s="17" t="s">
        <v>218</v>
      </c>
      <c r="B229" s="17" t="s">
        <v>389</v>
      </c>
      <c r="C229" s="18" t="s">
        <v>390</v>
      </c>
      <c r="D229" s="18" t="s">
        <v>151</v>
      </c>
      <c r="E229" s="17">
        <v>892</v>
      </c>
      <c r="F229" s="17">
        <v>437</v>
      </c>
      <c r="G229" s="19" t="s">
        <v>276</v>
      </c>
      <c r="H229" s="17" t="s">
        <v>277</v>
      </c>
      <c r="I229" s="17" t="s">
        <v>104</v>
      </c>
      <c r="J229" s="19" t="s">
        <v>105</v>
      </c>
      <c r="K229" s="19" t="s">
        <v>174</v>
      </c>
      <c r="L229" s="19" t="s">
        <v>127</v>
      </c>
      <c r="M229" s="17"/>
      <c r="N229" s="17"/>
      <c r="O229" s="17"/>
      <c r="P229" s="88">
        <v>4.84</v>
      </c>
      <c r="Q229" s="88">
        <v>1.6879999999999999</v>
      </c>
      <c r="R229" s="17">
        <v>0</v>
      </c>
      <c r="S229" s="66">
        <v>809.91923559388749</v>
      </c>
      <c r="T229" s="19" t="s">
        <v>3245</v>
      </c>
      <c r="U229" s="21">
        <v>0.94299999999999995</v>
      </c>
      <c r="V229" s="86">
        <v>29.1</v>
      </c>
      <c r="W229" s="81" t="s">
        <v>3297</v>
      </c>
      <c r="X229" s="16"/>
      <c r="Y229" s="16"/>
      <c r="Z229" s="16"/>
      <c r="AA229" s="16"/>
      <c r="AB229" s="16"/>
      <c r="AC229" s="16"/>
      <c r="AD229"/>
      <c r="AE229"/>
      <c r="AF229"/>
      <c r="AG229"/>
      <c r="AH229"/>
      <c r="AI229"/>
      <c r="AJ229"/>
    </row>
    <row r="230" spans="1:36" s="5" customFormat="1" ht="76">
      <c r="A230" s="17" t="s">
        <v>218</v>
      </c>
      <c r="B230" s="17" t="s">
        <v>389</v>
      </c>
      <c r="C230" s="18" t="s">
        <v>390</v>
      </c>
      <c r="D230" s="18" t="s">
        <v>151</v>
      </c>
      <c r="E230" s="17">
        <v>892</v>
      </c>
      <c r="F230" s="17" t="s">
        <v>753</v>
      </c>
      <c r="G230" s="19" t="s">
        <v>276</v>
      </c>
      <c r="H230" s="17" t="s">
        <v>277</v>
      </c>
      <c r="I230" s="17" t="s">
        <v>104</v>
      </c>
      <c r="J230" s="19" t="s">
        <v>105</v>
      </c>
      <c r="K230" s="19" t="s">
        <v>174</v>
      </c>
      <c r="L230" s="19" t="s">
        <v>127</v>
      </c>
      <c r="M230" s="17"/>
      <c r="N230" s="17"/>
      <c r="O230" s="17"/>
      <c r="P230" s="88">
        <v>4.9030000000000005</v>
      </c>
      <c r="Q230" s="88">
        <v>1.552</v>
      </c>
      <c r="R230" s="17">
        <v>0</v>
      </c>
      <c r="S230" s="66">
        <v>721.63612020853122</v>
      </c>
      <c r="T230" s="19" t="s">
        <v>3245</v>
      </c>
      <c r="U230" s="21">
        <v>0.94299999999999995</v>
      </c>
      <c r="V230" s="86">
        <v>29.1</v>
      </c>
      <c r="W230" s="81" t="s">
        <v>3297</v>
      </c>
      <c r="X230" s="16"/>
      <c r="Y230" s="16"/>
      <c r="Z230" s="16"/>
      <c r="AA230" s="16"/>
      <c r="AB230" s="16"/>
      <c r="AC230" s="16"/>
      <c r="AD230"/>
      <c r="AE230"/>
      <c r="AF230"/>
      <c r="AG230"/>
      <c r="AH230"/>
      <c r="AI230"/>
      <c r="AJ230"/>
    </row>
    <row r="231" spans="1:36" s="5" customFormat="1" ht="95">
      <c r="A231" s="17" t="s">
        <v>218</v>
      </c>
      <c r="B231" s="17" t="s">
        <v>389</v>
      </c>
      <c r="C231" s="18" t="s">
        <v>390</v>
      </c>
      <c r="D231" s="18" t="s">
        <v>151</v>
      </c>
      <c r="E231" s="17">
        <v>892</v>
      </c>
      <c r="F231" s="17">
        <v>77</v>
      </c>
      <c r="G231" s="19" t="s">
        <v>276</v>
      </c>
      <c r="H231" s="17" t="s">
        <v>277</v>
      </c>
      <c r="I231" s="17" t="s">
        <v>104</v>
      </c>
      <c r="J231" s="19" t="s">
        <v>105</v>
      </c>
      <c r="K231" s="19" t="s">
        <v>143</v>
      </c>
      <c r="L231" s="19" t="s">
        <v>1531</v>
      </c>
      <c r="M231" s="17" t="s">
        <v>108</v>
      </c>
      <c r="N231" s="17"/>
      <c r="O231" s="17"/>
      <c r="P231" s="88">
        <v>3.2299999999999995</v>
      </c>
      <c r="Q231" s="88">
        <v>2.8170000000000002</v>
      </c>
      <c r="R231" s="17">
        <v>0</v>
      </c>
      <c r="S231" s="66">
        <v>874.75728179827036</v>
      </c>
      <c r="T231" s="19" t="s">
        <v>3266</v>
      </c>
      <c r="U231" s="21">
        <v>0.93100000000000005</v>
      </c>
      <c r="V231" s="86">
        <v>32.4</v>
      </c>
      <c r="W231" s="81" t="s">
        <v>3267</v>
      </c>
      <c r="X231" s="16"/>
      <c r="Y231" s="16"/>
      <c r="Z231" s="16"/>
      <c r="AA231" s="16"/>
      <c r="AB231" s="16"/>
      <c r="AC231" s="16"/>
      <c r="AD231"/>
      <c r="AE231"/>
      <c r="AF231"/>
      <c r="AG231"/>
      <c r="AH231"/>
      <c r="AI231"/>
      <c r="AJ231"/>
    </row>
    <row r="232" spans="1:36" s="5" customFormat="1" ht="57">
      <c r="A232" s="17" t="s">
        <v>218</v>
      </c>
      <c r="B232" s="17" t="s">
        <v>389</v>
      </c>
      <c r="C232" s="18" t="s">
        <v>390</v>
      </c>
      <c r="D232" s="18" t="s">
        <v>151</v>
      </c>
      <c r="E232" s="17">
        <v>31034</v>
      </c>
      <c r="F232" s="17">
        <v>14</v>
      </c>
      <c r="G232" s="19" t="s">
        <v>183</v>
      </c>
      <c r="H232" s="17" t="s">
        <v>184</v>
      </c>
      <c r="I232" s="17" t="s">
        <v>104</v>
      </c>
      <c r="J232" s="19" t="s">
        <v>105</v>
      </c>
      <c r="K232" s="19" t="s">
        <v>112</v>
      </c>
      <c r="L232" s="19" t="s">
        <v>113</v>
      </c>
      <c r="M232" s="17" t="s">
        <v>114</v>
      </c>
      <c r="N232" s="17"/>
      <c r="O232" s="17"/>
      <c r="P232" s="88">
        <v>2.6190000000000002</v>
      </c>
      <c r="Q232" s="88">
        <v>1.86</v>
      </c>
      <c r="R232" s="17">
        <v>0</v>
      </c>
      <c r="S232" s="66">
        <v>865.84114473729437</v>
      </c>
      <c r="T232" s="19" t="s">
        <v>3257</v>
      </c>
      <c r="U232" s="21">
        <v>0.94199999999999995</v>
      </c>
      <c r="V232" s="86">
        <v>29.2</v>
      </c>
      <c r="W232" s="81" t="s">
        <v>700</v>
      </c>
      <c r="X232" s="16"/>
      <c r="Y232" s="16"/>
      <c r="Z232" s="16"/>
      <c r="AA232" s="16"/>
      <c r="AB232" s="16"/>
      <c r="AC232" s="16"/>
      <c r="AD232"/>
      <c r="AE232"/>
      <c r="AF232"/>
      <c r="AG232"/>
      <c r="AH232"/>
      <c r="AI232"/>
      <c r="AJ232"/>
    </row>
    <row r="233" spans="1:36" s="5" customFormat="1" ht="57">
      <c r="A233" s="17" t="s">
        <v>218</v>
      </c>
      <c r="B233" s="17" t="s">
        <v>389</v>
      </c>
      <c r="C233" s="18" t="s">
        <v>390</v>
      </c>
      <c r="D233" s="18" t="s">
        <v>151</v>
      </c>
      <c r="E233" s="17">
        <v>31034</v>
      </c>
      <c r="F233" s="17">
        <v>141</v>
      </c>
      <c r="G233" s="19" t="s">
        <v>183</v>
      </c>
      <c r="H233" s="17" t="s">
        <v>184</v>
      </c>
      <c r="I233" s="17" t="s">
        <v>104</v>
      </c>
      <c r="J233" s="19" t="s">
        <v>105</v>
      </c>
      <c r="K233" s="19" t="s">
        <v>126</v>
      </c>
      <c r="L233" s="19" t="s">
        <v>127</v>
      </c>
      <c r="M233" s="17" t="s">
        <v>108</v>
      </c>
      <c r="N233" s="17"/>
      <c r="O233" s="17"/>
      <c r="P233" s="88">
        <v>4.8310000000000004</v>
      </c>
      <c r="Q233" s="88">
        <v>1.893</v>
      </c>
      <c r="R233" s="17">
        <v>0</v>
      </c>
      <c r="S233" s="66">
        <v>972.67722244712797</v>
      </c>
      <c r="T233" s="19" t="s">
        <v>3245</v>
      </c>
      <c r="U233" s="21">
        <v>0.94299999999999995</v>
      </c>
      <c r="V233" s="86">
        <v>29.1</v>
      </c>
      <c r="W233" s="81" t="s">
        <v>700</v>
      </c>
      <c r="X233" s="16"/>
      <c r="Y233" s="16"/>
      <c r="Z233" s="16"/>
      <c r="AA233" s="16"/>
      <c r="AB233" s="16"/>
      <c r="AC233" s="16"/>
      <c r="AD233"/>
      <c r="AE233"/>
      <c r="AF233"/>
      <c r="AG233"/>
      <c r="AH233"/>
      <c r="AI233"/>
      <c r="AJ233"/>
    </row>
    <row r="234" spans="1:36" s="5" customFormat="1" ht="57">
      <c r="A234" s="17" t="s">
        <v>218</v>
      </c>
      <c r="B234" s="17" t="s">
        <v>389</v>
      </c>
      <c r="C234" s="18" t="s">
        <v>390</v>
      </c>
      <c r="D234" s="18" t="s">
        <v>151</v>
      </c>
      <c r="E234" s="17">
        <v>31137</v>
      </c>
      <c r="F234" s="17">
        <v>3</v>
      </c>
      <c r="G234" s="19" t="s">
        <v>212</v>
      </c>
      <c r="H234" s="17" t="s">
        <v>171</v>
      </c>
      <c r="I234" s="17" t="s">
        <v>104</v>
      </c>
      <c r="J234" s="19" t="s">
        <v>105</v>
      </c>
      <c r="K234" s="19" t="s">
        <v>112</v>
      </c>
      <c r="L234" s="19" t="s">
        <v>113</v>
      </c>
      <c r="M234" s="17" t="s">
        <v>114</v>
      </c>
      <c r="N234" s="17"/>
      <c r="O234" s="17"/>
      <c r="P234" s="88">
        <v>2.8620000000000001</v>
      </c>
      <c r="Q234" s="88">
        <v>1.9120000000000001</v>
      </c>
      <c r="R234" s="17">
        <v>0</v>
      </c>
      <c r="S234" s="66">
        <v>1053.7753779626896</v>
      </c>
      <c r="T234" s="19" t="s">
        <v>3257</v>
      </c>
      <c r="U234" s="21">
        <v>0.94199999999999995</v>
      </c>
      <c r="V234" s="86">
        <v>29.2</v>
      </c>
      <c r="W234" s="81" t="s">
        <v>700</v>
      </c>
      <c r="X234" s="16"/>
      <c r="Y234" s="16"/>
      <c r="Z234" s="16"/>
      <c r="AA234" s="16"/>
      <c r="AB234" s="16"/>
      <c r="AC234" s="16"/>
      <c r="AD234"/>
      <c r="AE234"/>
      <c r="AF234"/>
      <c r="AG234"/>
      <c r="AH234"/>
      <c r="AI234"/>
      <c r="AJ234"/>
    </row>
    <row r="235" spans="1:36" s="5" customFormat="1" ht="57">
      <c r="A235" s="17" t="s">
        <v>218</v>
      </c>
      <c r="B235" s="17" t="s">
        <v>389</v>
      </c>
      <c r="C235" s="18" t="s">
        <v>390</v>
      </c>
      <c r="D235" s="18" t="s">
        <v>151</v>
      </c>
      <c r="E235" s="17">
        <v>31135</v>
      </c>
      <c r="F235" s="17">
        <v>28</v>
      </c>
      <c r="G235" s="19" t="s">
        <v>212</v>
      </c>
      <c r="H235" s="17" t="s">
        <v>171</v>
      </c>
      <c r="I235" s="17" t="s">
        <v>104</v>
      </c>
      <c r="J235" s="19" t="s">
        <v>105</v>
      </c>
      <c r="K235" s="19" t="s">
        <v>126</v>
      </c>
      <c r="L235" s="19" t="s">
        <v>127</v>
      </c>
      <c r="M235" s="17"/>
      <c r="N235" s="17"/>
      <c r="O235" s="17"/>
      <c r="P235" s="88">
        <v>5.4039999999999999</v>
      </c>
      <c r="Q235" s="88">
        <v>1.8260000000000001</v>
      </c>
      <c r="R235" s="17">
        <v>0</v>
      </c>
      <c r="S235" s="66">
        <v>1100.5428798629914</v>
      </c>
      <c r="T235" s="19" t="s">
        <v>3245</v>
      </c>
      <c r="U235" s="21">
        <v>0.94299999999999995</v>
      </c>
      <c r="V235" s="86">
        <v>29.1</v>
      </c>
      <c r="W235" s="81" t="s">
        <v>700</v>
      </c>
      <c r="X235" s="16"/>
      <c r="Y235" s="16"/>
      <c r="Z235" s="16"/>
      <c r="AA235" s="16"/>
      <c r="AB235" s="16"/>
      <c r="AC235" s="16"/>
      <c r="AD235"/>
      <c r="AE235"/>
      <c r="AF235"/>
      <c r="AG235"/>
      <c r="AH235"/>
      <c r="AI235"/>
      <c r="AJ235"/>
    </row>
    <row r="236" spans="1:36" s="5" customFormat="1" ht="57">
      <c r="A236" s="17" t="s">
        <v>218</v>
      </c>
      <c r="B236" s="17" t="s">
        <v>389</v>
      </c>
      <c r="C236" s="18" t="s">
        <v>390</v>
      </c>
      <c r="D236" s="18" t="s">
        <v>151</v>
      </c>
      <c r="E236" s="17">
        <v>31108</v>
      </c>
      <c r="F236" s="17">
        <v>70</v>
      </c>
      <c r="G236" s="19" t="s">
        <v>212</v>
      </c>
      <c r="H236" s="17" t="s">
        <v>171</v>
      </c>
      <c r="I236" s="17" t="s">
        <v>104</v>
      </c>
      <c r="J236" s="19" t="s">
        <v>105</v>
      </c>
      <c r="K236" s="19" t="s">
        <v>209</v>
      </c>
      <c r="L236" s="19" t="s">
        <v>216</v>
      </c>
      <c r="M236" s="17"/>
      <c r="N236" s="17"/>
      <c r="O236" s="17"/>
      <c r="P236" s="88">
        <v>3.9909999999999997</v>
      </c>
      <c r="Q236" s="88">
        <v>1.78</v>
      </c>
      <c r="R236" s="17">
        <v>0</v>
      </c>
      <c r="S236" s="66">
        <v>1046.9571651768449</v>
      </c>
      <c r="T236" s="19" t="s">
        <v>3244</v>
      </c>
      <c r="U236" s="21">
        <v>0.93500000000000005</v>
      </c>
      <c r="V236" s="86">
        <v>30.8</v>
      </c>
      <c r="W236" s="81" t="s">
        <v>700</v>
      </c>
      <c r="X236" s="16"/>
      <c r="Y236" s="16"/>
      <c r="Z236" s="16"/>
      <c r="AA236" s="16"/>
      <c r="AB236" s="16"/>
      <c r="AC236" s="16"/>
      <c r="AD236"/>
      <c r="AE236"/>
      <c r="AF236"/>
      <c r="AG236"/>
      <c r="AH236"/>
      <c r="AI236"/>
      <c r="AJ236"/>
    </row>
    <row r="237" spans="1:36" s="5" customFormat="1" ht="57">
      <c r="A237" s="17" t="s">
        <v>218</v>
      </c>
      <c r="B237" s="17" t="s">
        <v>389</v>
      </c>
      <c r="C237" s="18" t="s">
        <v>390</v>
      </c>
      <c r="D237" s="18" t="s">
        <v>151</v>
      </c>
      <c r="E237" s="17">
        <v>1222</v>
      </c>
      <c r="F237" s="17">
        <v>1</v>
      </c>
      <c r="G237" s="19" t="s">
        <v>877</v>
      </c>
      <c r="H237" s="17" t="s">
        <v>878</v>
      </c>
      <c r="I237" s="17" t="s">
        <v>104</v>
      </c>
      <c r="J237" s="19" t="s">
        <v>105</v>
      </c>
      <c r="K237" s="19" t="s">
        <v>126</v>
      </c>
      <c r="L237" s="19" t="s">
        <v>127</v>
      </c>
      <c r="M237" s="17" t="s">
        <v>114</v>
      </c>
      <c r="N237" s="17"/>
      <c r="O237" s="17"/>
      <c r="P237" s="88">
        <v>4.2359999999999998</v>
      </c>
      <c r="Q237" s="88">
        <v>1.85</v>
      </c>
      <c r="R237" s="17">
        <v>0</v>
      </c>
      <c r="S237" s="66">
        <v>756.94330493974189</v>
      </c>
      <c r="T237" s="19" t="s">
        <v>3245</v>
      </c>
      <c r="U237" s="21">
        <v>0.94299999999999995</v>
      </c>
      <c r="V237" s="86">
        <v>29.1</v>
      </c>
      <c r="W237" s="81" t="s">
        <v>700</v>
      </c>
      <c r="X237" s="16"/>
      <c r="Y237" s="16"/>
      <c r="Z237" s="16"/>
      <c r="AA237" s="16"/>
      <c r="AB237" s="16"/>
      <c r="AC237" s="16"/>
      <c r="AD237"/>
      <c r="AE237"/>
      <c r="AF237"/>
      <c r="AG237"/>
      <c r="AH237"/>
      <c r="AI237"/>
      <c r="AJ237"/>
    </row>
    <row r="238" spans="1:36" s="5" customFormat="1" ht="57">
      <c r="A238" s="17" t="s">
        <v>218</v>
      </c>
      <c r="B238" s="17" t="s">
        <v>389</v>
      </c>
      <c r="C238" s="18" t="s">
        <v>390</v>
      </c>
      <c r="D238" s="18" t="s">
        <v>151</v>
      </c>
      <c r="E238" s="17">
        <v>725</v>
      </c>
      <c r="F238" s="17" t="s">
        <v>778</v>
      </c>
      <c r="G238" s="19" t="s">
        <v>701</v>
      </c>
      <c r="H238" s="17" t="s">
        <v>702</v>
      </c>
      <c r="I238" s="17" t="s">
        <v>104</v>
      </c>
      <c r="J238" s="19" t="s">
        <v>105</v>
      </c>
      <c r="K238" s="19" t="s">
        <v>112</v>
      </c>
      <c r="L238" s="19" t="s">
        <v>113</v>
      </c>
      <c r="M238" s="17"/>
      <c r="N238" s="17"/>
      <c r="O238" s="17"/>
      <c r="P238" s="88">
        <v>3.2950000000000004</v>
      </c>
      <c r="Q238" s="88">
        <v>1.466</v>
      </c>
      <c r="R238" s="17">
        <v>0</v>
      </c>
      <c r="S238" s="66">
        <v>853.60721730084629</v>
      </c>
      <c r="T238" s="19" t="s">
        <v>3257</v>
      </c>
      <c r="U238" s="21">
        <v>0.94199999999999995</v>
      </c>
      <c r="V238" s="86">
        <v>29.2</v>
      </c>
      <c r="W238" s="81" t="s">
        <v>700</v>
      </c>
      <c r="X238" s="16"/>
      <c r="Y238" s="16"/>
      <c r="Z238" s="16"/>
      <c r="AA238" s="16"/>
      <c r="AB238" s="16"/>
      <c r="AC238" s="16"/>
      <c r="AD238"/>
      <c r="AE238"/>
      <c r="AF238"/>
      <c r="AG238"/>
      <c r="AH238"/>
      <c r="AI238"/>
      <c r="AJ238"/>
    </row>
    <row r="239" spans="1:36" s="5" customFormat="1" ht="57">
      <c r="A239" s="17" t="s">
        <v>218</v>
      </c>
      <c r="B239" s="17" t="s">
        <v>389</v>
      </c>
      <c r="C239" s="18" t="s">
        <v>390</v>
      </c>
      <c r="D239" s="18" t="s">
        <v>151</v>
      </c>
      <c r="E239" s="17">
        <v>725</v>
      </c>
      <c r="F239" s="17" t="s">
        <v>778</v>
      </c>
      <c r="G239" s="19" t="s">
        <v>701</v>
      </c>
      <c r="H239" s="17" t="s">
        <v>702</v>
      </c>
      <c r="I239" s="17" t="s">
        <v>104</v>
      </c>
      <c r="J239" s="19" t="s">
        <v>105</v>
      </c>
      <c r="K239" s="19" t="s">
        <v>209</v>
      </c>
      <c r="L239" s="19" t="s">
        <v>216</v>
      </c>
      <c r="M239" s="17"/>
      <c r="N239" s="17"/>
      <c r="O239" s="17"/>
      <c r="P239" s="88">
        <v>3.7759999999999998</v>
      </c>
      <c r="Q239" s="88">
        <v>1.73</v>
      </c>
      <c r="R239" s="17">
        <v>0</v>
      </c>
      <c r="S239" s="66">
        <v>909.05780819359506</v>
      </c>
      <c r="T239" s="19" t="s">
        <v>3244</v>
      </c>
      <c r="U239" s="21">
        <v>0.93500000000000005</v>
      </c>
      <c r="V239" s="86">
        <v>30.8</v>
      </c>
      <c r="W239" s="81" t="s">
        <v>700</v>
      </c>
      <c r="X239" s="16"/>
      <c r="Y239" s="16"/>
      <c r="Z239" s="16"/>
      <c r="AA239" s="16"/>
      <c r="AB239" s="16"/>
      <c r="AC239" s="16"/>
      <c r="AD239"/>
      <c r="AE239"/>
      <c r="AF239"/>
      <c r="AG239"/>
      <c r="AH239"/>
      <c r="AI239"/>
      <c r="AJ239"/>
    </row>
    <row r="240" spans="1:36" s="5" customFormat="1" ht="57">
      <c r="A240" s="17" t="s">
        <v>218</v>
      </c>
      <c r="B240" s="17" t="s">
        <v>389</v>
      </c>
      <c r="C240" s="18" t="s">
        <v>390</v>
      </c>
      <c r="D240" s="18" t="s">
        <v>151</v>
      </c>
      <c r="E240" s="17">
        <v>725</v>
      </c>
      <c r="F240" s="17" t="s">
        <v>778</v>
      </c>
      <c r="G240" s="19" t="s">
        <v>701</v>
      </c>
      <c r="H240" s="17" t="s">
        <v>702</v>
      </c>
      <c r="I240" s="17" t="s">
        <v>104</v>
      </c>
      <c r="J240" s="19" t="s">
        <v>105</v>
      </c>
      <c r="K240" s="19" t="s">
        <v>209</v>
      </c>
      <c r="L240" s="19" t="s">
        <v>216</v>
      </c>
      <c r="M240" s="17"/>
      <c r="N240" s="17"/>
      <c r="O240" s="17"/>
      <c r="P240" s="88">
        <v>4.1509999999999998</v>
      </c>
      <c r="Q240" s="88">
        <v>1.5699999999999998</v>
      </c>
      <c r="R240" s="17">
        <v>0</v>
      </c>
      <c r="S240" s="66">
        <v>905.44946752240435</v>
      </c>
      <c r="T240" s="19" t="s">
        <v>3244</v>
      </c>
      <c r="U240" s="21">
        <v>0.93500000000000005</v>
      </c>
      <c r="V240" s="86">
        <v>30.8</v>
      </c>
      <c r="W240" s="81" t="s">
        <v>700</v>
      </c>
      <c r="X240" s="16"/>
      <c r="Y240" s="16"/>
      <c r="Z240" s="16"/>
      <c r="AA240" s="16"/>
      <c r="AB240" s="16"/>
      <c r="AC240" s="16"/>
      <c r="AD240"/>
      <c r="AE240"/>
      <c r="AF240"/>
      <c r="AG240"/>
      <c r="AH240"/>
      <c r="AI240"/>
      <c r="AJ240"/>
    </row>
    <row r="241" spans="1:36" s="5" customFormat="1" ht="57">
      <c r="A241" s="17" t="s">
        <v>218</v>
      </c>
      <c r="B241" s="17" t="s">
        <v>389</v>
      </c>
      <c r="C241" s="18" t="s">
        <v>390</v>
      </c>
      <c r="D241" s="18" t="s">
        <v>151</v>
      </c>
      <c r="E241" s="17">
        <v>725</v>
      </c>
      <c r="F241" s="17" t="s">
        <v>778</v>
      </c>
      <c r="G241" s="19" t="s">
        <v>701</v>
      </c>
      <c r="H241" s="17" t="s">
        <v>702</v>
      </c>
      <c r="I241" s="17" t="s">
        <v>104</v>
      </c>
      <c r="J241" s="19" t="s">
        <v>105</v>
      </c>
      <c r="K241" s="19" t="s">
        <v>209</v>
      </c>
      <c r="L241" s="19" t="s">
        <v>216</v>
      </c>
      <c r="M241" s="17"/>
      <c r="N241" s="17"/>
      <c r="O241" s="17"/>
      <c r="P241" s="88">
        <v>3.6920000000000002</v>
      </c>
      <c r="Q241" s="88">
        <v>1.748</v>
      </c>
      <c r="R241" s="17">
        <v>0</v>
      </c>
      <c r="S241" s="66">
        <v>890.65283613140957</v>
      </c>
      <c r="T241" s="19" t="s">
        <v>3244</v>
      </c>
      <c r="U241" s="21">
        <v>0.93500000000000005</v>
      </c>
      <c r="V241" s="86">
        <v>30.8</v>
      </c>
      <c r="W241" s="81" t="s">
        <v>700</v>
      </c>
      <c r="X241" s="16"/>
      <c r="Y241" s="16"/>
      <c r="Z241" s="16"/>
      <c r="AA241" s="16"/>
      <c r="AB241" s="16"/>
      <c r="AC241" s="16"/>
      <c r="AD241"/>
      <c r="AE241"/>
      <c r="AF241"/>
      <c r="AG241"/>
      <c r="AH241"/>
      <c r="AI241"/>
      <c r="AJ241"/>
    </row>
    <row r="242" spans="1:36" s="5" customFormat="1" ht="57">
      <c r="A242" s="17" t="s">
        <v>218</v>
      </c>
      <c r="B242" s="17" t="s">
        <v>389</v>
      </c>
      <c r="C242" s="18" t="s">
        <v>390</v>
      </c>
      <c r="D242" s="18" t="s">
        <v>151</v>
      </c>
      <c r="E242" s="17">
        <v>725</v>
      </c>
      <c r="F242" s="17" t="s">
        <v>778</v>
      </c>
      <c r="G242" s="19" t="s">
        <v>701</v>
      </c>
      <c r="H242" s="17" t="s">
        <v>702</v>
      </c>
      <c r="I242" s="17" t="s">
        <v>104</v>
      </c>
      <c r="J242" s="19" t="s">
        <v>105</v>
      </c>
      <c r="K242" s="19" t="s">
        <v>209</v>
      </c>
      <c r="L242" s="19" t="s">
        <v>216</v>
      </c>
      <c r="M242" s="17"/>
      <c r="N242" s="17"/>
      <c r="O242" s="17"/>
      <c r="P242" s="88">
        <v>3.7880000000000003</v>
      </c>
      <c r="Q242" s="88">
        <v>1.7010000000000001</v>
      </c>
      <c r="R242" s="17">
        <v>0</v>
      </c>
      <c r="S242" s="66">
        <v>888.2770757129216</v>
      </c>
      <c r="T242" s="19" t="s">
        <v>3244</v>
      </c>
      <c r="U242" s="21">
        <v>0.93500000000000005</v>
      </c>
      <c r="V242" s="86">
        <v>30.8</v>
      </c>
      <c r="W242" s="81" t="s">
        <v>700</v>
      </c>
      <c r="X242" s="16"/>
      <c r="Y242" s="16"/>
      <c r="Z242" s="16"/>
      <c r="AA242" s="16"/>
      <c r="AB242" s="16"/>
      <c r="AC242" s="16"/>
      <c r="AD242"/>
      <c r="AE242"/>
      <c r="AF242"/>
      <c r="AG242"/>
      <c r="AH242"/>
      <c r="AI242"/>
      <c r="AJ242"/>
    </row>
    <row r="243" spans="1:36" s="5" customFormat="1" ht="57">
      <c r="A243" s="17" t="s">
        <v>218</v>
      </c>
      <c r="B243" s="17" t="s">
        <v>389</v>
      </c>
      <c r="C243" s="18" t="s">
        <v>390</v>
      </c>
      <c r="D243" s="18" t="s">
        <v>151</v>
      </c>
      <c r="E243" s="17">
        <v>725</v>
      </c>
      <c r="F243" s="17" t="s">
        <v>778</v>
      </c>
      <c r="G243" s="19" t="s">
        <v>701</v>
      </c>
      <c r="H243" s="17" t="s">
        <v>702</v>
      </c>
      <c r="I243" s="17" t="s">
        <v>104</v>
      </c>
      <c r="J243" s="19" t="s">
        <v>105</v>
      </c>
      <c r="K243" s="19" t="s">
        <v>209</v>
      </c>
      <c r="L243" s="19" t="s">
        <v>216</v>
      </c>
      <c r="M243" s="17"/>
      <c r="N243" s="17"/>
      <c r="O243" s="17"/>
      <c r="P243" s="88">
        <v>4.173</v>
      </c>
      <c r="Q243" s="88">
        <v>1.526</v>
      </c>
      <c r="R243" s="17">
        <v>0</v>
      </c>
      <c r="S243" s="66">
        <v>870.84510388699425</v>
      </c>
      <c r="T243" s="19" t="s">
        <v>3244</v>
      </c>
      <c r="U243" s="21">
        <v>0.93500000000000005</v>
      </c>
      <c r="V243" s="86">
        <v>30.8</v>
      </c>
      <c r="W243" s="81" t="s">
        <v>700</v>
      </c>
      <c r="X243" s="16"/>
      <c r="Y243" s="16"/>
      <c r="Z243" s="16"/>
      <c r="AA243" s="16"/>
      <c r="AB243" s="16"/>
      <c r="AC243" s="16"/>
      <c r="AD243"/>
      <c r="AE243"/>
      <c r="AF243"/>
      <c r="AG243"/>
      <c r="AH243"/>
      <c r="AI243"/>
      <c r="AJ243"/>
    </row>
    <row r="244" spans="1:36" s="5" customFormat="1" ht="57">
      <c r="A244" s="17" t="s">
        <v>218</v>
      </c>
      <c r="B244" s="17" t="s">
        <v>389</v>
      </c>
      <c r="C244" s="18" t="s">
        <v>390</v>
      </c>
      <c r="D244" s="18" t="s">
        <v>151</v>
      </c>
      <c r="E244" s="17">
        <v>725</v>
      </c>
      <c r="F244" s="17" t="s">
        <v>778</v>
      </c>
      <c r="G244" s="19" t="s">
        <v>701</v>
      </c>
      <c r="H244" s="17" t="s">
        <v>702</v>
      </c>
      <c r="I244" s="17" t="s">
        <v>104</v>
      </c>
      <c r="J244" s="19" t="s">
        <v>105</v>
      </c>
      <c r="K244" s="19" t="s">
        <v>209</v>
      </c>
      <c r="L244" s="19" t="s">
        <v>216</v>
      </c>
      <c r="M244" s="17"/>
      <c r="N244" s="17"/>
      <c r="O244" s="17"/>
      <c r="P244" s="88">
        <v>3.9270000000000005</v>
      </c>
      <c r="Q244" s="88">
        <v>1.5980000000000001</v>
      </c>
      <c r="R244" s="17">
        <v>0</v>
      </c>
      <c r="S244" s="66">
        <v>849.61436518523374</v>
      </c>
      <c r="T244" s="19" t="s">
        <v>3244</v>
      </c>
      <c r="U244" s="21">
        <v>0.93500000000000005</v>
      </c>
      <c r="V244" s="86">
        <v>30.8</v>
      </c>
      <c r="W244" s="81" t="s">
        <v>700</v>
      </c>
      <c r="X244" s="16"/>
      <c r="Y244" s="16"/>
      <c r="Z244" s="16"/>
      <c r="AA244" s="16"/>
      <c r="AB244" s="16"/>
      <c r="AC244" s="16"/>
      <c r="AD244"/>
      <c r="AE244"/>
      <c r="AF244"/>
      <c r="AG244"/>
      <c r="AH244"/>
      <c r="AI244"/>
      <c r="AJ244"/>
    </row>
    <row r="245" spans="1:36" s="5" customFormat="1" ht="57">
      <c r="A245" s="17" t="s">
        <v>218</v>
      </c>
      <c r="B245" s="17" t="s">
        <v>389</v>
      </c>
      <c r="C245" s="18" t="s">
        <v>390</v>
      </c>
      <c r="D245" s="18" t="s">
        <v>151</v>
      </c>
      <c r="E245" s="17">
        <v>725</v>
      </c>
      <c r="F245" s="17" t="s">
        <v>778</v>
      </c>
      <c r="G245" s="19" t="s">
        <v>701</v>
      </c>
      <c r="H245" s="17" t="s">
        <v>702</v>
      </c>
      <c r="I245" s="17" t="s">
        <v>104</v>
      </c>
      <c r="J245" s="19" t="s">
        <v>105</v>
      </c>
      <c r="K245" s="19" t="s">
        <v>209</v>
      </c>
      <c r="L245" s="19" t="s">
        <v>216</v>
      </c>
      <c r="M245" s="17"/>
      <c r="N245" s="17"/>
      <c r="O245" s="17"/>
      <c r="P245" s="88">
        <v>4.0979999999999999</v>
      </c>
      <c r="Q245" s="88">
        <v>1.502</v>
      </c>
      <c r="R245" s="17">
        <v>0</v>
      </c>
      <c r="S245" s="66">
        <v>822.40044615773309</v>
      </c>
      <c r="T245" s="19" t="s">
        <v>3244</v>
      </c>
      <c r="U245" s="21">
        <v>0.93500000000000005</v>
      </c>
      <c r="V245" s="86">
        <v>30.8</v>
      </c>
      <c r="W245" s="81" t="s">
        <v>700</v>
      </c>
      <c r="X245" s="16"/>
      <c r="Y245" s="16"/>
      <c r="Z245" s="16"/>
      <c r="AA245" s="16"/>
      <c r="AB245" s="16"/>
      <c r="AC245" s="16"/>
      <c r="AD245"/>
      <c r="AE245"/>
      <c r="AF245"/>
      <c r="AG245"/>
      <c r="AH245"/>
      <c r="AI245"/>
      <c r="AJ245"/>
    </row>
    <row r="246" spans="1:36" s="5" customFormat="1" ht="57">
      <c r="A246" s="17" t="s">
        <v>218</v>
      </c>
      <c r="B246" s="17" t="s">
        <v>389</v>
      </c>
      <c r="C246" s="18" t="s">
        <v>390</v>
      </c>
      <c r="D246" s="18" t="s">
        <v>151</v>
      </c>
      <c r="E246" s="17">
        <v>725</v>
      </c>
      <c r="F246" s="17" t="s">
        <v>778</v>
      </c>
      <c r="G246" s="19" t="s">
        <v>701</v>
      </c>
      <c r="H246" s="17" t="s">
        <v>702</v>
      </c>
      <c r="I246" s="17" t="s">
        <v>104</v>
      </c>
      <c r="J246" s="19" t="s">
        <v>105</v>
      </c>
      <c r="K246" s="19" t="s">
        <v>209</v>
      </c>
      <c r="L246" s="19" t="s">
        <v>216</v>
      </c>
      <c r="M246" s="17"/>
      <c r="N246" s="17"/>
      <c r="O246" s="17"/>
      <c r="P246" s="88">
        <v>4.2140000000000004</v>
      </c>
      <c r="Q246" s="88">
        <v>1.4529999999999998</v>
      </c>
      <c r="R246" s="17">
        <v>0</v>
      </c>
      <c r="S246" s="66">
        <v>815.15629204699269</v>
      </c>
      <c r="T246" s="19" t="s">
        <v>3244</v>
      </c>
      <c r="U246" s="21">
        <v>0.93500000000000005</v>
      </c>
      <c r="V246" s="86">
        <v>30.8</v>
      </c>
      <c r="W246" s="81" t="s">
        <v>700</v>
      </c>
      <c r="X246" s="16"/>
      <c r="Y246" s="16"/>
      <c r="Z246" s="16"/>
      <c r="AA246" s="16"/>
      <c r="AB246" s="16"/>
      <c r="AC246" s="16"/>
      <c r="AD246"/>
      <c r="AE246"/>
      <c r="AF246"/>
      <c r="AG246"/>
      <c r="AH246"/>
      <c r="AI246"/>
      <c r="AJ246"/>
    </row>
    <row r="247" spans="1:36" s="5" customFormat="1" ht="57">
      <c r="A247" s="17" t="s">
        <v>218</v>
      </c>
      <c r="B247" s="17" t="s">
        <v>389</v>
      </c>
      <c r="C247" s="18" t="s">
        <v>390</v>
      </c>
      <c r="D247" s="18" t="s">
        <v>151</v>
      </c>
      <c r="E247" s="17">
        <v>725</v>
      </c>
      <c r="F247" s="17" t="s">
        <v>778</v>
      </c>
      <c r="G247" s="19" t="s">
        <v>701</v>
      </c>
      <c r="H247" s="17" t="s">
        <v>702</v>
      </c>
      <c r="I247" s="17" t="s">
        <v>104</v>
      </c>
      <c r="J247" s="19" t="s">
        <v>105</v>
      </c>
      <c r="K247" s="19" t="s">
        <v>209</v>
      </c>
      <c r="L247" s="19" t="s">
        <v>216</v>
      </c>
      <c r="M247" s="17"/>
      <c r="N247" s="17"/>
      <c r="O247" s="17"/>
      <c r="P247" s="88">
        <v>3.4659999999999997</v>
      </c>
      <c r="Q247" s="88">
        <v>1.7579999999999998</v>
      </c>
      <c r="R247" s="17">
        <v>0</v>
      </c>
      <c r="S247" s="66">
        <v>808.50567129842045</v>
      </c>
      <c r="T247" s="19" t="s">
        <v>3244</v>
      </c>
      <c r="U247" s="21">
        <v>0.93500000000000005</v>
      </c>
      <c r="V247" s="86">
        <v>30.8</v>
      </c>
      <c r="W247" s="81" t="s">
        <v>700</v>
      </c>
      <c r="X247" s="16"/>
      <c r="Y247" s="16"/>
      <c r="Z247" s="16"/>
      <c r="AA247" s="16"/>
      <c r="AB247" s="16"/>
      <c r="AC247" s="16"/>
      <c r="AD247"/>
      <c r="AE247"/>
      <c r="AF247"/>
      <c r="AG247"/>
      <c r="AH247"/>
      <c r="AI247"/>
      <c r="AJ247"/>
    </row>
    <row r="248" spans="1:36" s="5" customFormat="1" ht="57">
      <c r="A248" s="17" t="s">
        <v>218</v>
      </c>
      <c r="B248" s="17" t="s">
        <v>389</v>
      </c>
      <c r="C248" s="18" t="s">
        <v>390</v>
      </c>
      <c r="D248" s="18" t="s">
        <v>151</v>
      </c>
      <c r="E248" s="17">
        <v>725</v>
      </c>
      <c r="F248" s="17" t="s">
        <v>778</v>
      </c>
      <c r="G248" s="19" t="s">
        <v>701</v>
      </c>
      <c r="H248" s="17" t="s">
        <v>702</v>
      </c>
      <c r="I248" s="17" t="s">
        <v>104</v>
      </c>
      <c r="J248" s="19" t="s">
        <v>105</v>
      </c>
      <c r="K248" s="19" t="s">
        <v>209</v>
      </c>
      <c r="L248" s="19" t="s">
        <v>216</v>
      </c>
      <c r="M248" s="17"/>
      <c r="N248" s="17"/>
      <c r="O248" s="17"/>
      <c r="P248" s="88">
        <v>4.0140000000000002</v>
      </c>
      <c r="Q248" s="88">
        <v>1.5050000000000001</v>
      </c>
      <c r="R248" s="17">
        <v>0</v>
      </c>
      <c r="S248" s="66">
        <v>796.8851867908005</v>
      </c>
      <c r="T248" s="19" t="s">
        <v>3244</v>
      </c>
      <c r="U248" s="21">
        <v>0.93500000000000005</v>
      </c>
      <c r="V248" s="86">
        <v>30.8</v>
      </c>
      <c r="W248" s="81" t="s">
        <v>700</v>
      </c>
      <c r="X248" s="16"/>
      <c r="Y248" s="16"/>
      <c r="Z248" s="16"/>
      <c r="AA248" s="16"/>
      <c r="AB248" s="16"/>
      <c r="AC248" s="16"/>
      <c r="AD248"/>
      <c r="AE248"/>
      <c r="AF248"/>
      <c r="AG248"/>
      <c r="AH248"/>
      <c r="AI248"/>
      <c r="AJ248"/>
    </row>
    <row r="249" spans="1:36" s="5" customFormat="1" ht="57">
      <c r="A249" s="17" t="s">
        <v>218</v>
      </c>
      <c r="B249" s="17" t="s">
        <v>389</v>
      </c>
      <c r="C249" s="18" t="s">
        <v>390</v>
      </c>
      <c r="D249" s="18" t="s">
        <v>151</v>
      </c>
      <c r="E249" s="17">
        <v>725</v>
      </c>
      <c r="F249" s="17" t="s">
        <v>778</v>
      </c>
      <c r="G249" s="19" t="s">
        <v>701</v>
      </c>
      <c r="H249" s="17" t="s">
        <v>702</v>
      </c>
      <c r="I249" s="17" t="s">
        <v>104</v>
      </c>
      <c r="J249" s="19" t="s">
        <v>105</v>
      </c>
      <c r="K249" s="19" t="s">
        <v>209</v>
      </c>
      <c r="L249" s="19" t="s">
        <v>216</v>
      </c>
      <c r="M249" s="17"/>
      <c r="N249" s="17"/>
      <c r="O249" s="17"/>
      <c r="P249" s="88">
        <v>3.9470000000000001</v>
      </c>
      <c r="Q249" s="88">
        <v>1.5</v>
      </c>
      <c r="R249" s="17">
        <v>0</v>
      </c>
      <c r="S249" s="66">
        <v>770.28514243828567</v>
      </c>
      <c r="T249" s="19" t="s">
        <v>3244</v>
      </c>
      <c r="U249" s="21">
        <v>0.93500000000000005</v>
      </c>
      <c r="V249" s="86">
        <v>30.8</v>
      </c>
      <c r="W249" s="81" t="s">
        <v>700</v>
      </c>
      <c r="X249" s="16"/>
      <c r="Y249" s="16"/>
      <c r="Z249" s="16"/>
      <c r="AA249" s="16"/>
      <c r="AB249" s="16"/>
      <c r="AC249" s="16"/>
      <c r="AD249"/>
      <c r="AE249"/>
      <c r="AF249"/>
      <c r="AG249"/>
      <c r="AH249"/>
      <c r="AI249"/>
      <c r="AJ249"/>
    </row>
    <row r="250" spans="1:36" s="5" customFormat="1" ht="57">
      <c r="A250" s="17" t="s">
        <v>218</v>
      </c>
      <c r="B250" s="17" t="s">
        <v>389</v>
      </c>
      <c r="C250" s="18" t="s">
        <v>390</v>
      </c>
      <c r="D250" s="18" t="s">
        <v>151</v>
      </c>
      <c r="E250" s="17">
        <v>725</v>
      </c>
      <c r="F250" s="17" t="s">
        <v>778</v>
      </c>
      <c r="G250" s="19" t="s">
        <v>701</v>
      </c>
      <c r="H250" s="17" t="s">
        <v>702</v>
      </c>
      <c r="I250" s="17" t="s">
        <v>104</v>
      </c>
      <c r="J250" s="19" t="s">
        <v>105</v>
      </c>
      <c r="K250" s="19" t="s">
        <v>209</v>
      </c>
      <c r="L250" s="19" t="s">
        <v>216</v>
      </c>
      <c r="M250" s="17"/>
      <c r="N250" s="17"/>
      <c r="O250" s="17"/>
      <c r="P250" s="88">
        <v>4.16</v>
      </c>
      <c r="Q250" s="88">
        <v>1.4159999999999999</v>
      </c>
      <c r="R250" s="17">
        <v>0</v>
      </c>
      <c r="S250" s="66">
        <v>763.73674761359223</v>
      </c>
      <c r="T250" s="19" t="s">
        <v>3244</v>
      </c>
      <c r="U250" s="21">
        <v>0.93500000000000005</v>
      </c>
      <c r="V250" s="86">
        <v>30.8</v>
      </c>
      <c r="W250" s="81" t="s">
        <v>700</v>
      </c>
      <c r="X250" s="16"/>
      <c r="Y250" s="16"/>
      <c r="Z250" s="16"/>
      <c r="AA250" s="16"/>
      <c r="AB250" s="16"/>
      <c r="AC250" s="16"/>
      <c r="AD250"/>
      <c r="AE250"/>
      <c r="AF250"/>
      <c r="AG250"/>
      <c r="AH250"/>
      <c r="AI250"/>
      <c r="AJ250"/>
    </row>
    <row r="251" spans="1:36" s="5" customFormat="1" ht="57">
      <c r="A251" s="17" t="s">
        <v>218</v>
      </c>
      <c r="B251" s="17" t="s">
        <v>389</v>
      </c>
      <c r="C251" s="18" t="s">
        <v>390</v>
      </c>
      <c r="D251" s="18" t="s">
        <v>151</v>
      </c>
      <c r="E251" s="17">
        <v>725</v>
      </c>
      <c r="F251" s="17" t="s">
        <v>778</v>
      </c>
      <c r="G251" s="19" t="s">
        <v>701</v>
      </c>
      <c r="H251" s="17" t="s">
        <v>702</v>
      </c>
      <c r="I251" s="17" t="s">
        <v>104</v>
      </c>
      <c r="J251" s="19" t="s">
        <v>105</v>
      </c>
      <c r="K251" s="19" t="s">
        <v>209</v>
      </c>
      <c r="L251" s="19" t="s">
        <v>216</v>
      </c>
      <c r="M251" s="17"/>
      <c r="N251" s="17"/>
      <c r="O251" s="17"/>
      <c r="P251" s="88">
        <v>3.9780000000000002</v>
      </c>
      <c r="Q251" s="88">
        <v>1.48</v>
      </c>
      <c r="R251" s="17">
        <v>0</v>
      </c>
      <c r="S251" s="66">
        <v>763.05565667361634</v>
      </c>
      <c r="T251" s="19" t="s">
        <v>3244</v>
      </c>
      <c r="U251" s="21">
        <v>0.93500000000000005</v>
      </c>
      <c r="V251" s="86">
        <v>30.8</v>
      </c>
      <c r="W251" s="81" t="s">
        <v>700</v>
      </c>
      <c r="X251" s="16"/>
      <c r="Y251" s="16"/>
      <c r="Z251" s="16"/>
      <c r="AA251" s="16"/>
      <c r="AB251" s="16"/>
      <c r="AC251" s="16"/>
      <c r="AD251"/>
      <c r="AE251"/>
      <c r="AF251"/>
      <c r="AG251"/>
      <c r="AH251"/>
      <c r="AI251"/>
      <c r="AJ251"/>
    </row>
    <row r="252" spans="1:36" s="5" customFormat="1" ht="57">
      <c r="A252" s="17" t="s">
        <v>218</v>
      </c>
      <c r="B252" s="17" t="s">
        <v>389</v>
      </c>
      <c r="C252" s="18" t="s">
        <v>390</v>
      </c>
      <c r="D252" s="18" t="s">
        <v>151</v>
      </c>
      <c r="E252" s="17">
        <v>725</v>
      </c>
      <c r="F252" s="17" t="s">
        <v>778</v>
      </c>
      <c r="G252" s="19" t="s">
        <v>701</v>
      </c>
      <c r="H252" s="17" t="s">
        <v>702</v>
      </c>
      <c r="I252" s="17" t="s">
        <v>104</v>
      </c>
      <c r="J252" s="19" t="s">
        <v>105</v>
      </c>
      <c r="K252" s="19" t="s">
        <v>209</v>
      </c>
      <c r="L252" s="19" t="s">
        <v>216</v>
      </c>
      <c r="M252" s="17"/>
      <c r="N252" s="17"/>
      <c r="O252" s="17"/>
      <c r="P252" s="88">
        <v>4.09</v>
      </c>
      <c r="Q252" s="88">
        <v>1.4390000000000001</v>
      </c>
      <c r="R252" s="17">
        <v>0</v>
      </c>
      <c r="S252" s="66">
        <v>762.63446437307425</v>
      </c>
      <c r="T252" s="19" t="s">
        <v>3244</v>
      </c>
      <c r="U252" s="21">
        <v>0.93500000000000005</v>
      </c>
      <c r="V252" s="86">
        <v>30.8</v>
      </c>
      <c r="W252" s="81" t="s">
        <v>700</v>
      </c>
      <c r="X252" s="16"/>
      <c r="Y252" s="16"/>
      <c r="Z252" s="16"/>
      <c r="AA252" s="16"/>
      <c r="AB252" s="16"/>
      <c r="AC252" s="16"/>
      <c r="AD252"/>
      <c r="AE252"/>
      <c r="AF252"/>
      <c r="AG252"/>
      <c r="AH252"/>
      <c r="AI252"/>
      <c r="AJ252"/>
    </row>
    <row r="253" spans="1:36" s="5" customFormat="1" ht="57">
      <c r="A253" s="17" t="s">
        <v>218</v>
      </c>
      <c r="B253" s="17" t="s">
        <v>389</v>
      </c>
      <c r="C253" s="18" t="s">
        <v>390</v>
      </c>
      <c r="D253" s="18" t="s">
        <v>151</v>
      </c>
      <c r="E253" s="17">
        <v>725</v>
      </c>
      <c r="F253" s="17" t="s">
        <v>778</v>
      </c>
      <c r="G253" s="19" t="s">
        <v>701</v>
      </c>
      <c r="H253" s="17" t="s">
        <v>702</v>
      </c>
      <c r="I253" s="17" t="s">
        <v>104</v>
      </c>
      <c r="J253" s="19" t="s">
        <v>105</v>
      </c>
      <c r="K253" s="19" t="s">
        <v>209</v>
      </c>
      <c r="L253" s="19" t="s">
        <v>216</v>
      </c>
      <c r="M253" s="17"/>
      <c r="N253" s="17"/>
      <c r="O253" s="17"/>
      <c r="P253" s="88">
        <v>3.6960000000000002</v>
      </c>
      <c r="Q253" s="88">
        <v>1.5820000000000001</v>
      </c>
      <c r="R253" s="17">
        <v>0</v>
      </c>
      <c r="S253" s="66">
        <v>754.26566019652455</v>
      </c>
      <c r="T253" s="19" t="s">
        <v>3244</v>
      </c>
      <c r="U253" s="21">
        <v>0.93500000000000005</v>
      </c>
      <c r="V253" s="86">
        <v>30.8</v>
      </c>
      <c r="W253" s="81" t="s">
        <v>700</v>
      </c>
      <c r="X253" s="16"/>
      <c r="Y253" s="16"/>
      <c r="Z253" s="16"/>
      <c r="AA253" s="16"/>
      <c r="AB253" s="16"/>
      <c r="AC253" s="16"/>
      <c r="AD253"/>
      <c r="AE253"/>
      <c r="AF253"/>
      <c r="AG253"/>
      <c r="AH253"/>
      <c r="AI253"/>
      <c r="AJ253"/>
    </row>
    <row r="254" spans="1:36" s="5" customFormat="1" ht="57">
      <c r="A254" s="17" t="s">
        <v>218</v>
      </c>
      <c r="B254" s="17" t="s">
        <v>389</v>
      </c>
      <c r="C254" s="18" t="s">
        <v>390</v>
      </c>
      <c r="D254" s="18" t="s">
        <v>151</v>
      </c>
      <c r="E254" s="17">
        <v>725</v>
      </c>
      <c r="F254" s="17" t="s">
        <v>778</v>
      </c>
      <c r="G254" s="19" t="s">
        <v>701</v>
      </c>
      <c r="H254" s="17" t="s">
        <v>702</v>
      </c>
      <c r="I254" s="17" t="s">
        <v>104</v>
      </c>
      <c r="J254" s="19" t="s">
        <v>105</v>
      </c>
      <c r="K254" s="19" t="s">
        <v>209</v>
      </c>
      <c r="L254" s="19" t="s">
        <v>216</v>
      </c>
      <c r="M254" s="17"/>
      <c r="N254" s="17"/>
      <c r="O254" s="17"/>
      <c r="P254" s="88">
        <v>3.6729999999999996</v>
      </c>
      <c r="Q254" s="88">
        <v>1.587</v>
      </c>
      <c r="R254" s="17">
        <v>0</v>
      </c>
      <c r="S254" s="66">
        <v>750.35501240089764</v>
      </c>
      <c r="T254" s="19" t="s">
        <v>3244</v>
      </c>
      <c r="U254" s="21">
        <v>0.93500000000000005</v>
      </c>
      <c r="V254" s="86">
        <v>30.8</v>
      </c>
      <c r="W254" s="81" t="s">
        <v>700</v>
      </c>
      <c r="X254" s="16"/>
      <c r="Y254" s="16"/>
      <c r="Z254" s="16"/>
      <c r="AA254" s="16"/>
      <c r="AB254" s="16"/>
      <c r="AC254" s="16"/>
      <c r="AD254"/>
      <c r="AE254"/>
      <c r="AF254"/>
      <c r="AG254"/>
      <c r="AH254"/>
      <c r="AI254"/>
      <c r="AJ254"/>
    </row>
    <row r="255" spans="1:36" s="5" customFormat="1" ht="57">
      <c r="A255" s="17" t="s">
        <v>218</v>
      </c>
      <c r="B255" s="17" t="s">
        <v>389</v>
      </c>
      <c r="C255" s="18" t="s">
        <v>390</v>
      </c>
      <c r="D255" s="18" t="s">
        <v>151</v>
      </c>
      <c r="E255" s="17">
        <v>725</v>
      </c>
      <c r="F255" s="17" t="s">
        <v>778</v>
      </c>
      <c r="G255" s="19" t="s">
        <v>701</v>
      </c>
      <c r="H255" s="17" t="s">
        <v>702</v>
      </c>
      <c r="I255" s="17" t="s">
        <v>104</v>
      </c>
      <c r="J255" s="19" t="s">
        <v>105</v>
      </c>
      <c r="K255" s="19" t="s">
        <v>209</v>
      </c>
      <c r="L255" s="19" t="s">
        <v>216</v>
      </c>
      <c r="M255" s="17"/>
      <c r="N255" s="17"/>
      <c r="O255" s="17"/>
      <c r="P255" s="88">
        <v>3.5430000000000001</v>
      </c>
      <c r="Q255" s="88">
        <v>1.6300000000000001</v>
      </c>
      <c r="R255" s="17">
        <v>0</v>
      </c>
      <c r="S255" s="66">
        <v>738.69463757163135</v>
      </c>
      <c r="T255" s="19" t="s">
        <v>3244</v>
      </c>
      <c r="U255" s="21">
        <v>0.93500000000000005</v>
      </c>
      <c r="V255" s="86">
        <v>30.8</v>
      </c>
      <c r="W255" s="81" t="s">
        <v>700</v>
      </c>
      <c r="X255" s="16"/>
      <c r="Y255" s="16"/>
      <c r="Z255" s="16"/>
      <c r="AA255" s="16"/>
      <c r="AB255" s="16"/>
      <c r="AC255" s="16"/>
      <c r="AD255"/>
      <c r="AE255"/>
      <c r="AF255"/>
      <c r="AG255"/>
      <c r="AH255"/>
      <c r="AI255"/>
      <c r="AJ255"/>
    </row>
    <row r="256" spans="1:36" s="5" customFormat="1" ht="57">
      <c r="A256" s="17" t="s">
        <v>218</v>
      </c>
      <c r="B256" s="17" t="s">
        <v>389</v>
      </c>
      <c r="C256" s="18" t="s">
        <v>390</v>
      </c>
      <c r="D256" s="18" t="s">
        <v>151</v>
      </c>
      <c r="E256" s="17">
        <v>725</v>
      </c>
      <c r="F256" s="17" t="s">
        <v>778</v>
      </c>
      <c r="G256" s="19" t="s">
        <v>701</v>
      </c>
      <c r="H256" s="17" t="s">
        <v>702</v>
      </c>
      <c r="I256" s="17" t="s">
        <v>104</v>
      </c>
      <c r="J256" s="19" t="s">
        <v>105</v>
      </c>
      <c r="K256" s="19" t="s">
        <v>209</v>
      </c>
      <c r="L256" s="19" t="s">
        <v>216</v>
      </c>
      <c r="M256" s="17"/>
      <c r="N256" s="17"/>
      <c r="O256" s="17"/>
      <c r="P256" s="88">
        <v>3.4460000000000002</v>
      </c>
      <c r="Q256" s="88">
        <v>1.5210000000000001</v>
      </c>
      <c r="R256" s="17">
        <v>0</v>
      </c>
      <c r="S256" s="66">
        <v>627.40000292416869</v>
      </c>
      <c r="T256" s="19" t="s">
        <v>3244</v>
      </c>
      <c r="U256" s="21">
        <v>0.93500000000000005</v>
      </c>
      <c r="V256" s="86">
        <v>30.8</v>
      </c>
      <c r="W256" s="81" t="s">
        <v>700</v>
      </c>
      <c r="X256" s="16"/>
      <c r="Y256" s="16"/>
      <c r="Z256" s="16"/>
      <c r="AA256" s="16"/>
      <c r="AB256" s="16"/>
      <c r="AC256" s="16"/>
      <c r="AD256"/>
      <c r="AE256"/>
      <c r="AF256"/>
      <c r="AG256"/>
      <c r="AH256"/>
      <c r="AI256"/>
      <c r="AJ256"/>
    </row>
    <row r="257" spans="1:36" s="5" customFormat="1" ht="57">
      <c r="A257" s="17" t="s">
        <v>218</v>
      </c>
      <c r="B257" s="17" t="s">
        <v>389</v>
      </c>
      <c r="C257" s="18" t="s">
        <v>390</v>
      </c>
      <c r="D257" s="18" t="s">
        <v>151</v>
      </c>
      <c r="E257" s="17">
        <v>725</v>
      </c>
      <c r="F257" s="17" t="s">
        <v>778</v>
      </c>
      <c r="G257" s="19" t="s">
        <v>701</v>
      </c>
      <c r="H257" s="17" t="s">
        <v>702</v>
      </c>
      <c r="I257" s="17" t="s">
        <v>104</v>
      </c>
      <c r="J257" s="19" t="s">
        <v>105</v>
      </c>
      <c r="K257" s="19" t="s">
        <v>209</v>
      </c>
      <c r="L257" s="19" t="s">
        <v>216</v>
      </c>
      <c r="M257" s="17"/>
      <c r="N257" s="17"/>
      <c r="O257" s="17"/>
      <c r="P257" s="88">
        <v>3.476</v>
      </c>
      <c r="Q257" s="88">
        <v>1.4810000000000001</v>
      </c>
      <c r="R257" s="17">
        <v>0</v>
      </c>
      <c r="S257" s="66">
        <v>608.68562795713729</v>
      </c>
      <c r="T257" s="19" t="s">
        <v>3244</v>
      </c>
      <c r="U257" s="21">
        <v>0.93500000000000005</v>
      </c>
      <c r="V257" s="86">
        <v>30.8</v>
      </c>
      <c r="W257" s="81" t="s">
        <v>700</v>
      </c>
      <c r="X257" s="16"/>
      <c r="Y257" s="16"/>
      <c r="Z257" s="16"/>
      <c r="AA257" s="16"/>
      <c r="AB257" s="16"/>
      <c r="AC257" s="16"/>
      <c r="AD257"/>
      <c r="AE257"/>
      <c r="AF257"/>
      <c r="AG257"/>
      <c r="AH257"/>
      <c r="AI257"/>
      <c r="AJ257"/>
    </row>
    <row r="258" spans="1:36" s="5" customFormat="1" ht="57">
      <c r="A258" s="17" t="s">
        <v>218</v>
      </c>
      <c r="B258" s="17" t="s">
        <v>389</v>
      </c>
      <c r="C258" s="18" t="s">
        <v>390</v>
      </c>
      <c r="D258" s="18" t="s">
        <v>151</v>
      </c>
      <c r="E258" s="17">
        <v>725</v>
      </c>
      <c r="F258" s="17" t="s">
        <v>778</v>
      </c>
      <c r="G258" s="19" t="s">
        <v>701</v>
      </c>
      <c r="H258" s="17" t="s">
        <v>702</v>
      </c>
      <c r="I258" s="17" t="s">
        <v>104</v>
      </c>
      <c r="J258" s="19" t="s">
        <v>105</v>
      </c>
      <c r="K258" s="19" t="s">
        <v>209</v>
      </c>
      <c r="L258" s="19" t="s">
        <v>216</v>
      </c>
      <c r="M258" s="17"/>
      <c r="N258" s="17"/>
      <c r="O258" s="17"/>
      <c r="P258" s="88">
        <v>3.4460000000000002</v>
      </c>
      <c r="Q258" s="88">
        <v>1.4789999999999999</v>
      </c>
      <c r="R258" s="17">
        <v>0</v>
      </c>
      <c r="S258" s="66">
        <v>598.50161263627933</v>
      </c>
      <c r="T258" s="19" t="s">
        <v>3244</v>
      </c>
      <c r="U258" s="21">
        <v>0.93500000000000005</v>
      </c>
      <c r="V258" s="86">
        <v>30.8</v>
      </c>
      <c r="W258" s="81" t="s">
        <v>700</v>
      </c>
      <c r="X258" s="16"/>
      <c r="Y258" s="16"/>
      <c r="Z258" s="16"/>
      <c r="AA258" s="16"/>
      <c r="AB258" s="16"/>
      <c r="AC258" s="16"/>
      <c r="AD258"/>
      <c r="AE258"/>
      <c r="AF258"/>
      <c r="AG258"/>
      <c r="AH258"/>
      <c r="AI258"/>
      <c r="AJ258"/>
    </row>
    <row r="259" spans="1:36" s="5" customFormat="1" ht="57">
      <c r="A259" s="17" t="s">
        <v>218</v>
      </c>
      <c r="B259" s="17" t="s">
        <v>389</v>
      </c>
      <c r="C259" s="18" t="s">
        <v>390</v>
      </c>
      <c r="D259" s="18" t="s">
        <v>151</v>
      </c>
      <c r="E259" s="17">
        <v>725</v>
      </c>
      <c r="F259" s="17" t="s">
        <v>778</v>
      </c>
      <c r="G259" s="19" t="s">
        <v>701</v>
      </c>
      <c r="H259" s="17" t="s">
        <v>702</v>
      </c>
      <c r="I259" s="17" t="s">
        <v>104</v>
      </c>
      <c r="J259" s="19" t="s">
        <v>105</v>
      </c>
      <c r="K259" s="19" t="s">
        <v>209</v>
      </c>
      <c r="L259" s="19" t="s">
        <v>216</v>
      </c>
      <c r="M259" s="17"/>
      <c r="N259" s="17"/>
      <c r="O259" s="17"/>
      <c r="P259" s="88">
        <v>3.415</v>
      </c>
      <c r="Q259" s="88">
        <v>1.4510000000000001</v>
      </c>
      <c r="R259" s="17">
        <v>0</v>
      </c>
      <c r="S259" s="66">
        <v>570.79199640539287</v>
      </c>
      <c r="T259" s="19" t="s">
        <v>3244</v>
      </c>
      <c r="U259" s="21">
        <v>0.93500000000000005</v>
      </c>
      <c r="V259" s="86">
        <v>30.8</v>
      </c>
      <c r="W259" s="81" t="s">
        <v>700</v>
      </c>
      <c r="X259" s="16"/>
      <c r="Y259" s="16"/>
      <c r="Z259" s="16"/>
      <c r="AA259" s="16"/>
      <c r="AB259" s="16"/>
      <c r="AC259" s="16"/>
      <c r="AD259"/>
      <c r="AE259"/>
      <c r="AF259"/>
      <c r="AG259"/>
      <c r="AH259"/>
      <c r="AI259"/>
      <c r="AJ259"/>
    </row>
    <row r="260" spans="1:36" s="5" customFormat="1" ht="57">
      <c r="A260" s="17" t="s">
        <v>218</v>
      </c>
      <c r="B260" s="17" t="s">
        <v>389</v>
      </c>
      <c r="C260" s="18" t="s">
        <v>390</v>
      </c>
      <c r="D260" s="18" t="s">
        <v>151</v>
      </c>
      <c r="E260" s="17">
        <v>725</v>
      </c>
      <c r="F260" s="17" t="s">
        <v>778</v>
      </c>
      <c r="G260" s="19" t="s">
        <v>701</v>
      </c>
      <c r="H260" s="17" t="s">
        <v>702</v>
      </c>
      <c r="I260" s="17" t="s">
        <v>104</v>
      </c>
      <c r="J260" s="19" t="s">
        <v>105</v>
      </c>
      <c r="K260" s="19" t="s">
        <v>209</v>
      </c>
      <c r="L260" s="19" t="s">
        <v>216</v>
      </c>
      <c r="M260" s="17"/>
      <c r="N260" s="17"/>
      <c r="O260" s="17"/>
      <c r="P260" s="88">
        <v>3.4340000000000002</v>
      </c>
      <c r="Q260" s="88">
        <v>1.425</v>
      </c>
      <c r="R260" s="17">
        <v>0</v>
      </c>
      <c r="S260" s="66">
        <v>558.87144626394468</v>
      </c>
      <c r="T260" s="19" t="s">
        <v>3244</v>
      </c>
      <c r="U260" s="21">
        <v>0.93500000000000005</v>
      </c>
      <c r="V260" s="86">
        <v>30.8</v>
      </c>
      <c r="W260" s="81" t="s">
        <v>700</v>
      </c>
      <c r="X260" s="16"/>
      <c r="Y260" s="16"/>
      <c r="Z260" s="16"/>
      <c r="AA260" s="16"/>
      <c r="AB260" s="16"/>
      <c r="AC260" s="16"/>
      <c r="AD260"/>
      <c r="AE260"/>
      <c r="AF260"/>
      <c r="AG260"/>
      <c r="AH260"/>
      <c r="AI260"/>
      <c r="AJ260"/>
    </row>
    <row r="261" spans="1:36" s="5" customFormat="1" ht="57">
      <c r="A261" s="17" t="s">
        <v>218</v>
      </c>
      <c r="B261" s="17" t="s">
        <v>389</v>
      </c>
      <c r="C261" s="18" t="s">
        <v>390</v>
      </c>
      <c r="D261" s="18" t="s">
        <v>151</v>
      </c>
      <c r="E261" s="17">
        <v>725</v>
      </c>
      <c r="F261" s="17" t="s">
        <v>778</v>
      </c>
      <c r="G261" s="19" t="s">
        <v>701</v>
      </c>
      <c r="H261" s="17" t="s">
        <v>702</v>
      </c>
      <c r="I261" s="17" t="s">
        <v>104</v>
      </c>
      <c r="J261" s="19" t="s">
        <v>105</v>
      </c>
      <c r="K261" s="19" t="s">
        <v>209</v>
      </c>
      <c r="L261" s="19" t="s">
        <v>216</v>
      </c>
      <c r="M261" s="17"/>
      <c r="N261" s="17"/>
      <c r="O261" s="17"/>
      <c r="P261" s="88">
        <v>3.31</v>
      </c>
      <c r="Q261" s="88">
        <v>1.472</v>
      </c>
      <c r="R261" s="17">
        <v>0</v>
      </c>
      <c r="S261" s="66">
        <v>554.8135939734326</v>
      </c>
      <c r="T261" s="19" t="s">
        <v>3244</v>
      </c>
      <c r="U261" s="21">
        <v>0.93500000000000005</v>
      </c>
      <c r="V261" s="86">
        <v>30.8</v>
      </c>
      <c r="W261" s="81" t="s">
        <v>700</v>
      </c>
      <c r="X261" s="16"/>
      <c r="Y261" s="16"/>
      <c r="Z261" s="16"/>
      <c r="AA261" s="16"/>
      <c r="AB261" s="16"/>
      <c r="AC261" s="16"/>
      <c r="AD261"/>
      <c r="AE261"/>
      <c r="AF261"/>
      <c r="AG261"/>
      <c r="AH261"/>
      <c r="AI261"/>
      <c r="AJ261"/>
    </row>
    <row r="262" spans="1:36" s="5" customFormat="1" ht="57">
      <c r="A262" s="17" t="s">
        <v>218</v>
      </c>
      <c r="B262" s="17" t="s">
        <v>389</v>
      </c>
      <c r="C262" s="18" t="s">
        <v>390</v>
      </c>
      <c r="D262" s="18" t="s">
        <v>151</v>
      </c>
      <c r="E262" s="17">
        <v>725</v>
      </c>
      <c r="F262" s="17" t="s">
        <v>778</v>
      </c>
      <c r="G262" s="19" t="s">
        <v>701</v>
      </c>
      <c r="H262" s="17" t="s">
        <v>702</v>
      </c>
      <c r="I262" s="17" t="s">
        <v>104</v>
      </c>
      <c r="J262" s="19" t="s">
        <v>105</v>
      </c>
      <c r="K262" s="19" t="s">
        <v>209</v>
      </c>
      <c r="L262" s="19" t="s">
        <v>216</v>
      </c>
      <c r="M262" s="17"/>
      <c r="N262" s="17"/>
      <c r="O262" s="17"/>
      <c r="P262" s="88">
        <v>3.1269999999999998</v>
      </c>
      <c r="Q262" s="88">
        <v>1.5429999999999999</v>
      </c>
      <c r="R262" s="17">
        <v>0</v>
      </c>
      <c r="S262" s="66">
        <v>545.76234925350877</v>
      </c>
      <c r="T262" s="19" t="s">
        <v>3244</v>
      </c>
      <c r="U262" s="21">
        <v>0.93500000000000005</v>
      </c>
      <c r="V262" s="86">
        <v>30.8</v>
      </c>
      <c r="W262" s="81" t="s">
        <v>700</v>
      </c>
      <c r="X262" s="16"/>
      <c r="Y262" s="16"/>
      <c r="Z262" s="16"/>
      <c r="AA262" s="16"/>
      <c r="AB262" s="16"/>
      <c r="AC262" s="16"/>
      <c r="AD262"/>
      <c r="AE262"/>
      <c r="AF262"/>
      <c r="AG262"/>
      <c r="AH262"/>
      <c r="AI262"/>
      <c r="AJ262"/>
    </row>
    <row r="263" spans="1:36" s="5" customFormat="1" ht="57">
      <c r="A263" s="17" t="s">
        <v>218</v>
      </c>
      <c r="B263" s="17" t="s">
        <v>389</v>
      </c>
      <c r="C263" s="18" t="s">
        <v>390</v>
      </c>
      <c r="D263" s="18" t="s">
        <v>151</v>
      </c>
      <c r="E263" s="17">
        <v>725</v>
      </c>
      <c r="F263" s="17" t="s">
        <v>778</v>
      </c>
      <c r="G263" s="19" t="s">
        <v>701</v>
      </c>
      <c r="H263" s="17" t="s">
        <v>702</v>
      </c>
      <c r="I263" s="17" t="s">
        <v>104</v>
      </c>
      <c r="J263" s="19" t="s">
        <v>105</v>
      </c>
      <c r="K263" s="19" t="s">
        <v>209</v>
      </c>
      <c r="L263" s="19" t="s">
        <v>216</v>
      </c>
      <c r="M263" s="17"/>
      <c r="N263" s="17"/>
      <c r="O263" s="17"/>
      <c r="P263" s="88">
        <v>3.1100000000000003</v>
      </c>
      <c r="Q263" s="88">
        <v>1.53</v>
      </c>
      <c r="R263" s="17">
        <v>0</v>
      </c>
      <c r="S263" s="66">
        <v>533.1247742586163</v>
      </c>
      <c r="T263" s="19" t="s">
        <v>3244</v>
      </c>
      <c r="U263" s="21">
        <v>0.93500000000000005</v>
      </c>
      <c r="V263" s="86">
        <v>30.8</v>
      </c>
      <c r="W263" s="81" t="s">
        <v>700</v>
      </c>
      <c r="X263" s="16"/>
      <c r="Y263" s="16"/>
      <c r="Z263" s="16"/>
      <c r="AA263" s="16"/>
      <c r="AB263" s="16"/>
      <c r="AC263" s="16"/>
      <c r="AD263"/>
      <c r="AE263"/>
      <c r="AF263"/>
      <c r="AG263"/>
      <c r="AH263"/>
      <c r="AI263"/>
      <c r="AJ263"/>
    </row>
    <row r="264" spans="1:36" s="5" customFormat="1" ht="57">
      <c r="A264" s="17" t="s">
        <v>218</v>
      </c>
      <c r="B264" s="17" t="s">
        <v>389</v>
      </c>
      <c r="C264" s="18" t="s">
        <v>390</v>
      </c>
      <c r="D264" s="18" t="s">
        <v>151</v>
      </c>
      <c r="E264" s="17">
        <v>725</v>
      </c>
      <c r="F264" s="17" t="s">
        <v>778</v>
      </c>
      <c r="G264" s="19" t="s">
        <v>701</v>
      </c>
      <c r="H264" s="17" t="s">
        <v>702</v>
      </c>
      <c r="I264" s="17" t="s">
        <v>104</v>
      </c>
      <c r="J264" s="19" t="s">
        <v>105</v>
      </c>
      <c r="K264" s="19" t="s">
        <v>209</v>
      </c>
      <c r="L264" s="19" t="s">
        <v>216</v>
      </c>
      <c r="M264" s="17"/>
      <c r="N264" s="17"/>
      <c r="O264" s="17"/>
      <c r="P264" s="88">
        <v>3.3659999999999997</v>
      </c>
      <c r="Q264" s="88">
        <v>1.4</v>
      </c>
      <c r="R264" s="17">
        <v>0</v>
      </c>
      <c r="S264" s="66">
        <v>524.49309625999138</v>
      </c>
      <c r="T264" s="19" t="s">
        <v>3244</v>
      </c>
      <c r="U264" s="21">
        <v>0.93500000000000005</v>
      </c>
      <c r="V264" s="86">
        <v>30.8</v>
      </c>
      <c r="W264" s="81" t="s">
        <v>700</v>
      </c>
      <c r="X264" s="16"/>
      <c r="Y264" s="16"/>
      <c r="Z264" s="16"/>
      <c r="AA264" s="16"/>
      <c r="AB264" s="16"/>
      <c r="AC264" s="16"/>
      <c r="AD264"/>
      <c r="AE264"/>
      <c r="AF264"/>
      <c r="AG264"/>
      <c r="AH264"/>
      <c r="AI264"/>
      <c r="AJ264"/>
    </row>
    <row r="265" spans="1:36" s="5" customFormat="1" ht="57">
      <c r="A265" s="17" t="s">
        <v>218</v>
      </c>
      <c r="B265" s="17" t="s">
        <v>389</v>
      </c>
      <c r="C265" s="18" t="s">
        <v>390</v>
      </c>
      <c r="D265" s="18" t="s">
        <v>151</v>
      </c>
      <c r="E265" s="17">
        <v>725</v>
      </c>
      <c r="F265" s="17" t="s">
        <v>778</v>
      </c>
      <c r="G265" s="19" t="s">
        <v>701</v>
      </c>
      <c r="H265" s="17" t="s">
        <v>702</v>
      </c>
      <c r="I265" s="17" t="s">
        <v>104</v>
      </c>
      <c r="J265" s="19" t="s">
        <v>105</v>
      </c>
      <c r="K265" s="19" t="s">
        <v>209</v>
      </c>
      <c r="L265" s="19" t="s">
        <v>216</v>
      </c>
      <c r="M265" s="17"/>
      <c r="N265" s="17"/>
      <c r="O265" s="17"/>
      <c r="P265" s="88">
        <v>3.0979999999999999</v>
      </c>
      <c r="Q265" s="88">
        <v>1.512</v>
      </c>
      <c r="R265" s="17">
        <v>0</v>
      </c>
      <c r="S265" s="66">
        <v>519.21390714572397</v>
      </c>
      <c r="T265" s="19" t="s">
        <v>3244</v>
      </c>
      <c r="U265" s="21">
        <v>0.93500000000000005</v>
      </c>
      <c r="V265" s="86">
        <v>30.8</v>
      </c>
      <c r="W265" s="81" t="s">
        <v>700</v>
      </c>
      <c r="X265" s="16"/>
      <c r="Y265" s="16"/>
      <c r="Z265" s="16"/>
      <c r="AA265" s="16"/>
      <c r="AB265" s="16"/>
      <c r="AC265" s="16"/>
      <c r="AD265"/>
      <c r="AE265"/>
      <c r="AF265"/>
      <c r="AG265"/>
      <c r="AH265"/>
      <c r="AI265"/>
      <c r="AJ265"/>
    </row>
    <row r="266" spans="1:36" s="5" customFormat="1" ht="57">
      <c r="A266" s="17" t="s">
        <v>218</v>
      </c>
      <c r="B266" s="17" t="s">
        <v>389</v>
      </c>
      <c r="C266" s="18" t="s">
        <v>390</v>
      </c>
      <c r="D266" s="18" t="s">
        <v>151</v>
      </c>
      <c r="E266" s="17">
        <v>725</v>
      </c>
      <c r="F266" s="17" t="s">
        <v>778</v>
      </c>
      <c r="G266" s="19" t="s">
        <v>701</v>
      </c>
      <c r="H266" s="17" t="s">
        <v>702</v>
      </c>
      <c r="I266" s="17" t="s">
        <v>104</v>
      </c>
      <c r="J266" s="19" t="s">
        <v>105</v>
      </c>
      <c r="K266" s="19" t="s">
        <v>209</v>
      </c>
      <c r="L266" s="19" t="s">
        <v>216</v>
      </c>
      <c r="M266" s="17"/>
      <c r="N266" s="17"/>
      <c r="O266" s="17"/>
      <c r="P266" s="88">
        <v>3.4039999999999999</v>
      </c>
      <c r="Q266" s="88">
        <v>1.355</v>
      </c>
      <c r="R266" s="17">
        <v>0</v>
      </c>
      <c r="S266" s="66">
        <v>505.89009666062185</v>
      </c>
      <c r="T266" s="19" t="s">
        <v>3244</v>
      </c>
      <c r="U266" s="21">
        <v>0.93500000000000005</v>
      </c>
      <c r="V266" s="86">
        <v>30.8</v>
      </c>
      <c r="W266" s="81" t="s">
        <v>700</v>
      </c>
      <c r="X266" s="16"/>
      <c r="Y266" s="16"/>
      <c r="Z266" s="16"/>
      <c r="AA266" s="16"/>
      <c r="AB266" s="16"/>
      <c r="AC266" s="16"/>
      <c r="AD266"/>
      <c r="AE266"/>
      <c r="AF266"/>
      <c r="AG266"/>
      <c r="AH266"/>
      <c r="AI266"/>
      <c r="AJ266"/>
    </row>
    <row r="267" spans="1:36" s="5" customFormat="1" ht="57">
      <c r="A267" s="17" t="s">
        <v>218</v>
      </c>
      <c r="B267" s="17" t="s">
        <v>389</v>
      </c>
      <c r="C267" s="18" t="s">
        <v>390</v>
      </c>
      <c r="D267" s="18" t="s">
        <v>151</v>
      </c>
      <c r="E267" s="17">
        <v>725</v>
      </c>
      <c r="F267" s="17" t="s">
        <v>778</v>
      </c>
      <c r="G267" s="19" t="s">
        <v>701</v>
      </c>
      <c r="H267" s="17" t="s">
        <v>702</v>
      </c>
      <c r="I267" s="17" t="s">
        <v>104</v>
      </c>
      <c r="J267" s="19" t="s">
        <v>105</v>
      </c>
      <c r="K267" s="19" t="s">
        <v>209</v>
      </c>
      <c r="L267" s="19" t="s">
        <v>216</v>
      </c>
      <c r="M267" s="17"/>
      <c r="N267" s="17"/>
      <c r="O267" s="17"/>
      <c r="P267" s="88">
        <v>3.5450000000000004</v>
      </c>
      <c r="Q267" s="88">
        <v>1.2909999999999999</v>
      </c>
      <c r="R267" s="17">
        <v>0</v>
      </c>
      <c r="S267" s="66">
        <v>499.29077191035037</v>
      </c>
      <c r="T267" s="19" t="s">
        <v>3244</v>
      </c>
      <c r="U267" s="21">
        <v>0.93500000000000005</v>
      </c>
      <c r="V267" s="86">
        <v>30.8</v>
      </c>
      <c r="W267" s="81" t="s">
        <v>700</v>
      </c>
      <c r="X267" s="16"/>
      <c r="Y267" s="16"/>
      <c r="Z267" s="16"/>
      <c r="AA267" s="16"/>
      <c r="AB267" s="16"/>
      <c r="AC267" s="16"/>
      <c r="AD267"/>
      <c r="AE267"/>
      <c r="AF267"/>
      <c r="AG267"/>
      <c r="AH267"/>
      <c r="AI267"/>
      <c r="AJ267"/>
    </row>
    <row r="268" spans="1:36" s="5" customFormat="1" ht="57">
      <c r="A268" s="17" t="s">
        <v>218</v>
      </c>
      <c r="B268" s="17" t="s">
        <v>389</v>
      </c>
      <c r="C268" s="18" t="s">
        <v>390</v>
      </c>
      <c r="D268" s="18" t="s">
        <v>151</v>
      </c>
      <c r="E268" s="17">
        <v>725</v>
      </c>
      <c r="F268" s="17" t="s">
        <v>778</v>
      </c>
      <c r="G268" s="19" t="s">
        <v>701</v>
      </c>
      <c r="H268" s="17" t="s">
        <v>702</v>
      </c>
      <c r="I268" s="17" t="s">
        <v>104</v>
      </c>
      <c r="J268" s="19" t="s">
        <v>105</v>
      </c>
      <c r="K268" s="19" t="s">
        <v>209</v>
      </c>
      <c r="L268" s="19" t="s">
        <v>216</v>
      </c>
      <c r="M268" s="17"/>
      <c r="N268" s="17"/>
      <c r="O268" s="17"/>
      <c r="P268" s="88">
        <v>2.9289999999999998</v>
      </c>
      <c r="Q268" s="88">
        <v>1.4449999999999998</v>
      </c>
      <c r="R268" s="17">
        <v>0</v>
      </c>
      <c r="S268" s="66">
        <v>437.69630103837488</v>
      </c>
      <c r="T268" s="19" t="s">
        <v>3244</v>
      </c>
      <c r="U268" s="21">
        <v>0.93500000000000005</v>
      </c>
      <c r="V268" s="86">
        <v>30.8</v>
      </c>
      <c r="W268" s="81" t="s">
        <v>700</v>
      </c>
      <c r="X268" s="16"/>
      <c r="Y268" s="16"/>
      <c r="Z268" s="16"/>
      <c r="AA268" s="16"/>
      <c r="AB268" s="16"/>
      <c r="AC268" s="16"/>
      <c r="AD268"/>
      <c r="AE268"/>
      <c r="AF268"/>
      <c r="AG268"/>
      <c r="AH268"/>
      <c r="AI268"/>
      <c r="AJ268"/>
    </row>
    <row r="269" spans="1:36" s="5" customFormat="1" ht="57">
      <c r="A269" s="17" t="s">
        <v>218</v>
      </c>
      <c r="B269" s="17" t="s">
        <v>389</v>
      </c>
      <c r="C269" s="18" t="s">
        <v>390</v>
      </c>
      <c r="D269" s="18" t="s">
        <v>151</v>
      </c>
      <c r="E269" s="17">
        <v>725</v>
      </c>
      <c r="F269" s="17" t="s">
        <v>778</v>
      </c>
      <c r="G269" s="19" t="s">
        <v>701</v>
      </c>
      <c r="H269" s="17" t="s">
        <v>702</v>
      </c>
      <c r="I269" s="17" t="s">
        <v>104</v>
      </c>
      <c r="J269" s="19" t="s">
        <v>105</v>
      </c>
      <c r="K269" s="19" t="s">
        <v>126</v>
      </c>
      <c r="L269" s="19" t="s">
        <v>127</v>
      </c>
      <c r="M269" s="17"/>
      <c r="N269" s="17"/>
      <c r="O269" s="17"/>
      <c r="P269" s="88">
        <v>4.9390000000000001</v>
      </c>
      <c r="Q269" s="88">
        <v>2.0550000000000002</v>
      </c>
      <c r="R269" s="17">
        <v>0</v>
      </c>
      <c r="S269" s="66">
        <v>1152.062881522806</v>
      </c>
      <c r="T269" s="19" t="s">
        <v>3245</v>
      </c>
      <c r="U269" s="21">
        <v>0.94299999999999995</v>
      </c>
      <c r="V269" s="86">
        <v>29.1</v>
      </c>
      <c r="W269" s="81" t="s">
        <v>700</v>
      </c>
      <c r="X269" s="16"/>
      <c r="Y269" s="16"/>
      <c r="Z269" s="16"/>
      <c r="AA269" s="16"/>
      <c r="AB269" s="16"/>
      <c r="AC269" s="16"/>
      <c r="AD269"/>
      <c r="AE269"/>
      <c r="AF269"/>
      <c r="AG269"/>
      <c r="AH269"/>
      <c r="AI269"/>
      <c r="AJ269"/>
    </row>
    <row r="270" spans="1:36" s="5" customFormat="1" ht="57">
      <c r="A270" s="17" t="s">
        <v>218</v>
      </c>
      <c r="B270" s="17" t="s">
        <v>389</v>
      </c>
      <c r="C270" s="18" t="s">
        <v>390</v>
      </c>
      <c r="D270" s="18" t="s">
        <v>151</v>
      </c>
      <c r="E270" s="17">
        <v>725</v>
      </c>
      <c r="F270" s="17" t="s">
        <v>778</v>
      </c>
      <c r="G270" s="19" t="s">
        <v>701</v>
      </c>
      <c r="H270" s="17" t="s">
        <v>702</v>
      </c>
      <c r="I270" s="17" t="s">
        <v>104</v>
      </c>
      <c r="J270" s="19" t="s">
        <v>105</v>
      </c>
      <c r="K270" s="19" t="s">
        <v>126</v>
      </c>
      <c r="L270" s="19" t="s">
        <v>127</v>
      </c>
      <c r="M270" s="17"/>
      <c r="N270" s="17"/>
      <c r="O270" s="17"/>
      <c r="P270" s="88">
        <v>5</v>
      </c>
      <c r="Q270" s="88">
        <v>1.89</v>
      </c>
      <c r="R270" s="17">
        <v>0</v>
      </c>
      <c r="S270" s="66">
        <v>1025.8910878546089</v>
      </c>
      <c r="T270" s="19" t="s">
        <v>3245</v>
      </c>
      <c r="U270" s="21">
        <v>0.94299999999999995</v>
      </c>
      <c r="V270" s="86">
        <v>29.1</v>
      </c>
      <c r="W270" s="81" t="s">
        <v>700</v>
      </c>
      <c r="X270" s="16"/>
      <c r="Y270" s="16"/>
      <c r="Z270" s="16"/>
      <c r="AA270" s="16"/>
      <c r="AB270" s="16"/>
      <c r="AC270" s="16"/>
      <c r="AD270"/>
      <c r="AE270"/>
      <c r="AF270"/>
      <c r="AG270"/>
      <c r="AH270"/>
      <c r="AI270"/>
      <c r="AJ270"/>
    </row>
    <row r="271" spans="1:36" s="5" customFormat="1" ht="57">
      <c r="A271" s="17" t="s">
        <v>218</v>
      </c>
      <c r="B271" s="17" t="s">
        <v>389</v>
      </c>
      <c r="C271" s="18" t="s">
        <v>390</v>
      </c>
      <c r="D271" s="18" t="s">
        <v>151</v>
      </c>
      <c r="E271" s="17">
        <v>725</v>
      </c>
      <c r="F271" s="17" t="s">
        <v>778</v>
      </c>
      <c r="G271" s="19" t="s">
        <v>701</v>
      </c>
      <c r="H271" s="17" t="s">
        <v>702</v>
      </c>
      <c r="I271" s="17" t="s">
        <v>104</v>
      </c>
      <c r="J271" s="19" t="s">
        <v>105</v>
      </c>
      <c r="K271" s="19" t="s">
        <v>126</v>
      </c>
      <c r="L271" s="19" t="s">
        <v>127</v>
      </c>
      <c r="M271" s="17"/>
      <c r="N271" s="17"/>
      <c r="O271" s="17"/>
      <c r="P271" s="88">
        <v>5.0090000000000003</v>
      </c>
      <c r="Q271" s="88">
        <v>1.845</v>
      </c>
      <c r="R271" s="17">
        <v>0</v>
      </c>
      <c r="S271" s="66">
        <v>989.4042718649041</v>
      </c>
      <c r="T271" s="19" t="s">
        <v>3245</v>
      </c>
      <c r="U271" s="21">
        <v>0.94299999999999995</v>
      </c>
      <c r="V271" s="86">
        <v>29.1</v>
      </c>
      <c r="W271" s="81" t="s">
        <v>700</v>
      </c>
      <c r="X271" s="16"/>
      <c r="Y271" s="16"/>
      <c r="Z271" s="16"/>
      <c r="AA271" s="16"/>
      <c r="AB271" s="16"/>
      <c r="AC271" s="16"/>
      <c r="AD271"/>
      <c r="AE271"/>
      <c r="AF271"/>
      <c r="AG271"/>
      <c r="AH271"/>
      <c r="AI271"/>
      <c r="AJ271"/>
    </row>
    <row r="272" spans="1:36" s="5" customFormat="1" ht="57">
      <c r="A272" s="17" t="s">
        <v>218</v>
      </c>
      <c r="B272" s="17" t="s">
        <v>389</v>
      </c>
      <c r="C272" s="18" t="s">
        <v>390</v>
      </c>
      <c r="D272" s="18" t="s">
        <v>151</v>
      </c>
      <c r="E272" s="17">
        <v>725</v>
      </c>
      <c r="F272" s="17" t="s">
        <v>778</v>
      </c>
      <c r="G272" s="19" t="s">
        <v>701</v>
      </c>
      <c r="H272" s="17" t="s">
        <v>702</v>
      </c>
      <c r="I272" s="17" t="s">
        <v>104</v>
      </c>
      <c r="J272" s="19" t="s">
        <v>105</v>
      </c>
      <c r="K272" s="19" t="s">
        <v>126</v>
      </c>
      <c r="L272" s="19" t="s">
        <v>127</v>
      </c>
      <c r="M272" s="17"/>
      <c r="N272" s="17"/>
      <c r="O272" s="17"/>
      <c r="P272" s="88">
        <v>5.024</v>
      </c>
      <c r="Q272" s="88">
        <v>1.8329999999999997</v>
      </c>
      <c r="R272" s="17">
        <v>0</v>
      </c>
      <c r="S272" s="66">
        <v>983.74025537589648</v>
      </c>
      <c r="T272" s="19" t="s">
        <v>3245</v>
      </c>
      <c r="U272" s="21">
        <v>0.94299999999999995</v>
      </c>
      <c r="V272" s="86">
        <v>29.1</v>
      </c>
      <c r="W272" s="81" t="s">
        <v>700</v>
      </c>
      <c r="X272" s="16"/>
      <c r="Y272" s="16"/>
      <c r="Z272" s="16"/>
      <c r="AA272" s="16"/>
      <c r="AB272" s="16"/>
      <c r="AC272" s="16"/>
      <c r="AD272"/>
      <c r="AE272"/>
      <c r="AF272"/>
      <c r="AG272"/>
      <c r="AH272"/>
      <c r="AI272"/>
      <c r="AJ272"/>
    </row>
    <row r="273" spans="1:36" s="5" customFormat="1" ht="57">
      <c r="A273" s="17" t="s">
        <v>218</v>
      </c>
      <c r="B273" s="17" t="s">
        <v>389</v>
      </c>
      <c r="C273" s="18" t="s">
        <v>390</v>
      </c>
      <c r="D273" s="18" t="s">
        <v>151</v>
      </c>
      <c r="E273" s="17">
        <v>725</v>
      </c>
      <c r="F273" s="17" t="s">
        <v>778</v>
      </c>
      <c r="G273" s="19" t="s">
        <v>701</v>
      </c>
      <c r="H273" s="17" t="s">
        <v>702</v>
      </c>
      <c r="I273" s="17" t="s">
        <v>104</v>
      </c>
      <c r="J273" s="19" t="s">
        <v>105</v>
      </c>
      <c r="K273" s="19" t="s">
        <v>126</v>
      </c>
      <c r="L273" s="19" t="s">
        <v>127</v>
      </c>
      <c r="M273" s="17"/>
      <c r="N273" s="17"/>
      <c r="O273" s="17"/>
      <c r="P273" s="88">
        <v>5.0310000000000006</v>
      </c>
      <c r="Q273" s="88">
        <v>1.7879999999999998</v>
      </c>
      <c r="R273" s="17">
        <v>0</v>
      </c>
      <c r="S273" s="66">
        <v>946.95960798887256</v>
      </c>
      <c r="T273" s="19" t="s">
        <v>3245</v>
      </c>
      <c r="U273" s="21">
        <v>0.94299999999999995</v>
      </c>
      <c r="V273" s="86">
        <v>29.1</v>
      </c>
      <c r="W273" s="81" t="s">
        <v>700</v>
      </c>
      <c r="X273" s="16"/>
      <c r="Y273" s="16"/>
      <c r="Z273" s="16"/>
      <c r="AA273" s="16"/>
      <c r="AB273" s="16"/>
      <c r="AC273" s="16"/>
      <c r="AD273"/>
      <c r="AE273"/>
      <c r="AF273"/>
      <c r="AG273"/>
      <c r="AH273"/>
      <c r="AI273"/>
      <c r="AJ273"/>
    </row>
    <row r="274" spans="1:36" s="5" customFormat="1" ht="57">
      <c r="A274" s="17" t="s">
        <v>218</v>
      </c>
      <c r="B274" s="17" t="s">
        <v>389</v>
      </c>
      <c r="C274" s="18" t="s">
        <v>390</v>
      </c>
      <c r="D274" s="18" t="s">
        <v>151</v>
      </c>
      <c r="E274" s="17">
        <v>725</v>
      </c>
      <c r="F274" s="17" t="s">
        <v>778</v>
      </c>
      <c r="G274" s="19" t="s">
        <v>701</v>
      </c>
      <c r="H274" s="17" t="s">
        <v>702</v>
      </c>
      <c r="I274" s="17" t="s">
        <v>104</v>
      </c>
      <c r="J274" s="19" t="s">
        <v>105</v>
      </c>
      <c r="K274" s="19" t="s">
        <v>126</v>
      </c>
      <c r="L274" s="19" t="s">
        <v>127</v>
      </c>
      <c r="M274" s="17"/>
      <c r="N274" s="17"/>
      <c r="O274" s="17"/>
      <c r="P274" s="88">
        <v>4.82</v>
      </c>
      <c r="Q274" s="88">
        <v>1.8340000000000001</v>
      </c>
      <c r="R274" s="17">
        <v>0</v>
      </c>
      <c r="S274" s="66">
        <v>920.51083371337347</v>
      </c>
      <c r="T274" s="19" t="s">
        <v>3245</v>
      </c>
      <c r="U274" s="21">
        <v>0.94299999999999995</v>
      </c>
      <c r="V274" s="86">
        <v>29.1</v>
      </c>
      <c r="W274" s="81" t="s">
        <v>700</v>
      </c>
      <c r="X274" s="16"/>
      <c r="Y274" s="16"/>
      <c r="Z274" s="16"/>
      <c r="AA274" s="16"/>
      <c r="AB274" s="16"/>
      <c r="AC274" s="16"/>
      <c r="AD274"/>
      <c r="AE274"/>
      <c r="AF274"/>
      <c r="AG274"/>
      <c r="AH274"/>
      <c r="AI274"/>
      <c r="AJ274"/>
    </row>
    <row r="275" spans="1:36" s="5" customFormat="1" ht="57">
      <c r="A275" s="17" t="s">
        <v>218</v>
      </c>
      <c r="B275" s="17" t="s">
        <v>389</v>
      </c>
      <c r="C275" s="18" t="s">
        <v>390</v>
      </c>
      <c r="D275" s="18" t="s">
        <v>151</v>
      </c>
      <c r="E275" s="17">
        <v>725</v>
      </c>
      <c r="F275" s="17" t="s">
        <v>778</v>
      </c>
      <c r="G275" s="19" t="s">
        <v>701</v>
      </c>
      <c r="H275" s="17" t="s">
        <v>702</v>
      </c>
      <c r="I275" s="17" t="s">
        <v>104</v>
      </c>
      <c r="J275" s="19" t="s">
        <v>105</v>
      </c>
      <c r="K275" s="19" t="s">
        <v>126</v>
      </c>
      <c r="L275" s="19" t="s">
        <v>127</v>
      </c>
      <c r="M275" s="17"/>
      <c r="N275" s="17"/>
      <c r="O275" s="17"/>
      <c r="P275" s="88">
        <v>4.9820000000000002</v>
      </c>
      <c r="Q275" s="88">
        <v>1.73</v>
      </c>
      <c r="R275" s="17">
        <v>0</v>
      </c>
      <c r="S275" s="66">
        <v>883.42669401978844</v>
      </c>
      <c r="T275" s="19" t="s">
        <v>3245</v>
      </c>
      <c r="U275" s="21">
        <v>0.94299999999999995</v>
      </c>
      <c r="V275" s="86">
        <v>29.1</v>
      </c>
      <c r="W275" s="81" t="s">
        <v>700</v>
      </c>
      <c r="X275" s="16"/>
      <c r="Y275" s="16"/>
      <c r="Z275" s="16"/>
      <c r="AA275" s="16"/>
      <c r="AB275" s="16"/>
      <c r="AC275" s="16"/>
      <c r="AD275"/>
      <c r="AE275"/>
      <c r="AF275"/>
      <c r="AG275"/>
      <c r="AH275"/>
      <c r="AI275"/>
      <c r="AJ275"/>
    </row>
    <row r="276" spans="1:36" s="5" customFormat="1" ht="57">
      <c r="A276" s="17" t="s">
        <v>218</v>
      </c>
      <c r="B276" s="17" t="s">
        <v>389</v>
      </c>
      <c r="C276" s="18" t="s">
        <v>390</v>
      </c>
      <c r="D276" s="18" t="s">
        <v>151</v>
      </c>
      <c r="E276" s="17">
        <v>725</v>
      </c>
      <c r="F276" s="17" t="s">
        <v>778</v>
      </c>
      <c r="G276" s="19" t="s">
        <v>701</v>
      </c>
      <c r="H276" s="17" t="s">
        <v>702</v>
      </c>
      <c r="I276" s="17" t="s">
        <v>104</v>
      </c>
      <c r="J276" s="19" t="s">
        <v>105</v>
      </c>
      <c r="K276" s="19" t="s">
        <v>126</v>
      </c>
      <c r="L276" s="19" t="s">
        <v>127</v>
      </c>
      <c r="M276" s="17"/>
      <c r="N276" s="17"/>
      <c r="O276" s="17"/>
      <c r="P276" s="88">
        <v>4.7789999999999999</v>
      </c>
      <c r="Q276" s="88">
        <v>1.8</v>
      </c>
      <c r="R276" s="17">
        <v>0</v>
      </c>
      <c r="S276" s="66">
        <v>880.65516357359297</v>
      </c>
      <c r="T276" s="19" t="s">
        <v>3245</v>
      </c>
      <c r="U276" s="21">
        <v>0.94299999999999995</v>
      </c>
      <c r="V276" s="86">
        <v>29.1</v>
      </c>
      <c r="W276" s="81" t="s">
        <v>700</v>
      </c>
      <c r="X276" s="16"/>
      <c r="Y276" s="16"/>
      <c r="Z276" s="16"/>
      <c r="AA276" s="16"/>
      <c r="AB276" s="16"/>
      <c r="AC276" s="16"/>
      <c r="AD276"/>
      <c r="AE276"/>
      <c r="AF276"/>
      <c r="AG276"/>
      <c r="AH276"/>
      <c r="AI276"/>
      <c r="AJ276"/>
    </row>
    <row r="277" spans="1:36" s="5" customFormat="1" ht="57">
      <c r="A277" s="17" t="s">
        <v>218</v>
      </c>
      <c r="B277" s="17" t="s">
        <v>389</v>
      </c>
      <c r="C277" s="18" t="s">
        <v>390</v>
      </c>
      <c r="D277" s="18" t="s">
        <v>151</v>
      </c>
      <c r="E277" s="17">
        <v>725</v>
      </c>
      <c r="F277" s="17" t="s">
        <v>778</v>
      </c>
      <c r="G277" s="19" t="s">
        <v>701</v>
      </c>
      <c r="H277" s="17" t="s">
        <v>702</v>
      </c>
      <c r="I277" s="17" t="s">
        <v>104</v>
      </c>
      <c r="J277" s="19" t="s">
        <v>105</v>
      </c>
      <c r="K277" s="19" t="s">
        <v>126</v>
      </c>
      <c r="L277" s="19" t="s">
        <v>127</v>
      </c>
      <c r="M277" s="17"/>
      <c r="N277" s="17"/>
      <c r="O277" s="17"/>
      <c r="P277" s="88">
        <v>5.0679999999999996</v>
      </c>
      <c r="Q277" s="88">
        <v>1.6920000000000002</v>
      </c>
      <c r="R277" s="17">
        <v>0</v>
      </c>
      <c r="S277" s="66">
        <v>876.14670300485079</v>
      </c>
      <c r="T277" s="19" t="s">
        <v>3245</v>
      </c>
      <c r="U277" s="21">
        <v>0.94299999999999995</v>
      </c>
      <c r="V277" s="86">
        <v>29.1</v>
      </c>
      <c r="W277" s="81" t="s">
        <v>700</v>
      </c>
      <c r="X277" s="16"/>
      <c r="Y277" s="16"/>
      <c r="Z277" s="16"/>
      <c r="AA277" s="16"/>
      <c r="AB277" s="16"/>
      <c r="AC277" s="16"/>
      <c r="AD277"/>
      <c r="AE277"/>
      <c r="AF277"/>
      <c r="AG277"/>
      <c r="AH277"/>
      <c r="AI277"/>
      <c r="AJ277"/>
    </row>
    <row r="278" spans="1:36" s="5" customFormat="1" ht="57">
      <c r="A278" s="17" t="s">
        <v>218</v>
      </c>
      <c r="B278" s="17" t="s">
        <v>389</v>
      </c>
      <c r="C278" s="18" t="s">
        <v>390</v>
      </c>
      <c r="D278" s="18" t="s">
        <v>151</v>
      </c>
      <c r="E278" s="17">
        <v>725</v>
      </c>
      <c r="F278" s="17" t="s">
        <v>778</v>
      </c>
      <c r="G278" s="19" t="s">
        <v>701</v>
      </c>
      <c r="H278" s="17" t="s">
        <v>702</v>
      </c>
      <c r="I278" s="17" t="s">
        <v>104</v>
      </c>
      <c r="J278" s="19" t="s">
        <v>105</v>
      </c>
      <c r="K278" s="19" t="s">
        <v>126</v>
      </c>
      <c r="L278" s="19" t="s">
        <v>127</v>
      </c>
      <c r="M278" s="17"/>
      <c r="N278" s="17"/>
      <c r="O278" s="17"/>
      <c r="P278" s="88">
        <v>4.9020000000000001</v>
      </c>
      <c r="Q278" s="88">
        <v>1.748</v>
      </c>
      <c r="R278" s="17">
        <v>0</v>
      </c>
      <c r="S278" s="66">
        <v>875.09163005829203</v>
      </c>
      <c r="T278" s="19" t="s">
        <v>3245</v>
      </c>
      <c r="U278" s="21">
        <v>0.94299999999999995</v>
      </c>
      <c r="V278" s="86">
        <v>29.1</v>
      </c>
      <c r="W278" s="81" t="s">
        <v>700</v>
      </c>
      <c r="X278" s="16"/>
      <c r="Y278" s="16"/>
      <c r="Z278" s="16"/>
      <c r="AA278" s="16"/>
      <c r="AB278" s="16"/>
      <c r="AC278" s="16"/>
      <c r="AD278"/>
      <c r="AE278"/>
      <c r="AF278"/>
      <c r="AG278"/>
      <c r="AH278"/>
      <c r="AI278"/>
      <c r="AJ278"/>
    </row>
    <row r="279" spans="1:36" s="5" customFormat="1" ht="57">
      <c r="A279" s="17" t="s">
        <v>218</v>
      </c>
      <c r="B279" s="17" t="s">
        <v>389</v>
      </c>
      <c r="C279" s="18" t="s">
        <v>390</v>
      </c>
      <c r="D279" s="18" t="s">
        <v>151</v>
      </c>
      <c r="E279" s="17">
        <v>725</v>
      </c>
      <c r="F279" s="17" t="s">
        <v>778</v>
      </c>
      <c r="G279" s="19" t="s">
        <v>701</v>
      </c>
      <c r="H279" s="17" t="s">
        <v>702</v>
      </c>
      <c r="I279" s="17" t="s">
        <v>104</v>
      </c>
      <c r="J279" s="19" t="s">
        <v>105</v>
      </c>
      <c r="K279" s="19" t="s">
        <v>126</v>
      </c>
      <c r="L279" s="19" t="s">
        <v>127</v>
      </c>
      <c r="M279" s="17"/>
      <c r="N279" s="17"/>
      <c r="O279" s="17"/>
      <c r="P279" s="88">
        <v>4.7949999999999999</v>
      </c>
      <c r="Q279" s="88">
        <v>1.7260000000000002</v>
      </c>
      <c r="R279" s="17">
        <v>0</v>
      </c>
      <c r="S279" s="66">
        <v>827.09415227742682</v>
      </c>
      <c r="T279" s="19" t="s">
        <v>3245</v>
      </c>
      <c r="U279" s="21">
        <v>0.94299999999999995</v>
      </c>
      <c r="V279" s="86">
        <v>29.1</v>
      </c>
      <c r="W279" s="81" t="s">
        <v>700</v>
      </c>
      <c r="X279" s="16"/>
      <c r="Y279" s="16"/>
      <c r="Z279" s="16"/>
      <c r="AA279" s="16"/>
      <c r="AB279" s="16"/>
      <c r="AC279" s="16"/>
      <c r="AD279"/>
      <c r="AE279"/>
      <c r="AF279"/>
      <c r="AG279"/>
      <c r="AH279"/>
      <c r="AI279"/>
      <c r="AJ279"/>
    </row>
    <row r="280" spans="1:36" s="5" customFormat="1" ht="57">
      <c r="A280" s="17" t="s">
        <v>218</v>
      </c>
      <c r="B280" s="17" t="s">
        <v>389</v>
      </c>
      <c r="C280" s="18" t="s">
        <v>390</v>
      </c>
      <c r="D280" s="18" t="s">
        <v>151</v>
      </c>
      <c r="E280" s="17">
        <v>725</v>
      </c>
      <c r="F280" s="17" t="s">
        <v>778</v>
      </c>
      <c r="G280" s="19" t="s">
        <v>701</v>
      </c>
      <c r="H280" s="17" t="s">
        <v>702</v>
      </c>
      <c r="I280" s="17" t="s">
        <v>104</v>
      </c>
      <c r="J280" s="19" t="s">
        <v>105</v>
      </c>
      <c r="K280" s="19" t="s">
        <v>126</v>
      </c>
      <c r="L280" s="19" t="s">
        <v>127</v>
      </c>
      <c r="M280" s="17"/>
      <c r="N280" s="17"/>
      <c r="O280" s="17"/>
      <c r="P280" s="88">
        <v>4.7490000000000006</v>
      </c>
      <c r="Q280" s="88">
        <v>1.7149999999999999</v>
      </c>
      <c r="R280" s="17">
        <v>0</v>
      </c>
      <c r="S280" s="66">
        <v>805.83636403260675</v>
      </c>
      <c r="T280" s="19" t="s">
        <v>3245</v>
      </c>
      <c r="U280" s="21">
        <v>0.94299999999999995</v>
      </c>
      <c r="V280" s="86">
        <v>29.1</v>
      </c>
      <c r="W280" s="81" t="s">
        <v>700</v>
      </c>
      <c r="X280" s="16"/>
      <c r="Y280" s="16"/>
      <c r="Z280" s="16"/>
      <c r="AA280" s="16"/>
      <c r="AB280" s="16"/>
      <c r="AC280" s="16"/>
      <c r="AD280"/>
      <c r="AE280"/>
      <c r="AF280"/>
      <c r="AG280"/>
      <c r="AH280"/>
      <c r="AI280"/>
      <c r="AJ280"/>
    </row>
    <row r="281" spans="1:36" s="5" customFormat="1" ht="57">
      <c r="A281" s="17" t="s">
        <v>218</v>
      </c>
      <c r="B281" s="17" t="s">
        <v>389</v>
      </c>
      <c r="C281" s="18" t="s">
        <v>390</v>
      </c>
      <c r="D281" s="18" t="s">
        <v>151</v>
      </c>
      <c r="E281" s="17">
        <v>725</v>
      </c>
      <c r="F281" s="17" t="s">
        <v>778</v>
      </c>
      <c r="G281" s="19" t="s">
        <v>701</v>
      </c>
      <c r="H281" s="17" t="s">
        <v>702</v>
      </c>
      <c r="I281" s="17" t="s">
        <v>104</v>
      </c>
      <c r="J281" s="19" t="s">
        <v>105</v>
      </c>
      <c r="K281" s="19" t="s">
        <v>126</v>
      </c>
      <c r="L281" s="19" t="s">
        <v>127</v>
      </c>
      <c r="M281" s="17"/>
      <c r="N281" s="17"/>
      <c r="O281" s="17"/>
      <c r="P281" s="88">
        <v>4.4189999999999996</v>
      </c>
      <c r="Q281" s="88">
        <v>1.8350000000000002</v>
      </c>
      <c r="R281" s="17">
        <v>0</v>
      </c>
      <c r="S281" s="66">
        <v>800.11268158818245</v>
      </c>
      <c r="T281" s="19" t="s">
        <v>3245</v>
      </c>
      <c r="U281" s="21">
        <v>0.94299999999999995</v>
      </c>
      <c r="V281" s="86">
        <v>29.1</v>
      </c>
      <c r="W281" s="81" t="s">
        <v>700</v>
      </c>
      <c r="X281" s="16"/>
      <c r="Y281" s="16"/>
      <c r="Z281" s="16"/>
      <c r="AA281" s="16"/>
      <c r="AB281" s="16"/>
      <c r="AC281" s="16"/>
      <c r="AD281"/>
      <c r="AE281"/>
      <c r="AF281"/>
      <c r="AG281"/>
      <c r="AH281"/>
      <c r="AI281"/>
      <c r="AJ281"/>
    </row>
    <row r="282" spans="1:36" s="5" customFormat="1" ht="57">
      <c r="A282" s="17" t="s">
        <v>218</v>
      </c>
      <c r="B282" s="17" t="s">
        <v>389</v>
      </c>
      <c r="C282" s="18" t="s">
        <v>390</v>
      </c>
      <c r="D282" s="18" t="s">
        <v>151</v>
      </c>
      <c r="E282" s="17">
        <v>725</v>
      </c>
      <c r="F282" s="17" t="s">
        <v>778</v>
      </c>
      <c r="G282" s="19" t="s">
        <v>701</v>
      </c>
      <c r="H282" s="17" t="s">
        <v>702</v>
      </c>
      <c r="I282" s="17" t="s">
        <v>104</v>
      </c>
      <c r="J282" s="19" t="s">
        <v>105</v>
      </c>
      <c r="K282" s="19" t="s">
        <v>126</v>
      </c>
      <c r="L282" s="19" t="s">
        <v>127</v>
      </c>
      <c r="M282" s="17"/>
      <c r="N282" s="17"/>
      <c r="O282" s="17"/>
      <c r="P282" s="88">
        <v>5.0789999999999997</v>
      </c>
      <c r="Q282" s="88">
        <v>1.58</v>
      </c>
      <c r="R282" s="17">
        <v>0</v>
      </c>
      <c r="S282" s="66">
        <v>786.68872688428155</v>
      </c>
      <c r="T282" s="19" t="s">
        <v>3245</v>
      </c>
      <c r="U282" s="21">
        <v>0.94299999999999995</v>
      </c>
      <c r="V282" s="86">
        <v>29.1</v>
      </c>
      <c r="W282" s="81" t="s">
        <v>700</v>
      </c>
      <c r="X282" s="16"/>
      <c r="Y282" s="16"/>
      <c r="Z282" s="16"/>
      <c r="AA282" s="16"/>
      <c r="AB282" s="16"/>
      <c r="AC282" s="16"/>
      <c r="AD282"/>
      <c r="AE282"/>
      <c r="AF282"/>
      <c r="AG282"/>
      <c r="AH282"/>
      <c r="AI282"/>
      <c r="AJ282"/>
    </row>
    <row r="283" spans="1:36" s="5" customFormat="1" ht="57">
      <c r="A283" s="17" t="s">
        <v>218</v>
      </c>
      <c r="B283" s="17" t="s">
        <v>389</v>
      </c>
      <c r="C283" s="18" t="s">
        <v>390</v>
      </c>
      <c r="D283" s="18" t="s">
        <v>151</v>
      </c>
      <c r="E283" s="17">
        <v>725</v>
      </c>
      <c r="F283" s="17" t="s">
        <v>778</v>
      </c>
      <c r="G283" s="19" t="s">
        <v>701</v>
      </c>
      <c r="H283" s="17" t="s">
        <v>702</v>
      </c>
      <c r="I283" s="17" t="s">
        <v>104</v>
      </c>
      <c r="J283" s="19" t="s">
        <v>105</v>
      </c>
      <c r="K283" s="19" t="s">
        <v>126</v>
      </c>
      <c r="L283" s="19" t="s">
        <v>127</v>
      </c>
      <c r="M283" s="17"/>
      <c r="N283" s="17"/>
      <c r="O283" s="17"/>
      <c r="P283" s="88">
        <v>5.032</v>
      </c>
      <c r="Q283" s="88">
        <v>1.58</v>
      </c>
      <c r="R283" s="17">
        <v>0</v>
      </c>
      <c r="S283" s="66">
        <v>774.90042001630297</v>
      </c>
      <c r="T283" s="19" t="s">
        <v>3245</v>
      </c>
      <c r="U283" s="21">
        <v>0.94299999999999995</v>
      </c>
      <c r="V283" s="86">
        <v>29.1</v>
      </c>
      <c r="W283" s="81" t="s">
        <v>700</v>
      </c>
      <c r="X283" s="16"/>
      <c r="Y283" s="16"/>
      <c r="Z283" s="16"/>
      <c r="AA283" s="16"/>
      <c r="AB283" s="16"/>
      <c r="AC283" s="16"/>
      <c r="AD283"/>
      <c r="AE283"/>
      <c r="AF283"/>
      <c r="AG283"/>
      <c r="AH283"/>
      <c r="AI283"/>
      <c r="AJ283"/>
    </row>
    <row r="284" spans="1:36" s="5" customFormat="1" ht="57">
      <c r="A284" s="17" t="s">
        <v>218</v>
      </c>
      <c r="B284" s="17" t="s">
        <v>389</v>
      </c>
      <c r="C284" s="18" t="s">
        <v>390</v>
      </c>
      <c r="D284" s="18" t="s">
        <v>151</v>
      </c>
      <c r="E284" s="17">
        <v>725</v>
      </c>
      <c r="F284" s="17" t="s">
        <v>778</v>
      </c>
      <c r="G284" s="19" t="s">
        <v>701</v>
      </c>
      <c r="H284" s="17" t="s">
        <v>702</v>
      </c>
      <c r="I284" s="17" t="s">
        <v>104</v>
      </c>
      <c r="J284" s="19" t="s">
        <v>105</v>
      </c>
      <c r="K284" s="19" t="s">
        <v>126</v>
      </c>
      <c r="L284" s="19" t="s">
        <v>127</v>
      </c>
      <c r="M284" s="17"/>
      <c r="N284" s="17"/>
      <c r="O284" s="17"/>
      <c r="P284" s="88">
        <v>4.91</v>
      </c>
      <c r="Q284" s="88">
        <v>1.5710000000000002</v>
      </c>
      <c r="R284" s="17">
        <v>0</v>
      </c>
      <c r="S284" s="66">
        <v>737.74532772101384</v>
      </c>
      <c r="T284" s="19" t="s">
        <v>3245</v>
      </c>
      <c r="U284" s="21">
        <v>0.94299999999999995</v>
      </c>
      <c r="V284" s="86">
        <v>29.1</v>
      </c>
      <c r="W284" s="81" t="s">
        <v>700</v>
      </c>
      <c r="X284" s="16"/>
      <c r="Y284" s="16"/>
      <c r="Z284" s="16"/>
      <c r="AA284" s="16"/>
      <c r="AB284" s="16"/>
      <c r="AC284" s="16"/>
      <c r="AD284"/>
      <c r="AE284"/>
      <c r="AF284"/>
      <c r="AG284"/>
      <c r="AH284"/>
      <c r="AI284"/>
      <c r="AJ284"/>
    </row>
    <row r="285" spans="1:36" s="5" customFormat="1" ht="57">
      <c r="A285" s="17" t="s">
        <v>218</v>
      </c>
      <c r="B285" s="17" t="s">
        <v>389</v>
      </c>
      <c r="C285" s="18" t="s">
        <v>390</v>
      </c>
      <c r="D285" s="18" t="s">
        <v>151</v>
      </c>
      <c r="E285" s="17">
        <v>725</v>
      </c>
      <c r="F285" s="17" t="s">
        <v>778</v>
      </c>
      <c r="G285" s="19" t="s">
        <v>701</v>
      </c>
      <c r="H285" s="17" t="s">
        <v>702</v>
      </c>
      <c r="I285" s="17" t="s">
        <v>104</v>
      </c>
      <c r="J285" s="19" t="s">
        <v>105</v>
      </c>
      <c r="K285" s="19" t="s">
        <v>126</v>
      </c>
      <c r="L285" s="19" t="s">
        <v>127</v>
      </c>
      <c r="M285" s="17"/>
      <c r="N285" s="17"/>
      <c r="O285" s="17"/>
      <c r="P285" s="88">
        <v>4.9670000000000005</v>
      </c>
      <c r="Q285" s="88">
        <v>1.548</v>
      </c>
      <c r="R285" s="17">
        <v>0</v>
      </c>
      <c r="S285" s="66">
        <v>733.91362255138756</v>
      </c>
      <c r="T285" s="19" t="s">
        <v>3245</v>
      </c>
      <c r="U285" s="21">
        <v>0.94299999999999995</v>
      </c>
      <c r="V285" s="86">
        <v>29.1</v>
      </c>
      <c r="W285" s="81" t="s">
        <v>700</v>
      </c>
      <c r="X285" s="16"/>
      <c r="Y285" s="16"/>
      <c r="Z285" s="16"/>
      <c r="AA285" s="16"/>
      <c r="AB285" s="16"/>
      <c r="AC285" s="16"/>
      <c r="AD285"/>
      <c r="AE285"/>
      <c r="AF285"/>
      <c r="AG285"/>
      <c r="AH285"/>
      <c r="AI285"/>
      <c r="AJ285"/>
    </row>
    <row r="286" spans="1:36" s="5" customFormat="1" ht="57">
      <c r="A286" s="17" t="s">
        <v>218</v>
      </c>
      <c r="B286" s="17" t="s">
        <v>389</v>
      </c>
      <c r="C286" s="18" t="s">
        <v>390</v>
      </c>
      <c r="D286" s="18" t="s">
        <v>151</v>
      </c>
      <c r="E286" s="17">
        <v>725</v>
      </c>
      <c r="F286" s="17" t="s">
        <v>778</v>
      </c>
      <c r="G286" s="19" t="s">
        <v>701</v>
      </c>
      <c r="H286" s="17" t="s">
        <v>702</v>
      </c>
      <c r="I286" s="17" t="s">
        <v>104</v>
      </c>
      <c r="J286" s="19" t="s">
        <v>105</v>
      </c>
      <c r="K286" s="19" t="s">
        <v>126</v>
      </c>
      <c r="L286" s="19" t="s">
        <v>127</v>
      </c>
      <c r="M286" s="17"/>
      <c r="N286" s="17"/>
      <c r="O286" s="17"/>
      <c r="P286" s="88">
        <v>4.9850000000000003</v>
      </c>
      <c r="Q286" s="88">
        <v>1.534</v>
      </c>
      <c r="R286" s="17">
        <v>0</v>
      </c>
      <c r="S286" s="66">
        <v>727.4256455765792</v>
      </c>
      <c r="T286" s="19" t="s">
        <v>3245</v>
      </c>
      <c r="U286" s="21">
        <v>0.94299999999999995</v>
      </c>
      <c r="V286" s="86">
        <v>29.1</v>
      </c>
      <c r="W286" s="81" t="s">
        <v>700</v>
      </c>
      <c r="X286" s="16"/>
      <c r="Y286" s="16"/>
      <c r="Z286" s="16"/>
      <c r="AA286" s="16"/>
      <c r="AB286" s="16"/>
      <c r="AC286" s="16"/>
      <c r="AD286"/>
      <c r="AE286"/>
      <c r="AF286"/>
      <c r="AG286"/>
      <c r="AH286"/>
      <c r="AI286"/>
      <c r="AJ286"/>
    </row>
    <row r="287" spans="1:36" s="5" customFormat="1" ht="57">
      <c r="A287" s="17" t="s">
        <v>218</v>
      </c>
      <c r="B287" s="17" t="s">
        <v>389</v>
      </c>
      <c r="C287" s="18" t="s">
        <v>390</v>
      </c>
      <c r="D287" s="18" t="s">
        <v>151</v>
      </c>
      <c r="E287" s="17">
        <v>725</v>
      </c>
      <c r="F287" s="17" t="s">
        <v>778</v>
      </c>
      <c r="G287" s="19" t="s">
        <v>701</v>
      </c>
      <c r="H287" s="17" t="s">
        <v>702</v>
      </c>
      <c r="I287" s="17" t="s">
        <v>104</v>
      </c>
      <c r="J287" s="19" t="s">
        <v>105</v>
      </c>
      <c r="K287" s="19" t="s">
        <v>126</v>
      </c>
      <c r="L287" s="19" t="s">
        <v>127</v>
      </c>
      <c r="M287" s="17"/>
      <c r="N287" s="17"/>
      <c r="O287" s="17"/>
      <c r="P287" s="88">
        <v>4.6579999999999995</v>
      </c>
      <c r="Q287" s="88">
        <v>1.6379999999999999</v>
      </c>
      <c r="R287" s="17">
        <v>0</v>
      </c>
      <c r="S287" s="66">
        <v>724.77254202876884</v>
      </c>
      <c r="T287" s="19" t="s">
        <v>3245</v>
      </c>
      <c r="U287" s="21">
        <v>0.94299999999999995</v>
      </c>
      <c r="V287" s="86">
        <v>29.1</v>
      </c>
      <c r="W287" s="81" t="s">
        <v>700</v>
      </c>
      <c r="X287" s="16"/>
      <c r="Y287" s="16"/>
      <c r="Z287" s="16"/>
      <c r="AA287" s="16"/>
      <c r="AB287" s="16"/>
      <c r="AC287" s="16"/>
      <c r="AD287"/>
      <c r="AE287"/>
      <c r="AF287"/>
      <c r="AG287"/>
      <c r="AH287"/>
      <c r="AI287"/>
      <c r="AJ287"/>
    </row>
    <row r="288" spans="1:36" s="5" customFormat="1" ht="57">
      <c r="A288" s="17" t="s">
        <v>218</v>
      </c>
      <c r="B288" s="17" t="s">
        <v>389</v>
      </c>
      <c r="C288" s="18" t="s">
        <v>390</v>
      </c>
      <c r="D288" s="18" t="s">
        <v>151</v>
      </c>
      <c r="E288" s="17">
        <v>725</v>
      </c>
      <c r="F288" s="17" t="s">
        <v>778</v>
      </c>
      <c r="G288" s="19" t="s">
        <v>701</v>
      </c>
      <c r="H288" s="17" t="s">
        <v>702</v>
      </c>
      <c r="I288" s="17" t="s">
        <v>104</v>
      </c>
      <c r="J288" s="19" t="s">
        <v>105</v>
      </c>
      <c r="K288" s="19" t="s">
        <v>126</v>
      </c>
      <c r="L288" s="19" t="s">
        <v>127</v>
      </c>
      <c r="M288" s="17"/>
      <c r="N288" s="17"/>
      <c r="O288" s="17"/>
      <c r="P288" s="88">
        <v>4.5939999999999994</v>
      </c>
      <c r="Q288" s="88">
        <v>1.6420000000000001</v>
      </c>
      <c r="R288" s="17">
        <v>0</v>
      </c>
      <c r="S288" s="66">
        <v>711.48241294424849</v>
      </c>
      <c r="T288" s="19" t="s">
        <v>3245</v>
      </c>
      <c r="U288" s="21">
        <v>0.94299999999999995</v>
      </c>
      <c r="V288" s="86">
        <v>29.1</v>
      </c>
      <c r="W288" s="81" t="s">
        <v>700</v>
      </c>
      <c r="X288" s="16"/>
      <c r="Y288" s="16"/>
      <c r="Z288" s="16"/>
      <c r="AA288" s="16"/>
      <c r="AB288" s="16"/>
      <c r="AC288" s="16"/>
      <c r="AD288"/>
      <c r="AE288"/>
      <c r="AF288"/>
      <c r="AG288"/>
      <c r="AH288"/>
      <c r="AI288"/>
      <c r="AJ288"/>
    </row>
    <row r="289" spans="1:36" s="5" customFormat="1" ht="57">
      <c r="A289" s="17" t="s">
        <v>218</v>
      </c>
      <c r="B289" s="17" t="s">
        <v>389</v>
      </c>
      <c r="C289" s="18" t="s">
        <v>390</v>
      </c>
      <c r="D289" s="18" t="s">
        <v>151</v>
      </c>
      <c r="E289" s="17">
        <v>725</v>
      </c>
      <c r="F289" s="17" t="s">
        <v>778</v>
      </c>
      <c r="G289" s="19" t="s">
        <v>701</v>
      </c>
      <c r="H289" s="17" t="s">
        <v>702</v>
      </c>
      <c r="I289" s="17" t="s">
        <v>104</v>
      </c>
      <c r="J289" s="19" t="s">
        <v>105</v>
      </c>
      <c r="K289" s="19" t="s">
        <v>126</v>
      </c>
      <c r="L289" s="19" t="s">
        <v>127</v>
      </c>
      <c r="M289" s="17"/>
      <c r="N289" s="17"/>
      <c r="O289" s="17"/>
      <c r="P289" s="88">
        <v>4.867</v>
      </c>
      <c r="Q289" s="88">
        <v>1.548</v>
      </c>
      <c r="R289" s="17">
        <v>0</v>
      </c>
      <c r="S289" s="66">
        <v>710.06884738143492</v>
      </c>
      <c r="T289" s="19" t="s">
        <v>3245</v>
      </c>
      <c r="U289" s="21">
        <v>0.94299999999999995</v>
      </c>
      <c r="V289" s="86">
        <v>29.1</v>
      </c>
      <c r="W289" s="81" t="s">
        <v>700</v>
      </c>
      <c r="X289" s="16"/>
      <c r="Y289" s="16"/>
      <c r="Z289" s="16"/>
      <c r="AA289" s="16"/>
      <c r="AB289" s="16"/>
      <c r="AC289" s="16"/>
      <c r="AD289"/>
      <c r="AE289"/>
      <c r="AF289"/>
      <c r="AG289"/>
      <c r="AH289"/>
      <c r="AI289"/>
      <c r="AJ289"/>
    </row>
    <row r="290" spans="1:36" s="5" customFormat="1" ht="57">
      <c r="A290" s="17" t="s">
        <v>218</v>
      </c>
      <c r="B290" s="17" t="s">
        <v>389</v>
      </c>
      <c r="C290" s="18" t="s">
        <v>390</v>
      </c>
      <c r="D290" s="18" t="s">
        <v>151</v>
      </c>
      <c r="E290" s="17">
        <v>725</v>
      </c>
      <c r="F290" s="17" t="s">
        <v>778</v>
      </c>
      <c r="G290" s="19" t="s">
        <v>701</v>
      </c>
      <c r="H290" s="17" t="s">
        <v>702</v>
      </c>
      <c r="I290" s="17" t="s">
        <v>104</v>
      </c>
      <c r="J290" s="19" t="s">
        <v>105</v>
      </c>
      <c r="K290" s="19" t="s">
        <v>126</v>
      </c>
      <c r="L290" s="19" t="s">
        <v>127</v>
      </c>
      <c r="M290" s="17"/>
      <c r="N290" s="17"/>
      <c r="O290" s="17"/>
      <c r="P290" s="88">
        <v>5.0679999999999996</v>
      </c>
      <c r="Q290" s="88">
        <v>1.4849999999999999</v>
      </c>
      <c r="R290" s="17">
        <v>0</v>
      </c>
      <c r="S290" s="66">
        <v>708.82399242588906</v>
      </c>
      <c r="T290" s="19" t="s">
        <v>3245</v>
      </c>
      <c r="U290" s="21">
        <v>0.94299999999999995</v>
      </c>
      <c r="V290" s="86">
        <v>29.1</v>
      </c>
      <c r="W290" s="81" t="s">
        <v>700</v>
      </c>
      <c r="X290" s="16"/>
      <c r="Y290" s="16"/>
      <c r="Z290" s="16"/>
      <c r="AA290" s="16"/>
      <c r="AB290" s="16"/>
      <c r="AC290" s="16"/>
      <c r="AD290"/>
      <c r="AE290"/>
      <c r="AF290"/>
      <c r="AG290"/>
      <c r="AH290"/>
      <c r="AI290"/>
      <c r="AJ290"/>
    </row>
    <row r="291" spans="1:36" s="5" customFormat="1" ht="57">
      <c r="A291" s="17" t="s">
        <v>218</v>
      </c>
      <c r="B291" s="17" t="s">
        <v>389</v>
      </c>
      <c r="C291" s="18" t="s">
        <v>390</v>
      </c>
      <c r="D291" s="18" t="s">
        <v>151</v>
      </c>
      <c r="E291" s="17">
        <v>725</v>
      </c>
      <c r="F291" s="17" t="s">
        <v>778</v>
      </c>
      <c r="G291" s="19" t="s">
        <v>701</v>
      </c>
      <c r="H291" s="17" t="s">
        <v>702</v>
      </c>
      <c r="I291" s="17" t="s">
        <v>104</v>
      </c>
      <c r="J291" s="19" t="s">
        <v>105</v>
      </c>
      <c r="K291" s="19" t="s">
        <v>126</v>
      </c>
      <c r="L291" s="19" t="s">
        <v>127</v>
      </c>
      <c r="M291" s="17"/>
      <c r="N291" s="17"/>
      <c r="O291" s="17"/>
      <c r="P291" s="88">
        <v>4.9729999999999999</v>
      </c>
      <c r="Q291" s="88">
        <v>1.512</v>
      </c>
      <c r="R291" s="17">
        <v>0</v>
      </c>
      <c r="S291" s="66">
        <v>707.7835857101046</v>
      </c>
      <c r="T291" s="19" t="s">
        <v>3245</v>
      </c>
      <c r="U291" s="21">
        <v>0.94299999999999995</v>
      </c>
      <c r="V291" s="86">
        <v>29.1</v>
      </c>
      <c r="W291" s="81" t="s">
        <v>700</v>
      </c>
      <c r="X291" s="16"/>
      <c r="Y291" s="16"/>
      <c r="Z291" s="16"/>
      <c r="AA291" s="16"/>
      <c r="AB291" s="16"/>
      <c r="AC291" s="16"/>
      <c r="AD291"/>
      <c r="AE291"/>
      <c r="AF291"/>
      <c r="AG291"/>
      <c r="AH291"/>
      <c r="AI291"/>
      <c r="AJ291"/>
    </row>
    <row r="292" spans="1:36" s="5" customFormat="1" ht="57">
      <c r="A292" s="17" t="s">
        <v>218</v>
      </c>
      <c r="B292" s="17" t="s">
        <v>389</v>
      </c>
      <c r="C292" s="18" t="s">
        <v>390</v>
      </c>
      <c r="D292" s="18" t="s">
        <v>151</v>
      </c>
      <c r="E292" s="17">
        <v>725</v>
      </c>
      <c r="F292" s="17" t="s">
        <v>778</v>
      </c>
      <c r="G292" s="19" t="s">
        <v>701</v>
      </c>
      <c r="H292" s="17" t="s">
        <v>702</v>
      </c>
      <c r="I292" s="17" t="s">
        <v>104</v>
      </c>
      <c r="J292" s="19" t="s">
        <v>105</v>
      </c>
      <c r="K292" s="19" t="s">
        <v>126</v>
      </c>
      <c r="L292" s="19" t="s">
        <v>127</v>
      </c>
      <c r="M292" s="17"/>
      <c r="N292" s="17"/>
      <c r="O292" s="17"/>
      <c r="P292" s="88">
        <v>4.7799999999999994</v>
      </c>
      <c r="Q292" s="88">
        <v>1.5720000000000001</v>
      </c>
      <c r="R292" s="17">
        <v>0</v>
      </c>
      <c r="S292" s="66">
        <v>707.01695999853541</v>
      </c>
      <c r="T292" s="19" t="s">
        <v>3245</v>
      </c>
      <c r="U292" s="21">
        <v>0.94299999999999995</v>
      </c>
      <c r="V292" s="86">
        <v>29.1</v>
      </c>
      <c r="W292" s="81" t="s">
        <v>700</v>
      </c>
      <c r="X292" s="16"/>
      <c r="Y292" s="16"/>
      <c r="Z292" s="16"/>
      <c r="AA292" s="16"/>
      <c r="AB292" s="16"/>
      <c r="AC292" s="16"/>
      <c r="AD292"/>
      <c r="AE292"/>
      <c r="AF292"/>
      <c r="AG292"/>
      <c r="AH292"/>
      <c r="AI292"/>
      <c r="AJ292"/>
    </row>
    <row r="293" spans="1:36" s="5" customFormat="1" ht="57">
      <c r="A293" s="17" t="s">
        <v>218</v>
      </c>
      <c r="B293" s="17" t="s">
        <v>389</v>
      </c>
      <c r="C293" s="18" t="s">
        <v>390</v>
      </c>
      <c r="D293" s="18" t="s">
        <v>151</v>
      </c>
      <c r="E293" s="17">
        <v>725</v>
      </c>
      <c r="F293" s="17" t="s">
        <v>778</v>
      </c>
      <c r="G293" s="19" t="s">
        <v>701</v>
      </c>
      <c r="H293" s="17" t="s">
        <v>702</v>
      </c>
      <c r="I293" s="17" t="s">
        <v>104</v>
      </c>
      <c r="J293" s="19" t="s">
        <v>105</v>
      </c>
      <c r="K293" s="19" t="s">
        <v>126</v>
      </c>
      <c r="L293" s="19" t="s">
        <v>127</v>
      </c>
      <c r="M293" s="17"/>
      <c r="N293" s="17"/>
      <c r="O293" s="17"/>
      <c r="P293" s="88">
        <v>4.8609999999999998</v>
      </c>
      <c r="Q293" s="88">
        <v>1.4300000000000002</v>
      </c>
      <c r="R293" s="17">
        <v>0</v>
      </c>
      <c r="S293" s="66">
        <v>623.02881540526721</v>
      </c>
      <c r="T293" s="19" t="s">
        <v>3245</v>
      </c>
      <c r="U293" s="21">
        <v>0.94299999999999995</v>
      </c>
      <c r="V293" s="86">
        <v>29.1</v>
      </c>
      <c r="W293" s="81" t="s">
        <v>700</v>
      </c>
      <c r="X293" s="16"/>
      <c r="Y293" s="16"/>
      <c r="Z293" s="16"/>
      <c r="AA293" s="16"/>
      <c r="AB293" s="16"/>
      <c r="AC293" s="16"/>
      <c r="AD293"/>
      <c r="AE293"/>
      <c r="AF293"/>
      <c r="AG293"/>
      <c r="AH293"/>
      <c r="AI293"/>
      <c r="AJ293"/>
    </row>
    <row r="294" spans="1:36" s="5" customFormat="1" ht="57">
      <c r="A294" s="17" t="s">
        <v>218</v>
      </c>
      <c r="B294" s="17" t="s">
        <v>389</v>
      </c>
      <c r="C294" s="18" t="s">
        <v>390</v>
      </c>
      <c r="D294" s="18" t="s">
        <v>151</v>
      </c>
      <c r="E294" s="17">
        <v>725</v>
      </c>
      <c r="F294" s="17" t="s">
        <v>778</v>
      </c>
      <c r="G294" s="19" t="s">
        <v>701</v>
      </c>
      <c r="H294" s="17" t="s">
        <v>702</v>
      </c>
      <c r="I294" s="17" t="s">
        <v>104</v>
      </c>
      <c r="J294" s="19" t="s">
        <v>105</v>
      </c>
      <c r="K294" s="19" t="s">
        <v>126</v>
      </c>
      <c r="L294" s="19" t="s">
        <v>127</v>
      </c>
      <c r="M294" s="17"/>
      <c r="N294" s="17"/>
      <c r="O294" s="17"/>
      <c r="P294" s="88">
        <v>4.76</v>
      </c>
      <c r="Q294" s="88">
        <v>1.46</v>
      </c>
      <c r="R294" s="17">
        <v>0</v>
      </c>
      <c r="S294" s="66">
        <v>622.79157517949841</v>
      </c>
      <c r="T294" s="19" t="s">
        <v>3245</v>
      </c>
      <c r="U294" s="21">
        <v>0.94299999999999995</v>
      </c>
      <c r="V294" s="86">
        <v>29.1</v>
      </c>
      <c r="W294" s="81" t="s">
        <v>700</v>
      </c>
      <c r="X294" s="16"/>
      <c r="Y294" s="16"/>
      <c r="Z294" s="16"/>
      <c r="AA294" s="16"/>
      <c r="AB294" s="16"/>
      <c r="AC294" s="16"/>
      <c r="AD294"/>
      <c r="AE294"/>
      <c r="AF294"/>
      <c r="AG294"/>
      <c r="AH294"/>
      <c r="AI294"/>
      <c r="AJ294"/>
    </row>
    <row r="295" spans="1:36" s="5" customFormat="1" ht="57">
      <c r="A295" s="17" t="s">
        <v>218</v>
      </c>
      <c r="B295" s="17" t="s">
        <v>389</v>
      </c>
      <c r="C295" s="18" t="s">
        <v>390</v>
      </c>
      <c r="D295" s="18" t="s">
        <v>151</v>
      </c>
      <c r="E295" s="17">
        <v>725</v>
      </c>
      <c r="F295" s="17" t="s">
        <v>778</v>
      </c>
      <c r="G295" s="19" t="s">
        <v>701</v>
      </c>
      <c r="H295" s="17" t="s">
        <v>702</v>
      </c>
      <c r="I295" s="17" t="s">
        <v>104</v>
      </c>
      <c r="J295" s="19" t="s">
        <v>105</v>
      </c>
      <c r="K295" s="19" t="s">
        <v>126</v>
      </c>
      <c r="L295" s="19" t="s">
        <v>127</v>
      </c>
      <c r="M295" s="17"/>
      <c r="N295" s="17"/>
      <c r="O295" s="17"/>
      <c r="P295" s="88">
        <v>4.4799999999999995</v>
      </c>
      <c r="Q295" s="88">
        <v>1.54</v>
      </c>
      <c r="R295" s="17">
        <v>0</v>
      </c>
      <c r="S295" s="66">
        <v>615.47319786690787</v>
      </c>
      <c r="T295" s="19" t="s">
        <v>3245</v>
      </c>
      <c r="U295" s="21">
        <v>0.94299999999999995</v>
      </c>
      <c r="V295" s="86">
        <v>29.1</v>
      </c>
      <c r="W295" s="81" t="s">
        <v>700</v>
      </c>
      <c r="X295" s="16"/>
      <c r="Y295" s="16"/>
      <c r="Z295" s="16"/>
      <c r="AA295" s="16"/>
      <c r="AB295" s="16"/>
      <c r="AC295" s="16"/>
      <c r="AD295"/>
      <c r="AE295"/>
      <c r="AF295"/>
      <c r="AG295"/>
      <c r="AH295"/>
      <c r="AI295"/>
      <c r="AJ295"/>
    </row>
    <row r="296" spans="1:36" s="5" customFormat="1" ht="57">
      <c r="A296" s="17" t="s">
        <v>218</v>
      </c>
      <c r="B296" s="17" t="s">
        <v>389</v>
      </c>
      <c r="C296" s="18" t="s">
        <v>390</v>
      </c>
      <c r="D296" s="18" t="s">
        <v>151</v>
      </c>
      <c r="E296" s="17">
        <v>725</v>
      </c>
      <c r="F296" s="17" t="s">
        <v>778</v>
      </c>
      <c r="G296" s="19" t="s">
        <v>701</v>
      </c>
      <c r="H296" s="17" t="s">
        <v>702</v>
      </c>
      <c r="I296" s="17" t="s">
        <v>104</v>
      </c>
      <c r="J296" s="19" t="s">
        <v>105</v>
      </c>
      <c r="K296" s="19" t="s">
        <v>126</v>
      </c>
      <c r="L296" s="19" t="s">
        <v>127</v>
      </c>
      <c r="M296" s="17"/>
      <c r="N296" s="17"/>
      <c r="O296" s="17"/>
      <c r="P296" s="88">
        <v>4.7249999999999996</v>
      </c>
      <c r="Q296" s="88">
        <v>1.393</v>
      </c>
      <c r="R296" s="17">
        <v>0</v>
      </c>
      <c r="S296" s="66">
        <v>570.17104287238487</v>
      </c>
      <c r="T296" s="19" t="s">
        <v>3245</v>
      </c>
      <c r="U296" s="21">
        <v>0.94299999999999995</v>
      </c>
      <c r="V296" s="86">
        <v>29.1</v>
      </c>
      <c r="W296" s="81" t="s">
        <v>700</v>
      </c>
      <c r="X296" s="16"/>
      <c r="Y296" s="16"/>
      <c r="Z296" s="16"/>
      <c r="AA296" s="16"/>
      <c r="AB296" s="16"/>
      <c r="AC296" s="16"/>
      <c r="AD296"/>
      <c r="AE296"/>
      <c r="AF296"/>
      <c r="AG296"/>
      <c r="AH296"/>
      <c r="AI296"/>
      <c r="AJ296"/>
    </row>
    <row r="297" spans="1:36" s="5" customFormat="1" ht="57">
      <c r="A297" s="17" t="s">
        <v>218</v>
      </c>
      <c r="B297" s="17" t="s">
        <v>389</v>
      </c>
      <c r="C297" s="18" t="s">
        <v>390</v>
      </c>
      <c r="D297" s="18" t="s">
        <v>151</v>
      </c>
      <c r="E297" s="17">
        <v>725</v>
      </c>
      <c r="F297" s="17" t="s">
        <v>778</v>
      </c>
      <c r="G297" s="19" t="s">
        <v>701</v>
      </c>
      <c r="H297" s="17" t="s">
        <v>702</v>
      </c>
      <c r="I297" s="17" t="s">
        <v>104</v>
      </c>
      <c r="J297" s="19" t="s">
        <v>105</v>
      </c>
      <c r="K297" s="19" t="s">
        <v>126</v>
      </c>
      <c r="L297" s="19" t="s">
        <v>127</v>
      </c>
      <c r="M297" s="17"/>
      <c r="N297" s="17"/>
      <c r="O297" s="17"/>
      <c r="P297" s="88">
        <v>4.7370000000000001</v>
      </c>
      <c r="Q297" s="88">
        <v>1.3640000000000001</v>
      </c>
      <c r="R297" s="17">
        <v>0</v>
      </c>
      <c r="S297" s="66">
        <v>553.2940936534892</v>
      </c>
      <c r="T297" s="19" t="s">
        <v>3245</v>
      </c>
      <c r="U297" s="21">
        <v>0.94299999999999995</v>
      </c>
      <c r="V297" s="86">
        <v>29.1</v>
      </c>
      <c r="W297" s="81" t="s">
        <v>700</v>
      </c>
      <c r="X297" s="16"/>
      <c r="Y297" s="16"/>
      <c r="Z297" s="16"/>
      <c r="AA297" s="16"/>
      <c r="AB297" s="16"/>
      <c r="AC297" s="16"/>
      <c r="AD297"/>
      <c r="AE297"/>
      <c r="AF297"/>
      <c r="AG297"/>
      <c r="AH297"/>
      <c r="AI297"/>
      <c r="AJ297"/>
    </row>
    <row r="298" spans="1:36" s="5" customFormat="1" ht="57">
      <c r="A298" s="17" t="s">
        <v>218</v>
      </c>
      <c r="B298" s="17" t="s">
        <v>389</v>
      </c>
      <c r="C298" s="18" t="s">
        <v>390</v>
      </c>
      <c r="D298" s="18" t="s">
        <v>151</v>
      </c>
      <c r="E298" s="17">
        <v>725</v>
      </c>
      <c r="F298" s="17" t="s">
        <v>778</v>
      </c>
      <c r="G298" s="19" t="s">
        <v>701</v>
      </c>
      <c r="H298" s="17" t="s">
        <v>702</v>
      </c>
      <c r="I298" s="17" t="s">
        <v>104</v>
      </c>
      <c r="J298" s="19" t="s">
        <v>105</v>
      </c>
      <c r="K298" s="19" t="s">
        <v>126</v>
      </c>
      <c r="L298" s="19" t="s">
        <v>127</v>
      </c>
      <c r="M298" s="17"/>
      <c r="N298" s="17"/>
      <c r="O298" s="17"/>
      <c r="P298" s="88">
        <v>4.5720000000000001</v>
      </c>
      <c r="Q298" s="88">
        <v>1.35</v>
      </c>
      <c r="R298" s="17">
        <v>0</v>
      </c>
      <c r="S298" s="66">
        <v>513.65857678052407</v>
      </c>
      <c r="T298" s="19" t="s">
        <v>3245</v>
      </c>
      <c r="U298" s="21">
        <v>0.94299999999999995</v>
      </c>
      <c r="V298" s="86">
        <v>29.1</v>
      </c>
      <c r="W298" s="81" t="s">
        <v>700</v>
      </c>
      <c r="X298" s="16"/>
      <c r="Y298" s="16"/>
      <c r="Z298" s="16"/>
      <c r="AA298" s="16"/>
      <c r="AB298" s="16"/>
      <c r="AC298" s="16"/>
      <c r="AD298"/>
      <c r="AE298"/>
      <c r="AF298"/>
      <c r="AG298"/>
      <c r="AH298"/>
      <c r="AI298"/>
      <c r="AJ298"/>
    </row>
    <row r="299" spans="1:36" s="5" customFormat="1" ht="76">
      <c r="A299" s="17" t="s">
        <v>218</v>
      </c>
      <c r="B299" s="17" t="s">
        <v>389</v>
      </c>
      <c r="C299" s="18" t="s">
        <v>390</v>
      </c>
      <c r="D299" s="18" t="s">
        <v>151</v>
      </c>
      <c r="E299" s="17">
        <v>725</v>
      </c>
      <c r="F299" s="17" t="s">
        <v>778</v>
      </c>
      <c r="G299" s="19" t="s">
        <v>701</v>
      </c>
      <c r="H299" s="17" t="s">
        <v>702</v>
      </c>
      <c r="I299" s="17" t="s">
        <v>104</v>
      </c>
      <c r="J299" s="19" t="s">
        <v>105</v>
      </c>
      <c r="K299" s="19" t="s">
        <v>174</v>
      </c>
      <c r="L299" s="19" t="s">
        <v>127</v>
      </c>
      <c r="M299" s="17"/>
      <c r="N299" s="17"/>
      <c r="O299" s="17"/>
      <c r="P299" s="88">
        <v>4.7159999999999993</v>
      </c>
      <c r="Q299" s="88">
        <v>1.8059999999999998</v>
      </c>
      <c r="R299" s="17">
        <v>0</v>
      </c>
      <c r="S299" s="66">
        <v>866.5496772821665</v>
      </c>
      <c r="T299" s="19" t="s">
        <v>3245</v>
      </c>
      <c r="U299" s="21">
        <v>0.94299999999999995</v>
      </c>
      <c r="V299" s="86">
        <v>29.1</v>
      </c>
      <c r="W299" s="81" t="s">
        <v>3297</v>
      </c>
      <c r="X299" s="16"/>
      <c r="Y299" s="16"/>
      <c r="Z299" s="16"/>
      <c r="AA299" s="16"/>
      <c r="AB299" s="16"/>
      <c r="AC299" s="16"/>
      <c r="AD299"/>
      <c r="AE299"/>
      <c r="AF299"/>
      <c r="AG299"/>
      <c r="AH299"/>
      <c r="AI299"/>
      <c r="AJ299"/>
    </row>
    <row r="300" spans="1:36" s="5" customFormat="1" ht="57">
      <c r="A300" s="17" t="s">
        <v>218</v>
      </c>
      <c r="B300" s="17" t="s">
        <v>389</v>
      </c>
      <c r="C300" s="18" t="s">
        <v>390</v>
      </c>
      <c r="D300" s="18" t="s">
        <v>151</v>
      </c>
      <c r="E300" s="17">
        <v>725</v>
      </c>
      <c r="F300" s="17" t="s">
        <v>753</v>
      </c>
      <c r="G300" s="19" t="s">
        <v>701</v>
      </c>
      <c r="H300" s="17" t="s">
        <v>702</v>
      </c>
      <c r="I300" s="17" t="s">
        <v>104</v>
      </c>
      <c r="J300" s="19" t="s">
        <v>105</v>
      </c>
      <c r="K300" s="19" t="s">
        <v>3292</v>
      </c>
      <c r="L300" s="19" t="s">
        <v>3293</v>
      </c>
      <c r="M300" s="17"/>
      <c r="N300" s="17"/>
      <c r="O300" s="17"/>
      <c r="P300" s="88">
        <v>4.17</v>
      </c>
      <c r="Q300" s="88">
        <v>1.583</v>
      </c>
      <c r="R300" s="17">
        <v>0</v>
      </c>
      <c r="S300" s="66">
        <v>1185.8736654697439</v>
      </c>
      <c r="T300" s="19" t="s">
        <v>3294</v>
      </c>
      <c r="U300" s="21" t="s">
        <v>3295</v>
      </c>
      <c r="V300" s="86" t="s">
        <v>3296</v>
      </c>
      <c r="W300" s="81" t="s">
        <v>700</v>
      </c>
      <c r="X300" s="16"/>
      <c r="Y300" s="16"/>
      <c r="Z300" s="16"/>
      <c r="AA300" s="16"/>
      <c r="AB300" s="16"/>
      <c r="AC300" s="16"/>
      <c r="AD300"/>
      <c r="AE300"/>
      <c r="AF300"/>
      <c r="AG300"/>
      <c r="AH300"/>
      <c r="AI300"/>
      <c r="AJ300"/>
    </row>
    <row r="301" spans="1:36" s="5" customFormat="1" ht="57">
      <c r="A301" s="17" t="s">
        <v>218</v>
      </c>
      <c r="B301" s="17" t="s">
        <v>389</v>
      </c>
      <c r="C301" s="18" t="s">
        <v>390</v>
      </c>
      <c r="D301" s="18" t="s">
        <v>151</v>
      </c>
      <c r="E301" s="17">
        <v>725</v>
      </c>
      <c r="F301" s="17" t="s">
        <v>753</v>
      </c>
      <c r="G301" s="19" t="s">
        <v>701</v>
      </c>
      <c r="H301" s="17" t="s">
        <v>702</v>
      </c>
      <c r="I301" s="17" t="s">
        <v>104</v>
      </c>
      <c r="J301" s="19" t="s">
        <v>105</v>
      </c>
      <c r="K301" s="19" t="s">
        <v>3292</v>
      </c>
      <c r="L301" s="19" t="s">
        <v>3293</v>
      </c>
      <c r="M301" s="17"/>
      <c r="N301" s="17"/>
      <c r="O301" s="17"/>
      <c r="P301" s="88">
        <v>3.3609999999999998</v>
      </c>
      <c r="Q301" s="88">
        <v>1.9469999999999998</v>
      </c>
      <c r="R301" s="17">
        <v>0</v>
      </c>
      <c r="S301" s="66">
        <v>1168.5765047541613</v>
      </c>
      <c r="T301" s="19" t="s">
        <v>3294</v>
      </c>
      <c r="U301" s="21" t="s">
        <v>3295</v>
      </c>
      <c r="V301" s="86" t="s">
        <v>3296</v>
      </c>
      <c r="W301" s="81" t="s">
        <v>700</v>
      </c>
      <c r="X301" s="16"/>
      <c r="Y301" s="16"/>
      <c r="Z301" s="16"/>
      <c r="AA301" s="16"/>
      <c r="AB301" s="16"/>
      <c r="AC301" s="16"/>
      <c r="AD301"/>
      <c r="AE301"/>
      <c r="AF301"/>
      <c r="AG301"/>
      <c r="AH301"/>
      <c r="AI301"/>
      <c r="AJ301"/>
    </row>
    <row r="302" spans="1:36" s="5" customFormat="1" ht="57">
      <c r="A302" s="17" t="s">
        <v>218</v>
      </c>
      <c r="B302" s="17" t="s">
        <v>389</v>
      </c>
      <c r="C302" s="18" t="s">
        <v>390</v>
      </c>
      <c r="D302" s="18" t="s">
        <v>151</v>
      </c>
      <c r="E302" s="17">
        <v>725</v>
      </c>
      <c r="F302" s="17" t="s">
        <v>753</v>
      </c>
      <c r="G302" s="19" t="s">
        <v>701</v>
      </c>
      <c r="H302" s="17" t="s">
        <v>702</v>
      </c>
      <c r="I302" s="17" t="s">
        <v>104</v>
      </c>
      <c r="J302" s="19" t="s">
        <v>105</v>
      </c>
      <c r="K302" s="19" t="s">
        <v>3292</v>
      </c>
      <c r="L302" s="19" t="s">
        <v>3293</v>
      </c>
      <c r="M302" s="17"/>
      <c r="N302" s="17"/>
      <c r="O302" s="17"/>
      <c r="P302" s="88">
        <v>3.1789999999999998</v>
      </c>
      <c r="Q302" s="88">
        <v>2</v>
      </c>
      <c r="R302" s="17">
        <v>0</v>
      </c>
      <c r="S302" s="66">
        <v>1113.1290436694212</v>
      </c>
      <c r="T302" s="19" t="s">
        <v>3294</v>
      </c>
      <c r="U302" s="21" t="s">
        <v>3295</v>
      </c>
      <c r="V302" s="86" t="s">
        <v>3296</v>
      </c>
      <c r="W302" s="81" t="s">
        <v>700</v>
      </c>
      <c r="X302" s="16"/>
      <c r="Y302" s="16"/>
      <c r="Z302" s="16"/>
      <c r="AA302" s="16"/>
      <c r="AB302" s="16"/>
      <c r="AC302" s="16"/>
      <c r="AD302"/>
      <c r="AE302"/>
      <c r="AF302"/>
      <c r="AG302"/>
      <c r="AH302"/>
      <c r="AI302"/>
      <c r="AJ302"/>
    </row>
    <row r="303" spans="1:36" s="5" customFormat="1" ht="57">
      <c r="A303" s="17" t="s">
        <v>218</v>
      </c>
      <c r="B303" s="17" t="s">
        <v>389</v>
      </c>
      <c r="C303" s="18" t="s">
        <v>390</v>
      </c>
      <c r="D303" s="18" t="s">
        <v>151</v>
      </c>
      <c r="E303" s="17">
        <v>725</v>
      </c>
      <c r="F303" s="17" t="s">
        <v>753</v>
      </c>
      <c r="G303" s="19" t="s">
        <v>701</v>
      </c>
      <c r="H303" s="17" t="s">
        <v>702</v>
      </c>
      <c r="I303" s="17" t="s">
        <v>104</v>
      </c>
      <c r="J303" s="19" t="s">
        <v>105</v>
      </c>
      <c r="K303" s="19" t="s">
        <v>3292</v>
      </c>
      <c r="L303" s="19" t="s">
        <v>3293</v>
      </c>
      <c r="M303" s="17"/>
      <c r="N303" s="17"/>
      <c r="O303" s="17"/>
      <c r="P303" s="88">
        <v>3.9799999999999995</v>
      </c>
      <c r="Q303" s="88">
        <v>1.59</v>
      </c>
      <c r="R303" s="17">
        <v>0</v>
      </c>
      <c r="S303" s="66">
        <v>1104.3414723062685</v>
      </c>
      <c r="T303" s="19" t="s">
        <v>3294</v>
      </c>
      <c r="U303" s="21" t="s">
        <v>3295</v>
      </c>
      <c r="V303" s="86" t="s">
        <v>3296</v>
      </c>
      <c r="W303" s="81" t="s">
        <v>700</v>
      </c>
      <c r="X303" s="16"/>
      <c r="Y303" s="16"/>
      <c r="Z303" s="16"/>
      <c r="AA303" s="16"/>
      <c r="AB303" s="16"/>
      <c r="AC303" s="16"/>
      <c r="AD303"/>
      <c r="AE303"/>
      <c r="AF303"/>
      <c r="AG303"/>
      <c r="AH303"/>
      <c r="AI303"/>
      <c r="AJ303"/>
    </row>
    <row r="304" spans="1:36" s="5" customFormat="1" ht="57">
      <c r="A304" s="17" t="s">
        <v>218</v>
      </c>
      <c r="B304" s="17" t="s">
        <v>389</v>
      </c>
      <c r="C304" s="18" t="s">
        <v>390</v>
      </c>
      <c r="D304" s="18" t="s">
        <v>151</v>
      </c>
      <c r="E304" s="17">
        <v>725</v>
      </c>
      <c r="F304" s="17" t="s">
        <v>753</v>
      </c>
      <c r="G304" s="19" t="s">
        <v>701</v>
      </c>
      <c r="H304" s="17" t="s">
        <v>702</v>
      </c>
      <c r="I304" s="17" t="s">
        <v>104</v>
      </c>
      <c r="J304" s="19" t="s">
        <v>105</v>
      </c>
      <c r="K304" s="19" t="s">
        <v>3292</v>
      </c>
      <c r="L304" s="19" t="s">
        <v>3293</v>
      </c>
      <c r="M304" s="17"/>
      <c r="N304" s="17"/>
      <c r="O304" s="17"/>
      <c r="P304" s="88">
        <v>4</v>
      </c>
      <c r="Q304" s="88">
        <v>1.58</v>
      </c>
      <c r="R304" s="17">
        <v>0</v>
      </c>
      <c r="S304" s="66">
        <v>1101.9283939750578</v>
      </c>
      <c r="T304" s="19" t="s">
        <v>3294</v>
      </c>
      <c r="U304" s="21" t="s">
        <v>3295</v>
      </c>
      <c r="V304" s="86" t="s">
        <v>3296</v>
      </c>
      <c r="W304" s="81" t="s">
        <v>700</v>
      </c>
      <c r="X304" s="16"/>
      <c r="Y304" s="16"/>
      <c r="Z304" s="16"/>
      <c r="AA304" s="16"/>
      <c r="AB304" s="16"/>
      <c r="AC304" s="16"/>
      <c r="AD304"/>
      <c r="AE304"/>
      <c r="AF304"/>
      <c r="AG304"/>
      <c r="AH304"/>
      <c r="AI304"/>
      <c r="AJ304"/>
    </row>
    <row r="305" spans="1:36" s="5" customFormat="1" ht="57">
      <c r="A305" s="17" t="s">
        <v>218</v>
      </c>
      <c r="B305" s="17" t="s">
        <v>389</v>
      </c>
      <c r="C305" s="18" t="s">
        <v>390</v>
      </c>
      <c r="D305" s="18" t="s">
        <v>151</v>
      </c>
      <c r="E305" s="17">
        <v>725</v>
      </c>
      <c r="F305" s="17" t="s">
        <v>753</v>
      </c>
      <c r="G305" s="19" t="s">
        <v>701</v>
      </c>
      <c r="H305" s="17" t="s">
        <v>702</v>
      </c>
      <c r="I305" s="17" t="s">
        <v>104</v>
      </c>
      <c r="J305" s="19" t="s">
        <v>105</v>
      </c>
      <c r="K305" s="19" t="s">
        <v>3292</v>
      </c>
      <c r="L305" s="19" t="s">
        <v>3293</v>
      </c>
      <c r="M305" s="17"/>
      <c r="N305" s="17"/>
      <c r="O305" s="17"/>
      <c r="P305" s="88">
        <v>3.9780000000000002</v>
      </c>
      <c r="Q305" s="88">
        <v>1.5880000000000001</v>
      </c>
      <c r="R305" s="17">
        <v>0</v>
      </c>
      <c r="S305" s="66">
        <v>1101.0649169239557</v>
      </c>
      <c r="T305" s="19" t="s">
        <v>3294</v>
      </c>
      <c r="U305" s="21" t="s">
        <v>3295</v>
      </c>
      <c r="V305" s="86" t="s">
        <v>3296</v>
      </c>
      <c r="W305" s="81" t="s">
        <v>700</v>
      </c>
      <c r="X305" s="16"/>
      <c r="Y305" s="16"/>
      <c r="Z305" s="16"/>
      <c r="AA305" s="16"/>
      <c r="AB305" s="16"/>
      <c r="AC305" s="16"/>
      <c r="AD305"/>
      <c r="AE305"/>
      <c r="AF305"/>
      <c r="AG305"/>
      <c r="AH305"/>
      <c r="AI305"/>
      <c r="AJ305"/>
    </row>
    <row r="306" spans="1:36" s="5" customFormat="1" ht="57">
      <c r="A306" s="17" t="s">
        <v>218</v>
      </c>
      <c r="B306" s="17" t="s">
        <v>389</v>
      </c>
      <c r="C306" s="18" t="s">
        <v>390</v>
      </c>
      <c r="D306" s="18" t="s">
        <v>151</v>
      </c>
      <c r="E306" s="17">
        <v>725</v>
      </c>
      <c r="F306" s="17" t="s">
        <v>753</v>
      </c>
      <c r="G306" s="19" t="s">
        <v>701</v>
      </c>
      <c r="H306" s="17" t="s">
        <v>702</v>
      </c>
      <c r="I306" s="17" t="s">
        <v>104</v>
      </c>
      <c r="J306" s="19" t="s">
        <v>105</v>
      </c>
      <c r="K306" s="19" t="s">
        <v>3292</v>
      </c>
      <c r="L306" s="19" t="s">
        <v>3293</v>
      </c>
      <c r="M306" s="17"/>
      <c r="N306" s="17"/>
      <c r="O306" s="17"/>
      <c r="P306" s="88">
        <v>4.0299999999999994</v>
      </c>
      <c r="Q306" s="88">
        <v>1.56</v>
      </c>
      <c r="R306" s="17">
        <v>0</v>
      </c>
      <c r="S306" s="66">
        <v>1092.1803544395389</v>
      </c>
      <c r="T306" s="19" t="s">
        <v>3294</v>
      </c>
      <c r="U306" s="21" t="s">
        <v>3295</v>
      </c>
      <c r="V306" s="86" t="s">
        <v>3296</v>
      </c>
      <c r="W306" s="81" t="s">
        <v>700</v>
      </c>
      <c r="X306" s="16"/>
      <c r="Y306" s="16"/>
      <c r="Z306" s="16"/>
      <c r="AA306" s="16"/>
      <c r="AB306" s="16"/>
      <c r="AC306" s="16"/>
      <c r="AD306"/>
      <c r="AE306"/>
      <c r="AF306"/>
      <c r="AG306"/>
      <c r="AH306"/>
      <c r="AI306"/>
      <c r="AJ306"/>
    </row>
    <row r="307" spans="1:36" s="5" customFormat="1" ht="57">
      <c r="A307" s="17" t="s">
        <v>218</v>
      </c>
      <c r="B307" s="17" t="s">
        <v>389</v>
      </c>
      <c r="C307" s="18" t="s">
        <v>390</v>
      </c>
      <c r="D307" s="18" t="s">
        <v>151</v>
      </c>
      <c r="E307" s="17">
        <v>725</v>
      </c>
      <c r="F307" s="17" t="s">
        <v>753</v>
      </c>
      <c r="G307" s="19" t="s">
        <v>701</v>
      </c>
      <c r="H307" s="17" t="s">
        <v>702</v>
      </c>
      <c r="I307" s="17" t="s">
        <v>104</v>
      </c>
      <c r="J307" s="19" t="s">
        <v>105</v>
      </c>
      <c r="K307" s="19" t="s">
        <v>3292</v>
      </c>
      <c r="L307" s="19" t="s">
        <v>3293</v>
      </c>
      <c r="M307" s="17"/>
      <c r="N307" s="17"/>
      <c r="O307" s="17"/>
      <c r="P307" s="88">
        <v>3.5149999999999997</v>
      </c>
      <c r="Q307" s="88">
        <v>1.7739999999999998</v>
      </c>
      <c r="R307" s="17">
        <v>0</v>
      </c>
      <c r="S307" s="66">
        <v>1077.2193731033985</v>
      </c>
      <c r="T307" s="19" t="s">
        <v>3294</v>
      </c>
      <c r="U307" s="21" t="s">
        <v>3295</v>
      </c>
      <c r="V307" s="86" t="s">
        <v>3296</v>
      </c>
      <c r="W307" s="81" t="s">
        <v>700</v>
      </c>
      <c r="X307" s="16"/>
      <c r="Y307" s="16"/>
      <c r="Z307" s="16"/>
      <c r="AA307" s="16"/>
      <c r="AB307" s="16"/>
      <c r="AC307" s="16"/>
      <c r="AD307"/>
      <c r="AE307"/>
      <c r="AF307"/>
      <c r="AG307"/>
      <c r="AH307"/>
      <c r="AI307"/>
      <c r="AJ307"/>
    </row>
    <row r="308" spans="1:36" s="5" customFormat="1" ht="57">
      <c r="A308" s="17" t="s">
        <v>218</v>
      </c>
      <c r="B308" s="17" t="s">
        <v>389</v>
      </c>
      <c r="C308" s="18" t="s">
        <v>390</v>
      </c>
      <c r="D308" s="18" t="s">
        <v>151</v>
      </c>
      <c r="E308" s="17">
        <v>725</v>
      </c>
      <c r="F308" s="17" t="s">
        <v>753</v>
      </c>
      <c r="G308" s="19" t="s">
        <v>701</v>
      </c>
      <c r="H308" s="17" t="s">
        <v>702</v>
      </c>
      <c r="I308" s="17" t="s">
        <v>104</v>
      </c>
      <c r="J308" s="19" t="s">
        <v>105</v>
      </c>
      <c r="K308" s="19" t="s">
        <v>3292</v>
      </c>
      <c r="L308" s="19" t="s">
        <v>3293</v>
      </c>
      <c r="M308" s="17"/>
      <c r="N308" s="17"/>
      <c r="O308" s="17"/>
      <c r="P308" s="88">
        <v>3.8840000000000003</v>
      </c>
      <c r="Q308" s="88">
        <v>1.6039999999999999</v>
      </c>
      <c r="R308" s="17">
        <v>0</v>
      </c>
      <c r="S308" s="66">
        <v>1075.5662450256793</v>
      </c>
      <c r="T308" s="19" t="s">
        <v>3294</v>
      </c>
      <c r="U308" s="21" t="s">
        <v>3295</v>
      </c>
      <c r="V308" s="86" t="s">
        <v>3296</v>
      </c>
      <c r="W308" s="81" t="s">
        <v>700</v>
      </c>
      <c r="X308" s="16"/>
      <c r="Y308" s="16"/>
      <c r="Z308" s="16"/>
      <c r="AA308" s="16"/>
      <c r="AB308" s="16"/>
      <c r="AC308" s="16"/>
      <c r="AD308"/>
      <c r="AE308"/>
      <c r="AF308"/>
      <c r="AG308"/>
      <c r="AH308"/>
      <c r="AI308"/>
      <c r="AJ308"/>
    </row>
    <row r="309" spans="1:36" s="5" customFormat="1" ht="57">
      <c r="A309" s="17" t="s">
        <v>218</v>
      </c>
      <c r="B309" s="17" t="s">
        <v>389</v>
      </c>
      <c r="C309" s="18" t="s">
        <v>390</v>
      </c>
      <c r="D309" s="18" t="s">
        <v>151</v>
      </c>
      <c r="E309" s="17">
        <v>725</v>
      </c>
      <c r="F309" s="17" t="s">
        <v>753</v>
      </c>
      <c r="G309" s="19" t="s">
        <v>701</v>
      </c>
      <c r="H309" s="17" t="s">
        <v>702</v>
      </c>
      <c r="I309" s="17" t="s">
        <v>104</v>
      </c>
      <c r="J309" s="19" t="s">
        <v>105</v>
      </c>
      <c r="K309" s="19" t="s">
        <v>3292</v>
      </c>
      <c r="L309" s="19" t="s">
        <v>3293</v>
      </c>
      <c r="M309" s="17"/>
      <c r="N309" s="17"/>
      <c r="O309" s="17"/>
      <c r="P309" s="88">
        <v>4.01</v>
      </c>
      <c r="Q309" s="88">
        <v>1.5470000000000002</v>
      </c>
      <c r="R309" s="17">
        <v>0</v>
      </c>
      <c r="S309" s="66">
        <v>1067.8690038431421</v>
      </c>
      <c r="T309" s="19" t="s">
        <v>3294</v>
      </c>
      <c r="U309" s="21" t="s">
        <v>3295</v>
      </c>
      <c r="V309" s="86" t="s">
        <v>3296</v>
      </c>
      <c r="W309" s="81" t="s">
        <v>700</v>
      </c>
      <c r="X309" s="16"/>
      <c r="Y309" s="16"/>
      <c r="Z309" s="16"/>
      <c r="AA309" s="16"/>
      <c r="AB309" s="16"/>
      <c r="AC309" s="16"/>
      <c r="AD309"/>
      <c r="AE309"/>
      <c r="AF309"/>
      <c r="AG309"/>
      <c r="AH309"/>
      <c r="AI309"/>
      <c r="AJ309"/>
    </row>
    <row r="310" spans="1:36" s="5" customFormat="1" ht="57">
      <c r="A310" s="17" t="s">
        <v>218</v>
      </c>
      <c r="B310" s="17" t="s">
        <v>389</v>
      </c>
      <c r="C310" s="18" t="s">
        <v>390</v>
      </c>
      <c r="D310" s="18" t="s">
        <v>151</v>
      </c>
      <c r="E310" s="17">
        <v>725</v>
      </c>
      <c r="F310" s="17" t="s">
        <v>753</v>
      </c>
      <c r="G310" s="19" t="s">
        <v>701</v>
      </c>
      <c r="H310" s="17" t="s">
        <v>702</v>
      </c>
      <c r="I310" s="17" t="s">
        <v>104</v>
      </c>
      <c r="J310" s="19" t="s">
        <v>105</v>
      </c>
      <c r="K310" s="19" t="s">
        <v>3292</v>
      </c>
      <c r="L310" s="19" t="s">
        <v>3293</v>
      </c>
      <c r="M310" s="17"/>
      <c r="N310" s="17"/>
      <c r="O310" s="17"/>
      <c r="P310" s="88">
        <v>3.9159999999999995</v>
      </c>
      <c r="Q310" s="88">
        <v>1.583</v>
      </c>
      <c r="R310" s="17">
        <v>0</v>
      </c>
      <c r="S310" s="66">
        <v>1066.5793215416406</v>
      </c>
      <c r="T310" s="19" t="s">
        <v>3294</v>
      </c>
      <c r="U310" s="21" t="s">
        <v>3295</v>
      </c>
      <c r="V310" s="86" t="s">
        <v>3296</v>
      </c>
      <c r="W310" s="81" t="s">
        <v>700</v>
      </c>
      <c r="X310" s="16"/>
      <c r="Y310" s="16"/>
      <c r="Z310" s="16"/>
      <c r="AA310" s="16"/>
      <c r="AB310" s="16"/>
      <c r="AC310" s="16"/>
      <c r="AD310"/>
      <c r="AE310"/>
      <c r="AF310"/>
      <c r="AG310"/>
      <c r="AH310"/>
      <c r="AI310"/>
      <c r="AJ310"/>
    </row>
    <row r="311" spans="1:36" s="5" customFormat="1" ht="57">
      <c r="A311" s="17" t="s">
        <v>218</v>
      </c>
      <c r="B311" s="17" t="s">
        <v>389</v>
      </c>
      <c r="C311" s="18" t="s">
        <v>390</v>
      </c>
      <c r="D311" s="18" t="s">
        <v>151</v>
      </c>
      <c r="E311" s="17">
        <v>725</v>
      </c>
      <c r="F311" s="17" t="s">
        <v>753</v>
      </c>
      <c r="G311" s="19" t="s">
        <v>701</v>
      </c>
      <c r="H311" s="17" t="s">
        <v>702</v>
      </c>
      <c r="I311" s="17" t="s">
        <v>104</v>
      </c>
      <c r="J311" s="19" t="s">
        <v>105</v>
      </c>
      <c r="K311" s="19" t="s">
        <v>3292</v>
      </c>
      <c r="L311" s="19" t="s">
        <v>3293</v>
      </c>
      <c r="M311" s="17"/>
      <c r="N311" s="17"/>
      <c r="O311" s="17"/>
      <c r="P311" s="88">
        <v>3.4990000000000001</v>
      </c>
      <c r="Q311" s="88">
        <v>1.7609999999999999</v>
      </c>
      <c r="R311" s="17">
        <v>0</v>
      </c>
      <c r="S311" s="66">
        <v>1055.777944837876</v>
      </c>
      <c r="T311" s="19" t="s">
        <v>3294</v>
      </c>
      <c r="U311" s="21" t="s">
        <v>3295</v>
      </c>
      <c r="V311" s="86" t="s">
        <v>3296</v>
      </c>
      <c r="W311" s="81" t="s">
        <v>700</v>
      </c>
      <c r="X311" s="16"/>
      <c r="Y311" s="16"/>
      <c r="Z311" s="16"/>
      <c r="AA311" s="16"/>
      <c r="AB311" s="16"/>
      <c r="AC311" s="16"/>
      <c r="AD311"/>
      <c r="AE311"/>
      <c r="AF311"/>
      <c r="AG311"/>
      <c r="AH311"/>
      <c r="AI311"/>
      <c r="AJ311"/>
    </row>
    <row r="312" spans="1:36" s="5" customFormat="1" ht="57">
      <c r="A312" s="17" t="s">
        <v>218</v>
      </c>
      <c r="B312" s="17" t="s">
        <v>389</v>
      </c>
      <c r="C312" s="18" t="s">
        <v>390</v>
      </c>
      <c r="D312" s="18" t="s">
        <v>151</v>
      </c>
      <c r="E312" s="17">
        <v>725</v>
      </c>
      <c r="F312" s="17" t="s">
        <v>753</v>
      </c>
      <c r="G312" s="19" t="s">
        <v>701</v>
      </c>
      <c r="H312" s="17" t="s">
        <v>702</v>
      </c>
      <c r="I312" s="17" t="s">
        <v>104</v>
      </c>
      <c r="J312" s="19" t="s">
        <v>105</v>
      </c>
      <c r="K312" s="19" t="s">
        <v>3292</v>
      </c>
      <c r="L312" s="19" t="s">
        <v>3293</v>
      </c>
      <c r="M312" s="17"/>
      <c r="N312" s="17"/>
      <c r="O312" s="17"/>
      <c r="P312" s="88">
        <v>4.0220000000000002</v>
      </c>
      <c r="Q312" s="88">
        <v>1.5249999999999999</v>
      </c>
      <c r="R312" s="17">
        <v>0</v>
      </c>
      <c r="S312" s="66">
        <v>1047.6422753799716</v>
      </c>
      <c r="T312" s="19" t="s">
        <v>3294</v>
      </c>
      <c r="U312" s="21" t="s">
        <v>3295</v>
      </c>
      <c r="V312" s="86" t="s">
        <v>3296</v>
      </c>
      <c r="W312" s="81" t="s">
        <v>700</v>
      </c>
      <c r="X312" s="16"/>
      <c r="Y312" s="16"/>
      <c r="Z312" s="16"/>
      <c r="AA312" s="16"/>
      <c r="AB312" s="16"/>
      <c r="AC312" s="16"/>
      <c r="AD312"/>
      <c r="AE312"/>
      <c r="AF312"/>
      <c r="AG312"/>
      <c r="AH312"/>
      <c r="AI312"/>
      <c r="AJ312"/>
    </row>
    <row r="313" spans="1:36" s="5" customFormat="1" ht="57">
      <c r="A313" s="17" t="s">
        <v>218</v>
      </c>
      <c r="B313" s="17" t="s">
        <v>389</v>
      </c>
      <c r="C313" s="18" t="s">
        <v>390</v>
      </c>
      <c r="D313" s="18" t="s">
        <v>151</v>
      </c>
      <c r="E313" s="17">
        <v>725</v>
      </c>
      <c r="F313" s="17" t="s">
        <v>753</v>
      </c>
      <c r="G313" s="19" t="s">
        <v>701</v>
      </c>
      <c r="H313" s="17" t="s">
        <v>702</v>
      </c>
      <c r="I313" s="17" t="s">
        <v>104</v>
      </c>
      <c r="J313" s="19" t="s">
        <v>105</v>
      </c>
      <c r="K313" s="19" t="s">
        <v>3292</v>
      </c>
      <c r="L313" s="19" t="s">
        <v>3293</v>
      </c>
      <c r="M313" s="17"/>
      <c r="N313" s="17"/>
      <c r="O313" s="17"/>
      <c r="P313" s="88">
        <v>3.593</v>
      </c>
      <c r="Q313" s="88">
        <v>1.6809999999999998</v>
      </c>
      <c r="R313" s="17">
        <v>0</v>
      </c>
      <c r="S313" s="66">
        <v>1020.7790612657291</v>
      </c>
      <c r="T313" s="19" t="s">
        <v>3294</v>
      </c>
      <c r="U313" s="21" t="s">
        <v>3295</v>
      </c>
      <c r="V313" s="86" t="s">
        <v>3296</v>
      </c>
      <c r="W313" s="81" t="s">
        <v>700</v>
      </c>
      <c r="X313" s="16"/>
      <c r="Y313" s="16"/>
      <c r="Z313" s="16"/>
      <c r="AA313" s="16"/>
      <c r="AB313" s="16"/>
      <c r="AC313" s="16"/>
      <c r="AD313"/>
      <c r="AE313"/>
      <c r="AF313"/>
      <c r="AG313"/>
      <c r="AH313"/>
      <c r="AI313"/>
      <c r="AJ313"/>
    </row>
    <row r="314" spans="1:36" s="5" customFormat="1" ht="57">
      <c r="A314" s="17" t="s">
        <v>218</v>
      </c>
      <c r="B314" s="17" t="s">
        <v>389</v>
      </c>
      <c r="C314" s="18" t="s">
        <v>390</v>
      </c>
      <c r="D314" s="18" t="s">
        <v>151</v>
      </c>
      <c r="E314" s="17">
        <v>725</v>
      </c>
      <c r="F314" s="17" t="s">
        <v>753</v>
      </c>
      <c r="G314" s="19" t="s">
        <v>701</v>
      </c>
      <c r="H314" s="17" t="s">
        <v>702</v>
      </c>
      <c r="I314" s="17" t="s">
        <v>104</v>
      </c>
      <c r="J314" s="19" t="s">
        <v>105</v>
      </c>
      <c r="K314" s="19" t="s">
        <v>3292</v>
      </c>
      <c r="L314" s="19" t="s">
        <v>3293</v>
      </c>
      <c r="M314" s="17"/>
      <c r="N314" s="17"/>
      <c r="O314" s="17"/>
      <c r="P314" s="88">
        <v>3.5310000000000001</v>
      </c>
      <c r="Q314" s="88">
        <v>1.7070000000000001</v>
      </c>
      <c r="R314" s="17">
        <v>0</v>
      </c>
      <c r="S314" s="66">
        <v>1017.2414560842271</v>
      </c>
      <c r="T314" s="19" t="s">
        <v>3294</v>
      </c>
      <c r="U314" s="21" t="s">
        <v>3295</v>
      </c>
      <c r="V314" s="86" t="s">
        <v>3296</v>
      </c>
      <c r="W314" s="81" t="s">
        <v>700</v>
      </c>
      <c r="X314" s="16"/>
      <c r="Y314" s="16"/>
      <c r="Z314" s="16"/>
      <c r="AA314" s="16"/>
      <c r="AB314" s="16"/>
      <c r="AC314" s="16"/>
      <c r="AD314"/>
      <c r="AE314"/>
      <c r="AF314"/>
      <c r="AG314"/>
      <c r="AH314"/>
      <c r="AI314"/>
      <c r="AJ314"/>
    </row>
    <row r="315" spans="1:36" s="5" customFormat="1" ht="57">
      <c r="A315" s="17" t="s">
        <v>218</v>
      </c>
      <c r="B315" s="17" t="s">
        <v>389</v>
      </c>
      <c r="C315" s="18" t="s">
        <v>390</v>
      </c>
      <c r="D315" s="18" t="s">
        <v>151</v>
      </c>
      <c r="E315" s="17">
        <v>725</v>
      </c>
      <c r="F315" s="17" t="s">
        <v>753</v>
      </c>
      <c r="G315" s="19" t="s">
        <v>701</v>
      </c>
      <c r="H315" s="17" t="s">
        <v>702</v>
      </c>
      <c r="I315" s="17" t="s">
        <v>104</v>
      </c>
      <c r="J315" s="19" t="s">
        <v>105</v>
      </c>
      <c r="K315" s="19" t="s">
        <v>3292</v>
      </c>
      <c r="L315" s="19" t="s">
        <v>3293</v>
      </c>
      <c r="M315" s="17"/>
      <c r="N315" s="17"/>
      <c r="O315" s="17"/>
      <c r="P315" s="88">
        <v>4</v>
      </c>
      <c r="Q315" s="88">
        <v>1.498</v>
      </c>
      <c r="R315" s="17">
        <v>0</v>
      </c>
      <c r="S315" s="66">
        <v>1007.1778365778237</v>
      </c>
      <c r="T315" s="19" t="s">
        <v>3294</v>
      </c>
      <c r="U315" s="21" t="s">
        <v>3295</v>
      </c>
      <c r="V315" s="86" t="s">
        <v>3296</v>
      </c>
      <c r="W315" s="81" t="s">
        <v>700</v>
      </c>
      <c r="X315" s="16"/>
      <c r="Y315" s="16"/>
      <c r="Z315" s="16"/>
      <c r="AA315" s="16"/>
      <c r="AB315" s="16"/>
      <c r="AC315" s="16"/>
      <c r="AD315"/>
      <c r="AE315"/>
      <c r="AF315"/>
      <c r="AG315"/>
      <c r="AH315"/>
      <c r="AI315"/>
      <c r="AJ315"/>
    </row>
    <row r="316" spans="1:36" s="5" customFormat="1" ht="57">
      <c r="A316" s="17" t="s">
        <v>218</v>
      </c>
      <c r="B316" s="17" t="s">
        <v>389</v>
      </c>
      <c r="C316" s="18" t="s">
        <v>390</v>
      </c>
      <c r="D316" s="18" t="s">
        <v>151</v>
      </c>
      <c r="E316" s="17">
        <v>725</v>
      </c>
      <c r="F316" s="17" t="s">
        <v>753</v>
      </c>
      <c r="G316" s="19" t="s">
        <v>701</v>
      </c>
      <c r="H316" s="17" t="s">
        <v>702</v>
      </c>
      <c r="I316" s="17" t="s">
        <v>104</v>
      </c>
      <c r="J316" s="19" t="s">
        <v>105</v>
      </c>
      <c r="K316" s="19" t="s">
        <v>3292</v>
      </c>
      <c r="L316" s="19" t="s">
        <v>3293</v>
      </c>
      <c r="M316" s="17"/>
      <c r="N316" s="17"/>
      <c r="O316" s="17"/>
      <c r="P316" s="88">
        <v>3.9200000000000004</v>
      </c>
      <c r="Q316" s="88">
        <v>1.5269999999999999</v>
      </c>
      <c r="R316" s="17">
        <v>0</v>
      </c>
      <c r="S316" s="66">
        <v>1005.4316552582598</v>
      </c>
      <c r="T316" s="19" t="s">
        <v>3294</v>
      </c>
      <c r="U316" s="21" t="s">
        <v>3295</v>
      </c>
      <c r="V316" s="86" t="s">
        <v>3296</v>
      </c>
      <c r="W316" s="81" t="s">
        <v>700</v>
      </c>
      <c r="X316" s="16"/>
      <c r="Y316" s="16"/>
      <c r="Z316" s="16"/>
      <c r="AA316" s="16"/>
      <c r="AB316" s="16"/>
      <c r="AC316" s="16"/>
      <c r="AD316"/>
      <c r="AE316"/>
      <c r="AF316"/>
      <c r="AG316"/>
      <c r="AH316"/>
      <c r="AI316"/>
      <c r="AJ316"/>
    </row>
    <row r="317" spans="1:36" s="5" customFormat="1" ht="57">
      <c r="A317" s="17" t="s">
        <v>218</v>
      </c>
      <c r="B317" s="17" t="s">
        <v>389</v>
      </c>
      <c r="C317" s="18" t="s">
        <v>390</v>
      </c>
      <c r="D317" s="18" t="s">
        <v>151</v>
      </c>
      <c r="E317" s="17">
        <v>725</v>
      </c>
      <c r="F317" s="17" t="s">
        <v>753</v>
      </c>
      <c r="G317" s="19" t="s">
        <v>701</v>
      </c>
      <c r="H317" s="17" t="s">
        <v>702</v>
      </c>
      <c r="I317" s="17" t="s">
        <v>104</v>
      </c>
      <c r="J317" s="19" t="s">
        <v>105</v>
      </c>
      <c r="K317" s="19" t="s">
        <v>3292</v>
      </c>
      <c r="L317" s="19" t="s">
        <v>3293</v>
      </c>
      <c r="M317" s="17"/>
      <c r="N317" s="17"/>
      <c r="O317" s="17"/>
      <c r="P317" s="88">
        <v>3.2869999999999999</v>
      </c>
      <c r="Q317" s="88">
        <v>1.8190000000000002</v>
      </c>
      <c r="R317" s="17">
        <v>0</v>
      </c>
      <c r="S317" s="66">
        <v>1003.5091666570181</v>
      </c>
      <c r="T317" s="19" t="s">
        <v>3294</v>
      </c>
      <c r="U317" s="21" t="s">
        <v>3295</v>
      </c>
      <c r="V317" s="86" t="s">
        <v>3296</v>
      </c>
      <c r="W317" s="81" t="s">
        <v>700</v>
      </c>
      <c r="X317" s="16"/>
      <c r="Y317" s="16"/>
      <c r="Z317" s="16"/>
      <c r="AA317" s="16"/>
      <c r="AB317" s="16"/>
      <c r="AC317" s="16"/>
      <c r="AD317"/>
      <c r="AE317"/>
      <c r="AF317"/>
      <c r="AG317"/>
      <c r="AH317"/>
      <c r="AI317"/>
      <c r="AJ317"/>
    </row>
    <row r="318" spans="1:36" s="5" customFormat="1" ht="57">
      <c r="A318" s="17" t="s">
        <v>218</v>
      </c>
      <c r="B318" s="17" t="s">
        <v>389</v>
      </c>
      <c r="C318" s="18" t="s">
        <v>390</v>
      </c>
      <c r="D318" s="18" t="s">
        <v>151</v>
      </c>
      <c r="E318" s="17">
        <v>725</v>
      </c>
      <c r="F318" s="17" t="s">
        <v>753</v>
      </c>
      <c r="G318" s="19" t="s">
        <v>701</v>
      </c>
      <c r="H318" s="17" t="s">
        <v>702</v>
      </c>
      <c r="I318" s="17" t="s">
        <v>104</v>
      </c>
      <c r="J318" s="19" t="s">
        <v>105</v>
      </c>
      <c r="K318" s="19" t="s">
        <v>3292</v>
      </c>
      <c r="L318" s="19" t="s">
        <v>3293</v>
      </c>
      <c r="M318" s="17"/>
      <c r="N318" s="17"/>
      <c r="O318" s="17"/>
      <c r="P318" s="88">
        <v>3.28</v>
      </c>
      <c r="Q318" s="88">
        <v>1.8190000000000002</v>
      </c>
      <c r="R318" s="17">
        <v>0</v>
      </c>
      <c r="S318" s="66">
        <v>999.9064553782091</v>
      </c>
      <c r="T318" s="19" t="s">
        <v>3294</v>
      </c>
      <c r="U318" s="21" t="s">
        <v>3295</v>
      </c>
      <c r="V318" s="86" t="s">
        <v>3296</v>
      </c>
      <c r="W318" s="81" t="s">
        <v>700</v>
      </c>
      <c r="X318" s="16"/>
      <c r="Y318" s="16"/>
      <c r="Z318" s="16"/>
      <c r="AA318" s="16"/>
      <c r="AB318" s="16"/>
      <c r="AC318" s="16"/>
      <c r="AD318"/>
      <c r="AE318"/>
      <c r="AF318"/>
      <c r="AG318"/>
      <c r="AH318"/>
      <c r="AI318"/>
      <c r="AJ318"/>
    </row>
    <row r="319" spans="1:36" s="5" customFormat="1" ht="57">
      <c r="A319" s="17" t="s">
        <v>218</v>
      </c>
      <c r="B319" s="17" t="s">
        <v>389</v>
      </c>
      <c r="C319" s="18" t="s">
        <v>390</v>
      </c>
      <c r="D319" s="18" t="s">
        <v>151</v>
      </c>
      <c r="E319" s="17">
        <v>725</v>
      </c>
      <c r="F319" s="17" t="s">
        <v>753</v>
      </c>
      <c r="G319" s="19" t="s">
        <v>701</v>
      </c>
      <c r="H319" s="17" t="s">
        <v>702</v>
      </c>
      <c r="I319" s="17" t="s">
        <v>104</v>
      </c>
      <c r="J319" s="19" t="s">
        <v>105</v>
      </c>
      <c r="K319" s="19" t="s">
        <v>3292</v>
      </c>
      <c r="L319" s="19" t="s">
        <v>3293</v>
      </c>
      <c r="M319" s="17"/>
      <c r="N319" s="17"/>
      <c r="O319" s="17"/>
      <c r="P319" s="88">
        <v>3.2659999999999996</v>
      </c>
      <c r="Q319" s="88">
        <v>1.8219999999999998</v>
      </c>
      <c r="R319" s="17">
        <v>0</v>
      </c>
      <c r="S319" s="66">
        <v>995.48055125864391</v>
      </c>
      <c r="T319" s="19" t="s">
        <v>3294</v>
      </c>
      <c r="U319" s="21" t="s">
        <v>3295</v>
      </c>
      <c r="V319" s="86" t="s">
        <v>3296</v>
      </c>
      <c r="W319" s="81" t="s">
        <v>700</v>
      </c>
      <c r="X319" s="16"/>
      <c r="Y319" s="16"/>
      <c r="Z319" s="16"/>
      <c r="AA319" s="16"/>
      <c r="AB319" s="16"/>
      <c r="AC319" s="16"/>
      <c r="AD319"/>
      <c r="AE319"/>
      <c r="AF319"/>
      <c r="AG319"/>
      <c r="AH319"/>
      <c r="AI319"/>
      <c r="AJ319"/>
    </row>
    <row r="320" spans="1:36" s="5" customFormat="1" ht="57">
      <c r="A320" s="17" t="s">
        <v>218</v>
      </c>
      <c r="B320" s="17" t="s">
        <v>389</v>
      </c>
      <c r="C320" s="18" t="s">
        <v>390</v>
      </c>
      <c r="D320" s="18" t="s">
        <v>151</v>
      </c>
      <c r="E320" s="17">
        <v>725</v>
      </c>
      <c r="F320" s="17" t="s">
        <v>753</v>
      </c>
      <c r="G320" s="19" t="s">
        <v>701</v>
      </c>
      <c r="H320" s="17" t="s">
        <v>702</v>
      </c>
      <c r="I320" s="17" t="s">
        <v>104</v>
      </c>
      <c r="J320" s="19" t="s">
        <v>105</v>
      </c>
      <c r="K320" s="19" t="s">
        <v>3292</v>
      </c>
      <c r="L320" s="19" t="s">
        <v>3293</v>
      </c>
      <c r="M320" s="17"/>
      <c r="N320" s="17"/>
      <c r="O320" s="17"/>
      <c r="P320" s="88">
        <v>3.4</v>
      </c>
      <c r="Q320" s="88">
        <v>1.75</v>
      </c>
      <c r="R320" s="17">
        <v>0</v>
      </c>
      <c r="S320" s="66">
        <v>995.29654730583081</v>
      </c>
      <c r="T320" s="19" t="s">
        <v>3294</v>
      </c>
      <c r="U320" s="21" t="s">
        <v>3295</v>
      </c>
      <c r="V320" s="86" t="s">
        <v>3296</v>
      </c>
      <c r="W320" s="81" t="s">
        <v>700</v>
      </c>
      <c r="X320" s="16"/>
      <c r="Y320" s="16"/>
      <c r="Z320" s="16"/>
      <c r="AA320" s="16"/>
      <c r="AB320" s="16"/>
      <c r="AC320" s="16"/>
      <c r="AD320"/>
      <c r="AE320"/>
      <c r="AF320"/>
      <c r="AG320"/>
      <c r="AH320"/>
      <c r="AI320"/>
      <c r="AJ320"/>
    </row>
    <row r="321" spans="1:36" s="5" customFormat="1" ht="57">
      <c r="A321" s="17" t="s">
        <v>218</v>
      </c>
      <c r="B321" s="17" t="s">
        <v>389</v>
      </c>
      <c r="C321" s="18" t="s">
        <v>390</v>
      </c>
      <c r="D321" s="18" t="s">
        <v>151</v>
      </c>
      <c r="E321" s="17">
        <v>725</v>
      </c>
      <c r="F321" s="17" t="s">
        <v>753</v>
      </c>
      <c r="G321" s="19" t="s">
        <v>701</v>
      </c>
      <c r="H321" s="17" t="s">
        <v>702</v>
      </c>
      <c r="I321" s="17" t="s">
        <v>104</v>
      </c>
      <c r="J321" s="19" t="s">
        <v>105</v>
      </c>
      <c r="K321" s="19" t="s">
        <v>3292</v>
      </c>
      <c r="L321" s="19" t="s">
        <v>3293</v>
      </c>
      <c r="M321" s="17"/>
      <c r="N321" s="17"/>
      <c r="O321" s="17"/>
      <c r="P321" s="88">
        <v>3.5740000000000003</v>
      </c>
      <c r="Q321" s="88">
        <v>1.655</v>
      </c>
      <c r="R321" s="17">
        <v>0</v>
      </c>
      <c r="S321" s="66">
        <v>985.43094587829148</v>
      </c>
      <c r="T321" s="19" t="s">
        <v>3294</v>
      </c>
      <c r="U321" s="21" t="s">
        <v>3295</v>
      </c>
      <c r="V321" s="86" t="s">
        <v>3296</v>
      </c>
      <c r="W321" s="81" t="s">
        <v>700</v>
      </c>
      <c r="X321" s="16"/>
      <c r="Y321" s="16"/>
      <c r="Z321" s="16"/>
      <c r="AA321" s="16"/>
      <c r="AB321" s="16"/>
      <c r="AC321" s="16"/>
      <c r="AD321"/>
      <c r="AE321"/>
      <c r="AF321"/>
      <c r="AG321"/>
      <c r="AH321"/>
      <c r="AI321"/>
      <c r="AJ321"/>
    </row>
    <row r="322" spans="1:36" s="5" customFormat="1" ht="57">
      <c r="A322" s="17" t="s">
        <v>218</v>
      </c>
      <c r="B322" s="17" t="s">
        <v>389</v>
      </c>
      <c r="C322" s="18" t="s">
        <v>390</v>
      </c>
      <c r="D322" s="18" t="s">
        <v>151</v>
      </c>
      <c r="E322" s="17">
        <v>725</v>
      </c>
      <c r="F322" s="17" t="s">
        <v>753</v>
      </c>
      <c r="G322" s="19" t="s">
        <v>701</v>
      </c>
      <c r="H322" s="17" t="s">
        <v>702</v>
      </c>
      <c r="I322" s="17" t="s">
        <v>104</v>
      </c>
      <c r="J322" s="19" t="s">
        <v>105</v>
      </c>
      <c r="K322" s="19" t="s">
        <v>3292</v>
      </c>
      <c r="L322" s="19" t="s">
        <v>3293</v>
      </c>
      <c r="M322" s="17"/>
      <c r="N322" s="17"/>
      <c r="O322" s="17"/>
      <c r="P322" s="88">
        <v>3.7130000000000001</v>
      </c>
      <c r="Q322" s="88">
        <v>1.5779999999999998</v>
      </c>
      <c r="R322" s="17">
        <v>0</v>
      </c>
      <c r="S322" s="66">
        <v>969.78295357215029</v>
      </c>
      <c r="T322" s="19" t="s">
        <v>3294</v>
      </c>
      <c r="U322" s="21" t="s">
        <v>3295</v>
      </c>
      <c r="V322" s="86" t="s">
        <v>3296</v>
      </c>
      <c r="W322" s="81" t="s">
        <v>700</v>
      </c>
      <c r="X322" s="16"/>
      <c r="Y322" s="16"/>
      <c r="Z322" s="16"/>
      <c r="AA322" s="16"/>
      <c r="AB322" s="16"/>
      <c r="AC322" s="16"/>
      <c r="AD322"/>
      <c r="AE322"/>
      <c r="AF322"/>
      <c r="AG322"/>
      <c r="AH322"/>
      <c r="AI322"/>
      <c r="AJ322"/>
    </row>
    <row r="323" spans="1:36" s="5" customFormat="1" ht="57">
      <c r="A323" s="17" t="s">
        <v>218</v>
      </c>
      <c r="B323" s="17" t="s">
        <v>389</v>
      </c>
      <c r="C323" s="18" t="s">
        <v>390</v>
      </c>
      <c r="D323" s="18" t="s">
        <v>151</v>
      </c>
      <c r="E323" s="17">
        <v>725</v>
      </c>
      <c r="F323" s="17" t="s">
        <v>753</v>
      </c>
      <c r="G323" s="19" t="s">
        <v>701</v>
      </c>
      <c r="H323" s="17" t="s">
        <v>702</v>
      </c>
      <c r="I323" s="17" t="s">
        <v>104</v>
      </c>
      <c r="J323" s="19" t="s">
        <v>105</v>
      </c>
      <c r="K323" s="19" t="s">
        <v>3292</v>
      </c>
      <c r="L323" s="19" t="s">
        <v>3293</v>
      </c>
      <c r="M323" s="17"/>
      <c r="N323" s="17"/>
      <c r="O323" s="17"/>
      <c r="P323" s="88">
        <v>3.9790000000000001</v>
      </c>
      <c r="Q323" s="88">
        <v>1.47</v>
      </c>
      <c r="R323" s="17">
        <v>0</v>
      </c>
      <c r="S323" s="66">
        <v>966.99670101426705</v>
      </c>
      <c r="T323" s="19" t="s">
        <v>3294</v>
      </c>
      <c r="U323" s="21" t="s">
        <v>3295</v>
      </c>
      <c r="V323" s="86" t="s">
        <v>3296</v>
      </c>
      <c r="W323" s="81" t="s">
        <v>700</v>
      </c>
      <c r="X323" s="16"/>
      <c r="Y323" s="16"/>
      <c r="Z323" s="16"/>
      <c r="AA323" s="16"/>
      <c r="AB323" s="16"/>
      <c r="AC323" s="16"/>
      <c r="AD323"/>
      <c r="AE323"/>
      <c r="AF323"/>
      <c r="AG323"/>
      <c r="AH323"/>
      <c r="AI323"/>
      <c r="AJ323"/>
    </row>
    <row r="324" spans="1:36" s="5" customFormat="1" ht="57">
      <c r="A324" s="17" t="s">
        <v>218</v>
      </c>
      <c r="B324" s="17" t="s">
        <v>389</v>
      </c>
      <c r="C324" s="18" t="s">
        <v>390</v>
      </c>
      <c r="D324" s="18" t="s">
        <v>151</v>
      </c>
      <c r="E324" s="17">
        <v>725</v>
      </c>
      <c r="F324" s="17" t="s">
        <v>753</v>
      </c>
      <c r="G324" s="19" t="s">
        <v>701</v>
      </c>
      <c r="H324" s="17" t="s">
        <v>702</v>
      </c>
      <c r="I324" s="17" t="s">
        <v>104</v>
      </c>
      <c r="J324" s="19" t="s">
        <v>105</v>
      </c>
      <c r="K324" s="19" t="s">
        <v>3292</v>
      </c>
      <c r="L324" s="19" t="s">
        <v>3293</v>
      </c>
      <c r="M324" s="17"/>
      <c r="N324" s="17"/>
      <c r="O324" s="17"/>
      <c r="P324" s="88">
        <v>3.95</v>
      </c>
      <c r="Q324" s="88">
        <v>1.48</v>
      </c>
      <c r="R324" s="17">
        <v>0</v>
      </c>
      <c r="S324" s="66">
        <v>966.12387866181962</v>
      </c>
      <c r="T324" s="19" t="s">
        <v>3294</v>
      </c>
      <c r="U324" s="21" t="s">
        <v>3295</v>
      </c>
      <c r="V324" s="86" t="s">
        <v>3296</v>
      </c>
      <c r="W324" s="81" t="s">
        <v>700</v>
      </c>
      <c r="X324" s="16"/>
      <c r="Y324" s="16"/>
      <c r="Z324" s="16"/>
      <c r="AA324" s="16"/>
      <c r="AB324" s="16"/>
      <c r="AC324" s="16"/>
      <c r="AD324"/>
      <c r="AE324"/>
      <c r="AF324"/>
      <c r="AG324"/>
      <c r="AH324"/>
      <c r="AI324"/>
      <c r="AJ324"/>
    </row>
    <row r="325" spans="1:36" s="5" customFormat="1" ht="57">
      <c r="A325" s="17" t="s">
        <v>218</v>
      </c>
      <c r="B325" s="17" t="s">
        <v>389</v>
      </c>
      <c r="C325" s="18" t="s">
        <v>390</v>
      </c>
      <c r="D325" s="18" t="s">
        <v>151</v>
      </c>
      <c r="E325" s="17">
        <v>725</v>
      </c>
      <c r="F325" s="17" t="s">
        <v>753</v>
      </c>
      <c r="G325" s="19" t="s">
        <v>701</v>
      </c>
      <c r="H325" s="17" t="s">
        <v>702</v>
      </c>
      <c r="I325" s="17" t="s">
        <v>104</v>
      </c>
      <c r="J325" s="19" t="s">
        <v>105</v>
      </c>
      <c r="K325" s="19" t="s">
        <v>3292</v>
      </c>
      <c r="L325" s="19" t="s">
        <v>3293</v>
      </c>
      <c r="M325" s="17"/>
      <c r="N325" s="17"/>
      <c r="O325" s="17"/>
      <c r="P325" s="88">
        <v>3.3920000000000003</v>
      </c>
      <c r="Q325" s="88">
        <v>1.7120000000000002</v>
      </c>
      <c r="R325" s="17">
        <v>0</v>
      </c>
      <c r="S325" s="66">
        <v>955.304255565208</v>
      </c>
      <c r="T325" s="19" t="s">
        <v>3294</v>
      </c>
      <c r="U325" s="21" t="s">
        <v>3295</v>
      </c>
      <c r="V325" s="86" t="s">
        <v>3296</v>
      </c>
      <c r="W325" s="81" t="s">
        <v>700</v>
      </c>
      <c r="X325" s="16"/>
      <c r="Y325" s="16"/>
      <c r="Z325" s="16"/>
      <c r="AA325" s="16"/>
      <c r="AB325" s="16"/>
      <c r="AC325" s="16"/>
      <c r="AD325"/>
      <c r="AE325"/>
      <c r="AF325"/>
      <c r="AG325"/>
      <c r="AH325"/>
      <c r="AI325"/>
      <c r="AJ325"/>
    </row>
    <row r="326" spans="1:36" s="5" customFormat="1" ht="57">
      <c r="A326" s="17" t="s">
        <v>218</v>
      </c>
      <c r="B326" s="17" t="s">
        <v>389</v>
      </c>
      <c r="C326" s="18" t="s">
        <v>390</v>
      </c>
      <c r="D326" s="18" t="s">
        <v>151</v>
      </c>
      <c r="E326" s="17">
        <v>725</v>
      </c>
      <c r="F326" s="17" t="s">
        <v>753</v>
      </c>
      <c r="G326" s="19" t="s">
        <v>701</v>
      </c>
      <c r="H326" s="17" t="s">
        <v>702</v>
      </c>
      <c r="I326" s="17" t="s">
        <v>104</v>
      </c>
      <c r="J326" s="19" t="s">
        <v>105</v>
      </c>
      <c r="K326" s="19" t="s">
        <v>3292</v>
      </c>
      <c r="L326" s="19" t="s">
        <v>3293</v>
      </c>
      <c r="M326" s="17"/>
      <c r="N326" s="17"/>
      <c r="O326" s="17"/>
      <c r="P326" s="88">
        <v>3.5750000000000002</v>
      </c>
      <c r="Q326" s="88">
        <v>1.6160000000000001</v>
      </c>
      <c r="R326" s="17">
        <v>0</v>
      </c>
      <c r="S326" s="66">
        <v>947.01969135603588</v>
      </c>
      <c r="T326" s="19" t="s">
        <v>3294</v>
      </c>
      <c r="U326" s="21" t="s">
        <v>3295</v>
      </c>
      <c r="V326" s="86" t="s">
        <v>3296</v>
      </c>
      <c r="W326" s="81" t="s">
        <v>700</v>
      </c>
      <c r="X326" s="16"/>
      <c r="Y326" s="16"/>
      <c r="Z326" s="16"/>
      <c r="AA326" s="16"/>
      <c r="AB326" s="16"/>
      <c r="AC326" s="16"/>
      <c r="AD326"/>
      <c r="AE326"/>
      <c r="AF326"/>
      <c r="AG326"/>
      <c r="AH326"/>
      <c r="AI326"/>
      <c r="AJ326"/>
    </row>
    <row r="327" spans="1:36" s="5" customFormat="1" ht="57">
      <c r="A327" s="17" t="s">
        <v>218</v>
      </c>
      <c r="B327" s="17" t="s">
        <v>389</v>
      </c>
      <c r="C327" s="18" t="s">
        <v>390</v>
      </c>
      <c r="D327" s="18" t="s">
        <v>151</v>
      </c>
      <c r="E327" s="17">
        <v>725</v>
      </c>
      <c r="F327" s="17" t="s">
        <v>753</v>
      </c>
      <c r="G327" s="19" t="s">
        <v>701</v>
      </c>
      <c r="H327" s="17" t="s">
        <v>702</v>
      </c>
      <c r="I327" s="17" t="s">
        <v>104</v>
      </c>
      <c r="J327" s="19" t="s">
        <v>105</v>
      </c>
      <c r="K327" s="19" t="s">
        <v>3292</v>
      </c>
      <c r="L327" s="19" t="s">
        <v>3293</v>
      </c>
      <c r="M327" s="17"/>
      <c r="N327" s="17"/>
      <c r="O327" s="17"/>
      <c r="P327" s="88">
        <v>3.996</v>
      </c>
      <c r="Q327" s="88">
        <v>1.44</v>
      </c>
      <c r="R327" s="17">
        <v>0</v>
      </c>
      <c r="S327" s="66">
        <v>940.67884036071291</v>
      </c>
      <c r="T327" s="19" t="s">
        <v>3294</v>
      </c>
      <c r="U327" s="21" t="s">
        <v>3295</v>
      </c>
      <c r="V327" s="86" t="s">
        <v>3296</v>
      </c>
      <c r="W327" s="81" t="s">
        <v>700</v>
      </c>
      <c r="X327" s="16"/>
      <c r="Y327" s="16"/>
      <c r="Z327" s="16"/>
      <c r="AA327" s="16"/>
      <c r="AB327" s="16"/>
      <c r="AC327" s="16"/>
      <c r="AD327"/>
      <c r="AE327"/>
      <c r="AF327"/>
      <c r="AG327"/>
      <c r="AH327"/>
      <c r="AI327"/>
      <c r="AJ327"/>
    </row>
    <row r="328" spans="1:36" s="5" customFormat="1" ht="57">
      <c r="A328" s="17" t="s">
        <v>218</v>
      </c>
      <c r="B328" s="17" t="s">
        <v>389</v>
      </c>
      <c r="C328" s="18" t="s">
        <v>390</v>
      </c>
      <c r="D328" s="18" t="s">
        <v>151</v>
      </c>
      <c r="E328" s="17">
        <v>725</v>
      </c>
      <c r="F328" s="17" t="s">
        <v>753</v>
      </c>
      <c r="G328" s="19" t="s">
        <v>701</v>
      </c>
      <c r="H328" s="17" t="s">
        <v>702</v>
      </c>
      <c r="I328" s="17" t="s">
        <v>104</v>
      </c>
      <c r="J328" s="19" t="s">
        <v>105</v>
      </c>
      <c r="K328" s="19" t="s">
        <v>3292</v>
      </c>
      <c r="L328" s="19" t="s">
        <v>3293</v>
      </c>
      <c r="M328" s="17"/>
      <c r="N328" s="17"/>
      <c r="O328" s="17"/>
      <c r="P328" s="88">
        <v>3.2429999999999999</v>
      </c>
      <c r="Q328" s="88">
        <v>1.7670000000000001</v>
      </c>
      <c r="R328" s="17">
        <v>0</v>
      </c>
      <c r="S328" s="66">
        <v>934.10810524897852</v>
      </c>
      <c r="T328" s="19" t="s">
        <v>3294</v>
      </c>
      <c r="U328" s="21" t="s">
        <v>3295</v>
      </c>
      <c r="V328" s="86" t="s">
        <v>3296</v>
      </c>
      <c r="W328" s="81" t="s">
        <v>700</v>
      </c>
      <c r="X328" s="16"/>
      <c r="Y328" s="16"/>
      <c r="Z328" s="16"/>
      <c r="AA328" s="16"/>
      <c r="AB328" s="16"/>
      <c r="AC328" s="16"/>
      <c r="AD328"/>
      <c r="AE328"/>
      <c r="AF328"/>
      <c r="AG328"/>
      <c r="AH328"/>
      <c r="AI328"/>
      <c r="AJ328"/>
    </row>
    <row r="329" spans="1:36" s="5" customFormat="1" ht="57">
      <c r="A329" s="17" t="s">
        <v>218</v>
      </c>
      <c r="B329" s="17" t="s">
        <v>389</v>
      </c>
      <c r="C329" s="18" t="s">
        <v>390</v>
      </c>
      <c r="D329" s="18" t="s">
        <v>151</v>
      </c>
      <c r="E329" s="17">
        <v>725</v>
      </c>
      <c r="F329" s="17" t="s">
        <v>753</v>
      </c>
      <c r="G329" s="19" t="s">
        <v>701</v>
      </c>
      <c r="H329" s="17" t="s">
        <v>702</v>
      </c>
      <c r="I329" s="17" t="s">
        <v>104</v>
      </c>
      <c r="J329" s="19" t="s">
        <v>105</v>
      </c>
      <c r="K329" s="19" t="s">
        <v>3292</v>
      </c>
      <c r="L329" s="19" t="s">
        <v>3293</v>
      </c>
      <c r="M329" s="17"/>
      <c r="N329" s="17"/>
      <c r="O329" s="17"/>
      <c r="P329" s="88">
        <v>3.2640000000000002</v>
      </c>
      <c r="Q329" s="88">
        <v>1.75</v>
      </c>
      <c r="R329" s="17">
        <v>0</v>
      </c>
      <c r="S329" s="66">
        <v>929.05880239575049</v>
      </c>
      <c r="T329" s="19" t="s">
        <v>3294</v>
      </c>
      <c r="U329" s="21" t="s">
        <v>3295</v>
      </c>
      <c r="V329" s="86" t="s">
        <v>3296</v>
      </c>
      <c r="W329" s="81" t="s">
        <v>700</v>
      </c>
      <c r="X329" s="16"/>
      <c r="Y329" s="16"/>
      <c r="Z329" s="16"/>
      <c r="AA329" s="16"/>
      <c r="AB329" s="16"/>
      <c r="AC329" s="16"/>
      <c r="AD329"/>
      <c r="AE329"/>
      <c r="AF329"/>
      <c r="AG329"/>
      <c r="AH329"/>
      <c r="AI329"/>
      <c r="AJ329"/>
    </row>
    <row r="330" spans="1:36" s="5" customFormat="1" ht="57">
      <c r="A330" s="17" t="s">
        <v>218</v>
      </c>
      <c r="B330" s="17" t="s">
        <v>389</v>
      </c>
      <c r="C330" s="18" t="s">
        <v>390</v>
      </c>
      <c r="D330" s="18" t="s">
        <v>151</v>
      </c>
      <c r="E330" s="17">
        <v>725</v>
      </c>
      <c r="F330" s="17" t="s">
        <v>753</v>
      </c>
      <c r="G330" s="19" t="s">
        <v>701</v>
      </c>
      <c r="H330" s="17" t="s">
        <v>702</v>
      </c>
      <c r="I330" s="17" t="s">
        <v>104</v>
      </c>
      <c r="J330" s="19" t="s">
        <v>105</v>
      </c>
      <c r="K330" s="19" t="s">
        <v>3292</v>
      </c>
      <c r="L330" s="19" t="s">
        <v>3293</v>
      </c>
      <c r="M330" s="17"/>
      <c r="N330" s="17"/>
      <c r="O330" s="17"/>
      <c r="P330" s="88">
        <v>3.121</v>
      </c>
      <c r="Q330" s="88">
        <v>1.8260000000000001</v>
      </c>
      <c r="R330" s="17">
        <v>0</v>
      </c>
      <c r="S330" s="66">
        <v>925.47960991299442</v>
      </c>
      <c r="T330" s="19" t="s">
        <v>3294</v>
      </c>
      <c r="U330" s="21" t="s">
        <v>3295</v>
      </c>
      <c r="V330" s="86" t="s">
        <v>3296</v>
      </c>
      <c r="W330" s="81" t="s">
        <v>700</v>
      </c>
      <c r="X330" s="16"/>
      <c r="Y330" s="16"/>
      <c r="Z330" s="16"/>
      <c r="AA330" s="16"/>
      <c r="AB330" s="16"/>
      <c r="AC330" s="16"/>
      <c r="AD330"/>
      <c r="AE330"/>
      <c r="AF330"/>
      <c r="AG330"/>
      <c r="AH330"/>
      <c r="AI330"/>
      <c r="AJ330"/>
    </row>
    <row r="331" spans="1:36" s="5" customFormat="1" ht="57">
      <c r="A331" s="17" t="s">
        <v>218</v>
      </c>
      <c r="B331" s="17" t="s">
        <v>389</v>
      </c>
      <c r="C331" s="18" t="s">
        <v>390</v>
      </c>
      <c r="D331" s="18" t="s">
        <v>151</v>
      </c>
      <c r="E331" s="17">
        <v>725</v>
      </c>
      <c r="F331" s="17" t="s">
        <v>753</v>
      </c>
      <c r="G331" s="19" t="s">
        <v>701</v>
      </c>
      <c r="H331" s="17" t="s">
        <v>702</v>
      </c>
      <c r="I331" s="17" t="s">
        <v>104</v>
      </c>
      <c r="J331" s="19" t="s">
        <v>105</v>
      </c>
      <c r="K331" s="19" t="s">
        <v>3292</v>
      </c>
      <c r="L331" s="19" t="s">
        <v>3293</v>
      </c>
      <c r="M331" s="17"/>
      <c r="N331" s="17"/>
      <c r="O331" s="17"/>
      <c r="P331" s="88">
        <v>3.9969999999999999</v>
      </c>
      <c r="Q331" s="88">
        <v>1.423</v>
      </c>
      <c r="R331" s="17">
        <v>0</v>
      </c>
      <c r="S331" s="66">
        <v>922.40913574853107</v>
      </c>
      <c r="T331" s="19" t="s">
        <v>3294</v>
      </c>
      <c r="U331" s="21" t="s">
        <v>3295</v>
      </c>
      <c r="V331" s="86" t="s">
        <v>3296</v>
      </c>
      <c r="W331" s="81" t="s">
        <v>700</v>
      </c>
      <c r="X331" s="16"/>
      <c r="Y331" s="16"/>
      <c r="Z331" s="16"/>
      <c r="AA331" s="16"/>
      <c r="AB331" s="16"/>
      <c r="AC331" s="16"/>
      <c r="AD331"/>
      <c r="AE331"/>
      <c r="AF331"/>
      <c r="AG331"/>
      <c r="AH331"/>
      <c r="AI331"/>
      <c r="AJ331"/>
    </row>
    <row r="332" spans="1:36" s="5" customFormat="1" ht="57">
      <c r="A332" s="17" t="s">
        <v>218</v>
      </c>
      <c r="B332" s="17" t="s">
        <v>389</v>
      </c>
      <c r="C332" s="18" t="s">
        <v>390</v>
      </c>
      <c r="D332" s="18" t="s">
        <v>151</v>
      </c>
      <c r="E332" s="17">
        <v>725</v>
      </c>
      <c r="F332" s="17" t="s">
        <v>753</v>
      </c>
      <c r="G332" s="19" t="s">
        <v>701</v>
      </c>
      <c r="H332" s="17" t="s">
        <v>702</v>
      </c>
      <c r="I332" s="17" t="s">
        <v>104</v>
      </c>
      <c r="J332" s="19" t="s">
        <v>105</v>
      </c>
      <c r="K332" s="19" t="s">
        <v>3292</v>
      </c>
      <c r="L332" s="19" t="s">
        <v>3293</v>
      </c>
      <c r="M332" s="17"/>
      <c r="N332" s="17"/>
      <c r="O332" s="17"/>
      <c r="P332" s="88">
        <v>3.6700000000000004</v>
      </c>
      <c r="Q332" s="88">
        <v>1.502</v>
      </c>
      <c r="R332" s="17">
        <v>0</v>
      </c>
      <c r="S332" s="66">
        <v>874.93257713220714</v>
      </c>
      <c r="T332" s="19" t="s">
        <v>3294</v>
      </c>
      <c r="U332" s="21" t="s">
        <v>3295</v>
      </c>
      <c r="V332" s="86" t="s">
        <v>3296</v>
      </c>
      <c r="W332" s="81" t="s">
        <v>700</v>
      </c>
      <c r="X332" s="16"/>
      <c r="Y332" s="16"/>
      <c r="Z332" s="16"/>
      <c r="AA332" s="16"/>
      <c r="AB332" s="16"/>
      <c r="AC332" s="16"/>
      <c r="AD332"/>
      <c r="AE332"/>
      <c r="AF332"/>
      <c r="AG332"/>
      <c r="AH332"/>
      <c r="AI332"/>
      <c r="AJ332"/>
    </row>
    <row r="333" spans="1:36" s="5" customFormat="1" ht="57">
      <c r="A333" s="17" t="s">
        <v>218</v>
      </c>
      <c r="B333" s="17" t="s">
        <v>389</v>
      </c>
      <c r="C333" s="18" t="s">
        <v>390</v>
      </c>
      <c r="D333" s="18" t="s">
        <v>151</v>
      </c>
      <c r="E333" s="17">
        <v>725</v>
      </c>
      <c r="F333" s="17" t="s">
        <v>753</v>
      </c>
      <c r="G333" s="19" t="s">
        <v>701</v>
      </c>
      <c r="H333" s="17" t="s">
        <v>702</v>
      </c>
      <c r="I333" s="17" t="s">
        <v>104</v>
      </c>
      <c r="J333" s="19" t="s">
        <v>105</v>
      </c>
      <c r="K333" s="19" t="s">
        <v>3292</v>
      </c>
      <c r="L333" s="19" t="s">
        <v>3293</v>
      </c>
      <c r="M333" s="17"/>
      <c r="N333" s="17"/>
      <c r="O333" s="17"/>
      <c r="P333" s="88">
        <v>3.5090000000000003</v>
      </c>
      <c r="Q333" s="88">
        <v>1.5589999999999999</v>
      </c>
      <c r="R333" s="17">
        <v>0</v>
      </c>
      <c r="S333" s="66">
        <v>863.76646476542896</v>
      </c>
      <c r="T333" s="19" t="s">
        <v>3294</v>
      </c>
      <c r="U333" s="21" t="s">
        <v>3295</v>
      </c>
      <c r="V333" s="86" t="s">
        <v>3296</v>
      </c>
      <c r="W333" s="81" t="s">
        <v>700</v>
      </c>
      <c r="X333" s="16"/>
      <c r="Y333" s="16"/>
      <c r="Z333" s="16"/>
      <c r="AA333" s="16"/>
      <c r="AB333" s="16"/>
      <c r="AC333" s="16"/>
      <c r="AD333"/>
      <c r="AE333"/>
      <c r="AF333"/>
      <c r="AG333"/>
      <c r="AH333"/>
      <c r="AI333"/>
      <c r="AJ333"/>
    </row>
    <row r="334" spans="1:36" s="5" customFormat="1" ht="57">
      <c r="A334" s="17" t="s">
        <v>218</v>
      </c>
      <c r="B334" s="17" t="s">
        <v>389</v>
      </c>
      <c r="C334" s="18" t="s">
        <v>390</v>
      </c>
      <c r="D334" s="18" t="s">
        <v>151</v>
      </c>
      <c r="E334" s="17">
        <v>725</v>
      </c>
      <c r="F334" s="17" t="s">
        <v>753</v>
      </c>
      <c r="G334" s="19" t="s">
        <v>701</v>
      </c>
      <c r="H334" s="17" t="s">
        <v>702</v>
      </c>
      <c r="I334" s="17" t="s">
        <v>104</v>
      </c>
      <c r="J334" s="19" t="s">
        <v>105</v>
      </c>
      <c r="K334" s="19" t="s">
        <v>3292</v>
      </c>
      <c r="L334" s="19" t="s">
        <v>3293</v>
      </c>
      <c r="M334" s="17"/>
      <c r="N334" s="17"/>
      <c r="O334" s="17"/>
      <c r="P334" s="88">
        <v>3.9770000000000003</v>
      </c>
      <c r="Q334" s="88">
        <v>1.3699999999999999</v>
      </c>
      <c r="R334" s="17">
        <v>0</v>
      </c>
      <c r="S334" s="66">
        <v>857.90341027658724</v>
      </c>
      <c r="T334" s="19" t="s">
        <v>3294</v>
      </c>
      <c r="U334" s="21" t="s">
        <v>3295</v>
      </c>
      <c r="V334" s="86" t="s">
        <v>3296</v>
      </c>
      <c r="W334" s="81" t="s">
        <v>700</v>
      </c>
      <c r="X334" s="16"/>
      <c r="Y334" s="16"/>
      <c r="Z334" s="16"/>
      <c r="AA334" s="16"/>
      <c r="AB334" s="16"/>
      <c r="AC334" s="16"/>
      <c r="AD334"/>
      <c r="AE334"/>
      <c r="AF334"/>
      <c r="AG334"/>
      <c r="AH334"/>
      <c r="AI334"/>
      <c r="AJ334"/>
    </row>
    <row r="335" spans="1:36" s="5" customFormat="1" ht="57">
      <c r="A335" s="17" t="s">
        <v>218</v>
      </c>
      <c r="B335" s="17" t="s">
        <v>389</v>
      </c>
      <c r="C335" s="18" t="s">
        <v>390</v>
      </c>
      <c r="D335" s="18" t="s">
        <v>151</v>
      </c>
      <c r="E335" s="17">
        <v>725</v>
      </c>
      <c r="F335" s="17" t="s">
        <v>753</v>
      </c>
      <c r="G335" s="19" t="s">
        <v>701</v>
      </c>
      <c r="H335" s="17" t="s">
        <v>702</v>
      </c>
      <c r="I335" s="17" t="s">
        <v>104</v>
      </c>
      <c r="J335" s="19" t="s">
        <v>105</v>
      </c>
      <c r="K335" s="19" t="s">
        <v>3292</v>
      </c>
      <c r="L335" s="19" t="s">
        <v>3293</v>
      </c>
      <c r="M335" s="17"/>
      <c r="N335" s="17"/>
      <c r="O335" s="17"/>
      <c r="P335" s="88">
        <v>3.7700000000000005</v>
      </c>
      <c r="Q335" s="88">
        <v>1.444</v>
      </c>
      <c r="R335" s="17">
        <v>0</v>
      </c>
      <c r="S335" s="66">
        <v>856.67917625991799</v>
      </c>
      <c r="T335" s="19" t="s">
        <v>3294</v>
      </c>
      <c r="U335" s="21" t="s">
        <v>3295</v>
      </c>
      <c r="V335" s="86" t="s">
        <v>3296</v>
      </c>
      <c r="W335" s="81" t="s">
        <v>700</v>
      </c>
      <c r="X335" s="16"/>
      <c r="Y335" s="16"/>
      <c r="Z335" s="16"/>
      <c r="AA335" s="16"/>
      <c r="AB335" s="16"/>
      <c r="AC335" s="16"/>
      <c r="AD335"/>
      <c r="AE335"/>
      <c r="AF335"/>
      <c r="AG335"/>
      <c r="AH335"/>
      <c r="AI335"/>
      <c r="AJ335"/>
    </row>
    <row r="336" spans="1:36" s="5" customFormat="1" ht="57">
      <c r="A336" s="17" t="s">
        <v>218</v>
      </c>
      <c r="B336" s="17" t="s">
        <v>389</v>
      </c>
      <c r="C336" s="18" t="s">
        <v>390</v>
      </c>
      <c r="D336" s="18" t="s">
        <v>151</v>
      </c>
      <c r="E336" s="17">
        <v>725</v>
      </c>
      <c r="F336" s="17" t="s">
        <v>753</v>
      </c>
      <c r="G336" s="19" t="s">
        <v>701</v>
      </c>
      <c r="H336" s="17" t="s">
        <v>702</v>
      </c>
      <c r="I336" s="17" t="s">
        <v>104</v>
      </c>
      <c r="J336" s="19" t="s">
        <v>105</v>
      </c>
      <c r="K336" s="19" t="s">
        <v>3292</v>
      </c>
      <c r="L336" s="19" t="s">
        <v>3293</v>
      </c>
      <c r="M336" s="17"/>
      <c r="N336" s="17"/>
      <c r="O336" s="17"/>
      <c r="P336" s="88">
        <v>3.44</v>
      </c>
      <c r="Q336" s="88">
        <v>1.534</v>
      </c>
      <c r="R336" s="17">
        <v>0</v>
      </c>
      <c r="S336" s="66">
        <v>812.83298412731324</v>
      </c>
      <c r="T336" s="19" t="s">
        <v>3294</v>
      </c>
      <c r="U336" s="21" t="s">
        <v>3295</v>
      </c>
      <c r="V336" s="86" t="s">
        <v>3296</v>
      </c>
      <c r="W336" s="81" t="s">
        <v>700</v>
      </c>
      <c r="X336" s="16"/>
      <c r="Y336" s="16"/>
      <c r="Z336" s="16"/>
      <c r="AA336" s="16"/>
      <c r="AB336" s="16"/>
      <c r="AC336" s="16"/>
      <c r="AD336"/>
      <c r="AE336"/>
      <c r="AF336"/>
      <c r="AG336"/>
      <c r="AH336"/>
      <c r="AI336"/>
      <c r="AJ336"/>
    </row>
    <row r="337" spans="1:36" s="5" customFormat="1" ht="57">
      <c r="A337" s="17" t="s">
        <v>218</v>
      </c>
      <c r="B337" s="17" t="s">
        <v>389</v>
      </c>
      <c r="C337" s="18" t="s">
        <v>390</v>
      </c>
      <c r="D337" s="18" t="s">
        <v>151</v>
      </c>
      <c r="E337" s="17">
        <v>725</v>
      </c>
      <c r="F337" s="17" t="s">
        <v>753</v>
      </c>
      <c r="G337" s="19" t="s">
        <v>701</v>
      </c>
      <c r="H337" s="17" t="s">
        <v>702</v>
      </c>
      <c r="I337" s="17" t="s">
        <v>104</v>
      </c>
      <c r="J337" s="19" t="s">
        <v>105</v>
      </c>
      <c r="K337" s="19" t="s">
        <v>3292</v>
      </c>
      <c r="L337" s="19" t="s">
        <v>3293</v>
      </c>
      <c r="M337" s="17"/>
      <c r="N337" s="17"/>
      <c r="O337" s="17"/>
      <c r="P337" s="88">
        <v>3.6859999999999999</v>
      </c>
      <c r="Q337" s="88">
        <v>1.427</v>
      </c>
      <c r="R337" s="17">
        <v>0</v>
      </c>
      <c r="S337" s="66">
        <v>808.41034512271028</v>
      </c>
      <c r="T337" s="19" t="s">
        <v>3294</v>
      </c>
      <c r="U337" s="21" t="s">
        <v>3295</v>
      </c>
      <c r="V337" s="86" t="s">
        <v>3296</v>
      </c>
      <c r="W337" s="81" t="s">
        <v>700</v>
      </c>
      <c r="X337" s="16"/>
      <c r="Y337" s="16"/>
      <c r="Z337" s="16"/>
      <c r="AA337" s="16"/>
      <c r="AB337" s="16"/>
      <c r="AC337" s="16"/>
      <c r="AD337"/>
      <c r="AE337"/>
      <c r="AF337"/>
      <c r="AG337"/>
      <c r="AH337"/>
      <c r="AI337"/>
      <c r="AJ337"/>
    </row>
    <row r="338" spans="1:36" s="5" customFormat="1" ht="57">
      <c r="A338" s="17" t="s">
        <v>218</v>
      </c>
      <c r="B338" s="17" t="s">
        <v>389</v>
      </c>
      <c r="C338" s="18" t="s">
        <v>390</v>
      </c>
      <c r="D338" s="18" t="s">
        <v>151</v>
      </c>
      <c r="E338" s="17">
        <v>725</v>
      </c>
      <c r="F338" s="17" t="s">
        <v>753</v>
      </c>
      <c r="G338" s="19" t="s">
        <v>701</v>
      </c>
      <c r="H338" s="17" t="s">
        <v>702</v>
      </c>
      <c r="I338" s="17" t="s">
        <v>104</v>
      </c>
      <c r="J338" s="19" t="s">
        <v>105</v>
      </c>
      <c r="K338" s="19" t="s">
        <v>3292</v>
      </c>
      <c r="L338" s="19" t="s">
        <v>3293</v>
      </c>
      <c r="M338" s="17"/>
      <c r="N338" s="17"/>
      <c r="O338" s="17"/>
      <c r="P338" s="88">
        <v>3.4390000000000001</v>
      </c>
      <c r="Q338" s="88">
        <v>1.494</v>
      </c>
      <c r="R338" s="17">
        <v>0</v>
      </c>
      <c r="S338" s="66">
        <v>777.01575457381068</v>
      </c>
      <c r="T338" s="19" t="s">
        <v>3294</v>
      </c>
      <c r="U338" s="21" t="s">
        <v>3295</v>
      </c>
      <c r="V338" s="86" t="s">
        <v>3296</v>
      </c>
      <c r="W338" s="81" t="s">
        <v>700</v>
      </c>
      <c r="X338" s="16"/>
      <c r="Y338" s="16"/>
      <c r="Z338" s="16"/>
      <c r="AA338" s="16"/>
      <c r="AB338" s="16"/>
      <c r="AC338" s="16"/>
      <c r="AD338"/>
      <c r="AE338"/>
      <c r="AF338"/>
      <c r="AG338"/>
      <c r="AH338"/>
      <c r="AI338"/>
      <c r="AJ338"/>
    </row>
    <row r="339" spans="1:36" s="5" customFormat="1" ht="57">
      <c r="A339" s="17" t="s">
        <v>218</v>
      </c>
      <c r="B339" s="17" t="s">
        <v>389</v>
      </c>
      <c r="C339" s="18" t="s">
        <v>390</v>
      </c>
      <c r="D339" s="18" t="s">
        <v>151</v>
      </c>
      <c r="E339" s="17">
        <v>725</v>
      </c>
      <c r="F339" s="17" t="s">
        <v>753</v>
      </c>
      <c r="G339" s="19" t="s">
        <v>701</v>
      </c>
      <c r="H339" s="17" t="s">
        <v>702</v>
      </c>
      <c r="I339" s="17" t="s">
        <v>104</v>
      </c>
      <c r="J339" s="19" t="s">
        <v>105</v>
      </c>
      <c r="K339" s="19" t="s">
        <v>3292</v>
      </c>
      <c r="L339" s="19" t="s">
        <v>3293</v>
      </c>
      <c r="M339" s="17"/>
      <c r="N339" s="17"/>
      <c r="O339" s="17"/>
      <c r="P339" s="88">
        <v>3.4899999999999998</v>
      </c>
      <c r="Q339" s="88">
        <v>1.47</v>
      </c>
      <c r="R339" s="17">
        <v>0</v>
      </c>
      <c r="S339" s="66">
        <v>775.08635999981993</v>
      </c>
      <c r="T339" s="19" t="s">
        <v>3294</v>
      </c>
      <c r="U339" s="21" t="s">
        <v>3295</v>
      </c>
      <c r="V339" s="86" t="s">
        <v>3296</v>
      </c>
      <c r="W339" s="81" t="s">
        <v>700</v>
      </c>
      <c r="X339" s="16"/>
      <c r="Y339" s="16"/>
      <c r="Z339" s="16"/>
      <c r="AA339" s="16"/>
      <c r="AB339" s="16"/>
      <c r="AC339" s="16"/>
      <c r="AD339"/>
      <c r="AE339"/>
      <c r="AF339"/>
      <c r="AG339"/>
      <c r="AH339"/>
      <c r="AI339"/>
      <c r="AJ339"/>
    </row>
    <row r="340" spans="1:36" s="5" customFormat="1" ht="57">
      <c r="A340" s="17" t="s">
        <v>218</v>
      </c>
      <c r="B340" s="17" t="s">
        <v>389</v>
      </c>
      <c r="C340" s="18" t="s">
        <v>390</v>
      </c>
      <c r="D340" s="18" t="s">
        <v>151</v>
      </c>
      <c r="E340" s="17">
        <v>725</v>
      </c>
      <c r="F340" s="17" t="s">
        <v>753</v>
      </c>
      <c r="G340" s="19" t="s">
        <v>701</v>
      </c>
      <c r="H340" s="17" t="s">
        <v>702</v>
      </c>
      <c r="I340" s="17" t="s">
        <v>104</v>
      </c>
      <c r="J340" s="19" t="s">
        <v>105</v>
      </c>
      <c r="K340" s="19" t="s">
        <v>3292</v>
      </c>
      <c r="L340" s="19" t="s">
        <v>3293</v>
      </c>
      <c r="M340" s="17"/>
      <c r="N340" s="17"/>
      <c r="O340" s="17"/>
      <c r="P340" s="88">
        <v>3.1819999999999999</v>
      </c>
      <c r="Q340" s="88">
        <v>1.6</v>
      </c>
      <c r="R340" s="17">
        <v>0</v>
      </c>
      <c r="S340" s="66">
        <v>765.14668703308519</v>
      </c>
      <c r="T340" s="19" t="s">
        <v>3294</v>
      </c>
      <c r="U340" s="21" t="s">
        <v>3295</v>
      </c>
      <c r="V340" s="86" t="s">
        <v>3296</v>
      </c>
      <c r="W340" s="81" t="s">
        <v>700</v>
      </c>
      <c r="X340" s="16"/>
      <c r="Y340" s="16"/>
      <c r="Z340" s="16"/>
      <c r="AA340" s="16"/>
      <c r="AB340" s="16"/>
      <c r="AC340" s="16"/>
      <c r="AD340"/>
      <c r="AE340"/>
      <c r="AF340"/>
      <c r="AG340"/>
      <c r="AH340"/>
      <c r="AI340"/>
      <c r="AJ340"/>
    </row>
    <row r="341" spans="1:36" s="5" customFormat="1" ht="57">
      <c r="A341" s="17" t="s">
        <v>218</v>
      </c>
      <c r="B341" s="17" t="s">
        <v>389</v>
      </c>
      <c r="C341" s="18" t="s">
        <v>390</v>
      </c>
      <c r="D341" s="18" t="s">
        <v>151</v>
      </c>
      <c r="E341" s="17">
        <v>725</v>
      </c>
      <c r="F341" s="17" t="s">
        <v>753</v>
      </c>
      <c r="G341" s="19" t="s">
        <v>701</v>
      </c>
      <c r="H341" s="17" t="s">
        <v>702</v>
      </c>
      <c r="I341" s="17" t="s">
        <v>104</v>
      </c>
      <c r="J341" s="19" t="s">
        <v>105</v>
      </c>
      <c r="K341" s="19" t="s">
        <v>3292</v>
      </c>
      <c r="L341" s="19" t="s">
        <v>3293</v>
      </c>
      <c r="M341" s="17"/>
      <c r="N341" s="17"/>
      <c r="O341" s="17"/>
      <c r="P341" s="88">
        <v>2.9899999999999998</v>
      </c>
      <c r="Q341" s="88">
        <v>1.6969999999999998</v>
      </c>
      <c r="R341" s="17">
        <v>0</v>
      </c>
      <c r="S341" s="66">
        <v>760.79839540663443</v>
      </c>
      <c r="T341" s="19" t="s">
        <v>3294</v>
      </c>
      <c r="U341" s="21" t="s">
        <v>3295</v>
      </c>
      <c r="V341" s="86" t="s">
        <v>3296</v>
      </c>
      <c r="W341" s="81" t="s">
        <v>700</v>
      </c>
      <c r="X341" s="16"/>
      <c r="Y341" s="16"/>
      <c r="Z341" s="16"/>
      <c r="AA341" s="16"/>
      <c r="AB341" s="16"/>
      <c r="AC341" s="16"/>
      <c r="AD341"/>
      <c r="AE341"/>
      <c r="AF341"/>
      <c r="AG341"/>
      <c r="AH341"/>
      <c r="AI341"/>
      <c r="AJ341"/>
    </row>
    <row r="342" spans="1:36" s="5" customFormat="1" ht="57">
      <c r="A342" s="17" t="s">
        <v>218</v>
      </c>
      <c r="B342" s="17" t="s">
        <v>389</v>
      </c>
      <c r="C342" s="18" t="s">
        <v>390</v>
      </c>
      <c r="D342" s="18" t="s">
        <v>151</v>
      </c>
      <c r="E342" s="17">
        <v>725</v>
      </c>
      <c r="F342" s="17" t="s">
        <v>753</v>
      </c>
      <c r="G342" s="19" t="s">
        <v>701</v>
      </c>
      <c r="H342" s="17" t="s">
        <v>702</v>
      </c>
      <c r="I342" s="17" t="s">
        <v>104</v>
      </c>
      <c r="J342" s="19" t="s">
        <v>105</v>
      </c>
      <c r="K342" s="19" t="s">
        <v>3292</v>
      </c>
      <c r="L342" s="19" t="s">
        <v>3293</v>
      </c>
      <c r="M342" s="17"/>
      <c r="N342" s="17"/>
      <c r="O342" s="17"/>
      <c r="P342" s="88">
        <v>2.8039999999999998</v>
      </c>
      <c r="Q342" s="88">
        <v>1.8089999999999999</v>
      </c>
      <c r="R342" s="17">
        <v>0</v>
      </c>
      <c r="S342" s="66">
        <v>760.39522798106452</v>
      </c>
      <c r="T342" s="19" t="s">
        <v>3294</v>
      </c>
      <c r="U342" s="21" t="s">
        <v>3295</v>
      </c>
      <c r="V342" s="86" t="s">
        <v>3296</v>
      </c>
      <c r="W342" s="81" t="s">
        <v>700</v>
      </c>
      <c r="X342" s="16"/>
      <c r="Y342" s="16"/>
      <c r="Z342" s="16"/>
      <c r="AA342" s="16"/>
      <c r="AB342" s="16"/>
      <c r="AC342" s="16"/>
      <c r="AD342"/>
      <c r="AE342"/>
      <c r="AF342"/>
      <c r="AG342"/>
      <c r="AH342"/>
      <c r="AI342"/>
      <c r="AJ342"/>
    </row>
    <row r="343" spans="1:36" s="5" customFormat="1" ht="57">
      <c r="A343" s="17" t="s">
        <v>218</v>
      </c>
      <c r="B343" s="17" t="s">
        <v>389</v>
      </c>
      <c r="C343" s="18" t="s">
        <v>390</v>
      </c>
      <c r="D343" s="18" t="s">
        <v>151</v>
      </c>
      <c r="E343" s="17">
        <v>725</v>
      </c>
      <c r="F343" s="17" t="s">
        <v>753</v>
      </c>
      <c r="G343" s="19" t="s">
        <v>701</v>
      </c>
      <c r="H343" s="17" t="s">
        <v>702</v>
      </c>
      <c r="I343" s="17" t="s">
        <v>104</v>
      </c>
      <c r="J343" s="19" t="s">
        <v>105</v>
      </c>
      <c r="K343" s="19" t="s">
        <v>3292</v>
      </c>
      <c r="L343" s="19" t="s">
        <v>3293</v>
      </c>
      <c r="M343" s="17"/>
      <c r="N343" s="17"/>
      <c r="O343" s="17"/>
      <c r="P343" s="88">
        <v>3.5070000000000001</v>
      </c>
      <c r="Q343" s="88">
        <v>1.444</v>
      </c>
      <c r="R343" s="17">
        <v>0</v>
      </c>
      <c r="S343" s="66">
        <v>758.29025803097556</v>
      </c>
      <c r="T343" s="19" t="s">
        <v>3294</v>
      </c>
      <c r="U343" s="21" t="s">
        <v>3295</v>
      </c>
      <c r="V343" s="86" t="s">
        <v>3296</v>
      </c>
      <c r="W343" s="81" t="s">
        <v>700</v>
      </c>
      <c r="X343" s="16"/>
      <c r="Y343" s="16"/>
      <c r="Z343" s="16"/>
      <c r="AA343" s="16"/>
      <c r="AB343" s="16"/>
      <c r="AC343" s="16"/>
      <c r="AD343"/>
      <c r="AE343"/>
      <c r="AF343"/>
      <c r="AG343"/>
      <c r="AH343"/>
      <c r="AI343"/>
      <c r="AJ343"/>
    </row>
    <row r="344" spans="1:36" s="5" customFormat="1" ht="57">
      <c r="A344" s="17" t="s">
        <v>218</v>
      </c>
      <c r="B344" s="17" t="s">
        <v>389</v>
      </c>
      <c r="C344" s="18" t="s">
        <v>390</v>
      </c>
      <c r="D344" s="18" t="s">
        <v>151</v>
      </c>
      <c r="E344" s="17">
        <v>725</v>
      </c>
      <c r="F344" s="17" t="s">
        <v>753</v>
      </c>
      <c r="G344" s="19" t="s">
        <v>701</v>
      </c>
      <c r="H344" s="17" t="s">
        <v>702</v>
      </c>
      <c r="I344" s="17" t="s">
        <v>104</v>
      </c>
      <c r="J344" s="19" t="s">
        <v>105</v>
      </c>
      <c r="K344" s="19" t="s">
        <v>3292</v>
      </c>
      <c r="L344" s="19" t="s">
        <v>3293</v>
      </c>
      <c r="M344" s="17"/>
      <c r="N344" s="17"/>
      <c r="O344" s="17"/>
      <c r="P344" s="88">
        <v>2.891</v>
      </c>
      <c r="Q344" s="88">
        <v>1.746</v>
      </c>
      <c r="R344" s="17">
        <v>0</v>
      </c>
      <c r="S344" s="66">
        <v>754.1464296456038</v>
      </c>
      <c r="T344" s="19" t="s">
        <v>3294</v>
      </c>
      <c r="U344" s="21" t="s">
        <v>3295</v>
      </c>
      <c r="V344" s="86" t="s">
        <v>3296</v>
      </c>
      <c r="W344" s="81" t="s">
        <v>700</v>
      </c>
      <c r="X344" s="16"/>
      <c r="Y344" s="16"/>
      <c r="Z344" s="16"/>
      <c r="AA344" s="16"/>
      <c r="AB344" s="16"/>
      <c r="AC344" s="16"/>
      <c r="AD344"/>
      <c r="AE344"/>
      <c r="AF344"/>
      <c r="AG344"/>
      <c r="AH344"/>
      <c r="AI344"/>
      <c r="AJ344"/>
    </row>
    <row r="345" spans="1:36" s="5" customFormat="1" ht="57">
      <c r="A345" s="17" t="s">
        <v>218</v>
      </c>
      <c r="B345" s="17" t="s">
        <v>389</v>
      </c>
      <c r="C345" s="18" t="s">
        <v>390</v>
      </c>
      <c r="D345" s="18" t="s">
        <v>151</v>
      </c>
      <c r="E345" s="17">
        <v>725</v>
      </c>
      <c r="F345" s="17" t="s">
        <v>753</v>
      </c>
      <c r="G345" s="19" t="s">
        <v>701</v>
      </c>
      <c r="H345" s="17" t="s">
        <v>702</v>
      </c>
      <c r="I345" s="17" t="s">
        <v>104</v>
      </c>
      <c r="J345" s="19" t="s">
        <v>105</v>
      </c>
      <c r="K345" s="19" t="s">
        <v>3292</v>
      </c>
      <c r="L345" s="19" t="s">
        <v>3293</v>
      </c>
      <c r="M345" s="17"/>
      <c r="N345" s="17"/>
      <c r="O345" s="17"/>
      <c r="P345" s="88">
        <v>3.5569999999999999</v>
      </c>
      <c r="Q345" s="88">
        <v>1.4140000000000001</v>
      </c>
      <c r="R345" s="17">
        <v>0</v>
      </c>
      <c r="S345" s="66">
        <v>749.59292087318875</v>
      </c>
      <c r="T345" s="19" t="s">
        <v>3294</v>
      </c>
      <c r="U345" s="21" t="s">
        <v>3295</v>
      </c>
      <c r="V345" s="86" t="s">
        <v>3296</v>
      </c>
      <c r="W345" s="81" t="s">
        <v>700</v>
      </c>
      <c r="X345" s="16"/>
      <c r="Y345" s="16"/>
      <c r="Z345" s="16"/>
      <c r="AA345" s="16"/>
      <c r="AB345" s="16"/>
      <c r="AC345" s="16"/>
      <c r="AD345"/>
      <c r="AE345"/>
      <c r="AF345"/>
      <c r="AG345"/>
      <c r="AH345"/>
      <c r="AI345"/>
      <c r="AJ345"/>
    </row>
    <row r="346" spans="1:36" s="5" customFormat="1" ht="57">
      <c r="A346" s="17" t="s">
        <v>218</v>
      </c>
      <c r="B346" s="17" t="s">
        <v>389</v>
      </c>
      <c r="C346" s="18" t="s">
        <v>390</v>
      </c>
      <c r="D346" s="18" t="s">
        <v>151</v>
      </c>
      <c r="E346" s="17">
        <v>725</v>
      </c>
      <c r="F346" s="17" t="s">
        <v>753</v>
      </c>
      <c r="G346" s="19" t="s">
        <v>701</v>
      </c>
      <c r="H346" s="17" t="s">
        <v>702</v>
      </c>
      <c r="I346" s="17" t="s">
        <v>104</v>
      </c>
      <c r="J346" s="19" t="s">
        <v>105</v>
      </c>
      <c r="K346" s="19" t="s">
        <v>3292</v>
      </c>
      <c r="L346" s="19" t="s">
        <v>3293</v>
      </c>
      <c r="M346" s="17"/>
      <c r="N346" s="17"/>
      <c r="O346" s="17"/>
      <c r="P346" s="88">
        <v>3.45</v>
      </c>
      <c r="Q346" s="88">
        <v>1.454</v>
      </c>
      <c r="R346" s="17">
        <v>0</v>
      </c>
      <c r="S346" s="66">
        <v>746.25242293609438</v>
      </c>
      <c r="T346" s="19" t="s">
        <v>3294</v>
      </c>
      <c r="U346" s="21" t="s">
        <v>3295</v>
      </c>
      <c r="V346" s="86" t="s">
        <v>3296</v>
      </c>
      <c r="W346" s="81" t="s">
        <v>700</v>
      </c>
      <c r="X346" s="16"/>
      <c r="Y346" s="16"/>
      <c r="Z346" s="16"/>
      <c r="AA346" s="16"/>
      <c r="AB346" s="16"/>
      <c r="AC346" s="16"/>
      <c r="AD346"/>
      <c r="AE346"/>
      <c r="AF346"/>
      <c r="AG346"/>
      <c r="AH346"/>
      <c r="AI346"/>
      <c r="AJ346"/>
    </row>
    <row r="347" spans="1:36" s="5" customFormat="1" ht="57">
      <c r="A347" s="17" t="s">
        <v>218</v>
      </c>
      <c r="B347" s="17" t="s">
        <v>389</v>
      </c>
      <c r="C347" s="18" t="s">
        <v>390</v>
      </c>
      <c r="D347" s="18" t="s">
        <v>151</v>
      </c>
      <c r="E347" s="17">
        <v>725</v>
      </c>
      <c r="F347" s="17" t="s">
        <v>753</v>
      </c>
      <c r="G347" s="19" t="s">
        <v>701</v>
      </c>
      <c r="H347" s="17" t="s">
        <v>702</v>
      </c>
      <c r="I347" s="17" t="s">
        <v>104</v>
      </c>
      <c r="J347" s="19" t="s">
        <v>105</v>
      </c>
      <c r="K347" s="19" t="s">
        <v>3292</v>
      </c>
      <c r="L347" s="19" t="s">
        <v>3293</v>
      </c>
      <c r="M347" s="17"/>
      <c r="N347" s="17"/>
      <c r="O347" s="17"/>
      <c r="P347" s="88">
        <v>2.7350000000000003</v>
      </c>
      <c r="Q347" s="88">
        <v>1.8129999999999999</v>
      </c>
      <c r="R347" s="17">
        <v>0</v>
      </c>
      <c r="S347" s="66">
        <v>731.81727764958714</v>
      </c>
      <c r="T347" s="19" t="s">
        <v>3294</v>
      </c>
      <c r="U347" s="21" t="s">
        <v>3295</v>
      </c>
      <c r="V347" s="86" t="s">
        <v>3296</v>
      </c>
      <c r="W347" s="81" t="s">
        <v>700</v>
      </c>
      <c r="X347" s="16"/>
      <c r="Y347" s="16"/>
      <c r="Z347" s="16"/>
      <c r="AA347" s="16"/>
      <c r="AB347" s="16"/>
      <c r="AC347" s="16"/>
      <c r="AD347"/>
      <c r="AE347"/>
      <c r="AF347"/>
      <c r="AG347"/>
      <c r="AH347"/>
      <c r="AI347"/>
      <c r="AJ347"/>
    </row>
    <row r="348" spans="1:36" s="5" customFormat="1" ht="57">
      <c r="A348" s="17" t="s">
        <v>218</v>
      </c>
      <c r="B348" s="17" t="s">
        <v>389</v>
      </c>
      <c r="C348" s="18" t="s">
        <v>390</v>
      </c>
      <c r="D348" s="18" t="s">
        <v>151</v>
      </c>
      <c r="E348" s="17">
        <v>725</v>
      </c>
      <c r="F348" s="17" t="s">
        <v>753</v>
      </c>
      <c r="G348" s="19" t="s">
        <v>701</v>
      </c>
      <c r="H348" s="17" t="s">
        <v>702</v>
      </c>
      <c r="I348" s="17" t="s">
        <v>104</v>
      </c>
      <c r="J348" s="19" t="s">
        <v>105</v>
      </c>
      <c r="K348" s="19" t="s">
        <v>3292</v>
      </c>
      <c r="L348" s="19" t="s">
        <v>3293</v>
      </c>
      <c r="M348" s="17"/>
      <c r="N348" s="17"/>
      <c r="O348" s="17"/>
      <c r="P348" s="88">
        <v>3.3409999999999997</v>
      </c>
      <c r="Q348" s="88">
        <v>1.47</v>
      </c>
      <c r="R348" s="17">
        <v>0</v>
      </c>
      <c r="S348" s="66">
        <v>720.08258117513469</v>
      </c>
      <c r="T348" s="19" t="s">
        <v>3294</v>
      </c>
      <c r="U348" s="21" t="s">
        <v>3295</v>
      </c>
      <c r="V348" s="86" t="s">
        <v>3296</v>
      </c>
      <c r="W348" s="81" t="s">
        <v>700</v>
      </c>
      <c r="X348" s="16"/>
      <c r="Y348" s="16"/>
      <c r="Z348" s="16"/>
      <c r="AA348" s="16"/>
      <c r="AB348" s="16"/>
      <c r="AC348" s="16"/>
      <c r="AD348"/>
      <c r="AE348"/>
      <c r="AF348"/>
      <c r="AG348"/>
      <c r="AH348"/>
      <c r="AI348"/>
      <c r="AJ348"/>
    </row>
    <row r="349" spans="1:36" s="5" customFormat="1" ht="57">
      <c r="A349" s="17" t="s">
        <v>218</v>
      </c>
      <c r="B349" s="17" t="s">
        <v>389</v>
      </c>
      <c r="C349" s="18" t="s">
        <v>390</v>
      </c>
      <c r="D349" s="18" t="s">
        <v>151</v>
      </c>
      <c r="E349" s="17">
        <v>725</v>
      </c>
      <c r="F349" s="17" t="s">
        <v>753</v>
      </c>
      <c r="G349" s="19" t="s">
        <v>701</v>
      </c>
      <c r="H349" s="17" t="s">
        <v>702</v>
      </c>
      <c r="I349" s="17" t="s">
        <v>104</v>
      </c>
      <c r="J349" s="19" t="s">
        <v>105</v>
      </c>
      <c r="K349" s="19" t="s">
        <v>3292</v>
      </c>
      <c r="L349" s="19" t="s">
        <v>3293</v>
      </c>
      <c r="M349" s="17"/>
      <c r="N349" s="17"/>
      <c r="O349" s="17"/>
      <c r="P349" s="88">
        <v>3.028</v>
      </c>
      <c r="Q349" s="88">
        <v>1.51</v>
      </c>
      <c r="R349" s="17">
        <v>0</v>
      </c>
      <c r="S349" s="66">
        <v>638.23546622256947</v>
      </c>
      <c r="T349" s="19" t="s">
        <v>3294</v>
      </c>
      <c r="U349" s="21" t="s">
        <v>3295</v>
      </c>
      <c r="V349" s="86" t="s">
        <v>3296</v>
      </c>
      <c r="W349" s="81" t="s">
        <v>700</v>
      </c>
      <c r="X349" s="16"/>
      <c r="Y349" s="16"/>
      <c r="Z349" s="16"/>
      <c r="AA349" s="16"/>
      <c r="AB349" s="16"/>
      <c r="AC349" s="16"/>
      <c r="AD349"/>
      <c r="AE349"/>
      <c r="AF349"/>
      <c r="AG349"/>
      <c r="AH349"/>
      <c r="AI349"/>
      <c r="AJ349"/>
    </row>
    <row r="350" spans="1:36" s="5" customFormat="1" ht="57">
      <c r="A350" s="17" t="s">
        <v>218</v>
      </c>
      <c r="B350" s="17" t="s">
        <v>389</v>
      </c>
      <c r="C350" s="18" t="s">
        <v>390</v>
      </c>
      <c r="D350" s="18" t="s">
        <v>151</v>
      </c>
      <c r="E350" s="17">
        <v>725</v>
      </c>
      <c r="F350" s="17" t="s">
        <v>753</v>
      </c>
      <c r="G350" s="19" t="s">
        <v>701</v>
      </c>
      <c r="H350" s="17" t="s">
        <v>702</v>
      </c>
      <c r="I350" s="17" t="s">
        <v>104</v>
      </c>
      <c r="J350" s="19" t="s">
        <v>105</v>
      </c>
      <c r="K350" s="19" t="s">
        <v>3292</v>
      </c>
      <c r="L350" s="19" t="s">
        <v>3293</v>
      </c>
      <c r="M350" s="17"/>
      <c r="N350" s="17"/>
      <c r="O350" s="17"/>
      <c r="P350" s="88">
        <v>3.7229999999999999</v>
      </c>
      <c r="Q350" s="88">
        <v>1.2170000000000001</v>
      </c>
      <c r="R350" s="17">
        <v>0</v>
      </c>
      <c r="S350" s="66">
        <v>628.51904276582536</v>
      </c>
      <c r="T350" s="19" t="s">
        <v>3294</v>
      </c>
      <c r="U350" s="21" t="s">
        <v>3295</v>
      </c>
      <c r="V350" s="86" t="s">
        <v>3296</v>
      </c>
      <c r="W350" s="81" t="s">
        <v>700</v>
      </c>
      <c r="X350" s="16"/>
      <c r="Y350" s="16"/>
      <c r="Z350" s="16"/>
      <c r="AA350" s="16"/>
      <c r="AB350" s="16"/>
      <c r="AC350" s="16"/>
      <c r="AD350"/>
      <c r="AE350"/>
      <c r="AF350"/>
      <c r="AG350"/>
      <c r="AH350"/>
      <c r="AI350"/>
      <c r="AJ350"/>
    </row>
    <row r="351" spans="1:36" s="5" customFormat="1" ht="57">
      <c r="A351" s="17" t="s">
        <v>218</v>
      </c>
      <c r="B351" s="17" t="s">
        <v>389</v>
      </c>
      <c r="C351" s="18" t="s">
        <v>390</v>
      </c>
      <c r="D351" s="18" t="s">
        <v>151</v>
      </c>
      <c r="E351" s="17">
        <v>725</v>
      </c>
      <c r="F351" s="17" t="s">
        <v>753</v>
      </c>
      <c r="G351" s="19" t="s">
        <v>701</v>
      </c>
      <c r="H351" s="17" t="s">
        <v>702</v>
      </c>
      <c r="I351" s="17" t="s">
        <v>104</v>
      </c>
      <c r="J351" s="19" t="s">
        <v>105</v>
      </c>
      <c r="K351" s="19" t="s">
        <v>3292</v>
      </c>
      <c r="L351" s="19" t="s">
        <v>3293</v>
      </c>
      <c r="M351" s="17"/>
      <c r="N351" s="17"/>
      <c r="O351" s="17"/>
      <c r="P351" s="88">
        <v>3.2380000000000004</v>
      </c>
      <c r="Q351" s="88">
        <v>1.3839999999999999</v>
      </c>
      <c r="R351" s="17">
        <v>0</v>
      </c>
      <c r="S351" s="66">
        <v>616.97856755177384</v>
      </c>
      <c r="T351" s="19" t="s">
        <v>3294</v>
      </c>
      <c r="U351" s="21" t="s">
        <v>3295</v>
      </c>
      <c r="V351" s="86" t="s">
        <v>3296</v>
      </c>
      <c r="W351" s="81" t="s">
        <v>700</v>
      </c>
      <c r="X351" s="16"/>
      <c r="Y351" s="16"/>
      <c r="Z351" s="16"/>
      <c r="AA351" s="16"/>
      <c r="AB351" s="16"/>
      <c r="AC351" s="16"/>
      <c r="AD351"/>
      <c r="AE351"/>
      <c r="AF351"/>
      <c r="AG351"/>
      <c r="AH351"/>
      <c r="AI351"/>
      <c r="AJ351"/>
    </row>
    <row r="352" spans="1:36" s="5" customFormat="1" ht="57">
      <c r="A352" s="17" t="s">
        <v>218</v>
      </c>
      <c r="B352" s="17" t="s">
        <v>389</v>
      </c>
      <c r="C352" s="18" t="s">
        <v>390</v>
      </c>
      <c r="D352" s="18" t="s">
        <v>151</v>
      </c>
      <c r="E352" s="17">
        <v>725</v>
      </c>
      <c r="F352" s="17" t="s">
        <v>753</v>
      </c>
      <c r="G352" s="19" t="s">
        <v>701</v>
      </c>
      <c r="H352" s="17" t="s">
        <v>702</v>
      </c>
      <c r="I352" s="17" t="s">
        <v>104</v>
      </c>
      <c r="J352" s="19" t="s">
        <v>105</v>
      </c>
      <c r="K352" s="19" t="s">
        <v>3292</v>
      </c>
      <c r="L352" s="19" t="s">
        <v>3293</v>
      </c>
      <c r="M352" s="17"/>
      <c r="N352" s="17"/>
      <c r="O352" s="17"/>
      <c r="P352" s="88">
        <v>3.1149999999999998</v>
      </c>
      <c r="Q352" s="88">
        <v>1.4220000000000002</v>
      </c>
      <c r="R352" s="17">
        <v>0</v>
      </c>
      <c r="S352" s="66">
        <v>604.98076931049764</v>
      </c>
      <c r="T352" s="19" t="s">
        <v>3294</v>
      </c>
      <c r="U352" s="21" t="s">
        <v>3295</v>
      </c>
      <c r="V352" s="86" t="s">
        <v>3296</v>
      </c>
      <c r="W352" s="81" t="s">
        <v>700</v>
      </c>
      <c r="X352" s="16"/>
      <c r="Y352" s="16"/>
      <c r="Z352" s="16"/>
      <c r="AA352" s="16"/>
      <c r="AB352" s="16"/>
      <c r="AC352" s="16"/>
      <c r="AD352"/>
      <c r="AE352"/>
      <c r="AF352"/>
      <c r="AG352"/>
      <c r="AH352"/>
      <c r="AI352"/>
      <c r="AJ352"/>
    </row>
    <row r="353" spans="1:137" s="5" customFormat="1" ht="57">
      <c r="A353" s="17" t="s">
        <v>218</v>
      </c>
      <c r="B353" s="17" t="s">
        <v>389</v>
      </c>
      <c r="C353" s="18" t="s">
        <v>390</v>
      </c>
      <c r="D353" s="18" t="s">
        <v>151</v>
      </c>
      <c r="E353" s="17">
        <v>725</v>
      </c>
      <c r="F353" s="17" t="s">
        <v>753</v>
      </c>
      <c r="G353" s="19" t="s">
        <v>701</v>
      </c>
      <c r="H353" s="17" t="s">
        <v>702</v>
      </c>
      <c r="I353" s="17" t="s">
        <v>104</v>
      </c>
      <c r="J353" s="19" t="s">
        <v>105</v>
      </c>
      <c r="K353" s="19" t="s">
        <v>3292</v>
      </c>
      <c r="L353" s="19" t="s">
        <v>3293</v>
      </c>
      <c r="M353" s="17"/>
      <c r="N353" s="17"/>
      <c r="O353" s="17"/>
      <c r="P353" s="88">
        <v>3.0870000000000002</v>
      </c>
      <c r="Q353" s="88">
        <v>1.4159999999999999</v>
      </c>
      <c r="R353" s="17">
        <v>0</v>
      </c>
      <c r="S353" s="66">
        <v>591.59970623803974</v>
      </c>
      <c r="T353" s="19" t="s">
        <v>3294</v>
      </c>
      <c r="U353" s="21" t="s">
        <v>3295</v>
      </c>
      <c r="V353" s="86" t="s">
        <v>3296</v>
      </c>
      <c r="W353" s="81" t="s">
        <v>700</v>
      </c>
      <c r="X353" s="16"/>
      <c r="Y353" s="16"/>
      <c r="Z353" s="16"/>
      <c r="AA353" s="16"/>
      <c r="AB353" s="16"/>
      <c r="AC353" s="16"/>
      <c r="AD353"/>
      <c r="AE353"/>
      <c r="AF353"/>
      <c r="AG353"/>
      <c r="AH353"/>
      <c r="AI353"/>
      <c r="AJ353"/>
    </row>
    <row r="354" spans="1:137" s="5" customFormat="1" ht="57">
      <c r="A354" s="17" t="s">
        <v>218</v>
      </c>
      <c r="B354" s="17" t="s">
        <v>389</v>
      </c>
      <c r="C354" s="18" t="s">
        <v>390</v>
      </c>
      <c r="D354" s="18" t="s">
        <v>151</v>
      </c>
      <c r="E354" s="17">
        <v>725</v>
      </c>
      <c r="F354" s="17" t="s">
        <v>753</v>
      </c>
      <c r="G354" s="19" t="s">
        <v>701</v>
      </c>
      <c r="H354" s="17" t="s">
        <v>702</v>
      </c>
      <c r="I354" s="17" t="s">
        <v>104</v>
      </c>
      <c r="J354" s="19" t="s">
        <v>105</v>
      </c>
      <c r="K354" s="19" t="s">
        <v>3292</v>
      </c>
      <c r="L354" s="19" t="s">
        <v>3293</v>
      </c>
      <c r="M354" s="17"/>
      <c r="N354" s="17"/>
      <c r="O354" s="17"/>
      <c r="P354" s="88">
        <v>3.1420000000000003</v>
      </c>
      <c r="Q354" s="88">
        <v>1.3859999999999999</v>
      </c>
      <c r="R354" s="17">
        <v>0</v>
      </c>
      <c r="S354" s="66">
        <v>587.86454347074323</v>
      </c>
      <c r="T354" s="19" t="s">
        <v>3294</v>
      </c>
      <c r="U354" s="21" t="s">
        <v>3295</v>
      </c>
      <c r="V354" s="86" t="s">
        <v>3296</v>
      </c>
      <c r="W354" s="81" t="s">
        <v>700</v>
      </c>
      <c r="X354" s="16"/>
      <c r="Y354" s="16"/>
      <c r="Z354" s="16"/>
      <c r="AA354" s="16"/>
      <c r="AB354" s="16"/>
      <c r="AC354" s="16"/>
      <c r="AD354"/>
      <c r="AE354"/>
      <c r="AF354"/>
      <c r="AG354"/>
      <c r="AH354"/>
      <c r="AI354"/>
      <c r="AJ354"/>
    </row>
    <row r="355" spans="1:137" s="5" customFormat="1" ht="57">
      <c r="A355" s="17" t="s">
        <v>218</v>
      </c>
      <c r="B355" s="17" t="s">
        <v>389</v>
      </c>
      <c r="C355" s="18" t="s">
        <v>390</v>
      </c>
      <c r="D355" s="18" t="s">
        <v>151</v>
      </c>
      <c r="E355" s="17">
        <v>725</v>
      </c>
      <c r="F355" s="17" t="s">
        <v>753</v>
      </c>
      <c r="G355" s="19" t="s">
        <v>701</v>
      </c>
      <c r="H355" s="17" t="s">
        <v>702</v>
      </c>
      <c r="I355" s="17" t="s">
        <v>104</v>
      </c>
      <c r="J355" s="19" t="s">
        <v>105</v>
      </c>
      <c r="K355" s="19" t="s">
        <v>3292</v>
      </c>
      <c r="L355" s="19" t="s">
        <v>3293</v>
      </c>
      <c r="M355" s="17"/>
      <c r="N355" s="17"/>
      <c r="O355" s="17"/>
      <c r="P355" s="88">
        <v>3.4929999999999999</v>
      </c>
      <c r="Q355" s="88">
        <v>1.244</v>
      </c>
      <c r="R355" s="17">
        <v>0</v>
      </c>
      <c r="S355" s="66">
        <v>585.69810847894507</v>
      </c>
      <c r="T355" s="19" t="s">
        <v>3294</v>
      </c>
      <c r="U355" s="21" t="s">
        <v>3295</v>
      </c>
      <c r="V355" s="86" t="s">
        <v>3296</v>
      </c>
      <c r="W355" s="81" t="s">
        <v>700</v>
      </c>
      <c r="X355" s="16"/>
      <c r="Y355" s="16"/>
      <c r="Z355" s="16"/>
      <c r="AA355" s="16"/>
      <c r="AB355" s="16"/>
      <c r="AC355" s="16"/>
      <c r="AD355"/>
      <c r="AE355"/>
      <c r="AF355"/>
      <c r="AG355"/>
      <c r="AH355"/>
      <c r="AI355"/>
      <c r="AJ355"/>
    </row>
    <row r="356" spans="1:137" s="5" customFormat="1" ht="57">
      <c r="A356" s="17" t="s">
        <v>218</v>
      </c>
      <c r="B356" s="17" t="s">
        <v>389</v>
      </c>
      <c r="C356" s="18" t="s">
        <v>390</v>
      </c>
      <c r="D356" s="18" t="s">
        <v>151</v>
      </c>
      <c r="E356" s="17">
        <v>725</v>
      </c>
      <c r="F356" s="17" t="s">
        <v>753</v>
      </c>
      <c r="G356" s="19" t="s">
        <v>701</v>
      </c>
      <c r="H356" s="17" t="s">
        <v>702</v>
      </c>
      <c r="I356" s="17" t="s">
        <v>104</v>
      </c>
      <c r="J356" s="19" t="s">
        <v>105</v>
      </c>
      <c r="K356" s="19" t="s">
        <v>3292</v>
      </c>
      <c r="L356" s="19" t="s">
        <v>3293</v>
      </c>
      <c r="M356" s="17"/>
      <c r="N356" s="17"/>
      <c r="O356" s="17"/>
      <c r="P356" s="88">
        <v>2.8440000000000003</v>
      </c>
      <c r="Q356" s="88">
        <v>1.5029999999999999</v>
      </c>
      <c r="R356" s="17">
        <v>0</v>
      </c>
      <c r="S356" s="66">
        <v>569.69776114071294</v>
      </c>
      <c r="T356" s="19" t="s">
        <v>3294</v>
      </c>
      <c r="U356" s="21" t="s">
        <v>3295</v>
      </c>
      <c r="V356" s="86" t="s">
        <v>3296</v>
      </c>
      <c r="W356" s="81" t="s">
        <v>700</v>
      </c>
      <c r="X356" s="16"/>
      <c r="Y356" s="16"/>
      <c r="Z356" s="16"/>
      <c r="AA356" s="16"/>
      <c r="AB356" s="16"/>
      <c r="AC356" s="16"/>
      <c r="AD356"/>
      <c r="AE356"/>
      <c r="AF356"/>
      <c r="AG356"/>
      <c r="AH356"/>
      <c r="AI356"/>
      <c r="AJ356"/>
    </row>
    <row r="357" spans="1:137" s="71" customFormat="1" ht="57">
      <c r="A357" s="17" t="s">
        <v>218</v>
      </c>
      <c r="B357" s="17" t="s">
        <v>389</v>
      </c>
      <c r="C357" s="18" t="s">
        <v>390</v>
      </c>
      <c r="D357" s="18" t="s">
        <v>151</v>
      </c>
      <c r="E357" s="17">
        <v>725</v>
      </c>
      <c r="F357" s="17" t="s">
        <v>753</v>
      </c>
      <c r="G357" s="19" t="s">
        <v>701</v>
      </c>
      <c r="H357" s="17" t="s">
        <v>702</v>
      </c>
      <c r="I357" s="17" t="s">
        <v>104</v>
      </c>
      <c r="J357" s="19" t="s">
        <v>105</v>
      </c>
      <c r="K357" s="19" t="s">
        <v>3292</v>
      </c>
      <c r="L357" s="19" t="s">
        <v>3293</v>
      </c>
      <c r="M357" s="17"/>
      <c r="N357" s="17"/>
      <c r="O357" s="17"/>
      <c r="P357" s="88">
        <v>2.9350000000000001</v>
      </c>
      <c r="Q357" s="88">
        <v>1.4289999999999998</v>
      </c>
      <c r="R357" s="17">
        <v>0</v>
      </c>
      <c r="S357" s="66">
        <v>551.73349210807703</v>
      </c>
      <c r="T357" s="19" t="s">
        <v>3294</v>
      </c>
      <c r="U357" s="21" t="s">
        <v>3295</v>
      </c>
      <c r="V357" s="86" t="s">
        <v>3296</v>
      </c>
      <c r="W357" s="81" t="s">
        <v>700</v>
      </c>
      <c r="X357" s="16"/>
      <c r="Y357" s="16"/>
      <c r="Z357" s="16"/>
      <c r="AA357" s="16"/>
      <c r="AB357" s="16"/>
      <c r="AC357" s="16"/>
      <c r="AD357"/>
      <c r="AE357"/>
      <c r="AF357"/>
      <c r="AG357"/>
      <c r="AH357"/>
      <c r="AI357"/>
      <c r="AJ357"/>
      <c r="AK357" s="5"/>
      <c r="AL357" s="5"/>
      <c r="AM357" s="5"/>
      <c r="AN357" s="5"/>
      <c r="AO357" s="5"/>
      <c r="AP357" s="5"/>
      <c r="AQ357" s="5"/>
      <c r="AR357" s="5"/>
      <c r="AS357" s="5"/>
      <c r="AT357" s="5"/>
      <c r="AU357" s="5"/>
      <c r="AV357" s="5"/>
      <c r="AW357" s="5"/>
      <c r="AX357" s="5"/>
      <c r="AY357" s="5"/>
      <c r="AZ357" s="5"/>
      <c r="BA357" s="5"/>
      <c r="BB357" s="5"/>
      <c r="BC357" s="5"/>
      <c r="BD357" s="5"/>
      <c r="BE357" s="5"/>
      <c r="BF357" s="5"/>
      <c r="BG357" s="5"/>
      <c r="BH357" s="5"/>
      <c r="BI357" s="5"/>
      <c r="BJ357" s="5"/>
      <c r="BK357" s="5"/>
      <c r="BL357" s="5"/>
      <c r="BM357" s="5"/>
      <c r="BN357" s="5"/>
      <c r="BO357" s="5"/>
      <c r="BP357" s="5"/>
      <c r="BQ357" s="5"/>
      <c r="BR357" s="5"/>
      <c r="BS357" s="5"/>
      <c r="BT357" s="5"/>
      <c r="BU357" s="5"/>
      <c r="BV357" s="5"/>
      <c r="BW357" s="5"/>
      <c r="BX357" s="5"/>
      <c r="BY357" s="5"/>
      <c r="BZ357" s="5"/>
      <c r="CA357" s="5"/>
      <c r="CB357" s="5"/>
      <c r="CC357" s="5"/>
      <c r="CD357" s="5"/>
      <c r="CE357" s="5"/>
      <c r="CF357" s="5"/>
      <c r="CG357" s="5"/>
      <c r="CH357" s="5"/>
      <c r="CI357" s="5"/>
      <c r="CJ357" s="5"/>
      <c r="CK357" s="5"/>
      <c r="CL357" s="5"/>
      <c r="CM357" s="5"/>
      <c r="CN357" s="5"/>
      <c r="CO357" s="5"/>
      <c r="CP357" s="5"/>
      <c r="CQ357" s="5"/>
      <c r="CR357" s="5"/>
      <c r="CS357" s="5"/>
      <c r="CT357" s="5"/>
      <c r="CU357" s="5"/>
      <c r="CV357" s="5"/>
      <c r="CW357" s="5"/>
      <c r="CX357" s="5"/>
      <c r="CY357" s="5"/>
      <c r="CZ357" s="5"/>
      <c r="DA357" s="5"/>
      <c r="DB357" s="5"/>
      <c r="DC357" s="5"/>
      <c r="DD357" s="5"/>
      <c r="DE357" s="5"/>
      <c r="DF357" s="5"/>
      <c r="DG357" s="5"/>
      <c r="DH357" s="5"/>
      <c r="DI357" s="5"/>
      <c r="DJ357" s="5"/>
      <c r="DK357" s="5"/>
      <c r="DL357" s="5"/>
      <c r="DM357" s="5"/>
      <c r="DN357" s="5"/>
      <c r="DO357" s="5"/>
      <c r="DP357" s="5"/>
      <c r="DQ357" s="5"/>
      <c r="DR357" s="5"/>
      <c r="DS357" s="5"/>
      <c r="DT357" s="5"/>
      <c r="DU357" s="5"/>
      <c r="DV357" s="5"/>
      <c r="DW357" s="5"/>
      <c r="DX357" s="5"/>
      <c r="DY357" s="5"/>
      <c r="DZ357" s="5"/>
      <c r="EA357" s="5"/>
      <c r="EB357" s="5"/>
      <c r="EC357" s="5"/>
      <c r="ED357" s="5"/>
      <c r="EE357" s="5"/>
      <c r="EF357" s="5"/>
      <c r="EG357" s="5"/>
    </row>
    <row r="358" spans="1:137" s="5" customFormat="1" ht="57">
      <c r="A358" s="17" t="s">
        <v>218</v>
      </c>
      <c r="B358" s="17" t="s">
        <v>389</v>
      </c>
      <c r="C358" s="18" t="s">
        <v>390</v>
      </c>
      <c r="D358" s="18" t="s">
        <v>151</v>
      </c>
      <c r="E358" s="17">
        <v>725</v>
      </c>
      <c r="F358" s="17" t="s">
        <v>753</v>
      </c>
      <c r="G358" s="19" t="s">
        <v>701</v>
      </c>
      <c r="H358" s="17" t="s">
        <v>702</v>
      </c>
      <c r="I358" s="17" t="s">
        <v>104</v>
      </c>
      <c r="J358" s="19" t="s">
        <v>105</v>
      </c>
      <c r="K358" s="19" t="s">
        <v>3292</v>
      </c>
      <c r="L358" s="19" t="s">
        <v>3293</v>
      </c>
      <c r="M358" s="17"/>
      <c r="N358" s="17"/>
      <c r="O358" s="17"/>
      <c r="P358" s="88">
        <v>3.0350000000000001</v>
      </c>
      <c r="Q358" s="88">
        <v>1.3119999999999998</v>
      </c>
      <c r="R358" s="17">
        <v>0</v>
      </c>
      <c r="S358" s="66">
        <v>505.46390702398105</v>
      </c>
      <c r="T358" s="19" t="s">
        <v>3294</v>
      </c>
      <c r="U358" s="21" t="s">
        <v>3295</v>
      </c>
      <c r="V358" s="86" t="s">
        <v>3296</v>
      </c>
      <c r="W358" s="81" t="s">
        <v>700</v>
      </c>
      <c r="X358" s="16"/>
      <c r="Y358" s="16"/>
      <c r="Z358" s="16"/>
      <c r="AA358" s="16"/>
      <c r="AB358" s="16"/>
      <c r="AC358" s="16"/>
      <c r="AD358"/>
      <c r="AE358"/>
      <c r="AF358"/>
      <c r="AG358"/>
      <c r="AH358"/>
      <c r="AI358"/>
      <c r="AJ358"/>
    </row>
    <row r="359" spans="1:137" s="5" customFormat="1" ht="57">
      <c r="A359" s="17" t="s">
        <v>218</v>
      </c>
      <c r="B359" s="17" t="s">
        <v>389</v>
      </c>
      <c r="C359" s="18" t="s">
        <v>390</v>
      </c>
      <c r="D359" s="18" t="s">
        <v>151</v>
      </c>
      <c r="E359" s="17">
        <v>45819</v>
      </c>
      <c r="F359" s="17" t="s">
        <v>970</v>
      </c>
      <c r="G359" s="19" t="s">
        <v>968</v>
      </c>
      <c r="H359" s="17" t="s">
        <v>969</v>
      </c>
      <c r="I359" s="17" t="s">
        <v>104</v>
      </c>
      <c r="J359" s="19" t="s">
        <v>105</v>
      </c>
      <c r="K359" s="19" t="s">
        <v>3316</v>
      </c>
      <c r="L359" s="19" t="s">
        <v>159</v>
      </c>
      <c r="M359" s="17"/>
      <c r="N359" s="17"/>
      <c r="O359" s="17"/>
      <c r="P359" s="88">
        <v>4.5619999999999994</v>
      </c>
      <c r="Q359" s="88">
        <v>2.4750000000000001</v>
      </c>
      <c r="R359" s="17">
        <v>0</v>
      </c>
      <c r="S359" s="66">
        <v>641.96863759609812</v>
      </c>
      <c r="T359" s="19" t="s">
        <v>3317</v>
      </c>
      <c r="U359" s="21">
        <v>0.88</v>
      </c>
      <c r="V359" s="86">
        <v>44.9</v>
      </c>
      <c r="W359" s="81" t="s">
        <v>3287</v>
      </c>
      <c r="X359" s="16"/>
      <c r="Y359" s="16"/>
      <c r="Z359" s="16"/>
      <c r="AA359" s="16"/>
      <c r="AB359" s="16"/>
      <c r="AC359" s="16"/>
      <c r="AD359"/>
      <c r="AE359"/>
      <c r="AF359"/>
      <c r="AG359"/>
      <c r="AH359"/>
      <c r="AI359"/>
      <c r="AJ359"/>
    </row>
    <row r="360" spans="1:137" s="5" customFormat="1" ht="57">
      <c r="A360" s="17" t="s">
        <v>218</v>
      </c>
      <c r="B360" s="17" t="s">
        <v>389</v>
      </c>
      <c r="C360" s="18" t="s">
        <v>390</v>
      </c>
      <c r="D360" s="18" t="s">
        <v>589</v>
      </c>
      <c r="E360" s="17">
        <v>31141</v>
      </c>
      <c r="F360" s="17">
        <v>49</v>
      </c>
      <c r="G360" s="19" t="s">
        <v>669</v>
      </c>
      <c r="H360" s="17" t="s">
        <v>111</v>
      </c>
      <c r="I360" s="17" t="s">
        <v>104</v>
      </c>
      <c r="J360" s="19" t="s">
        <v>105</v>
      </c>
      <c r="K360" s="19" t="s">
        <v>155</v>
      </c>
      <c r="L360" s="19" t="s">
        <v>3285</v>
      </c>
      <c r="M360" s="17" t="s">
        <v>114</v>
      </c>
      <c r="N360" s="17"/>
      <c r="O360" s="17"/>
      <c r="P360" s="88">
        <v>3.0750000000000002</v>
      </c>
      <c r="Q360" s="88">
        <v>1.8239999999999998</v>
      </c>
      <c r="R360" s="17">
        <v>0</v>
      </c>
      <c r="S360" s="66">
        <v>283.99123160321625</v>
      </c>
      <c r="T360" s="19" t="s">
        <v>3286</v>
      </c>
      <c r="U360" s="21">
        <v>0.92</v>
      </c>
      <c r="V360" s="86">
        <v>41.2</v>
      </c>
      <c r="W360" s="81" t="s">
        <v>3287</v>
      </c>
      <c r="X360" s="16"/>
      <c r="Y360" s="16"/>
      <c r="Z360" s="16"/>
      <c r="AA360" s="16"/>
      <c r="AB360" s="16"/>
      <c r="AC360" s="16"/>
      <c r="AD360"/>
      <c r="AE360"/>
      <c r="AF360"/>
      <c r="AG360"/>
      <c r="AH360"/>
      <c r="AI360"/>
      <c r="AJ360"/>
      <c r="AK360" s="16"/>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16"/>
      <c r="BH360" s="16"/>
      <c r="BI360" s="16"/>
      <c r="BJ360" s="16"/>
      <c r="BK360" s="16"/>
      <c r="BL360" s="16"/>
      <c r="BM360" s="16"/>
      <c r="BN360" s="16"/>
      <c r="BO360" s="16"/>
      <c r="BP360" s="16"/>
      <c r="BQ360" s="16"/>
      <c r="BR360" s="16"/>
      <c r="BS360" s="16"/>
      <c r="BT360" s="16"/>
      <c r="BU360" s="16"/>
      <c r="BV360" s="16"/>
    </row>
    <row r="361" spans="1:137" s="5" customFormat="1" ht="95">
      <c r="A361" s="17" t="s">
        <v>218</v>
      </c>
      <c r="B361" s="17" t="s">
        <v>389</v>
      </c>
      <c r="C361" s="18" t="s">
        <v>390</v>
      </c>
      <c r="D361" s="18" t="s">
        <v>589</v>
      </c>
      <c r="E361" s="17">
        <v>31009</v>
      </c>
      <c r="F361" s="17">
        <v>25</v>
      </c>
      <c r="G361" s="19" t="s">
        <v>926</v>
      </c>
      <c r="H361" s="17" t="s">
        <v>171</v>
      </c>
      <c r="I361" s="17" t="s">
        <v>104</v>
      </c>
      <c r="J361" s="19" t="s">
        <v>105</v>
      </c>
      <c r="K361" s="19" t="s">
        <v>143</v>
      </c>
      <c r="L361" s="19" t="s">
        <v>1531</v>
      </c>
      <c r="M361" s="17" t="s">
        <v>108</v>
      </c>
      <c r="N361" s="17"/>
      <c r="O361" s="17"/>
      <c r="P361" s="88">
        <v>3.585</v>
      </c>
      <c r="Q361" s="88">
        <v>2.13</v>
      </c>
      <c r="R361" s="17">
        <v>0</v>
      </c>
      <c r="S361" s="66">
        <v>645.49730859008582</v>
      </c>
      <c r="T361" s="19" t="s">
        <v>3266</v>
      </c>
      <c r="U361" s="21">
        <v>0.93100000000000005</v>
      </c>
      <c r="V361" s="86">
        <v>32.4</v>
      </c>
      <c r="W361" s="81" t="s">
        <v>3267</v>
      </c>
      <c r="X361" s="16"/>
      <c r="Y361" s="16"/>
      <c r="Z361" s="16"/>
      <c r="AA361" s="16"/>
      <c r="AB361" s="16"/>
      <c r="AC361" s="16"/>
      <c r="AD361"/>
      <c r="AE361"/>
      <c r="AF361"/>
      <c r="AG361"/>
      <c r="AH361"/>
      <c r="AI361"/>
      <c r="AJ361"/>
    </row>
    <row r="362" spans="1:137" s="5" customFormat="1" ht="76">
      <c r="A362" s="17" t="s">
        <v>218</v>
      </c>
      <c r="B362" s="17" t="s">
        <v>389</v>
      </c>
      <c r="C362" s="18" t="s">
        <v>390</v>
      </c>
      <c r="D362" s="18" t="s">
        <v>589</v>
      </c>
      <c r="E362" s="17">
        <v>937</v>
      </c>
      <c r="F362" s="17">
        <v>38</v>
      </c>
      <c r="G362" s="19" t="s">
        <v>706</v>
      </c>
      <c r="H362" s="17" t="s">
        <v>707</v>
      </c>
      <c r="I362" s="17" t="s">
        <v>104</v>
      </c>
      <c r="J362" s="19" t="s">
        <v>105</v>
      </c>
      <c r="K362" s="19" t="s">
        <v>3280</v>
      </c>
      <c r="L362" s="19" t="s">
        <v>3281</v>
      </c>
      <c r="M362" s="17"/>
      <c r="N362" s="17"/>
      <c r="O362" s="17"/>
      <c r="P362" s="88">
        <v>2.82</v>
      </c>
      <c r="Q362" s="88">
        <v>1.75</v>
      </c>
      <c r="R362" s="17">
        <v>0</v>
      </c>
      <c r="S362" s="66">
        <v>497.27807583185245</v>
      </c>
      <c r="T362" s="19" t="s">
        <v>3282</v>
      </c>
      <c r="U362" s="21" t="s">
        <v>3283</v>
      </c>
      <c r="V362" s="86" t="s">
        <v>3284</v>
      </c>
      <c r="W362" s="81" t="s">
        <v>726</v>
      </c>
      <c r="X362" s="16"/>
      <c r="Y362" s="16"/>
      <c r="Z362" s="16"/>
      <c r="AA362" s="16"/>
      <c r="AB362" s="16"/>
      <c r="AC362" s="16"/>
      <c r="AD362"/>
      <c r="AE362"/>
      <c r="AF362"/>
      <c r="AG362"/>
      <c r="AH362"/>
      <c r="AI362"/>
      <c r="AJ362"/>
    </row>
    <row r="363" spans="1:137" s="5" customFormat="1" ht="57">
      <c r="A363" s="72" t="s">
        <v>218</v>
      </c>
      <c r="B363" s="72" t="s">
        <v>389</v>
      </c>
      <c r="C363" s="73" t="s">
        <v>390</v>
      </c>
      <c r="D363" s="73" t="s">
        <v>589</v>
      </c>
      <c r="E363" s="72">
        <v>40450</v>
      </c>
      <c r="F363" s="72">
        <v>2571</v>
      </c>
      <c r="G363" s="87" t="s">
        <v>783</v>
      </c>
      <c r="H363" s="72" t="s">
        <v>784</v>
      </c>
      <c r="I363" s="72" t="s">
        <v>104</v>
      </c>
      <c r="J363" s="87" t="s">
        <v>105</v>
      </c>
      <c r="K363" s="87" t="s">
        <v>3292</v>
      </c>
      <c r="L363" s="87" t="s">
        <v>3293</v>
      </c>
      <c r="M363" s="72" t="s">
        <v>108</v>
      </c>
      <c r="N363" s="72"/>
      <c r="O363" s="72"/>
      <c r="P363" s="93">
        <v>3.4659999999999997</v>
      </c>
      <c r="Q363" s="93">
        <v>1.33</v>
      </c>
      <c r="R363" s="72">
        <v>0</v>
      </c>
      <c r="S363" s="94">
        <v>647.09126015040044</v>
      </c>
      <c r="T363" s="87" t="s">
        <v>3294</v>
      </c>
      <c r="U363" s="95" t="s">
        <v>3295</v>
      </c>
      <c r="V363" s="96" t="s">
        <v>3296</v>
      </c>
      <c r="W363" s="97" t="s">
        <v>700</v>
      </c>
      <c r="X363" s="80"/>
      <c r="Y363" s="80"/>
      <c r="Z363" s="80"/>
      <c r="AA363" s="80"/>
      <c r="AB363" s="80"/>
      <c r="AC363" s="80"/>
      <c r="AD363" s="74"/>
      <c r="AE363" s="74"/>
      <c r="AF363" s="74"/>
      <c r="AG363" s="74"/>
      <c r="AH363" s="74"/>
      <c r="AI363" s="74"/>
      <c r="AJ363" s="74"/>
      <c r="AK363" s="71"/>
      <c r="AL363" s="71"/>
      <c r="AM363" s="71"/>
      <c r="AN363" s="71"/>
      <c r="AO363" s="71"/>
      <c r="AP363" s="71"/>
      <c r="AQ363" s="71"/>
      <c r="AR363" s="71"/>
      <c r="AS363" s="71"/>
      <c r="AT363" s="71"/>
      <c r="AU363" s="71"/>
      <c r="AV363" s="71"/>
      <c r="AW363" s="71"/>
      <c r="AX363" s="71"/>
      <c r="AY363" s="71"/>
      <c r="AZ363" s="71"/>
      <c r="BA363" s="71"/>
      <c r="BB363" s="71"/>
      <c r="BC363" s="71"/>
      <c r="BD363" s="71"/>
      <c r="BE363" s="71"/>
      <c r="BF363" s="71"/>
      <c r="BG363" s="71"/>
      <c r="BH363" s="71"/>
      <c r="BI363" s="71"/>
      <c r="BJ363" s="71"/>
      <c r="BK363" s="71"/>
      <c r="BL363" s="71"/>
      <c r="BM363" s="71"/>
      <c r="BN363" s="71"/>
      <c r="BO363" s="71"/>
      <c r="BP363" s="71"/>
      <c r="BQ363" s="71"/>
      <c r="BR363" s="71"/>
      <c r="BS363" s="71"/>
      <c r="BT363" s="71"/>
      <c r="BU363" s="71"/>
      <c r="BV363" s="71"/>
      <c r="BW363" s="71"/>
      <c r="BX363" s="71"/>
      <c r="BY363" s="71"/>
      <c r="BZ363" s="71"/>
      <c r="CA363" s="71"/>
      <c r="CB363" s="71"/>
      <c r="CC363" s="71"/>
      <c r="CD363" s="71"/>
      <c r="CE363" s="71"/>
      <c r="CF363" s="71"/>
      <c r="CG363" s="71"/>
      <c r="CH363" s="71"/>
      <c r="CI363" s="71"/>
      <c r="CJ363" s="71"/>
      <c r="CK363" s="71"/>
      <c r="CL363" s="71"/>
      <c r="CM363" s="71"/>
      <c r="CN363" s="71"/>
      <c r="CO363" s="71"/>
      <c r="CP363" s="71"/>
      <c r="CQ363" s="71"/>
      <c r="CR363" s="71"/>
      <c r="CS363" s="71"/>
      <c r="CT363" s="71"/>
      <c r="CU363" s="71"/>
      <c r="CV363" s="71"/>
      <c r="CW363" s="71"/>
      <c r="CX363" s="71"/>
      <c r="CY363" s="71"/>
      <c r="CZ363" s="71"/>
      <c r="DA363" s="71"/>
      <c r="DB363" s="71"/>
      <c r="DC363" s="71"/>
      <c r="DD363" s="71"/>
      <c r="DE363" s="71"/>
      <c r="DF363" s="71"/>
      <c r="DG363" s="71"/>
      <c r="DH363" s="71"/>
      <c r="DI363" s="71"/>
      <c r="DJ363" s="71"/>
      <c r="DK363" s="71"/>
      <c r="DL363" s="71"/>
      <c r="DM363" s="71"/>
      <c r="DN363" s="71"/>
      <c r="DO363" s="71"/>
      <c r="DP363" s="71"/>
      <c r="DQ363" s="71"/>
      <c r="DR363" s="71"/>
      <c r="DS363" s="71"/>
      <c r="DT363" s="71"/>
      <c r="DU363" s="71"/>
      <c r="DV363" s="71"/>
      <c r="DW363" s="71"/>
      <c r="DX363" s="71"/>
      <c r="DY363" s="71"/>
      <c r="DZ363" s="71"/>
      <c r="EA363" s="71"/>
      <c r="EB363" s="71"/>
      <c r="EC363" s="71"/>
      <c r="ED363" s="71"/>
      <c r="EE363" s="71"/>
      <c r="EF363" s="71"/>
      <c r="EG363" s="71"/>
    </row>
    <row r="364" spans="1:137" s="5" customFormat="1" ht="95">
      <c r="A364" s="17" t="s">
        <v>218</v>
      </c>
      <c r="B364" s="17" t="s">
        <v>389</v>
      </c>
      <c r="C364" s="18" t="s">
        <v>390</v>
      </c>
      <c r="D364" s="18" t="s">
        <v>589</v>
      </c>
      <c r="E364" s="17">
        <v>933</v>
      </c>
      <c r="F364" s="17">
        <v>330</v>
      </c>
      <c r="G364" s="19" t="s">
        <v>102</v>
      </c>
      <c r="H364" s="17" t="s">
        <v>103</v>
      </c>
      <c r="I364" s="17" t="s">
        <v>104</v>
      </c>
      <c r="J364" s="19" t="s">
        <v>105</v>
      </c>
      <c r="K364" s="19" t="s">
        <v>143</v>
      </c>
      <c r="L364" s="19" t="s">
        <v>1531</v>
      </c>
      <c r="M364" s="17" t="s">
        <v>108</v>
      </c>
      <c r="N364" s="17"/>
      <c r="O364" s="17"/>
      <c r="P364" s="88">
        <v>3.9530000000000003</v>
      </c>
      <c r="Q364" s="88">
        <v>1.569</v>
      </c>
      <c r="R364" s="17">
        <v>0</v>
      </c>
      <c r="S364" s="66">
        <v>450.0712589386693</v>
      </c>
      <c r="T364" s="19" t="s">
        <v>3266</v>
      </c>
      <c r="U364" s="21">
        <v>0.93100000000000005</v>
      </c>
      <c r="V364" s="86">
        <v>32.4</v>
      </c>
      <c r="W364" s="81" t="s">
        <v>3267</v>
      </c>
      <c r="X364" s="16"/>
      <c r="Y364" s="16"/>
      <c r="Z364" s="16"/>
      <c r="AA364" s="16"/>
      <c r="AB364" s="16"/>
      <c r="AC364" s="16"/>
      <c r="AD364"/>
      <c r="AE364"/>
      <c r="AF364"/>
      <c r="AG364"/>
      <c r="AH364"/>
      <c r="AI364"/>
      <c r="AJ364"/>
    </row>
    <row r="365" spans="1:137" s="5" customFormat="1" ht="57">
      <c r="A365" s="17" t="s">
        <v>218</v>
      </c>
      <c r="B365" s="17" t="s">
        <v>389</v>
      </c>
      <c r="C365" s="18" t="s">
        <v>390</v>
      </c>
      <c r="D365" s="18" t="s">
        <v>589</v>
      </c>
      <c r="E365" s="17">
        <v>933</v>
      </c>
      <c r="F365" s="17">
        <v>3335</v>
      </c>
      <c r="G365" s="19" t="s">
        <v>102</v>
      </c>
      <c r="H365" s="17" t="s">
        <v>103</v>
      </c>
      <c r="I365" s="17" t="s">
        <v>104</v>
      </c>
      <c r="J365" s="19" t="s">
        <v>105</v>
      </c>
      <c r="K365" s="19" t="s">
        <v>3258</v>
      </c>
      <c r="L365" s="19" t="s">
        <v>3259</v>
      </c>
      <c r="M365" s="17" t="s">
        <v>108</v>
      </c>
      <c r="N365" s="17"/>
      <c r="O365" s="17"/>
      <c r="P365" s="88">
        <v>6.827</v>
      </c>
      <c r="Q365" s="88">
        <v>3.992</v>
      </c>
      <c r="R365" s="17">
        <v>0</v>
      </c>
      <c r="S365" s="66">
        <v>706.2229336794768</v>
      </c>
      <c r="T365" s="19" t="s">
        <v>3260</v>
      </c>
      <c r="U365" s="21">
        <v>0.94199999999999995</v>
      </c>
      <c r="V365" s="86">
        <v>22</v>
      </c>
      <c r="W365" s="81" t="s">
        <v>694</v>
      </c>
      <c r="X365" s="16"/>
      <c r="Y365" s="16"/>
      <c r="Z365" s="16"/>
      <c r="AA365" s="16"/>
      <c r="AB365" s="16"/>
      <c r="AC365" s="16"/>
      <c r="AD365"/>
      <c r="AE365"/>
      <c r="AF365"/>
      <c r="AG365"/>
      <c r="AH365"/>
      <c r="AI365"/>
      <c r="AJ365"/>
      <c r="EC365" s="25"/>
      <c r="ED365" s="25"/>
      <c r="EE365" s="25"/>
      <c r="EF365" s="25"/>
      <c r="EG365" s="25"/>
    </row>
    <row r="366" spans="1:137" s="5" customFormat="1" ht="57">
      <c r="A366" s="17" t="s">
        <v>218</v>
      </c>
      <c r="B366" s="17" t="s">
        <v>389</v>
      </c>
      <c r="C366" s="18" t="s">
        <v>390</v>
      </c>
      <c r="D366" s="18" t="s">
        <v>589</v>
      </c>
      <c r="E366" s="17">
        <v>933</v>
      </c>
      <c r="F366" s="17">
        <v>3403</v>
      </c>
      <c r="G366" s="19" t="s">
        <v>102</v>
      </c>
      <c r="H366" s="17" t="s">
        <v>103</v>
      </c>
      <c r="I366" s="17" t="s">
        <v>104</v>
      </c>
      <c r="J366" s="19" t="s">
        <v>105</v>
      </c>
      <c r="K366" s="19" t="s">
        <v>158</v>
      </c>
      <c r="L366" s="19" t="s">
        <v>159</v>
      </c>
      <c r="M366" s="17" t="s">
        <v>108</v>
      </c>
      <c r="N366" s="17"/>
      <c r="O366" s="17"/>
      <c r="P366" s="88">
        <v>3.8740000000000001</v>
      </c>
      <c r="Q366" s="88">
        <v>2.2039999999999997</v>
      </c>
      <c r="R366" s="17">
        <v>0</v>
      </c>
      <c r="S366" s="66">
        <v>425.71178569460488</v>
      </c>
      <c r="T366" s="19" t="s">
        <v>3317</v>
      </c>
      <c r="U366" s="21">
        <v>0.88</v>
      </c>
      <c r="V366" s="86">
        <v>44.9</v>
      </c>
      <c r="W366" s="81" t="s">
        <v>3287</v>
      </c>
      <c r="X366" s="16"/>
      <c r="Y366" s="16"/>
      <c r="Z366" s="16"/>
      <c r="AA366" s="16"/>
      <c r="AB366" s="16"/>
      <c r="AC366" s="16"/>
      <c r="AD366"/>
      <c r="AE366"/>
      <c r="AF366"/>
      <c r="AG366"/>
      <c r="AH366"/>
      <c r="AI366"/>
      <c r="AJ366"/>
    </row>
    <row r="367" spans="1:137" s="5" customFormat="1" ht="57">
      <c r="A367" s="17" t="s">
        <v>218</v>
      </c>
      <c r="B367" s="17" t="s">
        <v>389</v>
      </c>
      <c r="C367" s="18" t="s">
        <v>390</v>
      </c>
      <c r="D367" s="18" t="s">
        <v>589</v>
      </c>
      <c r="E367" s="17">
        <v>933</v>
      </c>
      <c r="F367" s="17">
        <v>3525</v>
      </c>
      <c r="G367" s="19" t="s">
        <v>102</v>
      </c>
      <c r="H367" s="17" t="s">
        <v>103</v>
      </c>
      <c r="I367" s="17" t="s">
        <v>104</v>
      </c>
      <c r="J367" s="19" t="s">
        <v>105</v>
      </c>
      <c r="K367" s="19" t="s">
        <v>883</v>
      </c>
      <c r="L367" s="19" t="s">
        <v>3308</v>
      </c>
      <c r="M367" s="17" t="s">
        <v>108</v>
      </c>
      <c r="N367" s="17"/>
      <c r="O367" s="17"/>
      <c r="P367" s="88">
        <v>3.2729999999999997</v>
      </c>
      <c r="Q367" s="88">
        <v>2.7160000000000002</v>
      </c>
      <c r="R367" s="17">
        <v>0</v>
      </c>
      <c r="S367" s="66">
        <v>703.39315274180126</v>
      </c>
      <c r="T367" s="19" t="s">
        <v>3309</v>
      </c>
      <c r="U367" s="21" t="s">
        <v>3310</v>
      </c>
      <c r="V367" s="86" t="s">
        <v>3311</v>
      </c>
      <c r="W367" s="81" t="s">
        <v>3318</v>
      </c>
      <c r="X367" s="16"/>
      <c r="Y367" s="16"/>
      <c r="Z367" s="16"/>
      <c r="AA367" s="16"/>
      <c r="AB367" s="16"/>
      <c r="AC367" s="16"/>
      <c r="AD367"/>
      <c r="AE367"/>
      <c r="AF367"/>
      <c r="AG367"/>
      <c r="AH367"/>
      <c r="AI367"/>
      <c r="AJ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row>
    <row r="368" spans="1:137" s="5" customFormat="1" ht="57">
      <c r="A368" s="17" t="s">
        <v>218</v>
      </c>
      <c r="B368" s="17" t="s">
        <v>389</v>
      </c>
      <c r="C368" s="18" t="s">
        <v>390</v>
      </c>
      <c r="D368" s="18" t="s">
        <v>589</v>
      </c>
      <c r="E368" s="17">
        <v>933</v>
      </c>
      <c r="F368" s="17">
        <v>4307</v>
      </c>
      <c r="G368" s="19" t="s">
        <v>102</v>
      </c>
      <c r="H368" s="17" t="s">
        <v>103</v>
      </c>
      <c r="I368" s="17" t="s">
        <v>104</v>
      </c>
      <c r="J368" s="19" t="s">
        <v>105</v>
      </c>
      <c r="K368" s="19" t="s">
        <v>3258</v>
      </c>
      <c r="L368" s="19" t="s">
        <v>3259</v>
      </c>
      <c r="M368" s="17"/>
      <c r="N368" s="17"/>
      <c r="O368" s="17"/>
      <c r="P368" s="88">
        <v>6.9550000000000001</v>
      </c>
      <c r="Q368" s="88">
        <v>3.9790000000000001</v>
      </c>
      <c r="R368" s="17">
        <v>0</v>
      </c>
      <c r="S368" s="66">
        <v>743.12688235563087</v>
      </c>
      <c r="T368" s="19" t="s">
        <v>3260</v>
      </c>
      <c r="U368" s="21">
        <v>0.94199999999999995</v>
      </c>
      <c r="V368" s="86">
        <v>22</v>
      </c>
      <c r="W368" s="81" t="s">
        <v>694</v>
      </c>
      <c r="X368" s="16"/>
      <c r="Y368" s="16"/>
      <c r="Z368" s="16"/>
      <c r="AA368" s="16"/>
      <c r="AB368" s="16"/>
      <c r="AC368" s="16"/>
      <c r="AD368"/>
      <c r="AE368"/>
      <c r="AF368"/>
      <c r="AG368"/>
      <c r="AH368"/>
      <c r="AI368"/>
      <c r="AJ368"/>
    </row>
    <row r="369" spans="1:74" s="5" customFormat="1" ht="57">
      <c r="A369" s="17" t="s">
        <v>218</v>
      </c>
      <c r="B369" s="17" t="s">
        <v>389</v>
      </c>
      <c r="C369" s="18" t="s">
        <v>390</v>
      </c>
      <c r="D369" s="18" t="s">
        <v>589</v>
      </c>
      <c r="E369" s="17">
        <v>43192</v>
      </c>
      <c r="F369" s="17">
        <v>4</v>
      </c>
      <c r="G369" s="19" t="s">
        <v>853</v>
      </c>
      <c r="H369" s="17" t="s">
        <v>205</v>
      </c>
      <c r="I369" s="17" t="s">
        <v>104</v>
      </c>
      <c r="J369" s="19" t="s">
        <v>105</v>
      </c>
      <c r="K369" s="19" t="s">
        <v>126</v>
      </c>
      <c r="L369" s="19" t="s">
        <v>127</v>
      </c>
      <c r="M369" s="17" t="s">
        <v>114</v>
      </c>
      <c r="N369" s="17"/>
      <c r="O369" s="17"/>
      <c r="P369" s="88">
        <v>4.3369999999999997</v>
      </c>
      <c r="Q369" s="88">
        <v>1.9</v>
      </c>
      <c r="R369" s="17">
        <v>0</v>
      </c>
      <c r="S369" s="66">
        <v>821.28042095220133</v>
      </c>
      <c r="T369" s="19" t="s">
        <v>3245</v>
      </c>
      <c r="U369" s="21">
        <v>0.94299999999999995</v>
      </c>
      <c r="V369" s="86">
        <v>29.1</v>
      </c>
      <c r="W369" s="81" t="s">
        <v>700</v>
      </c>
      <c r="X369" s="16"/>
      <c r="Y369" s="16"/>
      <c r="Z369" s="16"/>
      <c r="AA369" s="16"/>
      <c r="AB369" s="16"/>
      <c r="AC369" s="16"/>
      <c r="AD369"/>
      <c r="AE369"/>
      <c r="AF369"/>
      <c r="AG369"/>
      <c r="AH369"/>
      <c r="AI369"/>
      <c r="AJ369"/>
    </row>
    <row r="370" spans="1:74" s="5" customFormat="1" ht="57">
      <c r="A370" s="17" t="s">
        <v>218</v>
      </c>
      <c r="B370" s="17" t="s">
        <v>389</v>
      </c>
      <c r="C370" s="18" t="s">
        <v>390</v>
      </c>
      <c r="D370" s="18" t="s">
        <v>589</v>
      </c>
      <c r="E370" s="17">
        <v>43192</v>
      </c>
      <c r="F370" s="17">
        <v>26</v>
      </c>
      <c r="G370" s="19" t="s">
        <v>853</v>
      </c>
      <c r="H370" s="17" t="s">
        <v>205</v>
      </c>
      <c r="I370" s="17" t="s">
        <v>104</v>
      </c>
      <c r="J370" s="19" t="s">
        <v>105</v>
      </c>
      <c r="K370" s="19" t="s">
        <v>126</v>
      </c>
      <c r="L370" s="19" t="s">
        <v>127</v>
      </c>
      <c r="M370" s="17" t="s">
        <v>114</v>
      </c>
      <c r="N370" s="17"/>
      <c r="O370" s="17"/>
      <c r="P370" s="88">
        <v>3.8890000000000002</v>
      </c>
      <c r="Q370" s="88">
        <v>1.236</v>
      </c>
      <c r="R370" s="17">
        <v>0</v>
      </c>
      <c r="S370" s="66">
        <v>342.24319073345316</v>
      </c>
      <c r="T370" s="19" t="s">
        <v>3245</v>
      </c>
      <c r="U370" s="21">
        <v>0.94299999999999995</v>
      </c>
      <c r="V370" s="86">
        <v>29.1</v>
      </c>
      <c r="W370" s="81" t="s">
        <v>700</v>
      </c>
      <c r="X370" s="16"/>
      <c r="Y370" s="16"/>
      <c r="Z370" s="16"/>
      <c r="AA370" s="16"/>
      <c r="AB370" s="16"/>
      <c r="AC370" s="16"/>
      <c r="AD370"/>
      <c r="AE370"/>
      <c r="AF370"/>
      <c r="AG370"/>
      <c r="AH370"/>
      <c r="AI370"/>
      <c r="AJ370"/>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c r="BK370" s="16"/>
      <c r="BL370" s="16"/>
      <c r="BM370" s="16"/>
      <c r="BN370" s="16"/>
      <c r="BO370" s="16"/>
      <c r="BP370" s="16"/>
      <c r="BQ370" s="16"/>
      <c r="BR370" s="16"/>
      <c r="BS370" s="16"/>
      <c r="BT370" s="16"/>
      <c r="BU370" s="16"/>
      <c r="BV370" s="16"/>
    </row>
    <row r="371" spans="1:74" s="5" customFormat="1" ht="57">
      <c r="A371" s="17" t="s">
        <v>218</v>
      </c>
      <c r="B371" s="17" t="s">
        <v>389</v>
      </c>
      <c r="C371" s="18" t="s">
        <v>390</v>
      </c>
      <c r="D371" s="18" t="s">
        <v>589</v>
      </c>
      <c r="E371" s="17">
        <v>908</v>
      </c>
      <c r="F371" s="17">
        <v>2091</v>
      </c>
      <c r="G371" s="19" t="s">
        <v>250</v>
      </c>
      <c r="H371" s="17" t="s">
        <v>251</v>
      </c>
      <c r="I371" s="17" t="s">
        <v>104</v>
      </c>
      <c r="J371" s="19" t="s">
        <v>105</v>
      </c>
      <c r="K371" s="19" t="s">
        <v>3289</v>
      </c>
      <c r="L371" s="19" t="s">
        <v>3290</v>
      </c>
      <c r="M371" s="17"/>
      <c r="N371" s="17"/>
      <c r="O371" s="17"/>
      <c r="P371" s="88">
        <v>5.6929999999999996</v>
      </c>
      <c r="Q371" s="88">
        <v>3.6229999999999998</v>
      </c>
      <c r="R371" s="17">
        <v>0</v>
      </c>
      <c r="S371" s="66">
        <v>404.98269536991012</v>
      </c>
      <c r="T371" s="19" t="s">
        <v>3291</v>
      </c>
      <c r="U371" s="21">
        <v>0.95289999999999997</v>
      </c>
      <c r="V371" s="86">
        <v>20</v>
      </c>
      <c r="W371" s="81" t="s">
        <v>694</v>
      </c>
      <c r="X371" s="16"/>
      <c r="Y371" s="16"/>
      <c r="Z371" s="16"/>
      <c r="AA371" s="16"/>
      <c r="AB371" s="16"/>
      <c r="AC371" s="16"/>
      <c r="AD371"/>
      <c r="AE371"/>
      <c r="AF371"/>
      <c r="AG371"/>
      <c r="AH371"/>
      <c r="AI371"/>
      <c r="AJ371"/>
    </row>
    <row r="372" spans="1:74" s="5" customFormat="1" ht="57">
      <c r="A372" s="17" t="s">
        <v>218</v>
      </c>
      <c r="B372" s="17" t="s">
        <v>389</v>
      </c>
      <c r="C372" s="18" t="s">
        <v>390</v>
      </c>
      <c r="D372" s="18" t="s">
        <v>589</v>
      </c>
      <c r="E372" s="17">
        <v>908</v>
      </c>
      <c r="F372" s="17">
        <v>2486</v>
      </c>
      <c r="G372" s="19" t="s">
        <v>250</v>
      </c>
      <c r="H372" s="17" t="s">
        <v>251</v>
      </c>
      <c r="I372" s="17" t="s">
        <v>104</v>
      </c>
      <c r="J372" s="19" t="s">
        <v>105</v>
      </c>
      <c r="K372" s="19" t="s">
        <v>3305</v>
      </c>
      <c r="L372" s="19" t="s">
        <v>3306</v>
      </c>
      <c r="M372" s="17" t="s">
        <v>114</v>
      </c>
      <c r="N372" s="17">
        <v>0</v>
      </c>
      <c r="O372" s="17">
        <v>0</v>
      </c>
      <c r="P372" s="88">
        <v>8.843</v>
      </c>
      <c r="Q372" s="88">
        <v>6.6440000000000001</v>
      </c>
      <c r="R372" s="17">
        <v>0</v>
      </c>
      <c r="S372" s="66">
        <v>1026.5849065135042</v>
      </c>
      <c r="T372" s="19" t="s">
        <v>3307</v>
      </c>
      <c r="U372" s="21">
        <v>0.95399999999999996</v>
      </c>
      <c r="V372" s="86">
        <v>20</v>
      </c>
      <c r="W372" s="81" t="s">
        <v>694</v>
      </c>
      <c r="X372" s="16"/>
      <c r="Y372" s="16"/>
      <c r="Z372" s="16"/>
      <c r="AA372" s="16"/>
      <c r="AB372" s="16"/>
      <c r="AC372" s="16"/>
      <c r="AD372"/>
      <c r="AE372"/>
      <c r="AF372"/>
      <c r="AG372"/>
      <c r="AH372"/>
      <c r="AI372"/>
      <c r="AJ372"/>
    </row>
    <row r="373" spans="1:74" s="5" customFormat="1" ht="57">
      <c r="A373" s="17" t="s">
        <v>218</v>
      </c>
      <c r="B373" s="17" t="s">
        <v>389</v>
      </c>
      <c r="C373" s="18" t="s">
        <v>390</v>
      </c>
      <c r="D373" s="18" t="s">
        <v>589</v>
      </c>
      <c r="E373" s="17">
        <v>40279</v>
      </c>
      <c r="F373" s="17">
        <v>1</v>
      </c>
      <c r="G373" s="19" t="s">
        <v>119</v>
      </c>
      <c r="H373" s="17" t="s">
        <v>120</v>
      </c>
      <c r="I373" s="17" t="s">
        <v>104</v>
      </c>
      <c r="J373" s="19" t="s">
        <v>105</v>
      </c>
      <c r="K373" s="19" t="s">
        <v>3305</v>
      </c>
      <c r="L373" s="19" t="s">
        <v>3306</v>
      </c>
      <c r="M373" s="17"/>
      <c r="N373" s="17">
        <v>0</v>
      </c>
      <c r="O373" s="17">
        <v>0</v>
      </c>
      <c r="P373" s="88">
        <v>5.8330000000000002</v>
      </c>
      <c r="Q373" s="88">
        <v>4.1369999999999996</v>
      </c>
      <c r="R373" s="17">
        <v>0</v>
      </c>
      <c r="S373" s="66">
        <v>314.8</v>
      </c>
      <c r="T373" s="19" t="s">
        <v>3307</v>
      </c>
      <c r="U373" s="21">
        <v>0.95399999999999996</v>
      </c>
      <c r="V373" s="86">
        <v>20</v>
      </c>
      <c r="W373" s="81" t="s">
        <v>694</v>
      </c>
      <c r="X373" s="16"/>
      <c r="Y373" s="16"/>
      <c r="Z373" s="16"/>
      <c r="AA373" s="16"/>
      <c r="AB373" s="16"/>
      <c r="AC373" s="16"/>
      <c r="AD373"/>
      <c r="AE373"/>
      <c r="AF373"/>
      <c r="AG373"/>
      <c r="AH373"/>
      <c r="AI373"/>
      <c r="AJ373"/>
      <c r="AK373" s="16"/>
      <c r="AL373" s="16"/>
      <c r="AM373" s="16"/>
      <c r="AN373" s="16"/>
      <c r="AO373" s="16"/>
      <c r="AP373" s="16"/>
      <c r="AQ373" s="16"/>
      <c r="AR373" s="16"/>
      <c r="AS373" s="16"/>
      <c r="AT373" s="16"/>
      <c r="AU373" s="16"/>
      <c r="AV373" s="16"/>
      <c r="AW373" s="16"/>
      <c r="AX373" s="16"/>
      <c r="AY373" s="16"/>
      <c r="AZ373" s="16"/>
      <c r="BA373" s="16"/>
      <c r="BB373" s="16"/>
      <c r="BC373" s="16"/>
      <c r="BD373" s="16"/>
      <c r="BE373" s="16"/>
      <c r="BF373" s="16"/>
      <c r="BG373" s="16"/>
      <c r="BH373" s="16"/>
      <c r="BI373" s="16"/>
      <c r="BJ373" s="16"/>
      <c r="BK373" s="16"/>
      <c r="BL373" s="16"/>
      <c r="BM373" s="16"/>
      <c r="BN373" s="16"/>
      <c r="BO373" s="16"/>
      <c r="BP373" s="16"/>
      <c r="BQ373" s="16"/>
      <c r="BR373" s="16"/>
      <c r="BS373" s="16"/>
      <c r="BT373" s="16"/>
      <c r="BU373" s="16"/>
      <c r="BV373" s="16"/>
    </row>
    <row r="374" spans="1:74" s="5" customFormat="1" ht="57">
      <c r="A374" s="17" t="s">
        <v>218</v>
      </c>
      <c r="B374" s="17" t="s">
        <v>389</v>
      </c>
      <c r="C374" s="18" t="s">
        <v>390</v>
      </c>
      <c r="D374" s="18" t="s">
        <v>589</v>
      </c>
      <c r="E374" s="17">
        <v>40279</v>
      </c>
      <c r="F374" s="17">
        <v>68</v>
      </c>
      <c r="G374" s="19" t="s">
        <v>119</v>
      </c>
      <c r="H374" s="17" t="s">
        <v>120</v>
      </c>
      <c r="I374" s="17" t="s">
        <v>104</v>
      </c>
      <c r="J374" s="19" t="s">
        <v>105</v>
      </c>
      <c r="K374" s="19" t="s">
        <v>155</v>
      </c>
      <c r="L374" s="19" t="s">
        <v>3285</v>
      </c>
      <c r="M374" s="17"/>
      <c r="N374" s="17"/>
      <c r="O374" s="17"/>
      <c r="P374" s="88">
        <v>3.2890000000000001</v>
      </c>
      <c r="Q374" s="88">
        <v>2.1030000000000002</v>
      </c>
      <c r="R374" s="17">
        <v>0</v>
      </c>
      <c r="S374" s="66">
        <v>388.91502287942592</v>
      </c>
      <c r="T374" s="19" t="s">
        <v>3286</v>
      </c>
      <c r="U374" s="21">
        <v>0.92</v>
      </c>
      <c r="V374" s="86">
        <v>41.2</v>
      </c>
      <c r="W374" s="81" t="s">
        <v>3287</v>
      </c>
      <c r="X374" s="16"/>
      <c r="Y374" s="16"/>
      <c r="Z374" s="16"/>
      <c r="AA374" s="16"/>
      <c r="AB374" s="16"/>
      <c r="AC374" s="16"/>
      <c r="AD374"/>
      <c r="AE374"/>
      <c r="AF374"/>
      <c r="AG374"/>
      <c r="AH374"/>
      <c r="AI374"/>
      <c r="AJ374"/>
      <c r="AK374" s="16"/>
      <c r="AL374" s="16"/>
      <c r="AM374" s="16"/>
      <c r="AN374" s="16"/>
      <c r="AO374" s="16"/>
      <c r="AP374" s="16"/>
      <c r="AQ374" s="16"/>
      <c r="AR374" s="16"/>
      <c r="AS374" s="16"/>
      <c r="AT374" s="16"/>
      <c r="AU374" s="16"/>
      <c r="AV374" s="16"/>
      <c r="AW374" s="16"/>
      <c r="AX374" s="16"/>
      <c r="AY374" s="16"/>
      <c r="AZ374" s="16"/>
      <c r="BA374" s="16"/>
      <c r="BB374" s="16"/>
      <c r="BC374" s="16"/>
      <c r="BD374" s="16"/>
      <c r="BE374" s="16"/>
      <c r="BF374" s="16"/>
      <c r="BG374" s="16"/>
      <c r="BH374" s="16"/>
      <c r="BI374" s="16"/>
      <c r="BJ374" s="16"/>
      <c r="BK374" s="16"/>
      <c r="BL374" s="16"/>
      <c r="BM374" s="16"/>
      <c r="BN374" s="16"/>
      <c r="BO374" s="16"/>
      <c r="BP374" s="16"/>
      <c r="BQ374" s="16"/>
      <c r="BR374" s="16"/>
      <c r="BS374" s="16"/>
      <c r="BT374" s="16"/>
      <c r="BU374" s="16"/>
      <c r="BV374" s="16"/>
    </row>
    <row r="375" spans="1:74" s="5" customFormat="1" ht="38">
      <c r="A375" s="17" t="s">
        <v>218</v>
      </c>
      <c r="B375" s="17" t="s">
        <v>389</v>
      </c>
      <c r="C375" s="18" t="s">
        <v>390</v>
      </c>
      <c r="D375" s="18" t="s">
        <v>589</v>
      </c>
      <c r="E375" s="17">
        <v>40279</v>
      </c>
      <c r="F375" s="17">
        <v>97</v>
      </c>
      <c r="G375" s="19" t="s">
        <v>119</v>
      </c>
      <c r="H375" s="17" t="s">
        <v>120</v>
      </c>
      <c r="I375" s="17" t="s">
        <v>104</v>
      </c>
      <c r="J375" s="19" t="s">
        <v>105</v>
      </c>
      <c r="K375" s="19" t="s">
        <v>3319</v>
      </c>
      <c r="L375" s="19" t="s">
        <v>3320</v>
      </c>
      <c r="M375" s="17"/>
      <c r="N375" s="17"/>
      <c r="O375" s="17"/>
      <c r="P375" s="88">
        <v>4.3860000000000001</v>
      </c>
      <c r="Q375" s="88">
        <v>7.8019999999999996</v>
      </c>
      <c r="R375" s="17">
        <v>0</v>
      </c>
      <c r="S375" s="66">
        <v>386.42501820083834</v>
      </c>
      <c r="T375" s="19" t="s">
        <v>3321</v>
      </c>
      <c r="U375" s="21">
        <v>0.97</v>
      </c>
      <c r="V375" s="86">
        <v>43.4</v>
      </c>
      <c r="W375" s="81" t="s">
        <v>3322</v>
      </c>
      <c r="X375" s="16"/>
      <c r="Y375" s="16"/>
      <c r="Z375" s="16"/>
      <c r="AA375" s="16"/>
      <c r="AB375" s="16"/>
      <c r="AC375" s="16"/>
      <c r="AD375"/>
      <c r="AE375"/>
      <c r="AF375"/>
      <c r="AG375"/>
      <c r="AH375"/>
      <c r="AI375"/>
      <c r="AJ375"/>
      <c r="AK375" s="16"/>
      <c r="AL375" s="16"/>
      <c r="AM375" s="16"/>
      <c r="AN375" s="16"/>
      <c r="AO375" s="16"/>
      <c r="AP375" s="16"/>
      <c r="AQ375" s="16"/>
      <c r="AR375" s="16"/>
      <c r="AS375" s="16"/>
      <c r="AT375" s="16"/>
      <c r="AU375" s="16"/>
      <c r="AV375" s="16"/>
      <c r="AW375" s="16"/>
      <c r="AX375" s="16"/>
      <c r="AY375" s="16"/>
      <c r="AZ375" s="16"/>
      <c r="BA375" s="16"/>
      <c r="BB375" s="16"/>
      <c r="BC375" s="16"/>
      <c r="BD375" s="16"/>
      <c r="BE375" s="16"/>
      <c r="BF375" s="16"/>
      <c r="BG375" s="16"/>
      <c r="BH375" s="16"/>
      <c r="BI375" s="16"/>
      <c r="BJ375" s="16"/>
      <c r="BK375" s="16"/>
      <c r="BL375" s="16"/>
      <c r="BM375" s="16"/>
      <c r="BN375" s="16"/>
      <c r="BO375" s="16"/>
      <c r="BP375" s="16"/>
      <c r="BQ375" s="16"/>
      <c r="BR375" s="16"/>
      <c r="BS375" s="16"/>
      <c r="BT375" s="16"/>
      <c r="BU375" s="16"/>
      <c r="BV375" s="16"/>
    </row>
    <row r="376" spans="1:74" s="5" customFormat="1" ht="57">
      <c r="A376" s="17" t="s">
        <v>218</v>
      </c>
      <c r="B376" s="17" t="s">
        <v>389</v>
      </c>
      <c r="C376" s="18" t="s">
        <v>390</v>
      </c>
      <c r="D376" s="18" t="s">
        <v>589</v>
      </c>
      <c r="E376" s="17">
        <v>892</v>
      </c>
      <c r="F376" s="17" t="s">
        <v>753</v>
      </c>
      <c r="G376" s="19" t="s">
        <v>276</v>
      </c>
      <c r="H376" s="17" t="s">
        <v>277</v>
      </c>
      <c r="I376" s="17" t="s">
        <v>104</v>
      </c>
      <c r="J376" s="19" t="s">
        <v>105</v>
      </c>
      <c r="K376" s="19" t="s">
        <v>209</v>
      </c>
      <c r="L376" s="19" t="s">
        <v>216</v>
      </c>
      <c r="M376" s="17" t="s">
        <v>108</v>
      </c>
      <c r="N376" s="17"/>
      <c r="O376" s="17"/>
      <c r="P376" s="88">
        <v>3.6100000000000003</v>
      </c>
      <c r="Q376" s="88">
        <v>1.528</v>
      </c>
      <c r="R376" s="17">
        <v>0</v>
      </c>
      <c r="S376" s="66">
        <v>683.76340955919045</v>
      </c>
      <c r="T376" s="19" t="s">
        <v>3244</v>
      </c>
      <c r="U376" s="21">
        <v>0.93500000000000005</v>
      </c>
      <c r="V376" s="86">
        <v>30.8</v>
      </c>
      <c r="W376" s="81" t="s">
        <v>700</v>
      </c>
      <c r="X376" s="16"/>
      <c r="Y376" s="16"/>
      <c r="Z376" s="16"/>
      <c r="AA376" s="16"/>
      <c r="AB376" s="16"/>
      <c r="AC376" s="16"/>
      <c r="AD376"/>
      <c r="AE376"/>
      <c r="AF376"/>
      <c r="AG376"/>
      <c r="AH376"/>
      <c r="AI376"/>
      <c r="AJ376"/>
    </row>
    <row r="377" spans="1:74" s="5" customFormat="1" ht="57">
      <c r="A377" s="17" t="s">
        <v>218</v>
      </c>
      <c r="B377" s="17" t="s">
        <v>389</v>
      </c>
      <c r="C377" s="18" t="s">
        <v>390</v>
      </c>
      <c r="D377" s="18" t="s">
        <v>589</v>
      </c>
      <c r="E377" s="17">
        <v>892</v>
      </c>
      <c r="F377" s="17" t="s">
        <v>3323</v>
      </c>
      <c r="G377" s="19" t="s">
        <v>276</v>
      </c>
      <c r="H377" s="17" t="s">
        <v>277</v>
      </c>
      <c r="I377" s="17" t="s">
        <v>104</v>
      </c>
      <c r="J377" s="19" t="s">
        <v>105</v>
      </c>
      <c r="K377" s="19" t="s">
        <v>126</v>
      </c>
      <c r="L377" s="19" t="s">
        <v>127</v>
      </c>
      <c r="M377" s="17" t="s">
        <v>108</v>
      </c>
      <c r="N377" s="17"/>
      <c r="O377" s="17"/>
      <c r="P377" s="88">
        <v>4.5140000000000002</v>
      </c>
      <c r="Q377" s="88">
        <v>1.59</v>
      </c>
      <c r="R377" s="17">
        <v>0</v>
      </c>
      <c r="S377" s="66">
        <v>656.26145157822077</v>
      </c>
      <c r="T377" s="19" t="s">
        <v>3245</v>
      </c>
      <c r="U377" s="21">
        <v>0.94299999999999995</v>
      </c>
      <c r="V377" s="86">
        <v>29.1</v>
      </c>
      <c r="W377" s="81" t="s">
        <v>700</v>
      </c>
      <c r="X377" s="16"/>
      <c r="Y377" s="16"/>
      <c r="Z377" s="16"/>
      <c r="AA377" s="16"/>
      <c r="AB377" s="16"/>
      <c r="AC377" s="16"/>
      <c r="AD377"/>
      <c r="AE377"/>
      <c r="AF377"/>
      <c r="AG377"/>
      <c r="AH377"/>
      <c r="AI377"/>
      <c r="AJ377"/>
    </row>
    <row r="378" spans="1:74" s="5" customFormat="1" ht="57">
      <c r="A378" s="17" t="s">
        <v>218</v>
      </c>
      <c r="B378" s="17" t="s">
        <v>389</v>
      </c>
      <c r="C378" s="18" t="s">
        <v>390</v>
      </c>
      <c r="D378" s="18" t="s">
        <v>589</v>
      </c>
      <c r="E378" s="17">
        <v>725</v>
      </c>
      <c r="F378" s="17" t="s">
        <v>778</v>
      </c>
      <c r="G378" s="19" t="s">
        <v>701</v>
      </c>
      <c r="H378" s="17" t="s">
        <v>702</v>
      </c>
      <c r="I378" s="17" t="s">
        <v>104</v>
      </c>
      <c r="J378" s="19" t="s">
        <v>105</v>
      </c>
      <c r="K378" s="19" t="s">
        <v>209</v>
      </c>
      <c r="L378" s="19" t="s">
        <v>216</v>
      </c>
      <c r="M378" s="17"/>
      <c r="N378" s="17"/>
      <c r="O378" s="17"/>
      <c r="P378" s="88">
        <v>3.6770000000000005</v>
      </c>
      <c r="Q378" s="88">
        <v>1.524</v>
      </c>
      <c r="R378" s="17">
        <v>0</v>
      </c>
      <c r="S378" s="66">
        <v>702.16302627642074</v>
      </c>
      <c r="T378" s="19" t="s">
        <v>3244</v>
      </c>
      <c r="U378" s="21">
        <v>0.93500000000000005</v>
      </c>
      <c r="V378" s="86">
        <v>30.8</v>
      </c>
      <c r="W378" s="81" t="s">
        <v>700</v>
      </c>
      <c r="X378" s="16"/>
      <c r="Y378" s="16"/>
      <c r="Z378" s="16"/>
      <c r="AA378" s="16"/>
      <c r="AB378" s="16"/>
      <c r="AC378" s="16"/>
      <c r="AD378"/>
      <c r="AE378"/>
      <c r="AF378"/>
      <c r="AG378"/>
      <c r="AH378"/>
      <c r="AI378"/>
      <c r="AJ378"/>
    </row>
    <row r="379" spans="1:74" s="5" customFormat="1" ht="57">
      <c r="A379" s="17" t="s">
        <v>218</v>
      </c>
      <c r="B379" s="17" t="s">
        <v>389</v>
      </c>
      <c r="C379" s="18" t="s">
        <v>390</v>
      </c>
      <c r="D379" s="18" t="s">
        <v>589</v>
      </c>
      <c r="E379" s="17">
        <v>725</v>
      </c>
      <c r="F379" s="17" t="s">
        <v>778</v>
      </c>
      <c r="G379" s="19" t="s">
        <v>701</v>
      </c>
      <c r="H379" s="17" t="s">
        <v>702</v>
      </c>
      <c r="I379" s="17" t="s">
        <v>104</v>
      </c>
      <c r="J379" s="19" t="s">
        <v>105</v>
      </c>
      <c r="K379" s="19" t="s">
        <v>209</v>
      </c>
      <c r="L379" s="19" t="s">
        <v>216</v>
      </c>
      <c r="M379" s="17"/>
      <c r="N379" s="17"/>
      <c r="O379" s="17"/>
      <c r="P379" s="88">
        <v>3.3590000000000004</v>
      </c>
      <c r="Q379" s="88">
        <v>1.6649999999999998</v>
      </c>
      <c r="R379" s="17">
        <v>0</v>
      </c>
      <c r="S379" s="66">
        <v>699.84074390337935</v>
      </c>
      <c r="T379" s="19" t="s">
        <v>3244</v>
      </c>
      <c r="U379" s="21">
        <v>0.93500000000000005</v>
      </c>
      <c r="V379" s="86">
        <v>30.8</v>
      </c>
      <c r="W379" s="81" t="s">
        <v>700</v>
      </c>
      <c r="X379" s="16"/>
      <c r="Y379" s="16"/>
      <c r="Z379" s="16"/>
      <c r="AA379" s="16"/>
      <c r="AB379" s="16"/>
      <c r="AC379" s="16"/>
      <c r="AD379"/>
      <c r="AE379"/>
      <c r="AF379"/>
      <c r="AG379"/>
      <c r="AH379"/>
      <c r="AI379"/>
      <c r="AJ379"/>
    </row>
    <row r="380" spans="1:74" s="5" customFormat="1" ht="57">
      <c r="A380" s="17" t="s">
        <v>218</v>
      </c>
      <c r="B380" s="17" t="s">
        <v>389</v>
      </c>
      <c r="C380" s="18" t="s">
        <v>390</v>
      </c>
      <c r="D380" s="18" t="s">
        <v>589</v>
      </c>
      <c r="E380" s="17">
        <v>725</v>
      </c>
      <c r="F380" s="17" t="s">
        <v>778</v>
      </c>
      <c r="G380" s="19" t="s">
        <v>701</v>
      </c>
      <c r="H380" s="17" t="s">
        <v>702</v>
      </c>
      <c r="I380" s="17" t="s">
        <v>104</v>
      </c>
      <c r="J380" s="19" t="s">
        <v>105</v>
      </c>
      <c r="K380" s="19" t="s">
        <v>209</v>
      </c>
      <c r="L380" s="19" t="s">
        <v>216</v>
      </c>
      <c r="M380" s="17"/>
      <c r="N380" s="17"/>
      <c r="O380" s="17"/>
      <c r="P380" s="88">
        <v>3.8140000000000001</v>
      </c>
      <c r="Q380" s="88">
        <v>1.456</v>
      </c>
      <c r="R380" s="17">
        <v>0</v>
      </c>
      <c r="S380" s="66">
        <v>691.52651254364673</v>
      </c>
      <c r="T380" s="19" t="s">
        <v>3244</v>
      </c>
      <c r="U380" s="21">
        <v>0.93500000000000005</v>
      </c>
      <c r="V380" s="86">
        <v>30.8</v>
      </c>
      <c r="W380" s="81" t="s">
        <v>700</v>
      </c>
      <c r="X380" s="16"/>
      <c r="Y380" s="16"/>
      <c r="Z380" s="16"/>
      <c r="AA380" s="16"/>
      <c r="AB380" s="16"/>
      <c r="AC380" s="16"/>
      <c r="AD380"/>
      <c r="AE380"/>
      <c r="AF380"/>
      <c r="AG380"/>
      <c r="AH380"/>
      <c r="AI380"/>
      <c r="AJ380"/>
    </row>
    <row r="381" spans="1:74" s="5" customFormat="1" ht="57">
      <c r="A381" s="17" t="s">
        <v>218</v>
      </c>
      <c r="B381" s="17" t="s">
        <v>389</v>
      </c>
      <c r="C381" s="18" t="s">
        <v>390</v>
      </c>
      <c r="D381" s="18" t="s">
        <v>589</v>
      </c>
      <c r="E381" s="17">
        <v>725</v>
      </c>
      <c r="F381" s="17" t="s">
        <v>778</v>
      </c>
      <c r="G381" s="19" t="s">
        <v>701</v>
      </c>
      <c r="H381" s="17" t="s">
        <v>702</v>
      </c>
      <c r="I381" s="17" t="s">
        <v>104</v>
      </c>
      <c r="J381" s="19" t="s">
        <v>105</v>
      </c>
      <c r="K381" s="19" t="s">
        <v>209</v>
      </c>
      <c r="L381" s="19" t="s">
        <v>216</v>
      </c>
      <c r="M381" s="17"/>
      <c r="N381" s="17"/>
      <c r="O381" s="17"/>
      <c r="P381" s="88">
        <v>3.91</v>
      </c>
      <c r="Q381" s="88">
        <v>1.4039999999999999</v>
      </c>
      <c r="R381" s="17">
        <v>0</v>
      </c>
      <c r="S381" s="66">
        <v>678.25322739072908</v>
      </c>
      <c r="T381" s="19" t="s">
        <v>3244</v>
      </c>
      <c r="U381" s="21">
        <v>0.93500000000000005</v>
      </c>
      <c r="V381" s="86">
        <v>30.8</v>
      </c>
      <c r="W381" s="81" t="s">
        <v>700</v>
      </c>
      <c r="X381" s="16"/>
      <c r="Y381" s="16"/>
      <c r="Z381" s="16"/>
      <c r="AA381" s="16"/>
      <c r="AB381" s="16"/>
      <c r="AC381" s="16"/>
      <c r="AD381"/>
      <c r="AE381"/>
      <c r="AF381"/>
      <c r="AG381"/>
      <c r="AH381"/>
      <c r="AI381"/>
      <c r="AJ381"/>
    </row>
    <row r="382" spans="1:74" s="5" customFormat="1" ht="57">
      <c r="A382" s="17" t="s">
        <v>218</v>
      </c>
      <c r="B382" s="17" t="s">
        <v>389</v>
      </c>
      <c r="C382" s="18" t="s">
        <v>390</v>
      </c>
      <c r="D382" s="18" t="s">
        <v>589</v>
      </c>
      <c r="E382" s="17">
        <v>725</v>
      </c>
      <c r="F382" s="17" t="s">
        <v>778</v>
      </c>
      <c r="G382" s="19" t="s">
        <v>701</v>
      </c>
      <c r="H382" s="17" t="s">
        <v>702</v>
      </c>
      <c r="I382" s="17" t="s">
        <v>104</v>
      </c>
      <c r="J382" s="19" t="s">
        <v>105</v>
      </c>
      <c r="K382" s="19" t="s">
        <v>209</v>
      </c>
      <c r="L382" s="19" t="s">
        <v>216</v>
      </c>
      <c r="M382" s="17"/>
      <c r="N382" s="17"/>
      <c r="O382" s="17"/>
      <c r="P382" s="88">
        <v>3.46</v>
      </c>
      <c r="Q382" s="88">
        <v>1.5619999999999998</v>
      </c>
      <c r="R382" s="17">
        <v>0</v>
      </c>
      <c r="S382" s="66">
        <v>660.6371684575098</v>
      </c>
      <c r="T382" s="19" t="s">
        <v>3244</v>
      </c>
      <c r="U382" s="21">
        <v>0.93500000000000005</v>
      </c>
      <c r="V382" s="86">
        <v>30.8</v>
      </c>
      <c r="W382" s="81" t="s">
        <v>700</v>
      </c>
      <c r="X382" s="16"/>
      <c r="Y382" s="16"/>
      <c r="Z382" s="16"/>
      <c r="AA382" s="16"/>
      <c r="AB382" s="16"/>
      <c r="AC382" s="16"/>
      <c r="AD382"/>
      <c r="AE382"/>
      <c r="AF382"/>
      <c r="AG382"/>
      <c r="AH382"/>
      <c r="AI382"/>
      <c r="AJ382"/>
    </row>
    <row r="383" spans="1:74" s="5" customFormat="1" ht="57">
      <c r="A383" s="17" t="s">
        <v>218</v>
      </c>
      <c r="B383" s="17" t="s">
        <v>389</v>
      </c>
      <c r="C383" s="18" t="s">
        <v>390</v>
      </c>
      <c r="D383" s="18" t="s">
        <v>589</v>
      </c>
      <c r="E383" s="17">
        <v>725</v>
      </c>
      <c r="F383" s="17" t="s">
        <v>778</v>
      </c>
      <c r="G383" s="19" t="s">
        <v>701</v>
      </c>
      <c r="H383" s="17" t="s">
        <v>702</v>
      </c>
      <c r="I383" s="17" t="s">
        <v>104</v>
      </c>
      <c r="J383" s="19" t="s">
        <v>105</v>
      </c>
      <c r="K383" s="19" t="s">
        <v>209</v>
      </c>
      <c r="L383" s="19" t="s">
        <v>216</v>
      </c>
      <c r="M383" s="17"/>
      <c r="N383" s="17"/>
      <c r="O383" s="17"/>
      <c r="P383" s="88">
        <v>3.044</v>
      </c>
      <c r="Q383" s="88">
        <v>1.454</v>
      </c>
      <c r="R383" s="17">
        <v>0</v>
      </c>
      <c r="S383" s="66">
        <v>471.93180625350436</v>
      </c>
      <c r="T383" s="19" t="s">
        <v>3244</v>
      </c>
      <c r="U383" s="21">
        <v>0.93500000000000005</v>
      </c>
      <c r="V383" s="86">
        <v>30.8</v>
      </c>
      <c r="W383" s="81" t="s">
        <v>700</v>
      </c>
      <c r="X383" s="16"/>
      <c r="Y383" s="16"/>
      <c r="Z383" s="16"/>
      <c r="AA383" s="16"/>
      <c r="AB383" s="16"/>
      <c r="AC383" s="16"/>
      <c r="AD383"/>
      <c r="AE383"/>
      <c r="AF383"/>
      <c r="AG383"/>
      <c r="AH383"/>
      <c r="AI383"/>
      <c r="AJ383"/>
    </row>
    <row r="384" spans="1:74" s="5" customFormat="1" ht="57">
      <c r="A384" s="17" t="s">
        <v>218</v>
      </c>
      <c r="B384" s="17" t="s">
        <v>389</v>
      </c>
      <c r="C384" s="18" t="s">
        <v>390</v>
      </c>
      <c r="D384" s="18" t="s">
        <v>589</v>
      </c>
      <c r="E384" s="17">
        <v>725</v>
      </c>
      <c r="F384" s="17" t="s">
        <v>778</v>
      </c>
      <c r="G384" s="19" t="s">
        <v>701</v>
      </c>
      <c r="H384" s="17" t="s">
        <v>702</v>
      </c>
      <c r="I384" s="17" t="s">
        <v>104</v>
      </c>
      <c r="J384" s="19" t="s">
        <v>105</v>
      </c>
      <c r="K384" s="19" t="s">
        <v>209</v>
      </c>
      <c r="L384" s="19" t="s">
        <v>216</v>
      </c>
      <c r="M384" s="17"/>
      <c r="N384" s="17"/>
      <c r="O384" s="17"/>
      <c r="P384" s="88">
        <v>3.0609999999999999</v>
      </c>
      <c r="Q384" s="88">
        <v>1.4140000000000001</v>
      </c>
      <c r="R384" s="17">
        <v>0</v>
      </c>
      <c r="S384" s="66">
        <v>454.51754534580704</v>
      </c>
      <c r="T384" s="19" t="s">
        <v>3244</v>
      </c>
      <c r="U384" s="21">
        <v>0.93500000000000005</v>
      </c>
      <c r="V384" s="86">
        <v>30.8</v>
      </c>
      <c r="W384" s="81" t="s">
        <v>700</v>
      </c>
      <c r="X384" s="16"/>
      <c r="Y384" s="16"/>
      <c r="Z384" s="16"/>
      <c r="AA384" s="16"/>
      <c r="AB384" s="16"/>
      <c r="AC384" s="16"/>
      <c r="AD384"/>
      <c r="AE384"/>
      <c r="AF384"/>
      <c r="AG384"/>
      <c r="AH384"/>
      <c r="AI384"/>
      <c r="AJ384"/>
    </row>
    <row r="385" spans="1:137" s="5" customFormat="1" ht="57">
      <c r="A385" s="17" t="s">
        <v>218</v>
      </c>
      <c r="B385" s="17" t="s">
        <v>389</v>
      </c>
      <c r="C385" s="18" t="s">
        <v>390</v>
      </c>
      <c r="D385" s="18" t="s">
        <v>589</v>
      </c>
      <c r="E385" s="17">
        <v>725</v>
      </c>
      <c r="F385" s="17" t="s">
        <v>778</v>
      </c>
      <c r="G385" s="19" t="s">
        <v>701</v>
      </c>
      <c r="H385" s="17" t="s">
        <v>702</v>
      </c>
      <c r="I385" s="17" t="s">
        <v>104</v>
      </c>
      <c r="J385" s="19" t="s">
        <v>105</v>
      </c>
      <c r="K385" s="19" t="s">
        <v>209</v>
      </c>
      <c r="L385" s="19" t="s">
        <v>216</v>
      </c>
      <c r="M385" s="17"/>
      <c r="N385" s="17"/>
      <c r="O385" s="17"/>
      <c r="P385" s="88">
        <v>2.9769999999999999</v>
      </c>
      <c r="Q385" s="88">
        <v>1.4510000000000001</v>
      </c>
      <c r="R385" s="17">
        <v>0</v>
      </c>
      <c r="S385" s="66">
        <v>452.99298861141557</v>
      </c>
      <c r="T385" s="19" t="s">
        <v>3244</v>
      </c>
      <c r="U385" s="21">
        <v>0.93500000000000005</v>
      </c>
      <c r="V385" s="86">
        <v>30.8</v>
      </c>
      <c r="W385" s="81" t="s">
        <v>700</v>
      </c>
      <c r="X385" s="16"/>
      <c r="Y385" s="16"/>
      <c r="Z385" s="16"/>
      <c r="AA385" s="16"/>
      <c r="AB385" s="16"/>
      <c r="AC385" s="16"/>
      <c r="AD385"/>
      <c r="AE385"/>
      <c r="AF385"/>
      <c r="AG385"/>
      <c r="AH385"/>
      <c r="AI385"/>
      <c r="AJ385"/>
    </row>
    <row r="386" spans="1:137" s="5" customFormat="1" ht="57">
      <c r="A386" s="17" t="s">
        <v>218</v>
      </c>
      <c r="B386" s="17" t="s">
        <v>389</v>
      </c>
      <c r="C386" s="18" t="s">
        <v>390</v>
      </c>
      <c r="D386" s="18" t="s">
        <v>589</v>
      </c>
      <c r="E386" s="17">
        <v>725</v>
      </c>
      <c r="F386" s="17" t="s">
        <v>778</v>
      </c>
      <c r="G386" s="19" t="s">
        <v>701</v>
      </c>
      <c r="H386" s="17" t="s">
        <v>702</v>
      </c>
      <c r="I386" s="17" t="s">
        <v>104</v>
      </c>
      <c r="J386" s="19" t="s">
        <v>105</v>
      </c>
      <c r="K386" s="19" t="s">
        <v>126</v>
      </c>
      <c r="L386" s="19" t="s">
        <v>127</v>
      </c>
      <c r="M386" s="17"/>
      <c r="N386" s="17"/>
      <c r="O386" s="17"/>
      <c r="P386" s="88">
        <v>4.8100000000000005</v>
      </c>
      <c r="Q386" s="88">
        <v>1.556</v>
      </c>
      <c r="R386" s="17">
        <v>0</v>
      </c>
      <c r="S386" s="66">
        <v>702.46903063981642</v>
      </c>
      <c r="T386" s="19" t="s">
        <v>3245</v>
      </c>
      <c r="U386" s="21">
        <v>0.94299999999999995</v>
      </c>
      <c r="V386" s="86">
        <v>29.1</v>
      </c>
      <c r="W386" s="81" t="s">
        <v>700</v>
      </c>
      <c r="X386" s="16"/>
      <c r="Y386" s="16"/>
      <c r="Z386" s="16"/>
      <c r="AA386" s="16"/>
      <c r="AB386" s="16"/>
      <c r="AC386" s="16"/>
      <c r="AD386"/>
      <c r="AE386"/>
      <c r="AF386"/>
      <c r="AG386"/>
      <c r="AH386"/>
      <c r="AI386"/>
      <c r="AJ386"/>
    </row>
    <row r="387" spans="1:137" s="5" customFormat="1" ht="57">
      <c r="A387" s="17" t="s">
        <v>218</v>
      </c>
      <c r="B387" s="17" t="s">
        <v>389</v>
      </c>
      <c r="C387" s="18" t="s">
        <v>390</v>
      </c>
      <c r="D387" s="18" t="s">
        <v>589</v>
      </c>
      <c r="E387" s="17">
        <v>725</v>
      </c>
      <c r="F387" s="17" t="s">
        <v>778</v>
      </c>
      <c r="G387" s="19" t="s">
        <v>701</v>
      </c>
      <c r="H387" s="17" t="s">
        <v>702</v>
      </c>
      <c r="I387" s="17" t="s">
        <v>104</v>
      </c>
      <c r="J387" s="19" t="s">
        <v>105</v>
      </c>
      <c r="K387" s="19" t="s">
        <v>126</v>
      </c>
      <c r="L387" s="19" t="s">
        <v>127</v>
      </c>
      <c r="M387" s="17"/>
      <c r="N387" s="17"/>
      <c r="O387" s="17"/>
      <c r="P387" s="88">
        <v>4.6950000000000003</v>
      </c>
      <c r="Q387" s="88">
        <v>1.593</v>
      </c>
      <c r="R387" s="17">
        <v>0</v>
      </c>
      <c r="S387" s="66">
        <v>701.6727792212472</v>
      </c>
      <c r="T387" s="19" t="s">
        <v>3245</v>
      </c>
      <c r="U387" s="21">
        <v>0.94299999999999995</v>
      </c>
      <c r="V387" s="86">
        <v>29.1</v>
      </c>
      <c r="W387" s="81" t="s">
        <v>700</v>
      </c>
      <c r="X387" s="16"/>
      <c r="Y387" s="16"/>
      <c r="Z387" s="16"/>
      <c r="AA387" s="16"/>
      <c r="AB387" s="16"/>
      <c r="AC387" s="16"/>
      <c r="AD387"/>
      <c r="AE387"/>
      <c r="AF387"/>
      <c r="AG387"/>
      <c r="AH387"/>
      <c r="AI387"/>
      <c r="AJ387"/>
    </row>
    <row r="388" spans="1:137" s="5" customFormat="1" ht="57">
      <c r="A388" s="17" t="s">
        <v>218</v>
      </c>
      <c r="B388" s="17" t="s">
        <v>389</v>
      </c>
      <c r="C388" s="18" t="s">
        <v>390</v>
      </c>
      <c r="D388" s="18" t="s">
        <v>589</v>
      </c>
      <c r="E388" s="17">
        <v>725</v>
      </c>
      <c r="F388" s="17" t="s">
        <v>778</v>
      </c>
      <c r="G388" s="19" t="s">
        <v>701</v>
      </c>
      <c r="H388" s="17" t="s">
        <v>702</v>
      </c>
      <c r="I388" s="17" t="s">
        <v>104</v>
      </c>
      <c r="J388" s="19" t="s">
        <v>105</v>
      </c>
      <c r="K388" s="19" t="s">
        <v>126</v>
      </c>
      <c r="L388" s="19" t="s">
        <v>127</v>
      </c>
      <c r="M388" s="17"/>
      <c r="N388" s="17"/>
      <c r="O388" s="17"/>
      <c r="P388" s="88">
        <v>4.9180000000000001</v>
      </c>
      <c r="Q388" s="88">
        <v>1.5169999999999999</v>
      </c>
      <c r="R388" s="17">
        <v>0</v>
      </c>
      <c r="S388" s="66">
        <v>698.85189450669725</v>
      </c>
      <c r="T388" s="19" t="s">
        <v>3245</v>
      </c>
      <c r="U388" s="21">
        <v>0.94299999999999995</v>
      </c>
      <c r="V388" s="86">
        <v>29.1</v>
      </c>
      <c r="W388" s="81" t="s">
        <v>700</v>
      </c>
      <c r="X388" s="16"/>
      <c r="Y388" s="16"/>
      <c r="Z388" s="16"/>
      <c r="AA388" s="16"/>
      <c r="AB388" s="16"/>
      <c r="AC388" s="16"/>
      <c r="AD388"/>
      <c r="AE388"/>
      <c r="AF388"/>
      <c r="AG388"/>
      <c r="AH388"/>
      <c r="AI388"/>
      <c r="AJ388"/>
    </row>
    <row r="389" spans="1:137" s="5" customFormat="1" ht="57">
      <c r="A389" s="17" t="s">
        <v>218</v>
      </c>
      <c r="B389" s="17" t="s">
        <v>389</v>
      </c>
      <c r="C389" s="18" t="s">
        <v>390</v>
      </c>
      <c r="D389" s="18" t="s">
        <v>589</v>
      </c>
      <c r="E389" s="17">
        <v>725</v>
      </c>
      <c r="F389" s="17" t="s">
        <v>778</v>
      </c>
      <c r="G389" s="19" t="s">
        <v>701</v>
      </c>
      <c r="H389" s="17" t="s">
        <v>702</v>
      </c>
      <c r="I389" s="17" t="s">
        <v>104</v>
      </c>
      <c r="J389" s="19" t="s">
        <v>105</v>
      </c>
      <c r="K389" s="19" t="s">
        <v>126</v>
      </c>
      <c r="L389" s="19" t="s">
        <v>127</v>
      </c>
      <c r="M389" s="17"/>
      <c r="N389" s="17"/>
      <c r="O389" s="17"/>
      <c r="P389" s="88">
        <v>4.8130000000000006</v>
      </c>
      <c r="Q389" s="88">
        <v>1.5390000000000001</v>
      </c>
      <c r="R389" s="17">
        <v>0</v>
      </c>
      <c r="S389" s="66">
        <v>690.74679414522484</v>
      </c>
      <c r="T389" s="19" t="s">
        <v>3245</v>
      </c>
      <c r="U389" s="21">
        <v>0.94299999999999995</v>
      </c>
      <c r="V389" s="86">
        <v>29.1</v>
      </c>
      <c r="W389" s="81" t="s">
        <v>700</v>
      </c>
      <c r="X389" s="16"/>
      <c r="Y389" s="16"/>
      <c r="Z389" s="16"/>
      <c r="AA389" s="16"/>
      <c r="AB389" s="16"/>
      <c r="AC389" s="16"/>
      <c r="AD389"/>
      <c r="AE389"/>
      <c r="AF389"/>
      <c r="AG389"/>
      <c r="AH389"/>
      <c r="AI389"/>
      <c r="AJ389"/>
    </row>
    <row r="390" spans="1:137" s="5" customFormat="1" ht="57">
      <c r="A390" s="17" t="s">
        <v>218</v>
      </c>
      <c r="B390" s="17" t="s">
        <v>389</v>
      </c>
      <c r="C390" s="18" t="s">
        <v>390</v>
      </c>
      <c r="D390" s="18" t="s">
        <v>589</v>
      </c>
      <c r="E390" s="17">
        <v>725</v>
      </c>
      <c r="F390" s="17" t="s">
        <v>778</v>
      </c>
      <c r="G390" s="19" t="s">
        <v>701</v>
      </c>
      <c r="H390" s="17" t="s">
        <v>702</v>
      </c>
      <c r="I390" s="17" t="s">
        <v>104</v>
      </c>
      <c r="J390" s="19" t="s">
        <v>105</v>
      </c>
      <c r="K390" s="19" t="s">
        <v>126</v>
      </c>
      <c r="L390" s="19" t="s">
        <v>127</v>
      </c>
      <c r="M390" s="17"/>
      <c r="N390" s="17"/>
      <c r="O390" s="17"/>
      <c r="P390" s="88">
        <v>4.6929999999999996</v>
      </c>
      <c r="Q390" s="88">
        <v>1.5720000000000001</v>
      </c>
      <c r="R390" s="17">
        <v>0</v>
      </c>
      <c r="S390" s="66">
        <v>686.23778604542542</v>
      </c>
      <c r="T390" s="19" t="s">
        <v>3245</v>
      </c>
      <c r="U390" s="21">
        <v>0.94299999999999995</v>
      </c>
      <c r="V390" s="86">
        <v>29.1</v>
      </c>
      <c r="W390" s="81" t="s">
        <v>700</v>
      </c>
      <c r="X390" s="16"/>
      <c r="Y390" s="16"/>
      <c r="Z390" s="16"/>
      <c r="AA390" s="16"/>
      <c r="AB390" s="16"/>
      <c r="AC390" s="16"/>
      <c r="AD390"/>
      <c r="AE390"/>
      <c r="AF390"/>
      <c r="AG390"/>
      <c r="AH390"/>
      <c r="AI390"/>
      <c r="AJ390"/>
    </row>
    <row r="391" spans="1:137" s="5" customFormat="1" ht="57">
      <c r="A391" s="17" t="s">
        <v>218</v>
      </c>
      <c r="B391" s="17" t="s">
        <v>389</v>
      </c>
      <c r="C391" s="18" t="s">
        <v>390</v>
      </c>
      <c r="D391" s="18" t="s">
        <v>589</v>
      </c>
      <c r="E391" s="17">
        <v>725</v>
      </c>
      <c r="F391" s="17" t="s">
        <v>778</v>
      </c>
      <c r="G391" s="19" t="s">
        <v>701</v>
      </c>
      <c r="H391" s="17" t="s">
        <v>702</v>
      </c>
      <c r="I391" s="17" t="s">
        <v>104</v>
      </c>
      <c r="J391" s="19" t="s">
        <v>105</v>
      </c>
      <c r="K391" s="19" t="s">
        <v>126</v>
      </c>
      <c r="L391" s="19" t="s">
        <v>127</v>
      </c>
      <c r="M391" s="17"/>
      <c r="N391" s="17"/>
      <c r="O391" s="17"/>
      <c r="P391" s="88">
        <v>4.7380000000000004</v>
      </c>
      <c r="Q391" s="88">
        <v>1.556</v>
      </c>
      <c r="R391" s="17">
        <v>0</v>
      </c>
      <c r="S391" s="66">
        <v>685.47236383245388</v>
      </c>
      <c r="T391" s="19" t="s">
        <v>3245</v>
      </c>
      <c r="U391" s="21">
        <v>0.94299999999999995</v>
      </c>
      <c r="V391" s="86">
        <v>29.1</v>
      </c>
      <c r="W391" s="81" t="s">
        <v>700</v>
      </c>
      <c r="X391" s="16"/>
      <c r="Y391" s="16"/>
      <c r="Z391" s="16"/>
      <c r="AA391" s="16"/>
      <c r="AB391" s="16"/>
      <c r="AC391" s="16"/>
      <c r="AD391"/>
      <c r="AE391"/>
      <c r="AF391"/>
      <c r="AG391"/>
      <c r="AH391"/>
      <c r="AI391"/>
      <c r="AJ391"/>
    </row>
    <row r="392" spans="1:137" s="5" customFormat="1" ht="57">
      <c r="A392" s="17" t="s">
        <v>218</v>
      </c>
      <c r="B392" s="17" t="s">
        <v>389</v>
      </c>
      <c r="C392" s="18" t="s">
        <v>390</v>
      </c>
      <c r="D392" s="18" t="s">
        <v>589</v>
      </c>
      <c r="E392" s="17">
        <v>725</v>
      </c>
      <c r="F392" s="17" t="s">
        <v>778</v>
      </c>
      <c r="G392" s="19" t="s">
        <v>701</v>
      </c>
      <c r="H392" s="17" t="s">
        <v>702</v>
      </c>
      <c r="I392" s="17" t="s">
        <v>104</v>
      </c>
      <c r="J392" s="19" t="s">
        <v>105</v>
      </c>
      <c r="K392" s="19" t="s">
        <v>126</v>
      </c>
      <c r="L392" s="19" t="s">
        <v>127</v>
      </c>
      <c r="M392" s="17"/>
      <c r="N392" s="17"/>
      <c r="O392" s="17"/>
      <c r="P392" s="88">
        <v>4.9489999999999998</v>
      </c>
      <c r="Q392" s="88">
        <v>1.4830000000000001</v>
      </c>
      <c r="R392" s="17">
        <v>0</v>
      </c>
      <c r="S392" s="66">
        <v>680.50226374884994</v>
      </c>
      <c r="T392" s="19" t="s">
        <v>3245</v>
      </c>
      <c r="U392" s="21">
        <v>0.94299999999999995</v>
      </c>
      <c r="V392" s="86">
        <v>29.1</v>
      </c>
      <c r="W392" s="81" t="s">
        <v>700</v>
      </c>
      <c r="X392" s="16"/>
      <c r="Y392" s="16"/>
      <c r="Z392" s="16"/>
      <c r="AA392" s="16"/>
      <c r="AB392" s="16"/>
      <c r="AC392" s="16"/>
      <c r="AD392"/>
      <c r="AE392"/>
      <c r="AF392"/>
      <c r="AG392"/>
      <c r="AH392"/>
      <c r="AI392"/>
      <c r="AJ392"/>
    </row>
    <row r="393" spans="1:137" s="5" customFormat="1" ht="57">
      <c r="A393" s="17" t="s">
        <v>218</v>
      </c>
      <c r="B393" s="17" t="s">
        <v>389</v>
      </c>
      <c r="C393" s="18" t="s">
        <v>390</v>
      </c>
      <c r="D393" s="18" t="s">
        <v>589</v>
      </c>
      <c r="E393" s="17">
        <v>725</v>
      </c>
      <c r="F393" s="17" t="s">
        <v>778</v>
      </c>
      <c r="G393" s="19" t="s">
        <v>701</v>
      </c>
      <c r="H393" s="17" t="s">
        <v>702</v>
      </c>
      <c r="I393" s="17" t="s">
        <v>104</v>
      </c>
      <c r="J393" s="19" t="s">
        <v>105</v>
      </c>
      <c r="K393" s="19" t="s">
        <v>126</v>
      </c>
      <c r="L393" s="19" t="s">
        <v>127</v>
      </c>
      <c r="M393" s="17"/>
      <c r="N393" s="17"/>
      <c r="O393" s="17"/>
      <c r="P393" s="88">
        <v>4.3579999999999997</v>
      </c>
      <c r="Q393" s="88">
        <v>1.6780000000000002</v>
      </c>
      <c r="R393" s="17">
        <v>0</v>
      </c>
      <c r="S393" s="66">
        <v>676.49500181266956</v>
      </c>
      <c r="T393" s="19" t="s">
        <v>3245</v>
      </c>
      <c r="U393" s="21">
        <v>0.94299999999999995</v>
      </c>
      <c r="V393" s="86">
        <v>29.1</v>
      </c>
      <c r="W393" s="81" t="s">
        <v>700</v>
      </c>
      <c r="X393" s="16"/>
      <c r="Y393" s="16"/>
      <c r="Z393" s="16"/>
      <c r="AA393" s="16"/>
      <c r="AB393" s="16"/>
      <c r="AC393" s="16"/>
      <c r="AD393"/>
      <c r="AE393"/>
      <c r="AF393"/>
      <c r="AG393"/>
      <c r="AH393"/>
      <c r="AI393"/>
      <c r="AJ393"/>
    </row>
    <row r="394" spans="1:137" s="5" customFormat="1" ht="57">
      <c r="A394" s="17" t="s">
        <v>218</v>
      </c>
      <c r="B394" s="17" t="s">
        <v>389</v>
      </c>
      <c r="C394" s="18" t="s">
        <v>390</v>
      </c>
      <c r="D394" s="18" t="s">
        <v>589</v>
      </c>
      <c r="E394" s="17">
        <v>725</v>
      </c>
      <c r="F394" s="17" t="s">
        <v>778</v>
      </c>
      <c r="G394" s="19" t="s">
        <v>701</v>
      </c>
      <c r="H394" s="17" t="s">
        <v>702</v>
      </c>
      <c r="I394" s="17" t="s">
        <v>104</v>
      </c>
      <c r="J394" s="19" t="s">
        <v>105</v>
      </c>
      <c r="K394" s="19" t="s">
        <v>126</v>
      </c>
      <c r="L394" s="19" t="s">
        <v>127</v>
      </c>
      <c r="M394" s="17"/>
      <c r="N394" s="17"/>
      <c r="O394" s="17"/>
      <c r="P394" s="88">
        <v>4.6390000000000002</v>
      </c>
      <c r="Q394" s="88">
        <v>1.5710000000000002</v>
      </c>
      <c r="R394" s="17">
        <v>0</v>
      </c>
      <c r="S394" s="66">
        <v>672.76486969215784</v>
      </c>
      <c r="T394" s="19" t="s">
        <v>3245</v>
      </c>
      <c r="U394" s="21">
        <v>0.94299999999999995</v>
      </c>
      <c r="V394" s="86">
        <v>29.1</v>
      </c>
      <c r="W394" s="81" t="s">
        <v>700</v>
      </c>
      <c r="X394" s="16"/>
      <c r="Y394" s="16"/>
      <c r="Z394" s="16"/>
      <c r="AA394" s="16"/>
      <c r="AB394" s="16"/>
      <c r="AC394" s="16"/>
      <c r="AD394"/>
      <c r="AE394"/>
      <c r="AF394"/>
      <c r="AG394"/>
      <c r="AH394"/>
      <c r="AI394"/>
      <c r="AJ394"/>
    </row>
    <row r="395" spans="1:137" s="5" customFormat="1" ht="57">
      <c r="A395" s="17" t="s">
        <v>218</v>
      </c>
      <c r="B395" s="17" t="s">
        <v>389</v>
      </c>
      <c r="C395" s="18" t="s">
        <v>390</v>
      </c>
      <c r="D395" s="18" t="s">
        <v>589</v>
      </c>
      <c r="E395" s="17">
        <v>725</v>
      </c>
      <c r="F395" s="17" t="s">
        <v>778</v>
      </c>
      <c r="G395" s="19" t="s">
        <v>701</v>
      </c>
      <c r="H395" s="17" t="s">
        <v>702</v>
      </c>
      <c r="I395" s="17" t="s">
        <v>104</v>
      </c>
      <c r="J395" s="19" t="s">
        <v>105</v>
      </c>
      <c r="K395" s="19" t="s">
        <v>126</v>
      </c>
      <c r="L395" s="19" t="s">
        <v>127</v>
      </c>
      <c r="M395" s="17"/>
      <c r="N395" s="17"/>
      <c r="O395" s="17"/>
      <c r="P395" s="88">
        <v>4.5439999999999996</v>
      </c>
      <c r="Q395" s="88">
        <v>1.595</v>
      </c>
      <c r="R395" s="17">
        <v>0</v>
      </c>
      <c r="S395" s="66">
        <v>666.75025797440492</v>
      </c>
      <c r="T395" s="19" t="s">
        <v>3245</v>
      </c>
      <c r="U395" s="21">
        <v>0.94299999999999995</v>
      </c>
      <c r="V395" s="86">
        <v>29.1</v>
      </c>
      <c r="W395" s="81" t="s">
        <v>700</v>
      </c>
      <c r="X395" s="16"/>
      <c r="Y395" s="16"/>
      <c r="Z395" s="16"/>
      <c r="AA395" s="16"/>
      <c r="AB395" s="16"/>
      <c r="AC395" s="16"/>
      <c r="AD395"/>
      <c r="AE395"/>
      <c r="AF395"/>
      <c r="AG395"/>
      <c r="AH395"/>
      <c r="AI395"/>
      <c r="AJ395"/>
    </row>
    <row r="396" spans="1:137" s="5" customFormat="1" ht="57">
      <c r="A396" s="17" t="s">
        <v>218</v>
      </c>
      <c r="B396" s="17" t="s">
        <v>389</v>
      </c>
      <c r="C396" s="18" t="s">
        <v>390</v>
      </c>
      <c r="D396" s="18" t="s">
        <v>589</v>
      </c>
      <c r="E396" s="17">
        <v>725</v>
      </c>
      <c r="F396" s="17" t="s">
        <v>778</v>
      </c>
      <c r="G396" s="19" t="s">
        <v>701</v>
      </c>
      <c r="H396" s="17" t="s">
        <v>702</v>
      </c>
      <c r="I396" s="17" t="s">
        <v>104</v>
      </c>
      <c r="J396" s="19" t="s">
        <v>105</v>
      </c>
      <c r="K396" s="19" t="s">
        <v>126</v>
      </c>
      <c r="L396" s="19" t="s">
        <v>127</v>
      </c>
      <c r="M396" s="17"/>
      <c r="N396" s="17"/>
      <c r="O396" s="17"/>
      <c r="P396" s="88">
        <v>4.71</v>
      </c>
      <c r="Q396" s="88">
        <v>1.5289999999999999</v>
      </c>
      <c r="R396" s="17">
        <v>0</v>
      </c>
      <c r="S396" s="66">
        <v>659.87809123030252</v>
      </c>
      <c r="T396" s="19" t="s">
        <v>3245</v>
      </c>
      <c r="U396" s="21">
        <v>0.94299999999999995</v>
      </c>
      <c r="V396" s="86">
        <v>29.1</v>
      </c>
      <c r="W396" s="81" t="s">
        <v>700</v>
      </c>
      <c r="X396" s="16"/>
      <c r="Y396" s="16"/>
      <c r="Z396" s="16"/>
      <c r="AA396" s="16"/>
      <c r="AB396" s="16"/>
      <c r="AC396" s="16"/>
      <c r="AD396"/>
      <c r="AE396"/>
      <c r="AF396"/>
      <c r="AG396"/>
      <c r="AH396"/>
      <c r="AI396"/>
      <c r="AJ396"/>
    </row>
    <row r="397" spans="1:137" s="5" customFormat="1" ht="57">
      <c r="A397" s="17" t="s">
        <v>218</v>
      </c>
      <c r="B397" s="17" t="s">
        <v>389</v>
      </c>
      <c r="C397" s="18" t="s">
        <v>390</v>
      </c>
      <c r="D397" s="18" t="s">
        <v>589</v>
      </c>
      <c r="E397" s="17">
        <v>725</v>
      </c>
      <c r="F397" s="17" t="s">
        <v>778</v>
      </c>
      <c r="G397" s="19" t="s">
        <v>701</v>
      </c>
      <c r="H397" s="17" t="s">
        <v>702</v>
      </c>
      <c r="I397" s="17" t="s">
        <v>104</v>
      </c>
      <c r="J397" s="19" t="s">
        <v>105</v>
      </c>
      <c r="K397" s="19" t="s">
        <v>126</v>
      </c>
      <c r="L397" s="19" t="s">
        <v>127</v>
      </c>
      <c r="M397" s="17"/>
      <c r="N397" s="17"/>
      <c r="O397" s="17"/>
      <c r="P397" s="88">
        <v>4.548</v>
      </c>
      <c r="Q397" s="88">
        <v>1.577</v>
      </c>
      <c r="R397" s="17">
        <v>0</v>
      </c>
      <c r="S397" s="66">
        <v>655.50965158902193</v>
      </c>
      <c r="T397" s="19" t="s">
        <v>3245</v>
      </c>
      <c r="U397" s="21">
        <v>0.94299999999999995</v>
      </c>
      <c r="V397" s="86">
        <v>29.1</v>
      </c>
      <c r="W397" s="81" t="s">
        <v>700</v>
      </c>
      <c r="X397" s="16"/>
      <c r="Y397" s="16"/>
      <c r="Z397" s="16"/>
      <c r="AA397" s="16"/>
      <c r="AB397" s="16"/>
      <c r="AC397" s="16"/>
      <c r="AD397"/>
      <c r="AE397"/>
      <c r="AF397"/>
      <c r="AG397"/>
      <c r="AH397"/>
      <c r="AI397"/>
      <c r="AJ397"/>
    </row>
    <row r="398" spans="1:137" s="5" customFormat="1" ht="57">
      <c r="A398" s="17" t="s">
        <v>218</v>
      </c>
      <c r="B398" s="17" t="s">
        <v>389</v>
      </c>
      <c r="C398" s="18" t="s">
        <v>390</v>
      </c>
      <c r="D398" s="18" t="s">
        <v>589</v>
      </c>
      <c r="E398" s="17">
        <v>725</v>
      </c>
      <c r="F398" s="17" t="s">
        <v>778</v>
      </c>
      <c r="G398" s="19" t="s">
        <v>701</v>
      </c>
      <c r="H398" s="17" t="s">
        <v>702</v>
      </c>
      <c r="I398" s="17" t="s">
        <v>104</v>
      </c>
      <c r="J398" s="19" t="s">
        <v>105</v>
      </c>
      <c r="K398" s="19" t="s">
        <v>126</v>
      </c>
      <c r="L398" s="19" t="s">
        <v>127</v>
      </c>
      <c r="M398" s="17"/>
      <c r="N398" s="17"/>
      <c r="O398" s="17"/>
      <c r="P398" s="88">
        <v>4.7389999999999999</v>
      </c>
      <c r="Q398" s="88">
        <v>1.5029999999999999</v>
      </c>
      <c r="R398" s="17">
        <v>0</v>
      </c>
      <c r="S398" s="66">
        <v>648.18145208412921</v>
      </c>
      <c r="T398" s="19" t="s">
        <v>3245</v>
      </c>
      <c r="U398" s="21">
        <v>0.94299999999999995</v>
      </c>
      <c r="V398" s="86">
        <v>29.1</v>
      </c>
      <c r="W398" s="81" t="s">
        <v>700</v>
      </c>
      <c r="X398" s="16"/>
      <c r="Y398" s="16"/>
      <c r="Z398" s="16"/>
      <c r="AA398" s="16"/>
      <c r="AB398" s="16"/>
      <c r="AC398" s="16"/>
      <c r="AD398"/>
      <c r="AE398"/>
      <c r="AF398"/>
      <c r="AG398"/>
      <c r="AH398"/>
      <c r="AI398"/>
      <c r="AJ398"/>
    </row>
    <row r="399" spans="1:137" s="16" customFormat="1" ht="57">
      <c r="A399" s="17" t="s">
        <v>218</v>
      </c>
      <c r="B399" s="17" t="s">
        <v>389</v>
      </c>
      <c r="C399" s="18" t="s">
        <v>390</v>
      </c>
      <c r="D399" s="18" t="s">
        <v>589</v>
      </c>
      <c r="E399" s="17">
        <v>725</v>
      </c>
      <c r="F399" s="17" t="s">
        <v>753</v>
      </c>
      <c r="G399" s="19" t="s">
        <v>701</v>
      </c>
      <c r="H399" s="17" t="s">
        <v>702</v>
      </c>
      <c r="I399" s="17" t="s">
        <v>104</v>
      </c>
      <c r="J399" s="19" t="s">
        <v>105</v>
      </c>
      <c r="K399" s="19" t="s">
        <v>3292</v>
      </c>
      <c r="L399" s="19" t="s">
        <v>3293</v>
      </c>
      <c r="M399" s="17"/>
      <c r="N399" s="17"/>
      <c r="O399" s="17"/>
      <c r="P399" s="88">
        <v>3.1970000000000001</v>
      </c>
      <c r="Q399" s="88">
        <v>1.496</v>
      </c>
      <c r="R399" s="17">
        <v>0</v>
      </c>
      <c r="S399" s="66">
        <v>688.57020019958463</v>
      </c>
      <c r="T399" s="19" t="s">
        <v>3294</v>
      </c>
      <c r="U399" s="21" t="s">
        <v>3295</v>
      </c>
      <c r="V399" s="86" t="s">
        <v>3296</v>
      </c>
      <c r="W399" s="81" t="s">
        <v>700</v>
      </c>
      <c r="AD399"/>
      <c r="AE399"/>
      <c r="AF399"/>
      <c r="AG399"/>
      <c r="AH399"/>
      <c r="AI399"/>
      <c r="AJ399"/>
      <c r="AK399" s="5"/>
      <c r="AL399" s="5"/>
      <c r="AM399" s="5"/>
      <c r="AN399" s="5"/>
      <c r="AO399" s="5"/>
      <c r="AP399" s="5"/>
      <c r="AQ399" s="5"/>
      <c r="AR399" s="5"/>
      <c r="AS399" s="5"/>
      <c r="AT399" s="5"/>
      <c r="AU399" s="5"/>
      <c r="AV399" s="5"/>
      <c r="AW399" s="5"/>
      <c r="AX399" s="5"/>
      <c r="AY399" s="5"/>
      <c r="AZ399" s="5"/>
      <c r="BA399" s="5"/>
      <c r="BB399" s="5"/>
      <c r="BC399" s="5"/>
      <c r="BD399" s="5"/>
      <c r="BE399" s="5"/>
      <c r="BF399" s="5"/>
      <c r="BG399" s="5"/>
      <c r="BH399" s="5"/>
      <c r="BI399" s="5"/>
      <c r="BJ399" s="5"/>
      <c r="BK399" s="5"/>
      <c r="BL399" s="5"/>
      <c r="BM399" s="5"/>
      <c r="BN399" s="5"/>
      <c r="BO399" s="5"/>
      <c r="BP399" s="5"/>
      <c r="BQ399" s="5"/>
      <c r="BR399" s="5"/>
      <c r="BS399" s="5"/>
      <c r="BT399" s="5"/>
      <c r="BU399" s="5"/>
      <c r="BV399" s="5"/>
      <c r="BW399" s="5"/>
      <c r="BX399" s="5"/>
      <c r="BY399" s="5"/>
      <c r="BZ399" s="5"/>
      <c r="CA399" s="5"/>
      <c r="CB399" s="5"/>
      <c r="CC399" s="5"/>
      <c r="CD399" s="5"/>
      <c r="CE399" s="5"/>
      <c r="CF399" s="5"/>
      <c r="CG399" s="5"/>
      <c r="CH399" s="5"/>
      <c r="CI399" s="5"/>
      <c r="CJ399" s="5"/>
      <c r="CK399" s="5"/>
      <c r="CL399" s="5"/>
      <c r="CM399" s="5"/>
      <c r="CN399" s="5"/>
      <c r="CO399" s="5"/>
      <c r="CP399" s="5"/>
      <c r="CQ399" s="5"/>
      <c r="CR399" s="5"/>
      <c r="CS399" s="5"/>
      <c r="CT399" s="5"/>
      <c r="CU399" s="5"/>
      <c r="CV399" s="5"/>
      <c r="CW399" s="5"/>
      <c r="CX399" s="5"/>
      <c r="CY399" s="5"/>
      <c r="CZ399" s="5"/>
      <c r="DA399" s="5"/>
      <c r="DB399" s="5"/>
      <c r="DC399" s="5"/>
      <c r="DD399" s="5"/>
      <c r="DE399" s="5"/>
      <c r="DF399" s="5"/>
      <c r="DG399" s="5"/>
      <c r="DH399" s="5"/>
      <c r="DI399" s="5"/>
      <c r="DJ399" s="5"/>
      <c r="DK399" s="5"/>
      <c r="DL399" s="5"/>
      <c r="DM399" s="5"/>
      <c r="DN399" s="5"/>
      <c r="DO399" s="5"/>
      <c r="DP399" s="5"/>
      <c r="DQ399" s="5"/>
      <c r="DR399" s="5"/>
      <c r="DS399" s="5"/>
      <c r="DT399" s="5"/>
      <c r="DU399" s="5"/>
      <c r="DV399" s="5"/>
      <c r="DW399" s="5"/>
      <c r="DX399" s="5"/>
      <c r="DY399" s="5"/>
      <c r="DZ399" s="5"/>
      <c r="EA399" s="5"/>
      <c r="EB399" s="5"/>
      <c r="EC399" s="5"/>
      <c r="ED399" s="5"/>
      <c r="EE399" s="5"/>
      <c r="EF399" s="5"/>
      <c r="EG399" s="5"/>
    </row>
    <row r="400" spans="1:137" s="16" customFormat="1" ht="57">
      <c r="A400" s="17" t="s">
        <v>218</v>
      </c>
      <c r="B400" s="17" t="s">
        <v>389</v>
      </c>
      <c r="C400" s="18" t="s">
        <v>390</v>
      </c>
      <c r="D400" s="18" t="s">
        <v>589</v>
      </c>
      <c r="E400" s="17">
        <v>725</v>
      </c>
      <c r="F400" s="17" t="s">
        <v>753</v>
      </c>
      <c r="G400" s="19" t="s">
        <v>701</v>
      </c>
      <c r="H400" s="17" t="s">
        <v>702</v>
      </c>
      <c r="I400" s="17" t="s">
        <v>104</v>
      </c>
      <c r="J400" s="19" t="s">
        <v>105</v>
      </c>
      <c r="K400" s="19" t="s">
        <v>3292</v>
      </c>
      <c r="L400" s="19" t="s">
        <v>3293</v>
      </c>
      <c r="M400" s="17"/>
      <c r="N400" s="17"/>
      <c r="O400" s="17"/>
      <c r="P400" s="88">
        <v>2.9630000000000001</v>
      </c>
      <c r="Q400" s="88">
        <v>1.6</v>
      </c>
      <c r="R400" s="17">
        <v>0</v>
      </c>
      <c r="S400" s="66">
        <v>678.4210623630313</v>
      </c>
      <c r="T400" s="19" t="s">
        <v>3294</v>
      </c>
      <c r="U400" s="21" t="s">
        <v>3295</v>
      </c>
      <c r="V400" s="86" t="s">
        <v>3296</v>
      </c>
      <c r="W400" s="81" t="s">
        <v>700</v>
      </c>
      <c r="AD400"/>
      <c r="AE400"/>
      <c r="AF400"/>
      <c r="AG400"/>
      <c r="AH400"/>
      <c r="AI400"/>
      <c r="AJ400"/>
      <c r="AK400" s="5"/>
      <c r="AL400" s="5"/>
      <c r="AM400" s="5"/>
      <c r="AN400" s="5"/>
      <c r="AO400" s="5"/>
      <c r="AP400" s="5"/>
      <c r="AQ400" s="5"/>
      <c r="AR400" s="5"/>
      <c r="AS400" s="5"/>
      <c r="AT400" s="5"/>
      <c r="AU400" s="5"/>
      <c r="AV400" s="5"/>
      <c r="AW400" s="5"/>
      <c r="AX400" s="5"/>
      <c r="AY400" s="5"/>
      <c r="AZ400" s="5"/>
      <c r="BA400" s="5"/>
      <c r="BB400" s="5"/>
      <c r="BC400" s="5"/>
      <c r="BD400" s="5"/>
      <c r="BE400" s="5"/>
      <c r="BF400" s="5"/>
      <c r="BG400" s="5"/>
      <c r="BH400" s="5"/>
      <c r="BI400" s="5"/>
      <c r="BJ400" s="5"/>
      <c r="BK400" s="5"/>
      <c r="BL400" s="5"/>
      <c r="BM400" s="5"/>
      <c r="BN400" s="5"/>
      <c r="BO400" s="5"/>
      <c r="BP400" s="5"/>
      <c r="BQ400" s="5"/>
      <c r="BR400" s="5"/>
      <c r="BS400" s="5"/>
      <c r="BT400" s="5"/>
      <c r="BU400" s="5"/>
      <c r="BV400" s="5"/>
      <c r="BW400" s="5"/>
      <c r="BX400" s="5"/>
      <c r="BY400" s="5"/>
      <c r="BZ400" s="5"/>
      <c r="CA400" s="5"/>
      <c r="CB400" s="5"/>
      <c r="CC400" s="5"/>
      <c r="CD400" s="5"/>
      <c r="CE400" s="5"/>
      <c r="CF400" s="5"/>
      <c r="CG400" s="5"/>
      <c r="CH400" s="5"/>
      <c r="CI400" s="5"/>
      <c r="CJ400" s="5"/>
      <c r="CK400" s="5"/>
      <c r="CL400" s="5"/>
      <c r="CM400" s="5"/>
      <c r="CN400" s="5"/>
      <c r="CO400" s="5"/>
      <c r="CP400" s="5"/>
      <c r="CQ400" s="5"/>
      <c r="CR400" s="5"/>
      <c r="CS400" s="5"/>
      <c r="CT400" s="5"/>
      <c r="CU400" s="5"/>
      <c r="CV400" s="5"/>
      <c r="CW400" s="5"/>
      <c r="CX400" s="5"/>
      <c r="CY400" s="5"/>
      <c r="CZ400" s="5"/>
      <c r="DA400" s="5"/>
      <c r="DB400" s="5"/>
      <c r="DC400" s="5"/>
      <c r="DD400" s="5"/>
      <c r="DE400" s="5"/>
      <c r="DF400" s="5"/>
      <c r="DG400" s="5"/>
      <c r="DH400" s="5"/>
      <c r="DI400" s="5"/>
      <c r="DJ400" s="5"/>
      <c r="DK400" s="5"/>
      <c r="DL400" s="5"/>
      <c r="DM400" s="5"/>
      <c r="DN400" s="5"/>
      <c r="DO400" s="5"/>
      <c r="DP400" s="5"/>
      <c r="DQ400" s="5"/>
      <c r="DR400" s="5"/>
      <c r="DS400" s="5"/>
      <c r="DT400" s="5"/>
      <c r="DU400" s="5"/>
      <c r="DV400" s="5"/>
      <c r="DW400" s="5"/>
      <c r="DX400" s="5"/>
      <c r="DY400" s="5"/>
      <c r="DZ400" s="5"/>
      <c r="EA400" s="5"/>
      <c r="EB400" s="5"/>
      <c r="EC400" s="5"/>
      <c r="ED400" s="5"/>
      <c r="EE400" s="5"/>
      <c r="EF400" s="5"/>
      <c r="EG400" s="5"/>
    </row>
    <row r="401" spans="1:137" s="17" customFormat="1" ht="57">
      <c r="A401" s="17" t="s">
        <v>218</v>
      </c>
      <c r="B401" s="17" t="s">
        <v>389</v>
      </c>
      <c r="C401" s="18" t="s">
        <v>390</v>
      </c>
      <c r="D401" s="18" t="s">
        <v>151</v>
      </c>
      <c r="E401" s="17">
        <v>908</v>
      </c>
      <c r="F401" s="17">
        <v>248</v>
      </c>
      <c r="G401" s="19" t="s">
        <v>250</v>
      </c>
      <c r="H401" s="17" t="s">
        <v>251</v>
      </c>
      <c r="I401" s="17" t="s">
        <v>104</v>
      </c>
      <c r="J401" s="19" t="s">
        <v>105</v>
      </c>
      <c r="K401" s="19" t="s">
        <v>3305</v>
      </c>
      <c r="L401" s="19" t="s">
        <v>3306</v>
      </c>
      <c r="M401" s="17" t="s">
        <v>108</v>
      </c>
      <c r="N401" s="17">
        <v>0</v>
      </c>
      <c r="O401" s="17">
        <v>0</v>
      </c>
      <c r="P401" s="88">
        <v>5.8740000000000006</v>
      </c>
      <c r="Q401" s="88">
        <v>4.3879999999999999</v>
      </c>
      <c r="R401" s="17">
        <v>0</v>
      </c>
      <c r="S401" s="66">
        <v>321.10000000000002</v>
      </c>
      <c r="T401" s="19" t="s">
        <v>3307</v>
      </c>
      <c r="U401" s="21">
        <v>0.95399999999999996</v>
      </c>
      <c r="V401" s="86">
        <v>20</v>
      </c>
      <c r="W401" s="81" t="s">
        <v>694</v>
      </c>
      <c r="X401" s="16"/>
      <c r="Y401" s="16"/>
      <c r="Z401" s="16"/>
      <c r="AA401" s="16"/>
      <c r="AB401" s="16"/>
      <c r="AC401" s="16"/>
      <c r="AD401"/>
      <c r="AE401"/>
      <c r="AF401"/>
      <c r="AG401"/>
      <c r="AH401"/>
      <c r="AI401"/>
      <c r="AJ401"/>
      <c r="AK401" s="5"/>
      <c r="AL401" s="5"/>
      <c r="AM401" s="5"/>
      <c r="AN401" s="5"/>
      <c r="AO401" s="5"/>
      <c r="AP401" s="5"/>
      <c r="AQ401" s="5"/>
      <c r="AR401" s="5"/>
      <c r="AS401" s="5"/>
      <c r="AT401" s="5"/>
      <c r="AU401" s="5"/>
      <c r="AV401" s="5"/>
      <c r="AW401" s="5"/>
      <c r="AX401" s="5"/>
      <c r="AY401" s="5"/>
      <c r="AZ401" s="5"/>
      <c r="BA401" s="5"/>
      <c r="BB401" s="5"/>
      <c r="BC401" s="5"/>
      <c r="BD401" s="5"/>
      <c r="BE401" s="5"/>
      <c r="BF401" s="5"/>
      <c r="BG401" s="5"/>
      <c r="BH401" s="5"/>
      <c r="BI401" s="5"/>
      <c r="BJ401" s="5"/>
      <c r="BK401" s="5"/>
      <c r="BL401" s="5"/>
      <c r="BM401" s="5"/>
      <c r="BN401" s="5"/>
      <c r="BO401" s="5"/>
      <c r="BP401" s="5"/>
      <c r="BQ401" s="5"/>
      <c r="BR401" s="5"/>
      <c r="BS401" s="5"/>
      <c r="BT401" s="5"/>
      <c r="BU401" s="5"/>
      <c r="BV401" s="5"/>
      <c r="BW401" s="5"/>
      <c r="BX401" s="5"/>
      <c r="BY401" s="5"/>
      <c r="BZ401" s="5"/>
      <c r="CA401" s="5"/>
      <c r="CB401" s="5"/>
      <c r="CC401" s="5"/>
      <c r="CD401" s="5"/>
      <c r="CE401" s="5"/>
      <c r="CF401" s="5"/>
      <c r="CG401" s="5"/>
      <c r="CH401" s="5"/>
      <c r="CI401" s="5"/>
      <c r="CJ401" s="5"/>
      <c r="CK401" s="5"/>
      <c r="CL401" s="5"/>
      <c r="CM401" s="5"/>
      <c r="CN401" s="5"/>
      <c r="CO401" s="5"/>
      <c r="CP401" s="5"/>
      <c r="CQ401" s="5"/>
      <c r="CR401" s="5"/>
      <c r="CS401" s="5"/>
      <c r="CT401" s="5"/>
      <c r="CU401" s="5"/>
      <c r="CV401" s="5"/>
      <c r="CW401" s="5"/>
      <c r="CX401" s="5"/>
      <c r="CY401" s="5"/>
      <c r="CZ401" s="5"/>
      <c r="DA401" s="5"/>
      <c r="DB401" s="5"/>
      <c r="DC401" s="5"/>
      <c r="DD401" s="5"/>
      <c r="DE401" s="5"/>
      <c r="DF401" s="5"/>
      <c r="DG401" s="5"/>
      <c r="DH401" s="5"/>
      <c r="DI401" s="5"/>
      <c r="DJ401" s="5"/>
      <c r="DK401" s="5"/>
      <c r="DL401" s="5"/>
      <c r="DM401" s="5"/>
      <c r="DN401" s="5"/>
      <c r="DO401" s="5"/>
      <c r="DP401" s="5"/>
      <c r="DQ401" s="5"/>
      <c r="DR401" s="5"/>
      <c r="DS401" s="5"/>
      <c r="DT401" s="5"/>
      <c r="DU401" s="5"/>
      <c r="DV401" s="5"/>
      <c r="DW401" s="5"/>
      <c r="DX401" s="5"/>
      <c r="DY401" s="5"/>
      <c r="DZ401" s="5"/>
      <c r="EA401" s="5"/>
      <c r="EB401" s="5"/>
      <c r="EC401" s="5"/>
      <c r="ED401" s="5"/>
      <c r="EE401" s="5"/>
      <c r="EF401" s="5"/>
      <c r="EG401" s="5"/>
    </row>
    <row r="402" spans="1:137" s="17" customFormat="1" ht="38">
      <c r="A402" s="17" t="s">
        <v>218</v>
      </c>
      <c r="B402" s="17" t="s">
        <v>389</v>
      </c>
      <c r="C402" s="18" t="s">
        <v>390</v>
      </c>
      <c r="D402" s="18" t="s">
        <v>151</v>
      </c>
      <c r="E402" s="17">
        <v>908</v>
      </c>
      <c r="F402" s="17">
        <v>250</v>
      </c>
      <c r="G402" s="19" t="s">
        <v>250</v>
      </c>
      <c r="H402" s="17" t="s">
        <v>251</v>
      </c>
      <c r="I402" s="17" t="s">
        <v>104</v>
      </c>
      <c r="J402" s="19" t="s">
        <v>105</v>
      </c>
      <c r="K402" s="19" t="s">
        <v>3319</v>
      </c>
      <c r="L402" s="19" t="s">
        <v>3320</v>
      </c>
      <c r="M402" s="17" t="s">
        <v>108</v>
      </c>
      <c r="P402" s="88">
        <v>3.8130000000000002</v>
      </c>
      <c r="Q402" s="88">
        <v>6.99</v>
      </c>
      <c r="R402" s="17">
        <v>0</v>
      </c>
      <c r="S402" s="66">
        <v>274.10239426275496</v>
      </c>
      <c r="T402" s="19" t="s">
        <v>3321</v>
      </c>
      <c r="U402" s="21">
        <v>0.97</v>
      </c>
      <c r="V402" s="86">
        <v>43.4</v>
      </c>
      <c r="W402" s="81" t="s">
        <v>3322</v>
      </c>
      <c r="X402" s="16"/>
      <c r="Y402" s="16"/>
      <c r="Z402" s="16"/>
      <c r="AA402" s="16"/>
      <c r="AB402" s="16"/>
      <c r="AC402" s="16"/>
      <c r="AD402"/>
      <c r="AE402"/>
      <c r="AF402"/>
      <c r="AG402"/>
      <c r="AH402"/>
      <c r="AI402"/>
      <c r="AJ402"/>
      <c r="AK402" s="5"/>
      <c r="AL402" s="5"/>
      <c r="AM402" s="5"/>
      <c r="AN402" s="5"/>
      <c r="AO402" s="5"/>
      <c r="AP402" s="5"/>
      <c r="AQ402" s="5"/>
      <c r="AR402" s="5"/>
      <c r="AS402" s="5"/>
      <c r="AT402" s="5"/>
      <c r="AU402" s="5"/>
      <c r="AV402" s="5"/>
      <c r="AW402" s="5"/>
      <c r="AX402" s="5"/>
      <c r="AY402" s="5"/>
      <c r="AZ402" s="5"/>
      <c r="BA402" s="5"/>
      <c r="BB402" s="5"/>
      <c r="BC402" s="5"/>
      <c r="BD402" s="5"/>
      <c r="BE402" s="5"/>
      <c r="BF402" s="5"/>
      <c r="BG402" s="5"/>
      <c r="BH402" s="5"/>
      <c r="BI402" s="5"/>
      <c r="BJ402" s="5"/>
      <c r="BK402" s="5"/>
      <c r="BL402" s="5"/>
      <c r="BM402" s="5"/>
      <c r="BN402" s="5"/>
      <c r="BO402" s="5"/>
      <c r="BP402" s="5"/>
      <c r="BQ402" s="5"/>
      <c r="BR402" s="5"/>
      <c r="BS402" s="5"/>
      <c r="BT402" s="5"/>
      <c r="BU402" s="5"/>
      <c r="BV402" s="5"/>
      <c r="BW402" s="5"/>
      <c r="BX402" s="5"/>
      <c r="BY402" s="5"/>
      <c r="BZ402" s="5"/>
      <c r="CA402" s="5"/>
      <c r="CB402" s="5"/>
      <c r="CC402" s="5"/>
      <c r="CD402" s="5"/>
      <c r="CE402" s="5"/>
      <c r="CF402" s="5"/>
      <c r="CG402" s="5"/>
      <c r="CH402" s="5"/>
      <c r="CI402" s="5"/>
      <c r="CJ402" s="5"/>
      <c r="CK402" s="5"/>
      <c r="CL402" s="5"/>
      <c r="CM402" s="5"/>
      <c r="CN402" s="5"/>
      <c r="CO402" s="5"/>
      <c r="CP402" s="5"/>
      <c r="CQ402" s="5"/>
      <c r="CR402" s="5"/>
      <c r="CS402" s="5"/>
      <c r="CT402" s="5"/>
      <c r="CU402" s="5"/>
      <c r="CV402" s="5"/>
      <c r="CW402" s="5"/>
      <c r="CX402" s="5"/>
      <c r="CY402" s="5"/>
      <c r="CZ402" s="5"/>
      <c r="DA402" s="5"/>
      <c r="DB402" s="5"/>
      <c r="DC402" s="5"/>
      <c r="DD402" s="5"/>
      <c r="DE402" s="5"/>
      <c r="DF402" s="5"/>
      <c r="DG402" s="5"/>
      <c r="DH402" s="5"/>
      <c r="DI402" s="5"/>
      <c r="DJ402" s="5"/>
      <c r="DK402" s="5"/>
      <c r="DL402" s="5"/>
      <c r="DM402" s="5"/>
      <c r="DN402" s="5"/>
      <c r="DO402" s="5"/>
      <c r="DP402" s="5"/>
      <c r="DQ402" s="5"/>
      <c r="DR402" s="5"/>
      <c r="DS402" s="5"/>
      <c r="DT402" s="5"/>
      <c r="DU402" s="5"/>
      <c r="DV402" s="5"/>
      <c r="DW402" s="5"/>
      <c r="DX402" s="5"/>
      <c r="DY402" s="5"/>
      <c r="DZ402" s="5"/>
      <c r="EA402" s="5"/>
      <c r="EB402" s="5"/>
      <c r="EC402" s="5"/>
      <c r="ED402" s="5"/>
      <c r="EE402" s="5"/>
      <c r="EF402" s="5"/>
      <c r="EG402" s="5"/>
    </row>
    <row r="403" spans="1:137" s="17" customFormat="1" ht="38">
      <c r="A403" s="17" t="s">
        <v>218</v>
      </c>
      <c r="B403" s="17" t="s">
        <v>389</v>
      </c>
      <c r="C403" s="18" t="s">
        <v>390</v>
      </c>
      <c r="D403" s="18" t="s">
        <v>151</v>
      </c>
      <c r="E403" s="17">
        <v>908</v>
      </c>
      <c r="F403" s="17">
        <v>554</v>
      </c>
      <c r="G403" s="19" t="s">
        <v>250</v>
      </c>
      <c r="H403" s="17" t="s">
        <v>251</v>
      </c>
      <c r="I403" s="17" t="s">
        <v>104</v>
      </c>
      <c r="J403" s="19" t="s">
        <v>105</v>
      </c>
      <c r="K403" s="19" t="s">
        <v>3319</v>
      </c>
      <c r="L403" s="19" t="s">
        <v>3320</v>
      </c>
      <c r="M403" s="17" t="s">
        <v>108</v>
      </c>
      <c r="P403" s="88">
        <v>3.5710000000000002</v>
      </c>
      <c r="Q403" s="88">
        <v>6.7159999999999993</v>
      </c>
      <c r="R403" s="17">
        <v>0</v>
      </c>
      <c r="S403" s="66">
        <v>241.90372345791201</v>
      </c>
      <c r="T403" s="19" t="s">
        <v>3321</v>
      </c>
      <c r="U403" s="21">
        <v>0.97</v>
      </c>
      <c r="V403" s="86">
        <v>43.4</v>
      </c>
      <c r="W403" s="81" t="s">
        <v>3322</v>
      </c>
      <c r="X403" s="16"/>
      <c r="Y403" s="16"/>
      <c r="Z403" s="16"/>
      <c r="AA403" s="16"/>
      <c r="AB403" s="16"/>
      <c r="AC403" s="16"/>
      <c r="AD403"/>
      <c r="AE403"/>
      <c r="AF403"/>
      <c r="AG403"/>
      <c r="AH403"/>
      <c r="AI403"/>
      <c r="AJ403"/>
      <c r="AK403" s="5"/>
      <c r="AL403" s="5"/>
      <c r="AM403" s="5"/>
      <c r="AN403" s="5"/>
      <c r="AO403" s="5"/>
      <c r="AP403" s="5"/>
      <c r="AQ403" s="5"/>
      <c r="AR403" s="5"/>
      <c r="AS403" s="5"/>
      <c r="AT403" s="5"/>
      <c r="AU403" s="5"/>
      <c r="AV403" s="5"/>
      <c r="AW403" s="5"/>
      <c r="AX403" s="5"/>
      <c r="AY403" s="5"/>
      <c r="AZ403" s="5"/>
      <c r="BA403" s="5"/>
      <c r="BB403" s="5"/>
      <c r="BC403" s="5"/>
      <c r="BD403" s="5"/>
      <c r="BE403" s="5"/>
      <c r="BF403" s="5"/>
      <c r="BG403" s="5"/>
      <c r="BH403" s="5"/>
      <c r="BI403" s="5"/>
      <c r="BJ403" s="5"/>
      <c r="BK403" s="5"/>
      <c r="BL403" s="5"/>
      <c r="BM403" s="5"/>
      <c r="BN403" s="5"/>
      <c r="BO403" s="5"/>
      <c r="BP403" s="5"/>
      <c r="BQ403" s="5"/>
      <c r="BR403" s="5"/>
      <c r="BS403" s="5"/>
      <c r="BT403" s="5"/>
      <c r="BU403" s="5"/>
      <c r="BV403" s="5"/>
      <c r="BW403" s="5"/>
      <c r="BX403" s="5"/>
      <c r="BY403" s="5"/>
      <c r="BZ403" s="5"/>
      <c r="CA403" s="5"/>
      <c r="CB403" s="5"/>
      <c r="CC403" s="5"/>
      <c r="CD403" s="5"/>
      <c r="CE403" s="5"/>
      <c r="CF403" s="5"/>
      <c r="CG403" s="5"/>
      <c r="CH403" s="5"/>
      <c r="CI403" s="5"/>
      <c r="CJ403" s="5"/>
      <c r="CK403" s="5"/>
      <c r="CL403" s="5"/>
      <c r="CM403" s="5"/>
      <c r="CN403" s="5"/>
      <c r="CO403" s="5"/>
      <c r="CP403" s="5"/>
      <c r="CQ403" s="5"/>
      <c r="CR403" s="5"/>
      <c r="CS403" s="5"/>
      <c r="CT403" s="5"/>
      <c r="CU403" s="5"/>
      <c r="CV403" s="5"/>
      <c r="CW403" s="5"/>
      <c r="CX403" s="5"/>
      <c r="CY403" s="5"/>
      <c r="CZ403" s="5"/>
      <c r="DA403" s="5"/>
      <c r="DB403" s="5"/>
      <c r="DC403" s="5"/>
      <c r="DD403" s="5"/>
      <c r="DE403" s="5"/>
      <c r="DF403" s="5"/>
      <c r="DG403" s="5"/>
      <c r="DH403" s="5"/>
      <c r="DI403" s="5"/>
      <c r="DJ403" s="5"/>
      <c r="DK403" s="5"/>
      <c r="DL403" s="5"/>
      <c r="DM403" s="5"/>
      <c r="DN403" s="5"/>
      <c r="DO403" s="5"/>
      <c r="DP403" s="5"/>
      <c r="DQ403" s="5"/>
      <c r="DR403" s="5"/>
      <c r="DS403" s="5"/>
      <c r="DT403" s="5"/>
      <c r="DU403" s="5"/>
      <c r="DV403" s="5"/>
      <c r="DW403" s="5"/>
      <c r="DX403" s="5"/>
      <c r="DY403" s="5"/>
      <c r="DZ403" s="5"/>
      <c r="EA403" s="5"/>
      <c r="EB403" s="5"/>
      <c r="EC403" s="5"/>
      <c r="ED403" s="5"/>
      <c r="EE403" s="5"/>
      <c r="EF403" s="5"/>
      <c r="EG403" s="5"/>
    </row>
    <row r="404" spans="1:137" s="17" customFormat="1" ht="57">
      <c r="A404" s="17" t="s">
        <v>218</v>
      </c>
      <c r="B404" s="17" t="s">
        <v>389</v>
      </c>
      <c r="C404" s="18" t="s">
        <v>390</v>
      </c>
      <c r="D404" s="18" t="s">
        <v>151</v>
      </c>
      <c r="E404" s="17">
        <v>908</v>
      </c>
      <c r="F404" s="17">
        <v>555</v>
      </c>
      <c r="G404" s="19" t="s">
        <v>250</v>
      </c>
      <c r="H404" s="17" t="s">
        <v>251</v>
      </c>
      <c r="I404" s="17" t="s">
        <v>104</v>
      </c>
      <c r="J404" s="19" t="s">
        <v>105</v>
      </c>
      <c r="K404" s="19" t="s">
        <v>3305</v>
      </c>
      <c r="L404" s="19" t="s">
        <v>3306</v>
      </c>
      <c r="M404" s="17" t="s">
        <v>108</v>
      </c>
      <c r="N404" s="17">
        <v>0</v>
      </c>
      <c r="O404" s="17">
        <v>0</v>
      </c>
      <c r="P404" s="88">
        <v>6.0729999999999995</v>
      </c>
      <c r="Q404" s="88">
        <v>4.5389999999999997</v>
      </c>
      <c r="R404" s="17">
        <v>0</v>
      </c>
      <c r="S404" s="66">
        <v>353</v>
      </c>
      <c r="T404" s="19" t="s">
        <v>3307</v>
      </c>
      <c r="U404" s="21">
        <v>0.95399999999999996</v>
      </c>
      <c r="V404" s="86">
        <v>20</v>
      </c>
      <c r="W404" s="81" t="s">
        <v>694</v>
      </c>
      <c r="X404" s="16"/>
      <c r="Y404" s="16"/>
      <c r="Z404" s="16"/>
      <c r="AA404" s="16"/>
      <c r="AB404" s="16"/>
      <c r="AC404" s="16"/>
      <c r="AD404"/>
      <c r="AE404"/>
      <c r="AF404"/>
      <c r="AG404"/>
      <c r="AH404"/>
      <c r="AI404"/>
      <c r="AJ404"/>
      <c r="AK404" s="5"/>
      <c r="AL404" s="5"/>
      <c r="AM404" s="5"/>
      <c r="AN404" s="5"/>
      <c r="AO404" s="5"/>
      <c r="AP404" s="5"/>
      <c r="AQ404" s="5"/>
      <c r="AR404" s="5"/>
      <c r="AS404" s="5"/>
      <c r="AT404" s="5"/>
      <c r="AU404" s="5"/>
      <c r="AV404" s="5"/>
      <c r="AW404" s="5"/>
      <c r="AX404" s="5"/>
      <c r="AY404" s="5"/>
      <c r="AZ404" s="5"/>
      <c r="BA404" s="5"/>
      <c r="BB404" s="5"/>
      <c r="BC404" s="5"/>
      <c r="BD404" s="5"/>
      <c r="BE404" s="5"/>
      <c r="BF404" s="5"/>
      <c r="BG404" s="5"/>
      <c r="BH404" s="5"/>
      <c r="BI404" s="5"/>
      <c r="BJ404" s="5"/>
      <c r="BK404" s="5"/>
      <c r="BL404" s="5"/>
      <c r="BM404" s="5"/>
      <c r="BN404" s="5"/>
      <c r="BO404" s="5"/>
      <c r="BP404" s="5"/>
      <c r="BQ404" s="5"/>
      <c r="BR404" s="5"/>
      <c r="BS404" s="5"/>
      <c r="BT404" s="5"/>
      <c r="BU404" s="5"/>
      <c r="BV404" s="5"/>
      <c r="BW404" s="5"/>
      <c r="BX404" s="5"/>
      <c r="BY404" s="5"/>
      <c r="BZ404" s="5"/>
      <c r="CA404" s="5"/>
      <c r="CB404" s="5"/>
      <c r="CC404" s="5"/>
      <c r="CD404" s="5"/>
      <c r="CE404" s="5"/>
      <c r="CF404" s="5"/>
      <c r="CG404" s="5"/>
      <c r="CH404" s="5"/>
      <c r="CI404" s="5"/>
      <c r="CJ404" s="5"/>
      <c r="CK404" s="5"/>
      <c r="CL404" s="5"/>
      <c r="CM404" s="5"/>
      <c r="CN404" s="5"/>
      <c r="CO404" s="5"/>
      <c r="CP404" s="5"/>
      <c r="CQ404" s="5"/>
      <c r="CR404" s="5"/>
      <c r="CS404" s="5"/>
      <c r="CT404" s="5"/>
      <c r="CU404" s="5"/>
      <c r="CV404" s="5"/>
      <c r="CW404" s="5"/>
      <c r="CX404" s="5"/>
      <c r="CY404" s="5"/>
      <c r="CZ404" s="5"/>
      <c r="DA404" s="5"/>
      <c r="DB404" s="5"/>
      <c r="DC404" s="5"/>
      <c r="DD404" s="5"/>
      <c r="DE404" s="5"/>
      <c r="DF404" s="5"/>
      <c r="DG404" s="5"/>
      <c r="DH404" s="5"/>
      <c r="DI404" s="5"/>
      <c r="DJ404" s="5"/>
      <c r="DK404" s="5"/>
      <c r="DL404" s="5"/>
      <c r="DM404" s="5"/>
      <c r="DN404" s="5"/>
      <c r="DO404" s="5"/>
      <c r="DP404" s="5"/>
      <c r="DQ404" s="5"/>
      <c r="DR404" s="5"/>
      <c r="DS404" s="5"/>
      <c r="DT404" s="5"/>
      <c r="DU404" s="5"/>
      <c r="DV404" s="5"/>
      <c r="DW404" s="5"/>
      <c r="DX404" s="5"/>
      <c r="DY404" s="5"/>
      <c r="DZ404" s="5"/>
      <c r="EA404" s="5"/>
      <c r="EB404" s="5"/>
      <c r="EC404" s="5"/>
      <c r="ED404" s="5"/>
      <c r="EE404" s="5"/>
      <c r="EF404" s="5"/>
      <c r="EG404" s="5"/>
    </row>
    <row r="405" spans="1:137" s="17" customFormat="1" ht="57">
      <c r="A405" s="17" t="s">
        <v>218</v>
      </c>
      <c r="B405" s="17" t="s">
        <v>389</v>
      </c>
      <c r="C405" s="18" t="s">
        <v>390</v>
      </c>
      <c r="D405" s="18" t="s">
        <v>151</v>
      </c>
      <c r="E405" s="17">
        <v>908</v>
      </c>
      <c r="F405" s="17">
        <v>567</v>
      </c>
      <c r="G405" s="19" t="s">
        <v>250</v>
      </c>
      <c r="H405" s="17" t="s">
        <v>251</v>
      </c>
      <c r="I405" s="17" t="s">
        <v>104</v>
      </c>
      <c r="J405" s="19" t="s">
        <v>105</v>
      </c>
      <c r="K405" s="19" t="s">
        <v>3289</v>
      </c>
      <c r="L405" s="19" t="s">
        <v>3324</v>
      </c>
      <c r="P405" s="88">
        <v>5.9240000000000004</v>
      </c>
      <c r="Q405" s="88">
        <v>3.5549999999999997</v>
      </c>
      <c r="R405" s="17">
        <v>0</v>
      </c>
      <c r="S405" s="66">
        <v>449.99073762446307</v>
      </c>
      <c r="T405" s="19" t="s">
        <v>3291</v>
      </c>
      <c r="U405" s="21">
        <v>0.95289999999999997</v>
      </c>
      <c r="V405" s="86">
        <v>20</v>
      </c>
      <c r="W405" s="81" t="s">
        <v>694</v>
      </c>
      <c r="X405" s="16"/>
      <c r="Y405" s="16"/>
      <c r="Z405" s="16"/>
      <c r="AA405" s="16"/>
      <c r="AB405" s="16"/>
      <c r="AC405" s="16"/>
      <c r="AD405"/>
      <c r="AE405"/>
      <c r="AF405"/>
      <c r="AG405"/>
      <c r="AH405"/>
      <c r="AI405"/>
      <c r="AJ405"/>
      <c r="AK405" s="5"/>
      <c r="AL405" s="5"/>
      <c r="AM405" s="5"/>
      <c r="AN405" s="5"/>
      <c r="AO405" s="5"/>
      <c r="AP405" s="5"/>
      <c r="AQ405" s="5"/>
      <c r="AR405" s="5"/>
      <c r="AS405" s="5"/>
      <c r="AT405" s="5"/>
      <c r="AU405" s="5"/>
      <c r="AV405" s="5"/>
      <c r="AW405" s="5"/>
      <c r="AX405" s="5"/>
      <c r="AY405" s="5"/>
      <c r="AZ405" s="5"/>
      <c r="BA405" s="5"/>
      <c r="BB405" s="5"/>
      <c r="BC405" s="5"/>
      <c r="BD405" s="5"/>
      <c r="BE405" s="5"/>
      <c r="BF405" s="5"/>
      <c r="BG405" s="5"/>
      <c r="BH405" s="5"/>
      <c r="BI405" s="5"/>
      <c r="BJ405" s="5"/>
      <c r="BK405" s="5"/>
      <c r="BL405" s="5"/>
      <c r="BM405" s="5"/>
      <c r="BN405" s="5"/>
      <c r="BO405" s="5"/>
      <c r="BP405" s="5"/>
      <c r="BQ405" s="5"/>
      <c r="BR405" s="5"/>
      <c r="BS405" s="5"/>
      <c r="BT405" s="5"/>
      <c r="BU405" s="5"/>
      <c r="BV405" s="5"/>
      <c r="BW405" s="5"/>
      <c r="BX405" s="5"/>
      <c r="BY405" s="5"/>
      <c r="BZ405" s="5"/>
      <c r="CA405" s="5"/>
      <c r="CB405" s="5"/>
      <c r="CC405" s="5"/>
      <c r="CD405" s="5"/>
      <c r="CE405" s="5"/>
      <c r="CF405" s="5"/>
      <c r="CG405" s="5"/>
      <c r="CH405" s="5"/>
      <c r="CI405" s="5"/>
      <c r="CJ405" s="5"/>
      <c r="CK405" s="5"/>
      <c r="CL405" s="5"/>
      <c r="CM405" s="5"/>
      <c r="CN405" s="5"/>
      <c r="CO405" s="5"/>
      <c r="CP405" s="5"/>
      <c r="CQ405" s="5"/>
      <c r="CR405" s="5"/>
      <c r="CS405" s="5"/>
      <c r="CT405" s="5"/>
      <c r="CU405" s="5"/>
      <c r="CV405" s="5"/>
      <c r="CW405" s="5"/>
      <c r="CX405" s="5"/>
      <c r="CY405" s="5"/>
      <c r="CZ405" s="5"/>
      <c r="DA405" s="5"/>
      <c r="DB405" s="5"/>
      <c r="DC405" s="5"/>
      <c r="DD405" s="5"/>
      <c r="DE405" s="5"/>
      <c r="DF405" s="5"/>
      <c r="DG405" s="5"/>
      <c r="DH405" s="5"/>
      <c r="DI405" s="5"/>
      <c r="DJ405" s="5"/>
      <c r="DK405" s="5"/>
      <c r="DL405" s="5"/>
      <c r="DM405" s="5"/>
      <c r="DN405" s="5"/>
      <c r="DO405" s="5"/>
      <c r="DP405" s="5"/>
      <c r="DQ405" s="5"/>
      <c r="DR405" s="5"/>
      <c r="DS405" s="5"/>
      <c r="DT405" s="5"/>
      <c r="DU405" s="5"/>
      <c r="DV405" s="5"/>
      <c r="DW405" s="5"/>
      <c r="DX405" s="5"/>
      <c r="DY405" s="5"/>
      <c r="DZ405" s="5"/>
      <c r="EA405" s="5"/>
      <c r="EB405" s="5"/>
      <c r="EC405" s="5"/>
      <c r="ED405" s="5"/>
      <c r="EE405" s="5"/>
      <c r="EF405" s="5"/>
      <c r="EG405" s="5"/>
    </row>
    <row r="406" spans="1:137" s="16" customFormat="1" ht="57">
      <c r="A406" s="17" t="s">
        <v>218</v>
      </c>
      <c r="B406" s="17" t="s">
        <v>389</v>
      </c>
      <c r="C406" s="18" t="s">
        <v>390</v>
      </c>
      <c r="D406" s="18" t="s">
        <v>589</v>
      </c>
      <c r="E406" s="17">
        <v>725</v>
      </c>
      <c r="F406" s="17" t="s">
        <v>753</v>
      </c>
      <c r="G406" s="19" t="s">
        <v>701</v>
      </c>
      <c r="H406" s="17" t="s">
        <v>702</v>
      </c>
      <c r="I406" s="17" t="s">
        <v>104</v>
      </c>
      <c r="J406" s="19" t="s">
        <v>105</v>
      </c>
      <c r="K406" s="19" t="s">
        <v>3292</v>
      </c>
      <c r="L406" s="19" t="s">
        <v>3293</v>
      </c>
      <c r="M406" s="17"/>
      <c r="N406" s="17"/>
      <c r="O406" s="17"/>
      <c r="P406" s="88">
        <v>3.1760000000000002</v>
      </c>
      <c r="Q406" s="88">
        <v>1.4830000000000001</v>
      </c>
      <c r="R406" s="17">
        <v>0</v>
      </c>
      <c r="S406" s="66">
        <v>671.00382528124533</v>
      </c>
      <c r="T406" s="19" t="s">
        <v>3294</v>
      </c>
      <c r="U406" s="21" t="s">
        <v>3295</v>
      </c>
      <c r="V406" s="86" t="s">
        <v>3296</v>
      </c>
      <c r="W406" s="81" t="s">
        <v>700</v>
      </c>
      <c r="AD406"/>
      <c r="AE406"/>
      <c r="AF406"/>
      <c r="AG406"/>
      <c r="AH406"/>
      <c r="AI406"/>
      <c r="AJ406"/>
      <c r="AK406" s="5"/>
      <c r="AL406" s="5"/>
      <c r="AM406" s="5"/>
      <c r="AN406" s="5"/>
      <c r="AO406" s="5"/>
      <c r="AP406" s="5"/>
      <c r="AQ406" s="5"/>
      <c r="AR406" s="5"/>
      <c r="AS406" s="5"/>
      <c r="AT406" s="5"/>
      <c r="AU406" s="5"/>
      <c r="AV406" s="5"/>
      <c r="AW406" s="5"/>
      <c r="AX406" s="5"/>
      <c r="AY406" s="5"/>
      <c r="AZ406" s="5"/>
      <c r="BA406" s="5"/>
      <c r="BB406" s="5"/>
      <c r="BC406" s="5"/>
      <c r="BD406" s="5"/>
      <c r="BE406" s="5"/>
      <c r="BF406" s="5"/>
      <c r="BG406" s="5"/>
      <c r="BH406" s="5"/>
      <c r="BI406" s="5"/>
      <c r="BJ406" s="5"/>
      <c r="BK406" s="5"/>
      <c r="BL406" s="5"/>
      <c r="BM406" s="5"/>
      <c r="BN406" s="5"/>
      <c r="BO406" s="5"/>
      <c r="BP406" s="5"/>
      <c r="BQ406" s="5"/>
      <c r="BR406" s="5"/>
      <c r="BS406" s="5"/>
      <c r="BT406" s="5"/>
      <c r="BU406" s="5"/>
      <c r="BV406" s="5"/>
      <c r="BW406" s="5"/>
      <c r="BX406" s="5"/>
      <c r="BY406" s="5"/>
      <c r="BZ406" s="5"/>
      <c r="CA406" s="5"/>
      <c r="CB406" s="5"/>
      <c r="CC406" s="5"/>
      <c r="CD406" s="5"/>
      <c r="CE406" s="5"/>
      <c r="CF406" s="5"/>
      <c r="CG406" s="5"/>
      <c r="CH406" s="5"/>
      <c r="CI406" s="5"/>
      <c r="CJ406" s="5"/>
      <c r="CK406" s="5"/>
      <c r="CL406" s="5"/>
      <c r="CM406" s="5"/>
      <c r="CN406" s="5"/>
      <c r="CO406" s="5"/>
      <c r="CP406" s="5"/>
      <c r="CQ406" s="5"/>
      <c r="CR406" s="5"/>
      <c r="CS406" s="5"/>
      <c r="CT406" s="5"/>
      <c r="CU406" s="5"/>
      <c r="CV406" s="5"/>
      <c r="CW406" s="5"/>
      <c r="CX406" s="5"/>
      <c r="CY406" s="5"/>
      <c r="CZ406" s="5"/>
      <c r="DA406" s="5"/>
      <c r="DB406" s="5"/>
      <c r="DC406" s="5"/>
      <c r="DD406" s="5"/>
      <c r="DE406" s="5"/>
      <c r="DF406" s="5"/>
      <c r="DG406" s="5"/>
      <c r="DH406" s="5"/>
      <c r="DI406" s="5"/>
      <c r="DJ406" s="5"/>
      <c r="DK406" s="5"/>
      <c r="DL406" s="5"/>
      <c r="DM406" s="5"/>
      <c r="DN406" s="5"/>
      <c r="DO406" s="5"/>
      <c r="DP406" s="5"/>
      <c r="DQ406" s="5"/>
      <c r="DR406" s="5"/>
      <c r="DS406" s="5"/>
      <c r="DT406" s="5"/>
      <c r="DU406" s="5"/>
      <c r="DV406" s="5"/>
      <c r="DW406" s="5"/>
      <c r="DX406" s="5"/>
      <c r="DY406" s="5"/>
      <c r="DZ406" s="5"/>
      <c r="EA406" s="5"/>
      <c r="EB406" s="5"/>
      <c r="EC406" s="5"/>
      <c r="ED406" s="5"/>
      <c r="EE406" s="5"/>
      <c r="EF406" s="5"/>
      <c r="EG406" s="5"/>
    </row>
    <row r="407" spans="1:137" s="16" customFormat="1" ht="57">
      <c r="A407" s="17" t="s">
        <v>218</v>
      </c>
      <c r="B407" s="17" t="s">
        <v>389</v>
      </c>
      <c r="C407" s="18" t="s">
        <v>390</v>
      </c>
      <c r="D407" s="18" t="s">
        <v>589</v>
      </c>
      <c r="E407" s="17">
        <v>725</v>
      </c>
      <c r="F407" s="17" t="s">
        <v>753</v>
      </c>
      <c r="G407" s="19" t="s">
        <v>701</v>
      </c>
      <c r="H407" s="17" t="s">
        <v>702</v>
      </c>
      <c r="I407" s="17" t="s">
        <v>104</v>
      </c>
      <c r="J407" s="19" t="s">
        <v>105</v>
      </c>
      <c r="K407" s="19" t="s">
        <v>3292</v>
      </c>
      <c r="L407" s="19" t="s">
        <v>3293</v>
      </c>
      <c r="M407" s="17"/>
      <c r="N407" s="17"/>
      <c r="O407" s="17"/>
      <c r="P407" s="88">
        <v>3.012</v>
      </c>
      <c r="Q407" s="88">
        <v>1.306</v>
      </c>
      <c r="R407" s="17">
        <v>0</v>
      </c>
      <c r="S407" s="66">
        <v>495.17450330194731</v>
      </c>
      <c r="T407" s="19" t="s">
        <v>3294</v>
      </c>
      <c r="U407" s="21" t="s">
        <v>3295</v>
      </c>
      <c r="V407" s="86" t="s">
        <v>3296</v>
      </c>
      <c r="W407" s="81" t="s">
        <v>700</v>
      </c>
      <c r="AD407"/>
      <c r="AE407"/>
      <c r="AF407"/>
      <c r="AG407"/>
      <c r="AH407"/>
      <c r="AI407"/>
      <c r="AJ407"/>
      <c r="AK407" s="5"/>
      <c r="AL407" s="5"/>
      <c r="AM407" s="5"/>
      <c r="AN407" s="5"/>
      <c r="AO407" s="5"/>
      <c r="AP407" s="5"/>
      <c r="AQ407" s="5"/>
      <c r="AR407" s="5"/>
      <c r="AS407" s="5"/>
      <c r="AT407" s="5"/>
      <c r="AU407" s="5"/>
      <c r="AV407" s="5"/>
      <c r="AW407" s="5"/>
      <c r="AX407" s="5"/>
      <c r="AY407" s="5"/>
      <c r="AZ407" s="5"/>
      <c r="BA407" s="5"/>
      <c r="BB407" s="5"/>
      <c r="BC407" s="5"/>
      <c r="BD407" s="5"/>
      <c r="BE407" s="5"/>
      <c r="BF407" s="5"/>
      <c r="BG407" s="5"/>
      <c r="BH407" s="5"/>
      <c r="BI407" s="5"/>
      <c r="BJ407" s="5"/>
      <c r="BK407" s="5"/>
      <c r="BL407" s="5"/>
      <c r="BM407" s="5"/>
      <c r="BN407" s="5"/>
      <c r="BO407" s="5"/>
      <c r="BP407" s="5"/>
      <c r="BQ407" s="5"/>
      <c r="BR407" s="5"/>
      <c r="BS407" s="5"/>
      <c r="BT407" s="5"/>
      <c r="BU407" s="5"/>
      <c r="BV407" s="5"/>
      <c r="BW407" s="5"/>
      <c r="BX407" s="5"/>
      <c r="BY407" s="5"/>
      <c r="BZ407" s="5"/>
      <c r="CA407" s="5"/>
      <c r="CB407" s="5"/>
      <c r="CC407" s="5"/>
      <c r="CD407" s="5"/>
      <c r="CE407" s="5"/>
      <c r="CF407" s="5"/>
      <c r="CG407" s="5"/>
      <c r="CH407" s="5"/>
      <c r="CI407" s="5"/>
      <c r="CJ407" s="5"/>
      <c r="CK407" s="5"/>
      <c r="CL407" s="5"/>
      <c r="CM407" s="5"/>
      <c r="CN407" s="5"/>
      <c r="CO407" s="5"/>
      <c r="CP407" s="5"/>
      <c r="CQ407" s="5"/>
      <c r="CR407" s="5"/>
      <c r="CS407" s="5"/>
      <c r="CT407" s="5"/>
      <c r="CU407" s="5"/>
      <c r="CV407" s="5"/>
      <c r="CW407" s="5"/>
      <c r="CX407" s="5"/>
      <c r="CY407" s="5"/>
      <c r="CZ407" s="5"/>
      <c r="DA407" s="5"/>
      <c r="DB407" s="5"/>
      <c r="DC407" s="5"/>
      <c r="DD407" s="5"/>
      <c r="DE407" s="5"/>
      <c r="DF407" s="5"/>
      <c r="DG407" s="5"/>
      <c r="DH407" s="5"/>
      <c r="DI407" s="5"/>
      <c r="DJ407" s="5"/>
      <c r="DK407" s="5"/>
      <c r="DL407" s="5"/>
      <c r="DM407" s="5"/>
      <c r="DN407" s="5"/>
      <c r="DO407" s="5"/>
      <c r="DP407" s="5"/>
      <c r="DQ407" s="5"/>
      <c r="DR407" s="5"/>
      <c r="DS407" s="5"/>
      <c r="DT407" s="5"/>
      <c r="DU407" s="5"/>
      <c r="DV407" s="5"/>
      <c r="DW407" s="5"/>
      <c r="DX407" s="5"/>
      <c r="DY407" s="5"/>
      <c r="DZ407" s="5"/>
      <c r="EA407" s="5"/>
      <c r="EB407" s="5"/>
      <c r="EC407" s="5"/>
      <c r="ED407" s="5"/>
      <c r="EE407" s="5"/>
      <c r="EF407" s="5"/>
      <c r="EG407" s="5"/>
    </row>
    <row r="408" spans="1:137" s="83" customFormat="1" ht="57">
      <c r="A408" s="17" t="s">
        <v>218</v>
      </c>
      <c r="B408" s="17" t="s">
        <v>389</v>
      </c>
      <c r="C408" s="18" t="s">
        <v>390</v>
      </c>
      <c r="D408" s="18" t="s">
        <v>589</v>
      </c>
      <c r="E408" s="17">
        <v>45819</v>
      </c>
      <c r="F408" s="17" t="s">
        <v>967</v>
      </c>
      <c r="G408" s="19" t="s">
        <v>968</v>
      </c>
      <c r="H408" s="17" t="s">
        <v>969</v>
      </c>
      <c r="I408" s="17" t="s">
        <v>104</v>
      </c>
      <c r="J408" s="19" t="s">
        <v>105</v>
      </c>
      <c r="K408" s="19" t="s">
        <v>3316</v>
      </c>
      <c r="L408" s="19" t="s">
        <v>159</v>
      </c>
      <c r="M408" s="17"/>
      <c r="N408" s="17"/>
      <c r="O408" s="17"/>
      <c r="P408" s="88">
        <v>4.4670000000000005</v>
      </c>
      <c r="Q408" s="88">
        <v>2.6589999999999998</v>
      </c>
      <c r="R408" s="17">
        <v>0</v>
      </c>
      <c r="S408" s="66">
        <v>691.60704098772021</v>
      </c>
      <c r="T408" s="19" t="s">
        <v>3317</v>
      </c>
      <c r="U408" s="21">
        <v>0.88</v>
      </c>
      <c r="V408" s="86">
        <v>44.9</v>
      </c>
      <c r="W408" s="81" t="s">
        <v>3287</v>
      </c>
      <c r="X408" s="16"/>
      <c r="Y408" s="16"/>
      <c r="Z408" s="16"/>
      <c r="AA408" s="16"/>
      <c r="AB408" s="16"/>
      <c r="AC408" s="16"/>
      <c r="AD408"/>
      <c r="AE408"/>
      <c r="AF408"/>
      <c r="AG408"/>
      <c r="AH408"/>
      <c r="AI408"/>
      <c r="AJ408"/>
      <c r="AK408" s="5"/>
      <c r="AL408" s="5"/>
      <c r="AM408" s="5"/>
      <c r="AN408" s="5"/>
      <c r="AO408" s="5"/>
      <c r="AP408" s="5"/>
      <c r="AQ408" s="5"/>
      <c r="AR408" s="5"/>
      <c r="AS408" s="5"/>
      <c r="AT408" s="5"/>
      <c r="AU408" s="5"/>
      <c r="AV408" s="5"/>
      <c r="AW408" s="5"/>
      <c r="AX408" s="5"/>
      <c r="AY408" s="5"/>
      <c r="AZ408" s="5"/>
      <c r="BA408" s="5"/>
      <c r="BB408" s="5"/>
      <c r="BC408" s="5"/>
      <c r="BD408" s="5"/>
      <c r="BE408" s="5"/>
      <c r="BF408" s="5"/>
      <c r="BG408" s="5"/>
      <c r="BH408" s="5"/>
      <c r="BI408" s="5"/>
      <c r="BJ408" s="5"/>
      <c r="BK408" s="5"/>
      <c r="BL408" s="5"/>
      <c r="BM408" s="5"/>
      <c r="BN408" s="5"/>
      <c r="BO408" s="5"/>
      <c r="BP408" s="5"/>
      <c r="BQ408" s="5"/>
      <c r="BR408" s="5"/>
      <c r="BS408" s="5"/>
      <c r="BT408" s="5"/>
      <c r="BU408" s="5"/>
      <c r="BV408" s="5"/>
      <c r="BW408" s="5"/>
      <c r="BX408" s="5"/>
      <c r="BY408" s="5"/>
      <c r="BZ408" s="5"/>
      <c r="CA408" s="5"/>
      <c r="CB408" s="5"/>
      <c r="CC408" s="5"/>
      <c r="CD408" s="5"/>
      <c r="CE408" s="5"/>
      <c r="CF408" s="5"/>
      <c r="CG408" s="5"/>
      <c r="CH408" s="5"/>
      <c r="CI408" s="5"/>
      <c r="CJ408" s="5"/>
      <c r="CK408" s="5"/>
      <c r="CL408" s="5"/>
      <c r="CM408" s="5"/>
      <c r="CN408" s="5"/>
      <c r="CO408" s="5"/>
      <c r="CP408" s="5"/>
      <c r="CQ408" s="5"/>
      <c r="CR408" s="5"/>
      <c r="CS408" s="5"/>
      <c r="CT408" s="5"/>
      <c r="CU408" s="5"/>
      <c r="CV408" s="5"/>
      <c r="CW408" s="5"/>
      <c r="CX408" s="5"/>
      <c r="CY408" s="5"/>
      <c r="CZ408" s="5"/>
      <c r="DA408" s="5"/>
      <c r="DB408" s="5"/>
      <c r="DC408" s="5"/>
      <c r="DD408" s="5"/>
      <c r="DE408" s="5"/>
      <c r="DF408" s="5"/>
      <c r="DG408" s="5"/>
      <c r="DH408" s="5"/>
      <c r="DI408" s="5"/>
      <c r="DJ408" s="5"/>
      <c r="DK408" s="5"/>
      <c r="DL408" s="5"/>
      <c r="DM408" s="5"/>
      <c r="DN408" s="5"/>
      <c r="DO408" s="5"/>
      <c r="DP408" s="5"/>
      <c r="DQ408" s="5"/>
      <c r="DR408" s="5"/>
      <c r="DS408" s="5"/>
      <c r="DT408" s="5"/>
      <c r="DU408" s="5"/>
      <c r="DV408" s="5"/>
      <c r="DW408" s="5"/>
      <c r="DX408" s="5"/>
      <c r="DY408" s="5"/>
      <c r="DZ408" s="5"/>
      <c r="EA408" s="5"/>
      <c r="EB408" s="5"/>
      <c r="EC408" s="5"/>
      <c r="ED408" s="5"/>
      <c r="EE408" s="5"/>
      <c r="EF408" s="5"/>
      <c r="EG408" s="5"/>
    </row>
    <row r="409" spans="1:137" s="16" customFormat="1" ht="95">
      <c r="A409" s="17" t="s">
        <v>218</v>
      </c>
      <c r="B409" s="17" t="s">
        <v>389</v>
      </c>
      <c r="C409" s="18" t="s">
        <v>390</v>
      </c>
      <c r="D409" s="18" t="s">
        <v>589</v>
      </c>
      <c r="E409" s="17">
        <v>41427</v>
      </c>
      <c r="F409" s="17">
        <v>1</v>
      </c>
      <c r="G409" s="19" t="s">
        <v>843</v>
      </c>
      <c r="H409" s="17" t="s">
        <v>306</v>
      </c>
      <c r="I409" s="17" t="s">
        <v>392</v>
      </c>
      <c r="J409" s="19" t="s">
        <v>105</v>
      </c>
      <c r="K409" s="19" t="s">
        <v>143</v>
      </c>
      <c r="L409" s="19" t="s">
        <v>1531</v>
      </c>
      <c r="M409" s="17" t="s">
        <v>114</v>
      </c>
      <c r="N409" s="17"/>
      <c r="O409" s="17"/>
      <c r="P409" s="88">
        <v>2.851</v>
      </c>
      <c r="Q409" s="88">
        <v>2.0300000000000002</v>
      </c>
      <c r="R409" s="17">
        <v>0</v>
      </c>
      <c r="S409" s="66">
        <v>399.17497297117382</v>
      </c>
      <c r="T409" s="19" t="s">
        <v>3266</v>
      </c>
      <c r="U409" s="21">
        <v>0.93100000000000005</v>
      </c>
      <c r="V409" s="86">
        <v>32.4</v>
      </c>
      <c r="W409" s="81" t="s">
        <v>3267</v>
      </c>
      <c r="AD409"/>
      <c r="AE409"/>
      <c r="AF409"/>
      <c r="AG409"/>
      <c r="AH409"/>
      <c r="AI409"/>
      <c r="AJ409"/>
      <c r="AK409" s="5"/>
      <c r="AL409" s="5"/>
      <c r="AM409" s="5"/>
      <c r="AN409" s="5"/>
      <c r="AO409" s="5"/>
      <c r="AP409" s="5"/>
      <c r="AQ409" s="5"/>
      <c r="AR409" s="5"/>
      <c r="AS409" s="5"/>
      <c r="AT409" s="5"/>
      <c r="AU409" s="5"/>
      <c r="AV409" s="5"/>
      <c r="AW409" s="5"/>
      <c r="AX409" s="5"/>
      <c r="AY409" s="5"/>
      <c r="AZ409" s="5"/>
      <c r="BA409" s="5"/>
      <c r="BB409" s="5"/>
      <c r="BC409" s="5"/>
      <c r="BD409" s="5"/>
      <c r="BE409" s="5"/>
      <c r="BF409" s="5"/>
      <c r="BG409" s="5"/>
      <c r="BH409" s="5"/>
      <c r="BI409" s="5"/>
      <c r="BJ409" s="5"/>
      <c r="BK409" s="5"/>
      <c r="BL409" s="5"/>
      <c r="BM409" s="5"/>
      <c r="BN409" s="5"/>
      <c r="BO409" s="5"/>
      <c r="BP409" s="5"/>
      <c r="BQ409" s="5"/>
      <c r="BR409" s="5"/>
      <c r="BS409" s="5"/>
      <c r="BT409" s="5"/>
      <c r="BU409" s="5"/>
      <c r="BV409" s="5"/>
      <c r="BW409" s="5"/>
      <c r="BX409" s="5"/>
      <c r="BY409" s="5"/>
      <c r="BZ409" s="5"/>
      <c r="CA409" s="5"/>
      <c r="CB409" s="5"/>
      <c r="CC409" s="5"/>
      <c r="CD409" s="5"/>
      <c r="CE409" s="5"/>
      <c r="CF409" s="5"/>
      <c r="CG409" s="5"/>
      <c r="CH409" s="5"/>
      <c r="CI409" s="5"/>
      <c r="CJ409" s="5"/>
      <c r="CK409" s="5"/>
      <c r="CL409" s="5"/>
      <c r="CM409" s="5"/>
      <c r="CN409" s="5"/>
      <c r="CO409" s="5"/>
      <c r="CP409" s="5"/>
      <c r="CQ409" s="5"/>
      <c r="CR409" s="5"/>
      <c r="CS409" s="5"/>
      <c r="CT409" s="5"/>
      <c r="CU409" s="5"/>
      <c r="CV409" s="5"/>
      <c r="CW409" s="5"/>
      <c r="CX409" s="5"/>
      <c r="CY409" s="5"/>
      <c r="CZ409" s="5"/>
      <c r="DA409" s="5"/>
      <c r="DB409" s="5"/>
      <c r="DC409" s="5"/>
      <c r="DD409" s="5"/>
      <c r="DE409" s="5"/>
      <c r="DF409" s="5"/>
      <c r="DG409" s="5"/>
      <c r="DH409" s="5"/>
      <c r="DI409" s="5"/>
      <c r="DJ409" s="5"/>
      <c r="DK409" s="5"/>
      <c r="DL409" s="5"/>
      <c r="DM409" s="5"/>
      <c r="DN409" s="5"/>
      <c r="DO409" s="5"/>
      <c r="DP409" s="5"/>
      <c r="DQ409" s="5"/>
      <c r="DR409" s="5"/>
      <c r="DS409" s="5"/>
      <c r="DT409" s="5"/>
      <c r="DU409" s="5"/>
      <c r="DV409" s="5"/>
      <c r="DW409" s="5"/>
      <c r="DX409" s="5"/>
      <c r="DY409" s="5"/>
      <c r="DZ409" s="5"/>
      <c r="EA409" s="5"/>
      <c r="EB409" s="5"/>
      <c r="EC409" s="5"/>
      <c r="ED409" s="5"/>
      <c r="EE409" s="5"/>
      <c r="EF409" s="5"/>
      <c r="EG409" s="5"/>
    </row>
    <row r="411" spans="1:137">
      <c r="P411" s="16" t="s">
        <v>3263</v>
      </c>
      <c r="Q411" s="16">
        <f>COUNT(S187:S409)</f>
        <v>223</v>
      </c>
    </row>
    <row r="412" spans="1:137">
      <c r="P412" s="16" t="s">
        <v>3264</v>
      </c>
      <c r="Q412" s="98">
        <f>AVERAGE(S187:S409)</f>
        <v>763.09991169414764</v>
      </c>
    </row>
    <row r="413" spans="1:137">
      <c r="P413" s="16" t="s">
        <v>3265</v>
      </c>
      <c r="Q413" s="16">
        <f>STDEV(S76:S409)</f>
        <v>292.93151279779704</v>
      </c>
    </row>
  </sheetData>
  <sortState xmlns:xlrd2="http://schemas.microsoft.com/office/spreadsheetml/2017/richdata2" ref="A6:EH71">
    <sortCondition ref="I6:I71"/>
  </sortState>
  <phoneticPr fontId="24" type="noConversion"/>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4CBDA-2969-0C45-B459-3BCD235C3FFE}">
  <dimension ref="A1:AE1191"/>
  <sheetViews>
    <sheetView zoomScale="70" zoomScaleNormal="70" workbookViewId="0">
      <pane ySplit="1" topLeftCell="A722" activePane="bottomLeft" state="frozen"/>
      <selection pane="bottomLeft" activeCell="I721" sqref="I721"/>
    </sheetView>
  </sheetViews>
  <sheetFormatPr baseColWidth="10" defaultColWidth="10.5" defaultRowHeight="18"/>
  <cols>
    <col min="1" max="2" width="15.5" style="5" customWidth="1"/>
    <col min="3" max="3" width="15.5" style="22" customWidth="1"/>
    <col min="4" max="4" width="13.5" style="22" customWidth="1"/>
    <col min="5" max="6" width="15.5" style="5" customWidth="1"/>
    <col min="7" max="7" width="13.5" style="28" customWidth="1"/>
    <col min="8" max="9" width="15.33203125" style="6" customWidth="1"/>
    <col min="10" max="10" width="14.83203125" style="5" customWidth="1"/>
    <col min="11" max="12" width="18.5" style="27" customWidth="1"/>
    <col min="13" max="14" width="12.83203125" style="56" customWidth="1"/>
    <col min="15" max="15" width="12.83203125" style="27" customWidth="1"/>
    <col min="16" max="16" width="12.83203125" style="5" customWidth="1"/>
    <col min="17" max="17" width="12.83203125" style="27" customWidth="1"/>
    <col min="18" max="19" width="15.5" style="27" customWidth="1"/>
    <col min="20" max="20" width="15.5" style="5" customWidth="1"/>
    <col min="21" max="21" width="15.5" style="24" customWidth="1"/>
    <col min="22" max="22" width="15.5" style="55" customWidth="1"/>
    <col min="23" max="23" width="10.33203125" style="32" customWidth="1"/>
    <col min="24" max="24" width="12.33203125" style="33" customWidth="1"/>
    <col min="25" max="25" width="12.33203125" style="32" customWidth="1"/>
    <col min="26" max="26" width="16.5" style="31" customWidth="1"/>
    <col min="27" max="28" width="12.33203125" style="56" customWidth="1"/>
    <col min="29" max="29" width="13.5" style="32" customWidth="1"/>
    <col min="30" max="31" width="10.5" style="24"/>
  </cols>
  <sheetData>
    <row r="1" spans="1:31" s="61" customFormat="1" ht="44.25" customHeight="1">
      <c r="A1" s="15" t="s">
        <v>430</v>
      </c>
      <c r="B1" s="15" t="s">
        <v>431</v>
      </c>
      <c r="C1" s="15" t="s">
        <v>616</v>
      </c>
      <c r="D1" s="15" t="s">
        <v>433</v>
      </c>
      <c r="E1" s="15" t="s">
        <v>1709</v>
      </c>
      <c r="F1" s="15" t="s">
        <v>1710</v>
      </c>
      <c r="G1" s="57" t="s">
        <v>1711</v>
      </c>
      <c r="H1" s="15" t="s">
        <v>3325</v>
      </c>
      <c r="I1" s="15" t="s">
        <v>3326</v>
      </c>
      <c r="J1" s="15" t="s">
        <v>3327</v>
      </c>
      <c r="K1" s="58" t="s">
        <v>3328</v>
      </c>
      <c r="L1" s="58" t="s">
        <v>3329</v>
      </c>
      <c r="M1" s="62" t="s">
        <v>3330</v>
      </c>
      <c r="N1" s="62" t="s">
        <v>3331</v>
      </c>
      <c r="O1" s="58" t="s">
        <v>3332</v>
      </c>
      <c r="P1" s="15" t="s">
        <v>3333</v>
      </c>
      <c r="Q1" s="58" t="s">
        <v>3334</v>
      </c>
      <c r="R1" s="58" t="s">
        <v>3335</v>
      </c>
      <c r="S1" s="58" t="s">
        <v>3336</v>
      </c>
      <c r="T1" s="15" t="s">
        <v>1722</v>
      </c>
      <c r="U1" s="59" t="s">
        <v>3337</v>
      </c>
      <c r="V1" s="60" t="s">
        <v>3338</v>
      </c>
      <c r="W1" s="60" t="s">
        <v>3339</v>
      </c>
      <c r="X1" s="60" t="s">
        <v>3340</v>
      </c>
      <c r="Y1" s="60" t="s">
        <v>3341</v>
      </c>
      <c r="Z1" s="60" t="s">
        <v>3342</v>
      </c>
      <c r="AA1" s="60" t="s">
        <v>3343</v>
      </c>
      <c r="AB1" s="60" t="s">
        <v>3344</v>
      </c>
      <c r="AC1" s="60" t="s">
        <v>3345</v>
      </c>
      <c r="AD1" s="59"/>
      <c r="AE1" s="59"/>
    </row>
    <row r="2" spans="1:31" ht="19">
      <c r="C2" s="22" t="s">
        <v>194</v>
      </c>
      <c r="D2" s="22" t="s">
        <v>195</v>
      </c>
      <c r="E2" s="5">
        <v>908</v>
      </c>
      <c r="F2" s="5">
        <v>4199</v>
      </c>
      <c r="G2" s="28" t="s">
        <v>1723</v>
      </c>
      <c r="H2" s="6" t="s">
        <v>250</v>
      </c>
      <c r="J2" s="5" t="s">
        <v>1728</v>
      </c>
      <c r="K2" s="27">
        <v>8.6999999999999993</v>
      </c>
      <c r="L2" s="27">
        <v>-18.5</v>
      </c>
      <c r="R2" s="27">
        <v>15.6</v>
      </c>
      <c r="S2" s="27">
        <v>2.9</v>
      </c>
      <c r="V2" s="32" t="s">
        <v>3346</v>
      </c>
      <c r="W2" s="32">
        <v>1</v>
      </c>
      <c r="X2" s="33" t="s">
        <v>487</v>
      </c>
      <c r="Z2" s="31" t="s">
        <v>3347</v>
      </c>
      <c r="AA2" s="32">
        <v>29.37</v>
      </c>
      <c r="AB2" s="32">
        <v>-99.47</v>
      </c>
      <c r="AC2" s="32">
        <v>46083</v>
      </c>
    </row>
    <row r="3" spans="1:31" s="8" customFormat="1" ht="38">
      <c r="A3" s="5"/>
      <c r="B3" s="5"/>
      <c r="C3" s="22" t="s">
        <v>194</v>
      </c>
      <c r="D3" s="22" t="s">
        <v>195</v>
      </c>
      <c r="E3" s="5">
        <v>908</v>
      </c>
      <c r="F3" s="5">
        <v>4201</v>
      </c>
      <c r="G3" s="28" t="s">
        <v>1723</v>
      </c>
      <c r="H3" s="6" t="s">
        <v>250</v>
      </c>
      <c r="I3" s="6"/>
      <c r="J3" s="5" t="s">
        <v>104</v>
      </c>
      <c r="K3" s="27">
        <v>6.4</v>
      </c>
      <c r="L3" s="27">
        <v>-18.7</v>
      </c>
      <c r="M3" s="56"/>
      <c r="N3" s="56"/>
      <c r="O3" s="27"/>
      <c r="P3" s="5"/>
      <c r="Q3" s="27"/>
      <c r="R3" s="27">
        <v>17</v>
      </c>
      <c r="S3" s="27">
        <v>2.8</v>
      </c>
      <c r="T3" s="5"/>
      <c r="U3" s="24"/>
      <c r="V3" s="32" t="s">
        <v>3346</v>
      </c>
      <c r="W3" s="32">
        <v>2</v>
      </c>
      <c r="X3" s="33" t="s">
        <v>3348</v>
      </c>
      <c r="Y3" s="32"/>
      <c r="Z3" s="31"/>
      <c r="AA3" s="32">
        <v>29.37</v>
      </c>
      <c r="AB3" s="32">
        <v>-99.47</v>
      </c>
      <c r="AC3" s="32">
        <v>46083</v>
      </c>
      <c r="AD3" s="34"/>
      <c r="AE3" s="34"/>
    </row>
    <row r="4" spans="1:31" ht="38">
      <c r="C4" s="22" t="s">
        <v>194</v>
      </c>
      <c r="D4" s="22" t="s">
        <v>195</v>
      </c>
      <c r="E4" s="5">
        <v>908</v>
      </c>
      <c r="F4" s="5">
        <v>1413</v>
      </c>
      <c r="G4" s="28" t="s">
        <v>1723</v>
      </c>
      <c r="H4" s="6" t="s">
        <v>250</v>
      </c>
      <c r="J4" s="5" t="s">
        <v>225</v>
      </c>
      <c r="K4" s="27">
        <v>5.8</v>
      </c>
      <c r="L4" s="27">
        <v>-19.899999999999999</v>
      </c>
      <c r="R4" s="27">
        <v>16.399999999999999</v>
      </c>
      <c r="S4" s="27">
        <v>2.9</v>
      </c>
      <c r="V4" s="32" t="s">
        <v>3349</v>
      </c>
      <c r="W4" s="32">
        <v>5</v>
      </c>
      <c r="X4" s="33" t="s">
        <v>3350</v>
      </c>
      <c r="Y4" s="32">
        <v>1000</v>
      </c>
      <c r="AA4" s="32">
        <v>29.37</v>
      </c>
      <c r="AB4" s="32">
        <v>-99.47</v>
      </c>
      <c r="AC4" s="32">
        <v>46083</v>
      </c>
    </row>
    <row r="5" spans="1:31" ht="38">
      <c r="C5" s="22" t="s">
        <v>194</v>
      </c>
      <c r="D5" s="22" t="s">
        <v>195</v>
      </c>
      <c r="E5" s="5">
        <v>908</v>
      </c>
      <c r="F5" s="5">
        <v>2249</v>
      </c>
      <c r="G5" s="28" t="s">
        <v>1723</v>
      </c>
      <c r="H5" s="6" t="s">
        <v>250</v>
      </c>
      <c r="J5" s="5" t="s">
        <v>225</v>
      </c>
      <c r="K5" s="27">
        <v>6.1</v>
      </c>
      <c r="L5" s="27">
        <v>-19.8</v>
      </c>
      <c r="R5" s="27">
        <v>15.8</v>
      </c>
      <c r="S5" s="27">
        <v>2.9</v>
      </c>
      <c r="V5" s="32" t="s">
        <v>3349</v>
      </c>
      <c r="W5" s="32">
        <v>5</v>
      </c>
      <c r="X5" s="33" t="s">
        <v>3351</v>
      </c>
      <c r="Y5" s="32">
        <v>1000</v>
      </c>
      <c r="AA5" s="32">
        <v>29.37</v>
      </c>
      <c r="AB5" s="32">
        <v>-99.47</v>
      </c>
      <c r="AC5" s="32">
        <v>46083</v>
      </c>
    </row>
    <row r="6" spans="1:31" ht="57">
      <c r="C6" s="22" t="s">
        <v>194</v>
      </c>
      <c r="D6" s="22" t="s">
        <v>195</v>
      </c>
      <c r="E6" s="5">
        <v>908</v>
      </c>
      <c r="F6" s="5">
        <v>3829</v>
      </c>
      <c r="G6" s="28" t="s">
        <v>1723</v>
      </c>
      <c r="H6" s="6" t="s">
        <v>250</v>
      </c>
      <c r="J6" s="5" t="s">
        <v>225</v>
      </c>
      <c r="K6" s="27">
        <v>7.4</v>
      </c>
      <c r="L6" s="27">
        <v>-19</v>
      </c>
      <c r="R6" s="27">
        <v>15.7</v>
      </c>
      <c r="S6" s="27">
        <v>2.9</v>
      </c>
      <c r="V6" s="32" t="s">
        <v>3349</v>
      </c>
      <c r="W6" s="32">
        <v>5</v>
      </c>
      <c r="X6" s="33" t="s">
        <v>3352</v>
      </c>
      <c r="Y6" s="32">
        <v>3500</v>
      </c>
      <c r="AA6" s="32">
        <v>29.37</v>
      </c>
      <c r="AB6" s="32">
        <v>-99.47</v>
      </c>
      <c r="AC6" s="32">
        <v>46083</v>
      </c>
    </row>
    <row r="7" spans="1:31" ht="57">
      <c r="C7" s="22" t="s">
        <v>194</v>
      </c>
      <c r="D7" s="22" t="s">
        <v>195</v>
      </c>
      <c r="E7" s="5">
        <v>908</v>
      </c>
      <c r="F7" s="5">
        <v>938</v>
      </c>
      <c r="G7" s="28" t="s">
        <v>1723</v>
      </c>
      <c r="H7" s="6" t="s">
        <v>250</v>
      </c>
      <c r="J7" s="5" t="s">
        <v>225</v>
      </c>
      <c r="M7" s="56" t="s">
        <v>487</v>
      </c>
      <c r="N7" s="56" t="s">
        <v>487</v>
      </c>
      <c r="R7" s="27">
        <v>0.9</v>
      </c>
      <c r="S7" s="27">
        <v>5.0999999999999996</v>
      </c>
      <c r="V7" s="32" t="s">
        <v>3353</v>
      </c>
      <c r="W7" s="32">
        <v>6</v>
      </c>
      <c r="X7" s="33" t="s">
        <v>3354</v>
      </c>
      <c r="Y7" s="32">
        <v>3500</v>
      </c>
      <c r="AA7" s="32">
        <v>29.37</v>
      </c>
      <c r="AB7" s="32">
        <v>-99.47</v>
      </c>
      <c r="AC7" s="32">
        <v>46083</v>
      </c>
    </row>
    <row r="8" spans="1:31" ht="38">
      <c r="C8" s="22" t="s">
        <v>194</v>
      </c>
      <c r="D8" s="22" t="s">
        <v>195</v>
      </c>
      <c r="E8" s="5">
        <v>908</v>
      </c>
      <c r="F8" s="5">
        <v>121</v>
      </c>
      <c r="G8" s="28" t="s">
        <v>1723</v>
      </c>
      <c r="H8" s="6" t="s">
        <v>250</v>
      </c>
      <c r="J8" s="5" t="s">
        <v>225</v>
      </c>
      <c r="K8" s="27">
        <v>6.1</v>
      </c>
      <c r="L8" s="27">
        <v>-19.5</v>
      </c>
      <c r="R8" s="27">
        <v>15.3</v>
      </c>
      <c r="S8" s="27">
        <v>2.9</v>
      </c>
      <c r="V8" s="32" t="s">
        <v>3353</v>
      </c>
      <c r="W8" s="32">
        <v>5</v>
      </c>
      <c r="X8" s="33" t="s">
        <v>3355</v>
      </c>
      <c r="Y8" s="32">
        <v>1000</v>
      </c>
      <c r="AA8" s="32">
        <v>29.37</v>
      </c>
      <c r="AB8" s="32">
        <v>-99.47</v>
      </c>
      <c r="AC8" s="32">
        <v>46083</v>
      </c>
    </row>
    <row r="9" spans="1:31" ht="38">
      <c r="C9" s="22" t="s">
        <v>194</v>
      </c>
      <c r="D9" s="22" t="s">
        <v>195</v>
      </c>
      <c r="E9" s="5">
        <v>908</v>
      </c>
      <c r="F9" s="5">
        <v>3432</v>
      </c>
      <c r="G9" s="28" t="s">
        <v>1723</v>
      </c>
      <c r="H9" s="6" t="s">
        <v>250</v>
      </c>
      <c r="J9" s="5" t="s">
        <v>225</v>
      </c>
      <c r="K9" s="27">
        <v>6.5</v>
      </c>
      <c r="L9" s="27">
        <v>-19.3</v>
      </c>
      <c r="R9" s="27">
        <v>15.1</v>
      </c>
      <c r="S9" s="27">
        <v>2.9</v>
      </c>
      <c r="V9" s="32" t="s">
        <v>3353</v>
      </c>
      <c r="W9" s="32">
        <v>4</v>
      </c>
      <c r="X9" s="33" t="s">
        <v>3356</v>
      </c>
      <c r="Y9" s="32">
        <v>1000</v>
      </c>
      <c r="AA9" s="32">
        <v>29.37</v>
      </c>
      <c r="AB9" s="32">
        <v>-99.47</v>
      </c>
      <c r="AC9" s="32">
        <v>46083</v>
      </c>
    </row>
    <row r="10" spans="1:31" ht="57">
      <c r="C10" s="22" t="s">
        <v>194</v>
      </c>
      <c r="D10" s="22" t="s">
        <v>195</v>
      </c>
      <c r="E10" s="5">
        <v>908</v>
      </c>
      <c r="F10" s="5">
        <v>3439</v>
      </c>
      <c r="G10" s="28" t="s">
        <v>1723</v>
      </c>
      <c r="H10" s="6" t="s">
        <v>250</v>
      </c>
      <c r="J10" s="5" t="s">
        <v>225</v>
      </c>
      <c r="K10" s="27">
        <v>6</v>
      </c>
      <c r="L10" s="27">
        <v>-19.399999999999999</v>
      </c>
      <c r="R10" s="27">
        <v>14.9</v>
      </c>
      <c r="S10" s="27">
        <v>2.9</v>
      </c>
      <c r="V10" s="32" t="s">
        <v>3353</v>
      </c>
      <c r="W10" s="32">
        <v>5</v>
      </c>
      <c r="X10" s="33" t="s">
        <v>3357</v>
      </c>
      <c r="Y10" s="32">
        <v>3500</v>
      </c>
      <c r="AA10" s="32">
        <v>29.37</v>
      </c>
      <c r="AB10" s="32">
        <v>-99.47</v>
      </c>
      <c r="AC10" s="32">
        <v>46083</v>
      </c>
    </row>
    <row r="11" spans="1:31" ht="38">
      <c r="C11" s="22" t="s">
        <v>194</v>
      </c>
      <c r="D11" s="22" t="s">
        <v>195</v>
      </c>
      <c r="E11" s="5">
        <v>908</v>
      </c>
      <c r="F11" s="5">
        <v>835</v>
      </c>
      <c r="G11" s="28" t="s">
        <v>1723</v>
      </c>
      <c r="H11" s="6" t="s">
        <v>250</v>
      </c>
      <c r="J11" s="5" t="s">
        <v>225</v>
      </c>
      <c r="K11" s="27">
        <v>5.5</v>
      </c>
      <c r="L11" s="27">
        <v>-19.899999999999999</v>
      </c>
      <c r="R11" s="27">
        <v>14.8</v>
      </c>
      <c r="S11" s="27">
        <v>2.9</v>
      </c>
      <c r="V11" s="32" t="s">
        <v>3353</v>
      </c>
      <c r="W11" s="32">
        <v>5</v>
      </c>
      <c r="X11" s="33" t="s">
        <v>3358</v>
      </c>
      <c r="Y11" s="32">
        <v>1000</v>
      </c>
      <c r="AA11" s="32">
        <v>29.37</v>
      </c>
      <c r="AB11" s="32">
        <v>-99.47</v>
      </c>
      <c r="AC11" s="32">
        <v>46083</v>
      </c>
    </row>
    <row r="12" spans="1:31">
      <c r="C12" s="22" t="s">
        <v>194</v>
      </c>
      <c r="D12" s="22" t="s">
        <v>195</v>
      </c>
      <c r="E12" s="5">
        <v>40541</v>
      </c>
      <c r="F12" s="5">
        <v>110</v>
      </c>
      <c r="G12" s="28" t="s">
        <v>1723</v>
      </c>
      <c r="H12" s="6" t="s">
        <v>300</v>
      </c>
      <c r="J12" s="5" t="s">
        <v>225</v>
      </c>
      <c r="K12" s="27">
        <v>5.8</v>
      </c>
      <c r="L12" s="27">
        <v>-18.899999999999999</v>
      </c>
      <c r="R12" s="27">
        <v>15.5</v>
      </c>
      <c r="S12" s="27">
        <v>2.8</v>
      </c>
      <c r="V12" s="32" t="s">
        <v>3353</v>
      </c>
      <c r="W12" s="32">
        <v>5</v>
      </c>
      <c r="AA12" s="32"/>
      <c r="AB12" s="32"/>
      <c r="AC12" s="32">
        <v>46083</v>
      </c>
    </row>
    <row r="13" spans="1:31">
      <c r="C13" s="22" t="s">
        <v>194</v>
      </c>
      <c r="D13" s="22" t="s">
        <v>195</v>
      </c>
      <c r="E13" s="5">
        <v>40541</v>
      </c>
      <c r="F13" s="5">
        <v>112</v>
      </c>
      <c r="G13" s="28" t="s">
        <v>1723</v>
      </c>
      <c r="H13" s="6" t="s">
        <v>300</v>
      </c>
      <c r="J13" s="5" t="s">
        <v>225</v>
      </c>
      <c r="K13" s="27">
        <v>5.2</v>
      </c>
      <c r="L13" s="27">
        <v>-18.100000000000001</v>
      </c>
      <c r="R13" s="27">
        <v>15.8</v>
      </c>
      <c r="S13" s="27">
        <v>2.8</v>
      </c>
      <c r="V13" s="32" t="s">
        <v>3353</v>
      </c>
      <c r="W13" s="32">
        <v>4</v>
      </c>
      <c r="AA13" s="32"/>
      <c r="AB13" s="32"/>
      <c r="AC13" s="32">
        <v>46083</v>
      </c>
    </row>
    <row r="14" spans="1:31">
      <c r="C14" s="22" t="s">
        <v>194</v>
      </c>
      <c r="D14" s="22" t="s">
        <v>195</v>
      </c>
      <c r="E14" s="5">
        <v>40541</v>
      </c>
      <c r="F14" s="5">
        <v>1232</v>
      </c>
      <c r="G14" s="28" t="s">
        <v>1723</v>
      </c>
      <c r="H14" s="6" t="s">
        <v>300</v>
      </c>
      <c r="J14" s="5" t="s">
        <v>225</v>
      </c>
      <c r="K14" s="27">
        <v>5</v>
      </c>
      <c r="L14" s="27">
        <v>-19.100000000000001</v>
      </c>
      <c r="R14" s="27">
        <v>15.9</v>
      </c>
      <c r="S14" s="27">
        <v>2.8</v>
      </c>
      <c r="V14" s="32" t="s">
        <v>3353</v>
      </c>
      <c r="W14" s="32">
        <v>4</v>
      </c>
      <c r="AA14" s="32"/>
      <c r="AB14" s="32"/>
      <c r="AC14" s="32">
        <v>46083</v>
      </c>
    </row>
    <row r="15" spans="1:31">
      <c r="C15" s="22" t="s">
        <v>194</v>
      </c>
      <c r="D15" s="22" t="s">
        <v>195</v>
      </c>
      <c r="E15" s="5">
        <v>40541</v>
      </c>
      <c r="F15" s="5">
        <v>1233</v>
      </c>
      <c r="G15" s="28" t="s">
        <v>1723</v>
      </c>
      <c r="H15" s="6" t="s">
        <v>300</v>
      </c>
      <c r="J15" s="5" t="s">
        <v>225</v>
      </c>
      <c r="K15" s="27">
        <v>7.9</v>
      </c>
      <c r="L15" s="27">
        <v>-19.5</v>
      </c>
      <c r="R15" s="27">
        <v>15.9</v>
      </c>
      <c r="S15" s="27">
        <v>2.8</v>
      </c>
      <c r="V15" s="32" t="s">
        <v>3353</v>
      </c>
      <c r="W15" s="32">
        <v>4</v>
      </c>
      <c r="AA15" s="32"/>
      <c r="AB15" s="32"/>
      <c r="AC15" s="32">
        <v>46083</v>
      </c>
    </row>
    <row r="16" spans="1:31" ht="38">
      <c r="C16" s="22" t="s">
        <v>194</v>
      </c>
      <c r="D16" s="22" t="s">
        <v>195</v>
      </c>
      <c r="E16" s="5">
        <v>908</v>
      </c>
      <c r="F16" s="5">
        <v>180</v>
      </c>
      <c r="G16" s="28" t="s">
        <v>1723</v>
      </c>
      <c r="H16" s="6" t="s">
        <v>250</v>
      </c>
      <c r="J16" s="5" t="s">
        <v>225</v>
      </c>
      <c r="K16" s="27">
        <v>5.8</v>
      </c>
      <c r="L16" s="27">
        <v>-19.8</v>
      </c>
      <c r="R16" s="27">
        <v>15.9</v>
      </c>
      <c r="S16" s="27">
        <v>2.8</v>
      </c>
      <c r="V16" s="32" t="s">
        <v>3353</v>
      </c>
      <c r="W16" s="32">
        <v>4</v>
      </c>
      <c r="X16" s="33" t="s">
        <v>3359</v>
      </c>
      <c r="Y16" s="32">
        <v>1000</v>
      </c>
      <c r="AA16" s="32">
        <v>29.37</v>
      </c>
      <c r="AB16" s="32">
        <v>-99.47</v>
      </c>
      <c r="AC16" s="32">
        <v>46083</v>
      </c>
    </row>
    <row r="17" spans="3:29" ht="38">
      <c r="C17" s="22" t="s">
        <v>194</v>
      </c>
      <c r="D17" s="22" t="s">
        <v>195</v>
      </c>
      <c r="E17" s="5">
        <v>908</v>
      </c>
      <c r="F17" s="5">
        <v>2017</v>
      </c>
      <c r="G17" s="28" t="s">
        <v>1723</v>
      </c>
      <c r="H17" s="6" t="s">
        <v>250</v>
      </c>
      <c r="J17" s="5" t="s">
        <v>225</v>
      </c>
      <c r="K17" s="27">
        <v>6.5</v>
      </c>
      <c r="L17" s="27">
        <v>-18.899999999999999</v>
      </c>
      <c r="R17" s="27">
        <v>15.7</v>
      </c>
      <c r="S17" s="27">
        <v>2.8</v>
      </c>
      <c r="V17" s="32" t="s">
        <v>3353</v>
      </c>
      <c r="W17" s="32">
        <v>4</v>
      </c>
      <c r="X17" s="33" t="s">
        <v>3360</v>
      </c>
      <c r="Y17" s="32">
        <v>1000</v>
      </c>
      <c r="AA17" s="32">
        <v>29.37</v>
      </c>
      <c r="AB17" s="32">
        <v>-99.47</v>
      </c>
      <c r="AC17" s="32">
        <v>46083</v>
      </c>
    </row>
    <row r="18" spans="3:29" ht="38">
      <c r="C18" s="22" t="s">
        <v>194</v>
      </c>
      <c r="D18" s="22" t="s">
        <v>195</v>
      </c>
      <c r="E18" s="5">
        <v>908</v>
      </c>
      <c r="F18" s="5">
        <v>335</v>
      </c>
      <c r="G18" s="28" t="s">
        <v>1723</v>
      </c>
      <c r="H18" s="6" t="s">
        <v>250</v>
      </c>
      <c r="J18" s="5" t="s">
        <v>225</v>
      </c>
      <c r="K18" s="27">
        <v>6</v>
      </c>
      <c r="L18" s="27">
        <v>-19.899999999999999</v>
      </c>
      <c r="R18" s="27">
        <v>15.4</v>
      </c>
      <c r="S18" s="27">
        <v>2.8</v>
      </c>
      <c r="V18" s="32" t="s">
        <v>3353</v>
      </c>
      <c r="W18" s="32">
        <v>5</v>
      </c>
      <c r="X18" s="33" t="s">
        <v>3361</v>
      </c>
      <c r="Y18" s="32">
        <v>1000</v>
      </c>
      <c r="AA18" s="32">
        <v>29.37</v>
      </c>
      <c r="AB18" s="32">
        <v>-99.47</v>
      </c>
      <c r="AC18" s="32">
        <v>46083</v>
      </c>
    </row>
    <row r="19" spans="3:29" ht="38">
      <c r="C19" s="22" t="s">
        <v>194</v>
      </c>
      <c r="D19" s="22" t="s">
        <v>195</v>
      </c>
      <c r="E19" s="5">
        <v>908</v>
      </c>
      <c r="F19" s="5">
        <v>3689</v>
      </c>
      <c r="G19" s="28" t="s">
        <v>1723</v>
      </c>
      <c r="H19" s="6" t="s">
        <v>250</v>
      </c>
      <c r="J19" s="5" t="s">
        <v>225</v>
      </c>
      <c r="K19" s="27">
        <v>6.1</v>
      </c>
      <c r="L19" s="27">
        <v>-13.4</v>
      </c>
      <c r="R19" s="27">
        <v>14.2</v>
      </c>
      <c r="S19" s="27">
        <v>2.8</v>
      </c>
      <c r="V19" s="32" t="s">
        <v>3353</v>
      </c>
      <c r="W19" s="32">
        <v>4</v>
      </c>
      <c r="X19" s="33" t="s">
        <v>3362</v>
      </c>
      <c r="Y19" s="32">
        <v>1000</v>
      </c>
      <c r="AA19" s="32">
        <v>29.37</v>
      </c>
      <c r="AB19" s="32">
        <v>-99.47</v>
      </c>
      <c r="AC19" s="32">
        <v>46083</v>
      </c>
    </row>
    <row r="20" spans="3:29" ht="38">
      <c r="C20" s="22" t="s">
        <v>194</v>
      </c>
      <c r="D20" s="22" t="s">
        <v>195</v>
      </c>
      <c r="E20" s="5">
        <v>908</v>
      </c>
      <c r="F20" s="5">
        <v>3745</v>
      </c>
      <c r="G20" s="28" t="s">
        <v>1723</v>
      </c>
      <c r="H20" s="6" t="s">
        <v>250</v>
      </c>
      <c r="J20" s="5" t="s">
        <v>225</v>
      </c>
      <c r="K20" s="27">
        <v>7</v>
      </c>
      <c r="L20" s="27">
        <v>-19.899999999999999</v>
      </c>
      <c r="R20" s="27">
        <v>15.8</v>
      </c>
      <c r="S20" s="27">
        <v>2.8</v>
      </c>
      <c r="V20" s="32" t="s">
        <v>3353</v>
      </c>
      <c r="W20" s="32">
        <v>4</v>
      </c>
      <c r="X20" s="33" t="s">
        <v>3363</v>
      </c>
      <c r="Y20" s="32">
        <v>1000</v>
      </c>
      <c r="AA20" s="32">
        <v>29.37</v>
      </c>
      <c r="AB20" s="32">
        <v>-99.47</v>
      </c>
      <c r="AC20" s="32">
        <v>46083</v>
      </c>
    </row>
    <row r="21" spans="3:29" ht="38">
      <c r="C21" s="22" t="s">
        <v>194</v>
      </c>
      <c r="D21" s="22" t="s">
        <v>195</v>
      </c>
      <c r="E21" s="5">
        <v>908</v>
      </c>
      <c r="F21" s="5">
        <v>833</v>
      </c>
      <c r="G21" s="28" t="s">
        <v>1723</v>
      </c>
      <c r="H21" s="6" t="s">
        <v>250</v>
      </c>
      <c r="J21" s="5" t="s">
        <v>225</v>
      </c>
      <c r="K21" s="27">
        <v>6.2</v>
      </c>
      <c r="L21" s="27">
        <v>-19.7</v>
      </c>
      <c r="R21" s="27">
        <v>15.8</v>
      </c>
      <c r="S21" s="27">
        <v>2.8</v>
      </c>
      <c r="V21" s="32" t="s">
        <v>3353</v>
      </c>
      <c r="W21" s="32">
        <v>4</v>
      </c>
      <c r="X21" s="33" t="s">
        <v>3358</v>
      </c>
      <c r="Y21" s="32">
        <v>1000</v>
      </c>
      <c r="AA21" s="32">
        <v>29.37</v>
      </c>
      <c r="AB21" s="32">
        <v>-99.47</v>
      </c>
      <c r="AC21" s="32">
        <v>46083</v>
      </c>
    </row>
    <row r="22" spans="3:29" ht="76">
      <c r="C22" s="22" t="s">
        <v>194</v>
      </c>
      <c r="D22" s="22" t="s">
        <v>195</v>
      </c>
      <c r="E22" s="5">
        <v>908</v>
      </c>
      <c r="F22" s="5">
        <v>2182</v>
      </c>
      <c r="G22" s="28" t="s">
        <v>1723</v>
      </c>
      <c r="H22" s="6" t="s">
        <v>250</v>
      </c>
      <c r="J22" s="5" t="s">
        <v>104</v>
      </c>
      <c r="K22" s="27">
        <v>6.9</v>
      </c>
      <c r="L22" s="27">
        <v>-19.100000000000001</v>
      </c>
      <c r="R22" s="27">
        <v>15.4</v>
      </c>
      <c r="S22" s="27">
        <v>2.8</v>
      </c>
      <c r="V22" s="32" t="s">
        <v>3353</v>
      </c>
      <c r="W22" s="32">
        <v>5</v>
      </c>
      <c r="X22" s="33" t="s">
        <v>3364</v>
      </c>
      <c r="AA22" s="32">
        <v>29.37</v>
      </c>
      <c r="AB22" s="32">
        <v>-99.47</v>
      </c>
      <c r="AC22" s="32">
        <v>46083</v>
      </c>
    </row>
    <row r="23" spans="3:29">
      <c r="C23" s="22" t="s">
        <v>194</v>
      </c>
      <c r="D23" s="22" t="s">
        <v>195</v>
      </c>
      <c r="E23" s="5">
        <v>908</v>
      </c>
      <c r="F23" s="5">
        <v>1755</v>
      </c>
      <c r="G23" s="28" t="s">
        <v>1723</v>
      </c>
      <c r="H23" s="6" t="s">
        <v>250</v>
      </c>
      <c r="J23" s="5" t="s">
        <v>1728</v>
      </c>
      <c r="L23" s="27">
        <v>-17.399999999999999</v>
      </c>
      <c r="O23" s="27">
        <v>-10.607066666666666</v>
      </c>
      <c r="Q23" s="27">
        <v>1.3757871584921304</v>
      </c>
      <c r="V23" s="32">
        <v>43405</v>
      </c>
      <c r="W23" s="32">
        <v>4</v>
      </c>
      <c r="Z23" s="31" t="s">
        <v>3347</v>
      </c>
      <c r="AA23" s="32">
        <v>29.37</v>
      </c>
      <c r="AB23" s="32">
        <v>-99.47</v>
      </c>
      <c r="AC23" s="32">
        <v>46083</v>
      </c>
    </row>
    <row r="24" spans="3:29">
      <c r="C24" s="22" t="s">
        <v>194</v>
      </c>
      <c r="D24" s="22" t="s">
        <v>195</v>
      </c>
      <c r="E24" s="5">
        <v>908</v>
      </c>
      <c r="F24" s="5">
        <v>2209</v>
      </c>
      <c r="G24" s="28" t="s">
        <v>1723</v>
      </c>
      <c r="H24" s="6" t="s">
        <v>250</v>
      </c>
      <c r="J24" s="5" t="s">
        <v>1728</v>
      </c>
      <c r="L24" s="27">
        <v>-19.3</v>
      </c>
      <c r="O24" s="27">
        <v>-12.46275</v>
      </c>
      <c r="Q24" s="27">
        <v>0.52700010979106082</v>
      </c>
      <c r="V24" s="32">
        <v>43405</v>
      </c>
      <c r="W24" s="32">
        <v>3</v>
      </c>
      <c r="Z24" s="31" t="s">
        <v>3347</v>
      </c>
      <c r="AA24" s="32">
        <v>29.37</v>
      </c>
      <c r="AB24" s="32">
        <v>-99.47</v>
      </c>
      <c r="AC24" s="32">
        <v>46083</v>
      </c>
    </row>
    <row r="25" spans="3:29">
      <c r="C25" s="22" t="s">
        <v>194</v>
      </c>
      <c r="D25" s="22" t="s">
        <v>195</v>
      </c>
      <c r="E25" s="5">
        <v>908</v>
      </c>
      <c r="F25" s="5">
        <v>547</v>
      </c>
      <c r="G25" s="28" t="s">
        <v>1723</v>
      </c>
      <c r="H25" s="6" t="s">
        <v>250</v>
      </c>
      <c r="J25" s="5" t="s">
        <v>1728</v>
      </c>
      <c r="L25" s="27">
        <v>-12.3</v>
      </c>
      <c r="O25" s="27">
        <v>-5.5047500000000005</v>
      </c>
      <c r="Q25" s="27">
        <v>-2.3471479284429506</v>
      </c>
      <c r="V25" s="32">
        <v>43405</v>
      </c>
      <c r="W25" s="32">
        <v>3</v>
      </c>
      <c r="Z25" s="31" t="s">
        <v>3347</v>
      </c>
      <c r="AA25" s="32">
        <v>29.37</v>
      </c>
      <c r="AB25" s="32">
        <v>-99.47</v>
      </c>
      <c r="AC25" s="32">
        <v>46083</v>
      </c>
    </row>
    <row r="26" spans="3:29">
      <c r="C26" s="22" t="s">
        <v>194</v>
      </c>
      <c r="D26" s="22" t="s">
        <v>195</v>
      </c>
      <c r="E26" s="5">
        <v>908</v>
      </c>
      <c r="F26" s="5">
        <v>4202</v>
      </c>
      <c r="G26" s="28" t="s">
        <v>1723</v>
      </c>
      <c r="H26" s="6" t="s">
        <v>250</v>
      </c>
      <c r="J26" s="5" t="s">
        <v>1728</v>
      </c>
      <c r="O26" s="27">
        <v>-10.482561933333335</v>
      </c>
      <c r="P26" s="5">
        <v>31.643451600000002</v>
      </c>
      <c r="Q26" s="27">
        <v>0.75999806000000003</v>
      </c>
      <c r="V26" s="32">
        <v>43647</v>
      </c>
      <c r="AA26" s="32">
        <v>29.37</v>
      </c>
      <c r="AB26" s="32">
        <v>-99.47</v>
      </c>
      <c r="AC26" s="32">
        <v>46083</v>
      </c>
    </row>
    <row r="27" spans="3:29">
      <c r="C27" s="22" t="s">
        <v>194</v>
      </c>
      <c r="D27" s="22" t="s">
        <v>195</v>
      </c>
      <c r="E27" s="5">
        <v>41172</v>
      </c>
      <c r="F27" s="5">
        <v>267</v>
      </c>
      <c r="G27" s="28" t="s">
        <v>1723</v>
      </c>
      <c r="H27" s="6" t="s">
        <v>1740</v>
      </c>
      <c r="J27" s="5" t="s">
        <v>1728</v>
      </c>
      <c r="L27" s="27">
        <v>-15.889897380000001</v>
      </c>
      <c r="O27" s="27">
        <v>-9.0898973749999996</v>
      </c>
      <c r="P27" s="5">
        <v>24.743939040000001</v>
      </c>
      <c r="Q27" s="27">
        <v>-5.9329695210000004</v>
      </c>
      <c r="V27" s="32">
        <v>43647</v>
      </c>
      <c r="AA27" s="32"/>
      <c r="AB27" s="32"/>
      <c r="AC27" s="32">
        <v>46083</v>
      </c>
    </row>
    <row r="28" spans="3:29">
      <c r="C28" s="22" t="s">
        <v>194</v>
      </c>
      <c r="D28" s="22" t="s">
        <v>195</v>
      </c>
      <c r="E28" s="5">
        <v>908</v>
      </c>
      <c r="F28" s="5">
        <v>1751</v>
      </c>
      <c r="G28" s="28" t="s">
        <v>1723</v>
      </c>
      <c r="H28" s="6" t="s">
        <v>250</v>
      </c>
      <c r="J28" s="5" t="s">
        <v>1728</v>
      </c>
      <c r="L28" s="27">
        <v>-18.21749758</v>
      </c>
      <c r="O28" s="27">
        <v>-11.417497579999999</v>
      </c>
      <c r="P28" s="5">
        <v>30.859046559999999</v>
      </c>
      <c r="Q28" s="27">
        <v>-9.2489799999999995E-4</v>
      </c>
      <c r="V28" s="32">
        <v>43647</v>
      </c>
      <c r="Z28" s="31" t="s">
        <v>3347</v>
      </c>
      <c r="AA28" s="32">
        <v>29.37</v>
      </c>
      <c r="AB28" s="32">
        <v>-99.47</v>
      </c>
      <c r="AC28" s="32">
        <v>46083</v>
      </c>
    </row>
    <row r="29" spans="3:29" ht="19">
      <c r="C29" s="22" t="s">
        <v>194</v>
      </c>
      <c r="D29" s="22" t="s">
        <v>195</v>
      </c>
      <c r="E29" s="5">
        <v>908</v>
      </c>
      <c r="F29" s="5">
        <v>1569</v>
      </c>
      <c r="G29" s="28" t="s">
        <v>1723</v>
      </c>
      <c r="H29" s="6" t="s">
        <v>250</v>
      </c>
      <c r="J29" s="5" t="s">
        <v>1728</v>
      </c>
      <c r="L29" s="27">
        <v>-17.579999999999998</v>
      </c>
      <c r="O29" s="27">
        <v>-10.78</v>
      </c>
      <c r="P29" s="5">
        <v>33.43</v>
      </c>
      <c r="Q29" s="27">
        <v>2.493064044</v>
      </c>
      <c r="V29" s="32">
        <v>43647</v>
      </c>
      <c r="X29" s="33" t="s">
        <v>3365</v>
      </c>
      <c r="Z29" s="31" t="s">
        <v>3347</v>
      </c>
      <c r="AA29" s="32">
        <v>29.37</v>
      </c>
      <c r="AB29" s="32">
        <v>-99.47</v>
      </c>
      <c r="AC29" s="32">
        <v>46083</v>
      </c>
    </row>
    <row r="30" spans="3:29" ht="31" customHeight="1">
      <c r="C30" s="22" t="s">
        <v>194</v>
      </c>
      <c r="D30" s="22" t="s">
        <v>195</v>
      </c>
      <c r="E30" s="5">
        <v>908</v>
      </c>
      <c r="F30" s="5">
        <v>2464</v>
      </c>
      <c r="G30" s="28" t="s">
        <v>1723</v>
      </c>
      <c r="H30" s="6" t="s">
        <v>250</v>
      </c>
      <c r="J30" s="5" t="s">
        <v>1728</v>
      </c>
      <c r="L30" s="27">
        <v>-16.91</v>
      </c>
      <c r="O30" s="27">
        <v>-10.108470440000001</v>
      </c>
      <c r="P30" s="5">
        <v>31.432634159999999</v>
      </c>
      <c r="Q30" s="27">
        <v>0.55549168699999996</v>
      </c>
      <c r="V30" s="32">
        <v>43647</v>
      </c>
      <c r="Z30" s="31" t="s">
        <v>3347</v>
      </c>
      <c r="AA30" s="32">
        <v>29.37</v>
      </c>
      <c r="AB30" s="32">
        <v>-99.47</v>
      </c>
      <c r="AC30" s="32">
        <v>46083</v>
      </c>
    </row>
    <row r="31" spans="3:29" ht="19">
      <c r="C31" s="22" t="s">
        <v>194</v>
      </c>
      <c r="D31" s="22" t="s">
        <v>195</v>
      </c>
      <c r="E31" s="5">
        <v>41229</v>
      </c>
      <c r="F31" s="5">
        <v>10865</v>
      </c>
      <c r="G31" s="28" t="s">
        <v>1741</v>
      </c>
      <c r="H31" s="6" t="s">
        <v>1742</v>
      </c>
      <c r="J31" s="5" t="s">
        <v>1728</v>
      </c>
      <c r="K31" s="27">
        <v>8.6080208000000002</v>
      </c>
      <c r="L31" s="27">
        <v>-18.554333654999997</v>
      </c>
      <c r="R31" s="27">
        <v>15.103123156259691</v>
      </c>
      <c r="S31" s="27">
        <v>2.8290349839507756</v>
      </c>
      <c r="V31" s="32">
        <v>43709</v>
      </c>
      <c r="W31" s="32">
        <v>6</v>
      </c>
      <c r="X31" s="33" t="s">
        <v>3366</v>
      </c>
      <c r="Y31" s="32">
        <v>7716</v>
      </c>
      <c r="AA31" s="32">
        <v>30.13</v>
      </c>
      <c r="AB31" s="32">
        <v>-99.54</v>
      </c>
      <c r="AC31" s="32">
        <v>46083</v>
      </c>
    </row>
    <row r="32" spans="3:29" ht="19">
      <c r="C32" s="22" t="s">
        <v>557</v>
      </c>
      <c r="D32" s="22" t="s">
        <v>558</v>
      </c>
      <c r="E32" s="5">
        <v>933</v>
      </c>
      <c r="F32" s="5">
        <v>2156</v>
      </c>
      <c r="G32" s="28" t="s">
        <v>1847</v>
      </c>
      <c r="H32" s="6" t="s">
        <v>249</v>
      </c>
      <c r="J32" s="5" t="s">
        <v>104</v>
      </c>
      <c r="K32" s="27">
        <v>7.6</v>
      </c>
      <c r="L32" s="27">
        <v>-17.3</v>
      </c>
      <c r="R32" s="27">
        <v>8.8000000000000007</v>
      </c>
      <c r="S32" s="27">
        <v>3.5</v>
      </c>
      <c r="V32" s="32" t="s">
        <v>3346</v>
      </c>
      <c r="W32" s="32">
        <v>1</v>
      </c>
      <c r="X32" s="33" t="s">
        <v>487</v>
      </c>
      <c r="Y32" s="32">
        <v>18500</v>
      </c>
      <c r="Z32" s="31" t="s">
        <v>3367</v>
      </c>
      <c r="AA32" s="32">
        <v>29.62</v>
      </c>
      <c r="AB32" s="32">
        <v>-98.37</v>
      </c>
      <c r="AC32" s="32">
        <v>720000</v>
      </c>
    </row>
    <row r="33" spans="1:29">
      <c r="C33" s="22" t="s">
        <v>557</v>
      </c>
      <c r="D33" s="22" t="s">
        <v>558</v>
      </c>
      <c r="E33" s="5">
        <v>933</v>
      </c>
      <c r="F33" s="5">
        <v>2963</v>
      </c>
      <c r="G33" s="28" t="s">
        <v>1847</v>
      </c>
      <c r="H33" s="6" t="s">
        <v>249</v>
      </c>
      <c r="J33" s="5" t="s">
        <v>104</v>
      </c>
      <c r="K33" s="27">
        <v>9.6999999999999993</v>
      </c>
      <c r="L33" s="27">
        <v>-16.5</v>
      </c>
      <c r="R33" s="27">
        <v>9.3000000000000007</v>
      </c>
      <c r="S33" s="27">
        <v>3.3</v>
      </c>
      <c r="V33" s="32" t="s">
        <v>3353</v>
      </c>
      <c r="W33" s="32">
        <v>5</v>
      </c>
      <c r="Y33" s="32">
        <v>18500</v>
      </c>
      <c r="AA33" s="32">
        <v>29.62</v>
      </c>
      <c r="AB33" s="32">
        <v>-98.37</v>
      </c>
      <c r="AC33" s="32">
        <v>720000</v>
      </c>
    </row>
    <row r="34" spans="1:29" ht="38">
      <c r="C34" s="22" t="s">
        <v>390</v>
      </c>
      <c r="D34" s="22" t="s">
        <v>151</v>
      </c>
      <c r="E34" s="5">
        <v>908</v>
      </c>
      <c r="F34" s="5">
        <v>500</v>
      </c>
      <c r="G34" s="28" t="s">
        <v>1723</v>
      </c>
      <c r="H34" s="6" t="s">
        <v>250</v>
      </c>
      <c r="J34" s="5" t="s">
        <v>225</v>
      </c>
      <c r="K34" s="27">
        <v>5.7</v>
      </c>
      <c r="L34" s="27">
        <v>-8.6999999999999993</v>
      </c>
      <c r="R34" s="27">
        <v>15.3</v>
      </c>
      <c r="S34" s="27">
        <v>3</v>
      </c>
      <c r="V34" s="32" t="s">
        <v>3346</v>
      </c>
      <c r="W34" s="32">
        <v>1</v>
      </c>
      <c r="X34" s="33" t="s">
        <v>3368</v>
      </c>
      <c r="Y34" s="32">
        <v>1000</v>
      </c>
      <c r="AA34" s="32">
        <v>29.37</v>
      </c>
      <c r="AB34" s="32">
        <v>-99.47</v>
      </c>
      <c r="AC34" s="32">
        <v>579255</v>
      </c>
    </row>
    <row r="35" spans="1:29" ht="32">
      <c r="C35" s="22" t="s">
        <v>390</v>
      </c>
      <c r="D35" s="22" t="s">
        <v>151</v>
      </c>
      <c r="E35" s="5">
        <v>908</v>
      </c>
      <c r="F35" s="5">
        <v>343</v>
      </c>
      <c r="G35" s="28" t="s">
        <v>1723</v>
      </c>
      <c r="H35" s="6" t="s">
        <v>250</v>
      </c>
      <c r="J35" s="5" t="s">
        <v>225</v>
      </c>
      <c r="K35" s="27">
        <v>5.4</v>
      </c>
      <c r="L35" s="27">
        <v>-10.8</v>
      </c>
      <c r="R35" s="27">
        <v>14.9</v>
      </c>
      <c r="S35" s="27">
        <v>3</v>
      </c>
      <c r="V35" s="32" t="s">
        <v>3346</v>
      </c>
      <c r="W35" s="32">
        <v>1</v>
      </c>
      <c r="X35" s="33" t="s">
        <v>487</v>
      </c>
      <c r="Z35" s="31" t="s">
        <v>3369</v>
      </c>
      <c r="AA35" s="32">
        <v>29.37</v>
      </c>
      <c r="AB35" s="32">
        <v>-99.47</v>
      </c>
      <c r="AC35" s="32">
        <v>579255</v>
      </c>
    </row>
    <row r="36" spans="1:29" ht="19">
      <c r="A36" s="28"/>
      <c r="B36" s="28"/>
      <c r="C36" s="29" t="s">
        <v>390</v>
      </c>
      <c r="D36" s="29" t="s">
        <v>151</v>
      </c>
      <c r="E36" s="28">
        <v>41229</v>
      </c>
      <c r="F36" s="28">
        <v>7198</v>
      </c>
      <c r="G36" s="28" t="s">
        <v>1723</v>
      </c>
      <c r="H36" s="41" t="s">
        <v>1137</v>
      </c>
      <c r="I36" s="41"/>
      <c r="J36" s="28" t="s">
        <v>1744</v>
      </c>
      <c r="K36" s="42">
        <v>11.6</v>
      </c>
      <c r="L36" s="42">
        <v>-14.8</v>
      </c>
      <c r="O36" s="42"/>
      <c r="P36" s="28"/>
      <c r="Q36" s="42"/>
      <c r="R36" s="42">
        <v>6.5</v>
      </c>
      <c r="S36" s="42">
        <v>3</v>
      </c>
      <c r="T36" s="28"/>
      <c r="U36" s="30"/>
      <c r="V36" s="32" t="s">
        <v>3346</v>
      </c>
      <c r="W36" s="32">
        <v>1</v>
      </c>
      <c r="X36" s="33" t="s">
        <v>3370</v>
      </c>
      <c r="Z36" s="31" t="s">
        <v>3371</v>
      </c>
      <c r="AA36" s="32">
        <v>30.13</v>
      </c>
      <c r="AB36" s="32">
        <v>-99.54</v>
      </c>
      <c r="AC36" s="32">
        <v>579255</v>
      </c>
    </row>
    <row r="37" spans="1:29" ht="38">
      <c r="C37" s="22" t="s">
        <v>390</v>
      </c>
      <c r="D37" s="22" t="s">
        <v>151</v>
      </c>
      <c r="E37" s="5">
        <v>908</v>
      </c>
      <c r="F37" s="5">
        <v>500</v>
      </c>
      <c r="G37" s="28" t="s">
        <v>1723</v>
      </c>
      <c r="H37" s="6" t="s">
        <v>250</v>
      </c>
      <c r="J37" s="5" t="s">
        <v>225</v>
      </c>
      <c r="K37" s="27">
        <v>5.5</v>
      </c>
      <c r="L37" s="27">
        <v>-9.3000000000000007</v>
      </c>
      <c r="R37" s="27">
        <v>15.7</v>
      </c>
      <c r="S37" s="27">
        <v>2.9</v>
      </c>
      <c r="U37" s="24" t="s">
        <v>3372</v>
      </c>
      <c r="V37" s="32" t="s">
        <v>3346</v>
      </c>
      <c r="W37" s="32">
        <v>5</v>
      </c>
      <c r="X37" s="33" t="s">
        <v>3368</v>
      </c>
      <c r="Y37" s="32">
        <v>1000</v>
      </c>
      <c r="AA37" s="32">
        <v>29.37</v>
      </c>
      <c r="AB37" s="32">
        <v>-99.47</v>
      </c>
      <c r="AC37" s="32">
        <v>579255</v>
      </c>
    </row>
    <row r="38" spans="1:29" ht="19">
      <c r="C38" s="22" t="s">
        <v>390</v>
      </c>
      <c r="D38" s="22" t="s">
        <v>391</v>
      </c>
      <c r="E38" s="5">
        <v>41229</v>
      </c>
      <c r="F38" s="5">
        <v>10803</v>
      </c>
      <c r="G38" s="28" t="s">
        <v>1723</v>
      </c>
      <c r="H38" s="6" t="s">
        <v>1137</v>
      </c>
      <c r="J38" s="5" t="s">
        <v>104</v>
      </c>
      <c r="K38" s="27">
        <v>7</v>
      </c>
      <c r="L38" s="27">
        <v>-12.3</v>
      </c>
      <c r="R38" s="27">
        <v>13.5</v>
      </c>
      <c r="S38" s="27">
        <v>2.8</v>
      </c>
      <c r="U38" s="24" t="s">
        <v>3372</v>
      </c>
      <c r="V38" s="32" t="s">
        <v>3346</v>
      </c>
      <c r="W38" s="32">
        <v>1</v>
      </c>
      <c r="X38" s="33" t="s">
        <v>487</v>
      </c>
      <c r="Y38" s="32">
        <v>21577</v>
      </c>
      <c r="AA38" s="32">
        <v>30.13</v>
      </c>
      <c r="AB38" s="32">
        <v>-99.54</v>
      </c>
      <c r="AC38" s="32">
        <v>579255</v>
      </c>
    </row>
    <row r="39" spans="1:29" ht="19">
      <c r="C39" s="22" t="s">
        <v>390</v>
      </c>
      <c r="D39" s="22" t="s">
        <v>391</v>
      </c>
      <c r="E39" s="5">
        <v>41229</v>
      </c>
      <c r="F39" s="5">
        <v>1362</v>
      </c>
      <c r="G39" s="28" t="s">
        <v>1723</v>
      </c>
      <c r="H39" s="6" t="s">
        <v>1137</v>
      </c>
      <c r="J39" s="5" t="s">
        <v>104</v>
      </c>
      <c r="K39" s="27">
        <v>10.4</v>
      </c>
      <c r="L39" s="27">
        <v>-9.3000000000000007</v>
      </c>
      <c r="R39" s="27">
        <v>16.600000000000001</v>
      </c>
      <c r="S39" s="27">
        <v>2.8</v>
      </c>
      <c r="V39" s="32" t="s">
        <v>3346</v>
      </c>
      <c r="W39" s="32">
        <v>2</v>
      </c>
      <c r="X39" s="33" t="s">
        <v>3373</v>
      </c>
      <c r="Y39" s="32">
        <v>14977</v>
      </c>
      <c r="AA39" s="32">
        <v>30.13</v>
      </c>
      <c r="AB39" s="32">
        <v>-99.54</v>
      </c>
      <c r="AC39" s="32">
        <v>579255</v>
      </c>
    </row>
    <row r="40" spans="1:29" ht="19">
      <c r="C40" s="22" t="s">
        <v>390</v>
      </c>
      <c r="D40" s="22" t="s">
        <v>151</v>
      </c>
      <c r="E40" s="5">
        <v>41229</v>
      </c>
      <c r="F40" s="5" t="s">
        <v>1599</v>
      </c>
      <c r="G40" s="28" t="s">
        <v>1723</v>
      </c>
      <c r="H40" s="6" t="s">
        <v>1137</v>
      </c>
      <c r="J40" s="5" t="s">
        <v>104</v>
      </c>
      <c r="K40" s="27">
        <v>7.2</v>
      </c>
      <c r="L40" s="27">
        <v>-11.3</v>
      </c>
      <c r="R40" s="27">
        <v>15.3</v>
      </c>
      <c r="S40" s="27">
        <v>2.8</v>
      </c>
      <c r="V40" s="32" t="s">
        <v>3346</v>
      </c>
      <c r="W40" s="32">
        <v>2</v>
      </c>
      <c r="X40" s="33" t="s">
        <v>3374</v>
      </c>
      <c r="Y40" s="32">
        <v>21000</v>
      </c>
      <c r="AA40" s="32">
        <v>30.13</v>
      </c>
      <c r="AB40" s="32">
        <v>-99.54</v>
      </c>
      <c r="AC40" s="32">
        <v>579255</v>
      </c>
    </row>
    <row r="41" spans="1:29" ht="19">
      <c r="A41" s="28"/>
      <c r="B41" s="28"/>
      <c r="C41" s="29" t="s">
        <v>390</v>
      </c>
      <c r="D41" s="29" t="s">
        <v>151</v>
      </c>
      <c r="E41" s="28">
        <v>41229</v>
      </c>
      <c r="F41" s="28">
        <v>10809</v>
      </c>
      <c r="G41" s="28" t="s">
        <v>1723</v>
      </c>
      <c r="H41" s="41" t="s">
        <v>1137</v>
      </c>
      <c r="I41" s="41"/>
      <c r="J41" s="28" t="s">
        <v>1744</v>
      </c>
      <c r="K41" s="42">
        <v>9.6999999999999993</v>
      </c>
      <c r="L41" s="42">
        <v>-8.3000000000000007</v>
      </c>
      <c r="O41" s="42"/>
      <c r="P41" s="28"/>
      <c r="Q41" s="42"/>
      <c r="R41" s="42">
        <v>16.5</v>
      </c>
      <c r="S41" s="42">
        <v>2.8</v>
      </c>
      <c r="T41" s="28"/>
      <c r="U41" s="30"/>
      <c r="V41" s="32" t="s">
        <v>3346</v>
      </c>
      <c r="W41" s="32">
        <v>1</v>
      </c>
      <c r="X41" s="33" t="s">
        <v>487</v>
      </c>
      <c r="Z41" s="31" t="s">
        <v>3375</v>
      </c>
      <c r="AA41" s="32">
        <v>30.13</v>
      </c>
      <c r="AB41" s="32">
        <v>-99.54</v>
      </c>
      <c r="AC41" s="32">
        <v>579255</v>
      </c>
    </row>
    <row r="42" spans="1:29">
      <c r="C42" s="22" t="s">
        <v>390</v>
      </c>
      <c r="D42" s="22" t="s">
        <v>391</v>
      </c>
      <c r="E42" s="5">
        <v>30967</v>
      </c>
      <c r="F42" s="5">
        <v>1230</v>
      </c>
      <c r="G42" s="28" t="s">
        <v>1723</v>
      </c>
      <c r="H42" s="6" t="s">
        <v>110</v>
      </c>
      <c r="J42" s="5" t="s">
        <v>104</v>
      </c>
      <c r="M42" s="56" t="s">
        <v>487</v>
      </c>
      <c r="N42" s="56" t="s">
        <v>487</v>
      </c>
      <c r="R42" s="27" t="s">
        <v>463</v>
      </c>
      <c r="S42" s="27">
        <v>100</v>
      </c>
      <c r="V42" s="32" t="s">
        <v>3349</v>
      </c>
      <c r="W42" s="32">
        <v>5</v>
      </c>
      <c r="Y42" s="32">
        <v>50000</v>
      </c>
      <c r="AA42" s="32">
        <v>27.87</v>
      </c>
      <c r="AB42" s="32">
        <v>-97.2</v>
      </c>
      <c r="AC42" s="32">
        <v>579255</v>
      </c>
    </row>
    <row r="43" spans="1:29" ht="48">
      <c r="C43" s="22" t="s">
        <v>390</v>
      </c>
      <c r="D43" s="22" t="s">
        <v>151</v>
      </c>
      <c r="E43" s="5">
        <v>937</v>
      </c>
      <c r="F43" s="5">
        <v>589</v>
      </c>
      <c r="G43" s="28" t="s">
        <v>1723</v>
      </c>
      <c r="H43" s="6" t="s">
        <v>706</v>
      </c>
      <c r="J43" s="5" t="s">
        <v>104</v>
      </c>
      <c r="M43" s="56" t="s">
        <v>487</v>
      </c>
      <c r="N43" s="56">
        <v>-27.8</v>
      </c>
      <c r="R43" s="27" t="s">
        <v>463</v>
      </c>
      <c r="S43" s="27">
        <v>100</v>
      </c>
      <c r="V43" s="32" t="s">
        <v>3349</v>
      </c>
      <c r="W43" s="32">
        <v>5</v>
      </c>
      <c r="X43" s="33" t="s">
        <v>3376</v>
      </c>
      <c r="Y43" s="32">
        <v>15000</v>
      </c>
      <c r="Z43" s="31" t="s">
        <v>3377</v>
      </c>
      <c r="AA43" s="32">
        <v>34.229999999999997</v>
      </c>
      <c r="AB43" s="32">
        <v>-103.42</v>
      </c>
      <c r="AC43" s="32">
        <v>579255</v>
      </c>
    </row>
    <row r="44" spans="1:29" ht="48">
      <c r="C44" s="22" t="s">
        <v>390</v>
      </c>
      <c r="D44" s="22" t="s">
        <v>151</v>
      </c>
      <c r="E44" s="5">
        <v>937</v>
      </c>
      <c r="F44" s="5">
        <v>492</v>
      </c>
      <c r="G44" s="28" t="s">
        <v>1723</v>
      </c>
      <c r="H44" s="6" t="s">
        <v>706</v>
      </c>
      <c r="J44" s="5" t="s">
        <v>104</v>
      </c>
      <c r="M44" s="56" t="s">
        <v>487</v>
      </c>
      <c r="N44" s="56">
        <v>-28.2</v>
      </c>
      <c r="R44" s="27" t="s">
        <v>463</v>
      </c>
      <c r="S44" s="27">
        <v>100</v>
      </c>
      <c r="V44" s="32" t="s">
        <v>3349</v>
      </c>
      <c r="W44" s="32">
        <v>5</v>
      </c>
      <c r="Y44" s="32">
        <v>15000</v>
      </c>
      <c r="Z44" s="31" t="s">
        <v>3377</v>
      </c>
      <c r="AA44" s="32">
        <v>34.229999999999997</v>
      </c>
      <c r="AB44" s="32">
        <v>-103.42</v>
      </c>
      <c r="AC44" s="32">
        <v>579255</v>
      </c>
    </row>
    <row r="45" spans="1:29">
      <c r="A45" s="35"/>
      <c r="B45" s="35"/>
      <c r="C45" s="36" t="s">
        <v>390</v>
      </c>
      <c r="D45" s="36" t="s">
        <v>470</v>
      </c>
      <c r="E45" s="35">
        <v>892</v>
      </c>
      <c r="F45" s="35">
        <v>484</v>
      </c>
      <c r="G45" s="28" t="s">
        <v>1723</v>
      </c>
      <c r="H45" s="37" t="s">
        <v>276</v>
      </c>
      <c r="I45" s="37"/>
      <c r="J45" s="38"/>
      <c r="M45" s="56" t="s">
        <v>487</v>
      </c>
      <c r="N45" s="56">
        <v>-27.3</v>
      </c>
      <c r="O45" s="39"/>
      <c r="P45" s="35"/>
      <c r="Q45" s="39"/>
      <c r="R45" s="39">
        <v>0.7</v>
      </c>
      <c r="S45" s="39">
        <v>24.1</v>
      </c>
      <c r="T45" s="35"/>
      <c r="U45" s="40"/>
      <c r="V45" s="32" t="s">
        <v>3349</v>
      </c>
      <c r="W45" s="32">
        <v>5</v>
      </c>
      <c r="AA45" s="32">
        <v>33.619999999999997</v>
      </c>
      <c r="AB45" s="32">
        <v>-101.89</v>
      </c>
      <c r="AC45" s="32">
        <v>579255</v>
      </c>
    </row>
    <row r="46" spans="1:29">
      <c r="C46" s="22" t="s">
        <v>390</v>
      </c>
      <c r="D46" s="22" t="s">
        <v>3378</v>
      </c>
      <c r="E46" s="5">
        <v>1273</v>
      </c>
      <c r="F46" s="5">
        <v>1</v>
      </c>
      <c r="G46" s="28" t="s">
        <v>1723</v>
      </c>
      <c r="J46" s="5" t="s">
        <v>104</v>
      </c>
      <c r="M46" s="56">
        <v>1</v>
      </c>
      <c r="N46" s="56">
        <v>-27</v>
      </c>
      <c r="R46" s="27">
        <v>2.1</v>
      </c>
      <c r="S46" s="27">
        <v>9</v>
      </c>
      <c r="V46" s="32" t="s">
        <v>3349</v>
      </c>
      <c r="W46" s="32">
        <v>5</v>
      </c>
      <c r="AA46" s="32"/>
      <c r="AB46" s="32"/>
      <c r="AC46" s="32">
        <v>900000</v>
      </c>
    </row>
    <row r="47" spans="1:29">
      <c r="C47" s="22" t="s">
        <v>390</v>
      </c>
      <c r="D47" s="22" t="s">
        <v>151</v>
      </c>
      <c r="E47" s="5">
        <v>30967</v>
      </c>
      <c r="F47" s="5">
        <v>94</v>
      </c>
      <c r="G47" s="28" t="s">
        <v>1723</v>
      </c>
      <c r="H47" s="6" t="s">
        <v>110</v>
      </c>
      <c r="J47" s="5" t="s">
        <v>104</v>
      </c>
      <c r="M47" s="56">
        <v>4.4000000000000004</v>
      </c>
      <c r="N47" s="56">
        <v>-26.4</v>
      </c>
      <c r="R47" s="27">
        <v>4.5</v>
      </c>
      <c r="S47" s="27">
        <v>7.8</v>
      </c>
      <c r="V47" s="32" t="s">
        <v>3349</v>
      </c>
      <c r="W47" s="32">
        <v>5</v>
      </c>
      <c r="Y47" s="32">
        <v>50000</v>
      </c>
      <c r="AA47" s="32">
        <v>27.87</v>
      </c>
      <c r="AB47" s="32">
        <v>-97.2</v>
      </c>
      <c r="AC47" s="32">
        <v>579255</v>
      </c>
    </row>
    <row r="48" spans="1:29" ht="38">
      <c r="C48" s="22" t="s">
        <v>390</v>
      </c>
      <c r="D48" s="22" t="s">
        <v>151</v>
      </c>
      <c r="E48" s="5">
        <v>908</v>
      </c>
      <c r="F48" s="5">
        <v>832</v>
      </c>
      <c r="G48" s="28" t="s">
        <v>1723</v>
      </c>
      <c r="H48" s="6" t="s">
        <v>250</v>
      </c>
      <c r="J48" s="5" t="s">
        <v>225</v>
      </c>
      <c r="K48" s="27">
        <v>5.7</v>
      </c>
      <c r="L48" s="27">
        <v>-9.6999999999999993</v>
      </c>
      <c r="R48" s="27">
        <v>14.7</v>
      </c>
      <c r="S48" s="27">
        <v>3.1</v>
      </c>
      <c r="U48" s="24" t="s">
        <v>3372</v>
      </c>
      <c r="V48" s="32" t="s">
        <v>3349</v>
      </c>
      <c r="W48" s="32">
        <v>5</v>
      </c>
      <c r="X48" s="33" t="s">
        <v>3358</v>
      </c>
      <c r="Y48" s="32">
        <v>1000</v>
      </c>
      <c r="AA48" s="32">
        <v>29.37</v>
      </c>
      <c r="AB48" s="32">
        <v>-99.47</v>
      </c>
      <c r="AC48" s="32">
        <v>579255</v>
      </c>
    </row>
    <row r="49" spans="1:31" ht="38">
      <c r="C49" s="22" t="s">
        <v>390</v>
      </c>
      <c r="D49" s="22" t="s">
        <v>151</v>
      </c>
      <c r="E49" s="5">
        <v>40450</v>
      </c>
      <c r="F49" s="5">
        <v>437</v>
      </c>
      <c r="G49" s="28" t="s">
        <v>1723</v>
      </c>
      <c r="H49" s="6" t="s">
        <v>1783</v>
      </c>
      <c r="J49" s="5" t="s">
        <v>104</v>
      </c>
      <c r="K49" s="27">
        <v>9.3000000000000007</v>
      </c>
      <c r="L49" s="27">
        <v>-10.8</v>
      </c>
      <c r="R49" s="27">
        <v>5.7</v>
      </c>
      <c r="S49" s="27">
        <v>3.1</v>
      </c>
      <c r="V49" s="32" t="s">
        <v>3349</v>
      </c>
      <c r="W49" s="32">
        <v>5</v>
      </c>
      <c r="X49" s="33" t="s">
        <v>3379</v>
      </c>
      <c r="Y49" s="32">
        <v>13000</v>
      </c>
      <c r="Z49" s="31" t="s">
        <v>3380</v>
      </c>
      <c r="AA49" s="32">
        <v>29.88</v>
      </c>
      <c r="AB49" s="32">
        <v>-98.62</v>
      </c>
      <c r="AC49" s="32">
        <v>579255</v>
      </c>
    </row>
    <row r="50" spans="1:31" ht="19">
      <c r="C50" s="22" t="s">
        <v>390</v>
      </c>
      <c r="D50" s="22" t="s">
        <v>151</v>
      </c>
      <c r="E50" s="5">
        <v>892</v>
      </c>
      <c r="F50" s="5">
        <v>218</v>
      </c>
      <c r="G50" s="28" t="s">
        <v>1723</v>
      </c>
      <c r="H50" s="6" t="s">
        <v>276</v>
      </c>
      <c r="J50" s="5" t="s">
        <v>225</v>
      </c>
      <c r="K50" s="27">
        <v>7.7</v>
      </c>
      <c r="L50" s="27">
        <v>-8.1</v>
      </c>
      <c r="R50" s="27">
        <v>14.5</v>
      </c>
      <c r="S50" s="27">
        <v>3</v>
      </c>
      <c r="V50" s="32" t="s">
        <v>3349</v>
      </c>
      <c r="W50" s="32">
        <v>5</v>
      </c>
      <c r="X50" s="33" t="s">
        <v>3381</v>
      </c>
      <c r="Y50" s="32">
        <v>7000</v>
      </c>
      <c r="AA50" s="32">
        <v>33.619999999999997</v>
      </c>
      <c r="AB50" s="32">
        <v>-101.89</v>
      </c>
      <c r="AC50" s="32">
        <v>579255</v>
      </c>
    </row>
    <row r="51" spans="1:31" ht="19">
      <c r="C51" s="22" t="s">
        <v>390</v>
      </c>
      <c r="D51" s="22" t="s">
        <v>151</v>
      </c>
      <c r="E51" s="5">
        <v>908</v>
      </c>
      <c r="F51" s="5">
        <v>3474</v>
      </c>
      <c r="G51" s="28" t="s">
        <v>1723</v>
      </c>
      <c r="H51" s="6" t="s">
        <v>250</v>
      </c>
      <c r="J51" s="5" t="s">
        <v>225</v>
      </c>
      <c r="K51" s="27">
        <v>7.2</v>
      </c>
      <c r="L51" s="27">
        <v>-11.2</v>
      </c>
      <c r="R51" s="27">
        <v>14.6</v>
      </c>
      <c r="S51" s="27">
        <v>3</v>
      </c>
      <c r="V51" s="32" t="s">
        <v>3349</v>
      </c>
      <c r="W51" s="32">
        <v>5</v>
      </c>
      <c r="X51" s="33" t="s">
        <v>3382</v>
      </c>
      <c r="AA51" s="32">
        <v>29.37</v>
      </c>
      <c r="AB51" s="32">
        <v>-99.47</v>
      </c>
      <c r="AC51" s="32">
        <v>579255</v>
      </c>
    </row>
    <row r="52" spans="1:31" ht="38">
      <c r="C52" s="22" t="s">
        <v>390</v>
      </c>
      <c r="D52" s="22" t="s">
        <v>151</v>
      </c>
      <c r="E52" s="5">
        <v>40450</v>
      </c>
      <c r="F52" s="5">
        <v>1619</v>
      </c>
      <c r="G52" s="28" t="s">
        <v>1723</v>
      </c>
      <c r="H52" s="6" t="s">
        <v>1783</v>
      </c>
      <c r="J52" s="5" t="s">
        <v>104</v>
      </c>
      <c r="K52" s="27">
        <v>10.199999999999999</v>
      </c>
      <c r="L52" s="27">
        <v>-14.9</v>
      </c>
      <c r="O52" s="27" t="s">
        <v>487</v>
      </c>
      <c r="P52" s="5" t="s">
        <v>487</v>
      </c>
      <c r="R52" s="27">
        <v>14.3</v>
      </c>
      <c r="S52" s="27">
        <v>3</v>
      </c>
      <c r="V52" s="32" t="s">
        <v>3349</v>
      </c>
      <c r="W52" s="32">
        <v>5</v>
      </c>
      <c r="X52" s="33" t="s">
        <v>3379</v>
      </c>
      <c r="Y52" s="32">
        <v>13000</v>
      </c>
      <c r="Z52" s="31" t="s">
        <v>3380</v>
      </c>
      <c r="AA52" s="32">
        <v>29.88</v>
      </c>
      <c r="AB52" s="32">
        <v>-98.62</v>
      </c>
      <c r="AC52" s="32">
        <v>579255</v>
      </c>
    </row>
    <row r="53" spans="1:31" ht="38">
      <c r="C53" s="22" t="s">
        <v>390</v>
      </c>
      <c r="D53" s="22" t="s">
        <v>151</v>
      </c>
      <c r="E53" s="5">
        <v>40450</v>
      </c>
      <c r="F53" s="5">
        <v>2554</v>
      </c>
      <c r="G53" s="28" t="s">
        <v>1723</v>
      </c>
      <c r="H53" s="6" t="s">
        <v>1783</v>
      </c>
      <c r="J53" s="5" t="s">
        <v>104</v>
      </c>
      <c r="K53" s="27">
        <v>9.1</v>
      </c>
      <c r="L53" s="27">
        <v>-9.9</v>
      </c>
      <c r="R53" s="27">
        <v>10.6</v>
      </c>
      <c r="S53" s="27">
        <v>3</v>
      </c>
      <c r="U53" s="24" t="s">
        <v>3372</v>
      </c>
      <c r="V53" s="32" t="s">
        <v>3349</v>
      </c>
      <c r="W53" s="32">
        <v>5</v>
      </c>
      <c r="X53" s="33" t="s">
        <v>3379</v>
      </c>
      <c r="Y53" s="32">
        <v>13000</v>
      </c>
      <c r="Z53" s="31" t="s">
        <v>3380</v>
      </c>
      <c r="AA53" s="32">
        <v>29.88</v>
      </c>
      <c r="AB53" s="32">
        <v>-98.62</v>
      </c>
      <c r="AC53" s="32">
        <v>579255</v>
      </c>
    </row>
    <row r="54" spans="1:31" ht="38">
      <c r="C54" s="22" t="s">
        <v>390</v>
      </c>
      <c r="D54" s="22" t="s">
        <v>151</v>
      </c>
      <c r="E54" s="5">
        <v>40450</v>
      </c>
      <c r="F54" s="5">
        <v>2560</v>
      </c>
      <c r="G54" s="28" t="s">
        <v>1723</v>
      </c>
      <c r="H54" s="6" t="s">
        <v>1783</v>
      </c>
      <c r="J54" s="5" t="s">
        <v>104</v>
      </c>
      <c r="K54" s="27">
        <v>8.9</v>
      </c>
      <c r="L54" s="27">
        <v>-14.1</v>
      </c>
      <c r="R54" s="27">
        <v>4.5999999999999996</v>
      </c>
      <c r="S54" s="27">
        <v>3</v>
      </c>
      <c r="U54" s="24" t="s">
        <v>3372</v>
      </c>
      <c r="V54" s="32" t="s">
        <v>3349</v>
      </c>
      <c r="W54" s="32">
        <v>5</v>
      </c>
      <c r="X54" s="33" t="s">
        <v>3379</v>
      </c>
      <c r="Y54" s="32">
        <v>13000</v>
      </c>
      <c r="Z54" s="31" t="s">
        <v>3380</v>
      </c>
      <c r="AA54" s="32">
        <v>29.88</v>
      </c>
      <c r="AB54" s="32">
        <v>-98.62</v>
      </c>
      <c r="AC54" s="32">
        <v>579255</v>
      </c>
    </row>
    <row r="55" spans="1:31">
      <c r="C55" s="22" t="s">
        <v>390</v>
      </c>
      <c r="D55" s="22" t="s">
        <v>391</v>
      </c>
      <c r="E55" s="5">
        <v>892</v>
      </c>
      <c r="F55" s="5" t="s">
        <v>1751</v>
      </c>
      <c r="G55" s="28" t="s">
        <v>1723</v>
      </c>
      <c r="H55" s="6" t="s">
        <v>276</v>
      </c>
      <c r="J55" s="5" t="s">
        <v>104</v>
      </c>
      <c r="K55" s="27">
        <v>7.6</v>
      </c>
      <c r="L55" s="27">
        <v>-8.9</v>
      </c>
      <c r="R55" s="27">
        <v>15.5</v>
      </c>
      <c r="S55" s="27">
        <v>2.9</v>
      </c>
      <c r="T55" s="5" t="s">
        <v>3383</v>
      </c>
      <c r="V55" s="32" t="s">
        <v>3349</v>
      </c>
      <c r="W55" s="32">
        <v>5</v>
      </c>
      <c r="AA55" s="32">
        <v>33.619999999999997</v>
      </c>
      <c r="AB55" s="32">
        <v>-101.89</v>
      </c>
      <c r="AC55" s="32">
        <v>579255</v>
      </c>
    </row>
    <row r="56" spans="1:31" ht="38">
      <c r="C56" s="22" t="s">
        <v>390</v>
      </c>
      <c r="D56" s="22" t="s">
        <v>151</v>
      </c>
      <c r="E56" s="5">
        <v>908</v>
      </c>
      <c r="F56" s="5">
        <v>1937</v>
      </c>
      <c r="G56" s="28" t="s">
        <v>1723</v>
      </c>
      <c r="H56" s="6" t="s">
        <v>250</v>
      </c>
      <c r="J56" s="5" t="s">
        <v>225</v>
      </c>
      <c r="K56" s="27">
        <v>5.3</v>
      </c>
      <c r="L56" s="27">
        <v>-10</v>
      </c>
      <c r="R56" s="27">
        <v>15.4</v>
      </c>
      <c r="S56" s="27">
        <v>2.9</v>
      </c>
      <c r="U56" s="24" t="s">
        <v>3372</v>
      </c>
      <c r="V56" s="32" t="s">
        <v>3349</v>
      </c>
      <c r="W56" s="32">
        <v>5</v>
      </c>
      <c r="X56" s="33" t="s">
        <v>3363</v>
      </c>
      <c r="Y56" s="32">
        <v>1000</v>
      </c>
      <c r="AA56" s="32">
        <v>29.37</v>
      </c>
      <c r="AB56" s="32">
        <v>-99.47</v>
      </c>
      <c r="AC56" s="32">
        <v>579255</v>
      </c>
    </row>
    <row r="57" spans="1:31">
      <c r="C57" s="22" t="s">
        <v>390</v>
      </c>
      <c r="D57" s="22" t="s">
        <v>391</v>
      </c>
      <c r="E57" s="5">
        <v>892</v>
      </c>
      <c r="F57" s="5" t="s">
        <v>1752</v>
      </c>
      <c r="G57" s="28" t="s">
        <v>1723</v>
      </c>
      <c r="H57" s="6" t="s">
        <v>276</v>
      </c>
      <c r="J57" s="5" t="s">
        <v>104</v>
      </c>
      <c r="K57" s="27">
        <v>7.9</v>
      </c>
      <c r="L57" s="27">
        <v>-8.3000000000000007</v>
      </c>
      <c r="R57" s="27">
        <v>16.3</v>
      </c>
      <c r="S57" s="27">
        <v>2.8</v>
      </c>
      <c r="T57" s="5" t="s">
        <v>3383</v>
      </c>
      <c r="V57" s="32" t="s">
        <v>3349</v>
      </c>
      <c r="W57" s="32">
        <v>5</v>
      </c>
      <c r="AA57" s="32">
        <v>33.619999999999997</v>
      </c>
      <c r="AB57" s="32">
        <v>-101.89</v>
      </c>
      <c r="AC57" s="32">
        <v>579255</v>
      </c>
    </row>
    <row r="58" spans="1:31" s="9" customFormat="1">
      <c r="A58" s="5"/>
      <c r="B58" s="5"/>
      <c r="C58" s="22" t="s">
        <v>390</v>
      </c>
      <c r="D58" s="22" t="s">
        <v>391</v>
      </c>
      <c r="E58" s="5">
        <v>892</v>
      </c>
      <c r="F58" s="5" t="s">
        <v>1753</v>
      </c>
      <c r="G58" s="28" t="s">
        <v>1723</v>
      </c>
      <c r="H58" s="6" t="s">
        <v>276</v>
      </c>
      <c r="I58" s="6"/>
      <c r="J58" s="5" t="s">
        <v>104</v>
      </c>
      <c r="K58" s="27">
        <v>6.3</v>
      </c>
      <c r="L58" s="27">
        <v>-9</v>
      </c>
      <c r="M58" s="56"/>
      <c r="N58" s="56"/>
      <c r="O58" s="27"/>
      <c r="P58" s="5"/>
      <c r="Q58" s="27"/>
      <c r="R58" s="27">
        <v>16.5</v>
      </c>
      <c r="S58" s="27">
        <v>2.8</v>
      </c>
      <c r="T58" s="5" t="s">
        <v>3383</v>
      </c>
      <c r="U58" s="24"/>
      <c r="V58" s="32" t="s">
        <v>3349</v>
      </c>
      <c r="W58" s="32">
        <v>5</v>
      </c>
      <c r="X58" s="33"/>
      <c r="Y58" s="32"/>
      <c r="Z58" s="31"/>
      <c r="AA58" s="32">
        <v>33.619999999999997</v>
      </c>
      <c r="AB58" s="32">
        <v>-101.89</v>
      </c>
      <c r="AC58" s="32">
        <v>579255</v>
      </c>
      <c r="AD58" s="40"/>
      <c r="AE58" s="40"/>
    </row>
    <row r="59" spans="1:31" ht="19">
      <c r="C59" s="22" t="s">
        <v>390</v>
      </c>
      <c r="D59" s="22" t="s">
        <v>3378</v>
      </c>
      <c r="E59" s="5">
        <v>892</v>
      </c>
      <c r="F59" s="5">
        <v>270</v>
      </c>
      <c r="G59" s="28" t="s">
        <v>1723</v>
      </c>
      <c r="H59" s="6" t="s">
        <v>276</v>
      </c>
      <c r="J59" s="5" t="s">
        <v>104</v>
      </c>
      <c r="M59" s="56" t="s">
        <v>487</v>
      </c>
      <c r="N59" s="56">
        <v>-28</v>
      </c>
      <c r="R59" s="27" t="s">
        <v>463</v>
      </c>
      <c r="S59" s="27">
        <v>100</v>
      </c>
      <c r="T59" s="5" t="s">
        <v>3383</v>
      </c>
      <c r="V59" s="32" t="s">
        <v>3353</v>
      </c>
      <c r="W59" s="32">
        <v>5</v>
      </c>
      <c r="X59" s="33" t="s">
        <v>3381</v>
      </c>
      <c r="Y59" s="32">
        <v>7000</v>
      </c>
      <c r="Z59" s="31" t="s">
        <v>3384</v>
      </c>
      <c r="AA59" s="32">
        <v>33.619999999999997</v>
      </c>
      <c r="AB59" s="32">
        <v>-101.89</v>
      </c>
      <c r="AC59" s="32">
        <v>900000</v>
      </c>
    </row>
    <row r="60" spans="1:31">
      <c r="C60" s="22" t="s">
        <v>390</v>
      </c>
      <c r="D60" s="22" t="s">
        <v>151</v>
      </c>
      <c r="E60" s="5">
        <v>892</v>
      </c>
      <c r="F60" s="5" t="s">
        <v>1778</v>
      </c>
      <c r="G60" s="28" t="s">
        <v>1723</v>
      </c>
      <c r="H60" s="6" t="s">
        <v>276</v>
      </c>
      <c r="J60" s="5" t="s">
        <v>225</v>
      </c>
      <c r="M60" s="56" t="s">
        <v>487</v>
      </c>
      <c r="N60" s="56" t="s">
        <v>487</v>
      </c>
      <c r="R60" s="27" t="s">
        <v>463</v>
      </c>
      <c r="S60" s="27">
        <v>100</v>
      </c>
      <c r="V60" s="32" t="s">
        <v>3353</v>
      </c>
      <c r="W60" s="32">
        <v>5</v>
      </c>
      <c r="AA60" s="32">
        <v>33.619999999999997</v>
      </c>
      <c r="AB60" s="32">
        <v>-101.89</v>
      </c>
      <c r="AC60" s="32">
        <v>579255</v>
      </c>
    </row>
    <row r="61" spans="1:31" ht="95">
      <c r="C61" s="22" t="s">
        <v>390</v>
      </c>
      <c r="D61" s="22" t="s">
        <v>151</v>
      </c>
      <c r="E61" s="5">
        <v>1018</v>
      </c>
      <c r="F61" s="5">
        <v>69</v>
      </c>
      <c r="G61" s="28" t="s">
        <v>1723</v>
      </c>
      <c r="H61" s="6" t="s">
        <v>779</v>
      </c>
      <c r="J61" s="5" t="s">
        <v>225</v>
      </c>
      <c r="K61" s="27">
        <v>6.5</v>
      </c>
      <c r="L61" s="27">
        <v>-12.3</v>
      </c>
      <c r="R61" s="27">
        <v>11.6</v>
      </c>
      <c r="S61" s="27">
        <v>3.4</v>
      </c>
      <c r="V61" s="32" t="s">
        <v>3353</v>
      </c>
      <c r="W61" s="32">
        <v>4</v>
      </c>
      <c r="X61" s="33" t="s">
        <v>3385</v>
      </c>
      <c r="AA61" s="32">
        <v>35</v>
      </c>
      <c r="AB61" s="32">
        <v>-100.5</v>
      </c>
      <c r="AC61" s="32">
        <v>579255</v>
      </c>
    </row>
    <row r="62" spans="1:31" ht="38">
      <c r="C62" s="22" t="s">
        <v>390</v>
      </c>
      <c r="D62" s="22" t="s">
        <v>151</v>
      </c>
      <c r="E62" s="5">
        <v>40450</v>
      </c>
      <c r="F62" s="5">
        <v>2552</v>
      </c>
      <c r="G62" s="28" t="s">
        <v>1723</v>
      </c>
      <c r="H62" s="6" t="s">
        <v>1783</v>
      </c>
      <c r="J62" s="5" t="s">
        <v>104</v>
      </c>
      <c r="K62" s="27">
        <v>9.6</v>
      </c>
      <c r="L62" s="27">
        <v>-11.4</v>
      </c>
      <c r="R62" s="27">
        <v>7.6</v>
      </c>
      <c r="S62" s="27">
        <v>3.3</v>
      </c>
      <c r="V62" s="32" t="s">
        <v>3353</v>
      </c>
      <c r="W62" s="32">
        <v>5</v>
      </c>
      <c r="X62" s="33" t="s">
        <v>3379</v>
      </c>
      <c r="Y62" s="32">
        <v>13000</v>
      </c>
      <c r="AA62" s="32">
        <v>29.88</v>
      </c>
      <c r="AB62" s="32">
        <v>-98.62</v>
      </c>
      <c r="AC62" s="32">
        <v>579255</v>
      </c>
    </row>
    <row r="63" spans="1:31">
      <c r="C63" s="22" t="s">
        <v>390</v>
      </c>
      <c r="D63" s="22" t="s">
        <v>151</v>
      </c>
      <c r="E63" s="5">
        <v>1018</v>
      </c>
      <c r="F63" s="5">
        <v>71</v>
      </c>
      <c r="G63" s="28" t="s">
        <v>1723</v>
      </c>
      <c r="H63" s="6" t="s">
        <v>779</v>
      </c>
      <c r="J63" s="5" t="s">
        <v>225</v>
      </c>
      <c r="K63" s="27">
        <v>6.3</v>
      </c>
      <c r="L63" s="27">
        <v>-10.1</v>
      </c>
      <c r="R63" s="27">
        <v>14.1</v>
      </c>
      <c r="S63" s="27">
        <v>3.1</v>
      </c>
      <c r="V63" s="32" t="s">
        <v>3353</v>
      </c>
      <c r="W63" s="32">
        <v>4</v>
      </c>
      <c r="AA63" s="32">
        <v>35</v>
      </c>
      <c r="AB63" s="32">
        <v>-100.5</v>
      </c>
      <c r="AC63" s="32">
        <v>579255</v>
      </c>
    </row>
    <row r="64" spans="1:31">
      <c r="C64" s="22" t="s">
        <v>390</v>
      </c>
      <c r="D64" s="22" t="s">
        <v>151</v>
      </c>
      <c r="E64" s="5">
        <v>45817</v>
      </c>
      <c r="F64" s="5">
        <v>1</v>
      </c>
      <c r="G64" s="28" t="s">
        <v>1723</v>
      </c>
      <c r="H64" s="6" t="s">
        <v>1770</v>
      </c>
      <c r="J64" s="5" t="s">
        <v>225</v>
      </c>
      <c r="K64" s="27">
        <v>6</v>
      </c>
      <c r="L64" s="27">
        <v>-12.8</v>
      </c>
      <c r="R64" s="27">
        <v>14</v>
      </c>
      <c r="S64" s="27">
        <v>3</v>
      </c>
      <c r="V64" s="32" t="s">
        <v>3353</v>
      </c>
      <c r="W64" s="32">
        <v>5</v>
      </c>
      <c r="AA64" s="32"/>
      <c r="AB64" s="32"/>
      <c r="AC64" s="32">
        <v>579255</v>
      </c>
    </row>
    <row r="65" spans="3:29" ht="38">
      <c r="C65" s="22" t="s">
        <v>390</v>
      </c>
      <c r="D65" s="22" t="s">
        <v>151</v>
      </c>
      <c r="E65" s="5">
        <v>908</v>
      </c>
      <c r="F65" s="5">
        <v>2139</v>
      </c>
      <c r="G65" s="28" t="s">
        <v>1723</v>
      </c>
      <c r="H65" s="6" t="s">
        <v>250</v>
      </c>
      <c r="J65" s="5" t="s">
        <v>225</v>
      </c>
      <c r="K65" s="27">
        <v>6.5</v>
      </c>
      <c r="L65" s="27">
        <v>-11.9</v>
      </c>
      <c r="R65" s="27">
        <v>13.8</v>
      </c>
      <c r="S65" s="27">
        <v>3</v>
      </c>
      <c r="V65" s="32" t="s">
        <v>3353</v>
      </c>
      <c r="W65" s="32">
        <v>5</v>
      </c>
      <c r="X65" s="33" t="s">
        <v>3386</v>
      </c>
      <c r="Y65" s="32">
        <v>1000</v>
      </c>
      <c r="AA65" s="32">
        <v>29.37</v>
      </c>
      <c r="AB65" s="32">
        <v>-99.47</v>
      </c>
      <c r="AC65" s="32">
        <v>579255</v>
      </c>
    </row>
    <row r="66" spans="3:29" ht="38">
      <c r="C66" s="22" t="s">
        <v>390</v>
      </c>
      <c r="D66" s="22" t="s">
        <v>151</v>
      </c>
      <c r="E66" s="5">
        <v>908</v>
      </c>
      <c r="F66" s="5">
        <v>250</v>
      </c>
      <c r="G66" s="28" t="s">
        <v>1723</v>
      </c>
      <c r="H66" s="6" t="s">
        <v>250</v>
      </c>
      <c r="J66" s="5" t="s">
        <v>225</v>
      </c>
      <c r="K66" s="27">
        <v>6.9</v>
      </c>
      <c r="L66" s="27">
        <v>-11.8</v>
      </c>
      <c r="R66" s="27">
        <v>14.8</v>
      </c>
      <c r="S66" s="27">
        <v>3</v>
      </c>
      <c r="V66" s="32" t="s">
        <v>3353</v>
      </c>
      <c r="W66" s="32">
        <v>4</v>
      </c>
      <c r="X66" s="33" t="s">
        <v>3387</v>
      </c>
      <c r="Y66" s="32">
        <v>1000</v>
      </c>
      <c r="AA66" s="32">
        <v>29.37</v>
      </c>
      <c r="AB66" s="32">
        <v>-99.47</v>
      </c>
      <c r="AC66" s="32">
        <v>579255</v>
      </c>
    </row>
    <row r="67" spans="3:29" ht="57">
      <c r="C67" s="22" t="s">
        <v>390</v>
      </c>
      <c r="D67" s="22" t="s">
        <v>151</v>
      </c>
      <c r="E67" s="5">
        <v>908</v>
      </c>
      <c r="F67" s="5">
        <v>3438</v>
      </c>
      <c r="G67" s="28" t="s">
        <v>1723</v>
      </c>
      <c r="H67" s="6" t="s">
        <v>250</v>
      </c>
      <c r="J67" s="5" t="s">
        <v>225</v>
      </c>
      <c r="K67" s="27">
        <v>6.7</v>
      </c>
      <c r="L67" s="27">
        <v>-9.9</v>
      </c>
      <c r="R67" s="27">
        <v>13.9</v>
      </c>
      <c r="S67" s="27">
        <v>3</v>
      </c>
      <c r="V67" s="32" t="s">
        <v>3353</v>
      </c>
      <c r="W67" s="32">
        <v>6</v>
      </c>
      <c r="X67" s="33" t="s">
        <v>3357</v>
      </c>
      <c r="Y67" s="32">
        <v>3500</v>
      </c>
      <c r="AA67" s="32">
        <v>29.37</v>
      </c>
      <c r="AB67" s="32">
        <v>-99.47</v>
      </c>
      <c r="AC67" s="32">
        <v>579255</v>
      </c>
    </row>
    <row r="68" spans="3:29" ht="38">
      <c r="C68" s="22" t="s">
        <v>390</v>
      </c>
      <c r="D68" s="22" t="s">
        <v>151</v>
      </c>
      <c r="E68" s="5">
        <v>908</v>
      </c>
      <c r="F68" s="5">
        <v>834</v>
      </c>
      <c r="G68" s="28" t="s">
        <v>1723</v>
      </c>
      <c r="H68" s="6" t="s">
        <v>250</v>
      </c>
      <c r="J68" s="5" t="s">
        <v>225</v>
      </c>
      <c r="K68" s="27">
        <v>5.3</v>
      </c>
      <c r="L68" s="27">
        <v>-9.6</v>
      </c>
      <c r="R68" s="27">
        <v>14.1</v>
      </c>
      <c r="S68" s="27">
        <v>3</v>
      </c>
      <c r="V68" s="32" t="s">
        <v>3353</v>
      </c>
      <c r="W68" s="32">
        <v>6</v>
      </c>
      <c r="X68" s="33" t="s">
        <v>3358</v>
      </c>
      <c r="Y68" s="32">
        <v>1000</v>
      </c>
      <c r="AA68" s="32">
        <v>29.37</v>
      </c>
      <c r="AB68" s="32">
        <v>-99.47</v>
      </c>
      <c r="AC68" s="32">
        <v>579255</v>
      </c>
    </row>
    <row r="69" spans="3:29" ht="95">
      <c r="C69" s="22" t="s">
        <v>390</v>
      </c>
      <c r="D69" s="22" t="s">
        <v>151</v>
      </c>
      <c r="E69" s="5">
        <v>1018</v>
      </c>
      <c r="F69" s="5">
        <v>72</v>
      </c>
      <c r="G69" s="28" t="s">
        <v>1723</v>
      </c>
      <c r="H69" s="6" t="s">
        <v>779</v>
      </c>
      <c r="J69" s="5" t="s">
        <v>225</v>
      </c>
      <c r="K69" s="27">
        <v>6.9</v>
      </c>
      <c r="L69" s="27">
        <v>-9.6999999999999993</v>
      </c>
      <c r="R69" s="27">
        <v>14.6</v>
      </c>
      <c r="S69" s="27">
        <v>3</v>
      </c>
      <c r="V69" s="32" t="s">
        <v>3353</v>
      </c>
      <c r="W69" s="32">
        <v>4</v>
      </c>
      <c r="X69" s="33" t="s">
        <v>3385</v>
      </c>
      <c r="AA69" s="32">
        <v>35</v>
      </c>
      <c r="AB69" s="32">
        <v>-100.5</v>
      </c>
      <c r="AC69" s="32">
        <v>579255</v>
      </c>
    </row>
    <row r="70" spans="3:29">
      <c r="C70" s="22" t="s">
        <v>390</v>
      </c>
      <c r="D70" s="22" t="s">
        <v>151</v>
      </c>
      <c r="E70" s="5">
        <v>1018</v>
      </c>
      <c r="F70" s="5">
        <v>13</v>
      </c>
      <c r="G70" s="28" t="s">
        <v>1723</v>
      </c>
      <c r="H70" s="6" t="s">
        <v>779</v>
      </c>
      <c r="J70" s="5" t="s">
        <v>225</v>
      </c>
      <c r="K70" s="27">
        <v>6.1</v>
      </c>
      <c r="L70" s="27">
        <v>-9.1999999999999993</v>
      </c>
      <c r="Q70" s="27" t="s">
        <v>3388</v>
      </c>
      <c r="R70" s="27">
        <v>13.6</v>
      </c>
      <c r="S70" s="27">
        <v>2.9</v>
      </c>
      <c r="V70" s="32" t="s">
        <v>3353</v>
      </c>
      <c r="W70" s="32">
        <v>5</v>
      </c>
      <c r="AA70" s="32">
        <v>35</v>
      </c>
      <c r="AB70" s="32">
        <v>-100.5</v>
      </c>
      <c r="AC70" s="32">
        <v>579255</v>
      </c>
    </row>
    <row r="71" spans="3:29" ht="38">
      <c r="C71" s="22" t="s">
        <v>390</v>
      </c>
      <c r="D71" s="22" t="s">
        <v>151</v>
      </c>
      <c r="E71" s="5">
        <v>908</v>
      </c>
      <c r="F71" s="5">
        <v>2003</v>
      </c>
      <c r="G71" s="28" t="s">
        <v>1723</v>
      </c>
      <c r="H71" s="6" t="s">
        <v>250</v>
      </c>
      <c r="J71" s="5" t="s">
        <v>225</v>
      </c>
      <c r="K71" s="27">
        <v>6.4</v>
      </c>
      <c r="L71" s="27">
        <v>-11.3</v>
      </c>
      <c r="R71" s="27">
        <v>15.2</v>
      </c>
      <c r="S71" s="27">
        <v>2.9</v>
      </c>
      <c r="V71" s="32" t="s">
        <v>3353</v>
      </c>
      <c r="W71" s="32">
        <v>5</v>
      </c>
      <c r="X71" s="33" t="s">
        <v>3360</v>
      </c>
      <c r="Y71" s="32">
        <v>1000</v>
      </c>
      <c r="AA71" s="32">
        <v>29.37</v>
      </c>
      <c r="AB71" s="32">
        <v>-99.47</v>
      </c>
      <c r="AC71" s="32">
        <v>579255</v>
      </c>
    </row>
    <row r="72" spans="3:29" ht="38">
      <c r="C72" s="22" t="s">
        <v>390</v>
      </c>
      <c r="D72" s="22" t="s">
        <v>151</v>
      </c>
      <c r="E72" s="5">
        <v>908</v>
      </c>
      <c r="F72" s="5">
        <v>2140</v>
      </c>
      <c r="G72" s="28" t="s">
        <v>1723</v>
      </c>
      <c r="H72" s="6" t="s">
        <v>250</v>
      </c>
      <c r="J72" s="5" t="s">
        <v>225</v>
      </c>
      <c r="K72" s="27">
        <v>6.4</v>
      </c>
      <c r="L72" s="27">
        <v>-11.5</v>
      </c>
      <c r="R72" s="27">
        <v>15.2</v>
      </c>
      <c r="S72" s="27">
        <v>2.9</v>
      </c>
      <c r="V72" s="32" t="s">
        <v>3353</v>
      </c>
      <c r="W72" s="32">
        <v>5</v>
      </c>
      <c r="X72" s="33" t="s">
        <v>3386</v>
      </c>
      <c r="Y72" s="32">
        <v>1000</v>
      </c>
      <c r="AA72" s="32">
        <v>29.37</v>
      </c>
      <c r="AB72" s="32">
        <v>-99.47</v>
      </c>
      <c r="AC72" s="32">
        <v>579255</v>
      </c>
    </row>
    <row r="73" spans="3:29" ht="38">
      <c r="C73" s="22" t="s">
        <v>390</v>
      </c>
      <c r="D73" s="22" t="s">
        <v>151</v>
      </c>
      <c r="E73" s="5">
        <v>908</v>
      </c>
      <c r="F73" s="5">
        <v>2142</v>
      </c>
      <c r="G73" s="28" t="s">
        <v>1723</v>
      </c>
      <c r="H73" s="6" t="s">
        <v>250</v>
      </c>
      <c r="J73" s="5" t="s">
        <v>225</v>
      </c>
      <c r="K73" s="27">
        <v>6</v>
      </c>
      <c r="L73" s="27">
        <v>-12.3</v>
      </c>
      <c r="R73" s="27">
        <v>14.9</v>
      </c>
      <c r="S73" s="27">
        <v>2.9</v>
      </c>
      <c r="V73" s="32" t="s">
        <v>3353</v>
      </c>
      <c r="W73" s="32">
        <v>4</v>
      </c>
      <c r="X73" s="33" t="s">
        <v>3386</v>
      </c>
      <c r="Y73" s="32">
        <v>1000</v>
      </c>
      <c r="AA73" s="32">
        <v>29.37</v>
      </c>
      <c r="AB73" s="32">
        <v>-99.47</v>
      </c>
      <c r="AC73" s="32">
        <v>579255</v>
      </c>
    </row>
    <row r="74" spans="3:29" ht="38">
      <c r="C74" s="22" t="s">
        <v>390</v>
      </c>
      <c r="D74" s="22" t="s">
        <v>151</v>
      </c>
      <c r="E74" s="5">
        <v>908</v>
      </c>
      <c r="F74" s="5">
        <v>259</v>
      </c>
      <c r="G74" s="28" t="s">
        <v>1723</v>
      </c>
      <c r="H74" s="6" t="s">
        <v>250</v>
      </c>
      <c r="J74" s="5" t="s">
        <v>225</v>
      </c>
      <c r="K74" s="27">
        <v>5.5</v>
      </c>
      <c r="L74" s="27">
        <v>-10</v>
      </c>
      <c r="R74" s="27">
        <v>15.4</v>
      </c>
      <c r="S74" s="27">
        <v>2.9</v>
      </c>
      <c r="V74" s="32" t="s">
        <v>3353</v>
      </c>
      <c r="W74" s="32">
        <v>4</v>
      </c>
      <c r="X74" s="33" t="s">
        <v>3387</v>
      </c>
      <c r="Y74" s="32">
        <v>1000</v>
      </c>
      <c r="AA74" s="32">
        <v>29.37</v>
      </c>
      <c r="AB74" s="32">
        <v>-99.47</v>
      </c>
      <c r="AC74" s="32">
        <v>579255</v>
      </c>
    </row>
    <row r="75" spans="3:29" ht="80">
      <c r="C75" s="22" t="s">
        <v>390</v>
      </c>
      <c r="D75" s="22" t="s">
        <v>151</v>
      </c>
      <c r="E75" s="5">
        <v>908</v>
      </c>
      <c r="F75" s="5">
        <v>4353</v>
      </c>
      <c r="G75" s="28" t="s">
        <v>1723</v>
      </c>
      <c r="H75" s="6" t="s">
        <v>250</v>
      </c>
      <c r="J75" s="5" t="s">
        <v>225</v>
      </c>
      <c r="K75" s="27">
        <v>6.5</v>
      </c>
      <c r="L75" s="27">
        <v>-11.5</v>
      </c>
      <c r="R75" s="27">
        <v>12.9</v>
      </c>
      <c r="S75" s="27">
        <v>2.9</v>
      </c>
      <c r="V75" s="32" t="s">
        <v>3353</v>
      </c>
      <c r="W75" s="32">
        <v>4</v>
      </c>
      <c r="X75" s="33" t="s">
        <v>3389</v>
      </c>
      <c r="Y75" s="32">
        <v>2000</v>
      </c>
      <c r="Z75" s="31" t="s">
        <v>3390</v>
      </c>
      <c r="AA75" s="32">
        <v>29.37</v>
      </c>
      <c r="AB75" s="32">
        <v>-99.47</v>
      </c>
      <c r="AC75" s="32">
        <v>579255</v>
      </c>
    </row>
    <row r="76" spans="3:29" ht="38">
      <c r="C76" s="22" t="s">
        <v>390</v>
      </c>
      <c r="D76" s="22" t="s">
        <v>151</v>
      </c>
      <c r="E76" s="5">
        <v>908</v>
      </c>
      <c r="F76" s="5">
        <v>565</v>
      </c>
      <c r="G76" s="28" t="s">
        <v>1723</v>
      </c>
      <c r="H76" s="6" t="s">
        <v>250</v>
      </c>
      <c r="J76" s="5" t="s">
        <v>225</v>
      </c>
      <c r="K76" s="27">
        <v>6.6</v>
      </c>
      <c r="L76" s="27">
        <v>-9.6</v>
      </c>
      <c r="R76" s="27">
        <v>15.3</v>
      </c>
      <c r="S76" s="27">
        <v>2.9</v>
      </c>
      <c r="V76" s="32" t="s">
        <v>3353</v>
      </c>
      <c r="W76" s="32">
        <v>5</v>
      </c>
      <c r="X76" s="33" t="s">
        <v>3391</v>
      </c>
      <c r="Y76" s="32">
        <v>1000</v>
      </c>
      <c r="AA76" s="32">
        <v>29.37</v>
      </c>
      <c r="AB76" s="32">
        <v>-99.47</v>
      </c>
      <c r="AC76" s="32">
        <v>579255</v>
      </c>
    </row>
    <row r="77" spans="3:29" ht="38">
      <c r="C77" s="22" t="s">
        <v>390</v>
      </c>
      <c r="D77" s="22" t="s">
        <v>151</v>
      </c>
      <c r="E77" s="5">
        <v>908</v>
      </c>
      <c r="F77" s="5">
        <v>571</v>
      </c>
      <c r="G77" s="28" t="s">
        <v>1723</v>
      </c>
      <c r="H77" s="6" t="s">
        <v>250</v>
      </c>
      <c r="J77" s="5" t="s">
        <v>225</v>
      </c>
      <c r="K77" s="27">
        <v>6.3</v>
      </c>
      <c r="L77" s="27">
        <v>-13</v>
      </c>
      <c r="R77" s="27">
        <v>15.5</v>
      </c>
      <c r="S77" s="27">
        <v>2.9</v>
      </c>
      <c r="V77" s="32" t="s">
        <v>3353</v>
      </c>
      <c r="W77" s="32">
        <v>4</v>
      </c>
      <c r="X77" s="33" t="s">
        <v>3391</v>
      </c>
      <c r="Y77" s="32">
        <v>1000</v>
      </c>
      <c r="AA77" s="32">
        <v>29.37</v>
      </c>
      <c r="AB77" s="32">
        <v>-99.47</v>
      </c>
      <c r="AC77" s="32">
        <v>579255</v>
      </c>
    </row>
    <row r="78" spans="3:29" ht="38">
      <c r="C78" s="22" t="s">
        <v>390</v>
      </c>
      <c r="D78" s="22" t="s">
        <v>151</v>
      </c>
      <c r="E78" s="5">
        <v>908</v>
      </c>
      <c r="F78" s="5">
        <v>816</v>
      </c>
      <c r="G78" s="28" t="s">
        <v>1723</v>
      </c>
      <c r="H78" s="6" t="s">
        <v>250</v>
      </c>
      <c r="J78" s="5" t="s">
        <v>225</v>
      </c>
      <c r="K78" s="27">
        <v>5.0999999999999996</v>
      </c>
      <c r="L78" s="27">
        <v>-9.3000000000000007</v>
      </c>
      <c r="R78" s="27">
        <v>15</v>
      </c>
      <c r="S78" s="27">
        <v>2.9</v>
      </c>
      <c r="V78" s="32" t="s">
        <v>3353</v>
      </c>
      <c r="W78" s="32">
        <v>5</v>
      </c>
      <c r="X78" s="33" t="s">
        <v>3358</v>
      </c>
      <c r="Y78" s="32">
        <v>1000</v>
      </c>
      <c r="AA78" s="32">
        <v>29.37</v>
      </c>
      <c r="AB78" s="32">
        <v>-99.47</v>
      </c>
      <c r="AC78" s="32">
        <v>579255</v>
      </c>
    </row>
    <row r="79" spans="3:29" ht="38">
      <c r="C79" s="22" t="s">
        <v>390</v>
      </c>
      <c r="D79" s="22" t="s">
        <v>151</v>
      </c>
      <c r="E79" s="5">
        <v>908</v>
      </c>
      <c r="F79" s="5">
        <v>831</v>
      </c>
      <c r="G79" s="28" t="s">
        <v>1723</v>
      </c>
      <c r="H79" s="6" t="s">
        <v>250</v>
      </c>
      <c r="J79" s="5" t="s">
        <v>225</v>
      </c>
      <c r="K79" s="27">
        <v>5.3</v>
      </c>
      <c r="L79" s="27">
        <v>-10.8</v>
      </c>
      <c r="R79" s="27">
        <v>15.3</v>
      </c>
      <c r="S79" s="27">
        <v>2.9</v>
      </c>
      <c r="V79" s="32" t="s">
        <v>3353</v>
      </c>
      <c r="W79" s="32">
        <v>5</v>
      </c>
      <c r="X79" s="33" t="s">
        <v>3358</v>
      </c>
      <c r="Y79" s="32">
        <v>1000</v>
      </c>
      <c r="AA79" s="32">
        <v>29.37</v>
      </c>
      <c r="AB79" s="32">
        <v>-99.47</v>
      </c>
      <c r="AC79" s="32">
        <v>579255</v>
      </c>
    </row>
    <row r="80" spans="3:29" ht="95">
      <c r="C80" s="22" t="s">
        <v>390</v>
      </c>
      <c r="D80" s="22" t="s">
        <v>151</v>
      </c>
      <c r="E80" s="5">
        <v>1018</v>
      </c>
      <c r="F80" s="5">
        <v>75</v>
      </c>
      <c r="G80" s="28" t="s">
        <v>1723</v>
      </c>
      <c r="H80" s="6" t="s">
        <v>779</v>
      </c>
      <c r="J80" s="5" t="s">
        <v>225</v>
      </c>
      <c r="K80" s="27">
        <v>7.5</v>
      </c>
      <c r="L80" s="27">
        <v>-8.3000000000000007</v>
      </c>
      <c r="R80" s="27">
        <v>14</v>
      </c>
      <c r="S80" s="27">
        <v>2.9</v>
      </c>
      <c r="V80" s="32" t="s">
        <v>3353</v>
      </c>
      <c r="W80" s="32">
        <v>4</v>
      </c>
      <c r="X80" s="33" t="s">
        <v>3385</v>
      </c>
      <c r="AA80" s="32">
        <v>35</v>
      </c>
      <c r="AB80" s="32">
        <v>-100.5</v>
      </c>
      <c r="AC80" s="32">
        <v>579255</v>
      </c>
    </row>
    <row r="81" spans="1:29" ht="32">
      <c r="C81" s="22" t="s">
        <v>390</v>
      </c>
      <c r="D81" s="22" t="s">
        <v>151</v>
      </c>
      <c r="E81" s="5">
        <v>908</v>
      </c>
      <c r="F81" s="5">
        <v>3841</v>
      </c>
      <c r="G81" s="28" t="s">
        <v>1723</v>
      </c>
      <c r="H81" s="6" t="s">
        <v>250</v>
      </c>
      <c r="J81" s="5" t="s">
        <v>225</v>
      </c>
      <c r="K81" s="27">
        <v>5.8</v>
      </c>
      <c r="L81" s="27">
        <v>-8.5</v>
      </c>
      <c r="R81" s="27">
        <v>15.1</v>
      </c>
      <c r="S81" s="27">
        <v>2.9</v>
      </c>
      <c r="V81" s="32" t="s">
        <v>3353</v>
      </c>
      <c r="W81" s="32">
        <v>5</v>
      </c>
      <c r="X81" s="33" t="s">
        <v>3392</v>
      </c>
      <c r="Z81" s="31" t="s">
        <v>3369</v>
      </c>
      <c r="AA81" s="32">
        <v>29.37</v>
      </c>
      <c r="AB81" s="32">
        <v>-99.47</v>
      </c>
      <c r="AC81" s="32">
        <v>579255</v>
      </c>
    </row>
    <row r="82" spans="1:29">
      <c r="C82" s="22" t="s">
        <v>390</v>
      </c>
      <c r="D82" s="22" t="s">
        <v>151</v>
      </c>
      <c r="E82" s="5">
        <v>1018</v>
      </c>
      <c r="F82" s="5">
        <v>70</v>
      </c>
      <c r="G82" s="28" t="s">
        <v>1723</v>
      </c>
      <c r="H82" s="6" t="s">
        <v>779</v>
      </c>
      <c r="J82" s="5" t="s">
        <v>225</v>
      </c>
      <c r="K82" s="27">
        <v>6.3</v>
      </c>
      <c r="L82" s="27">
        <v>-8.1999999999999993</v>
      </c>
      <c r="R82" s="27">
        <v>14.7</v>
      </c>
      <c r="S82" s="27">
        <v>2.8</v>
      </c>
      <c r="V82" s="32" t="s">
        <v>3353</v>
      </c>
      <c r="W82" s="32">
        <v>4</v>
      </c>
      <c r="AA82" s="32">
        <v>35</v>
      </c>
      <c r="AB82" s="32">
        <v>-100.5</v>
      </c>
      <c r="AC82" s="32">
        <v>579255</v>
      </c>
    </row>
    <row r="83" spans="1:29" ht="57">
      <c r="C83" s="22" t="s">
        <v>390</v>
      </c>
      <c r="D83" s="22" t="s">
        <v>151</v>
      </c>
      <c r="E83" s="5">
        <v>908</v>
      </c>
      <c r="F83" s="5">
        <v>1089</v>
      </c>
      <c r="G83" s="28" t="s">
        <v>1723</v>
      </c>
      <c r="H83" s="6" t="s">
        <v>250</v>
      </c>
      <c r="J83" s="5" t="s">
        <v>225</v>
      </c>
      <c r="K83" s="27">
        <v>5.6</v>
      </c>
      <c r="L83" s="27">
        <v>-9.1999999999999993</v>
      </c>
      <c r="R83" s="27">
        <v>15.3</v>
      </c>
      <c r="S83" s="27">
        <v>2.8</v>
      </c>
      <c r="V83" s="32" t="s">
        <v>3353</v>
      </c>
      <c r="W83" s="32">
        <v>4</v>
      </c>
      <c r="X83" s="33" t="s">
        <v>3352</v>
      </c>
      <c r="Y83" s="32">
        <v>3500</v>
      </c>
      <c r="AA83" s="32">
        <v>29.37</v>
      </c>
      <c r="AB83" s="32">
        <v>-99.47</v>
      </c>
      <c r="AC83" s="32">
        <v>579255</v>
      </c>
    </row>
    <row r="84" spans="1:29" ht="38">
      <c r="C84" s="22" t="s">
        <v>390</v>
      </c>
      <c r="D84" s="22" t="s">
        <v>151</v>
      </c>
      <c r="E84" s="5">
        <v>908</v>
      </c>
      <c r="F84" s="5">
        <v>248</v>
      </c>
      <c r="G84" s="28" t="s">
        <v>1723</v>
      </c>
      <c r="H84" s="6" t="s">
        <v>250</v>
      </c>
      <c r="J84" s="5" t="s">
        <v>225</v>
      </c>
      <c r="K84" s="27">
        <v>6.1</v>
      </c>
      <c r="L84" s="27">
        <v>-11.3</v>
      </c>
      <c r="R84" s="27">
        <v>16.2</v>
      </c>
      <c r="S84" s="27">
        <v>2.8</v>
      </c>
      <c r="V84" s="32" t="s">
        <v>3353</v>
      </c>
      <c r="W84" s="32">
        <v>4</v>
      </c>
      <c r="X84" s="33" t="s">
        <v>3387</v>
      </c>
      <c r="Y84" s="32">
        <v>1000</v>
      </c>
      <c r="AA84" s="32">
        <v>29.37</v>
      </c>
      <c r="AB84" s="32">
        <v>-99.47</v>
      </c>
      <c r="AC84" s="32">
        <v>579255</v>
      </c>
    </row>
    <row r="85" spans="1:29" ht="38">
      <c r="C85" s="22" t="s">
        <v>390</v>
      </c>
      <c r="D85" s="22" t="s">
        <v>151</v>
      </c>
      <c r="E85" s="5">
        <v>908</v>
      </c>
      <c r="F85" s="5">
        <v>3364</v>
      </c>
      <c r="G85" s="28" t="s">
        <v>1723</v>
      </c>
      <c r="H85" s="6" t="s">
        <v>250</v>
      </c>
      <c r="J85" s="5" t="s">
        <v>225</v>
      </c>
      <c r="K85" s="27">
        <v>5.5</v>
      </c>
      <c r="L85" s="27">
        <v>-10</v>
      </c>
      <c r="R85" s="27">
        <v>15.8</v>
      </c>
      <c r="S85" s="27">
        <v>2.8</v>
      </c>
      <c r="V85" s="32" t="s">
        <v>3353</v>
      </c>
      <c r="W85" s="32">
        <v>5</v>
      </c>
      <c r="X85" s="33" t="s">
        <v>3393</v>
      </c>
      <c r="Y85" s="32">
        <v>1000</v>
      </c>
      <c r="AA85" s="32">
        <v>29.37</v>
      </c>
      <c r="AB85" s="32">
        <v>-99.47</v>
      </c>
      <c r="AC85" s="32">
        <v>579255</v>
      </c>
    </row>
    <row r="86" spans="1:29" ht="38">
      <c r="C86" s="22" t="s">
        <v>390</v>
      </c>
      <c r="D86" s="22" t="s">
        <v>151</v>
      </c>
      <c r="E86" s="5">
        <v>908</v>
      </c>
      <c r="F86" s="5">
        <v>3850</v>
      </c>
      <c r="G86" s="28" t="s">
        <v>1723</v>
      </c>
      <c r="H86" s="6" t="s">
        <v>250</v>
      </c>
      <c r="J86" s="5" t="s">
        <v>225</v>
      </c>
      <c r="K86" s="27">
        <v>6.2</v>
      </c>
      <c r="L86" s="27">
        <v>-11.9</v>
      </c>
      <c r="R86" s="27">
        <v>14.6</v>
      </c>
      <c r="S86" s="27">
        <v>2.8</v>
      </c>
      <c r="V86" s="32" t="s">
        <v>3353</v>
      </c>
      <c r="W86" s="32">
        <v>5</v>
      </c>
      <c r="X86" s="33" t="s">
        <v>3394</v>
      </c>
      <c r="Y86" s="32">
        <v>1000</v>
      </c>
      <c r="AA86" s="32">
        <v>29.37</v>
      </c>
      <c r="AB86" s="32">
        <v>-99.47</v>
      </c>
      <c r="AC86" s="32">
        <v>579255</v>
      </c>
    </row>
    <row r="87" spans="1:29" ht="38">
      <c r="C87" s="22" t="s">
        <v>390</v>
      </c>
      <c r="D87" s="22" t="s">
        <v>151</v>
      </c>
      <c r="E87" s="5">
        <v>908</v>
      </c>
      <c r="F87" s="5">
        <v>829</v>
      </c>
      <c r="G87" s="28" t="s">
        <v>1723</v>
      </c>
      <c r="H87" s="6" t="s">
        <v>250</v>
      </c>
      <c r="J87" s="5" t="s">
        <v>225</v>
      </c>
      <c r="K87" s="27">
        <v>5.7</v>
      </c>
      <c r="L87" s="27">
        <v>-10.9</v>
      </c>
      <c r="R87" s="27">
        <v>14.9</v>
      </c>
      <c r="S87" s="27">
        <v>2.8</v>
      </c>
      <c r="V87" s="32" t="s">
        <v>3353</v>
      </c>
      <c r="W87" s="32">
        <v>4</v>
      </c>
      <c r="X87" s="33" t="s">
        <v>3358</v>
      </c>
      <c r="Y87" s="32">
        <v>1000</v>
      </c>
      <c r="AA87" s="32">
        <v>29.37</v>
      </c>
      <c r="AB87" s="32">
        <v>-99.47</v>
      </c>
      <c r="AC87" s="32">
        <v>579255</v>
      </c>
    </row>
    <row r="88" spans="1:29">
      <c r="A88" s="28"/>
      <c r="B88" s="28"/>
      <c r="C88" s="29" t="s">
        <v>390</v>
      </c>
      <c r="D88" s="29" t="s">
        <v>151</v>
      </c>
      <c r="E88" s="28">
        <v>43423</v>
      </c>
      <c r="F88" s="28">
        <v>1</v>
      </c>
      <c r="G88" s="28" t="s">
        <v>1723</v>
      </c>
      <c r="H88" s="41" t="s">
        <v>1769</v>
      </c>
      <c r="I88" s="41"/>
      <c r="J88" s="28"/>
      <c r="K88" s="42">
        <v>5.8</v>
      </c>
      <c r="L88" s="42">
        <v>-9.5</v>
      </c>
      <c r="O88" s="42"/>
      <c r="P88" s="28"/>
      <c r="Q88" s="42"/>
      <c r="R88" s="42">
        <v>14.9</v>
      </c>
      <c r="S88" s="42">
        <v>2.8</v>
      </c>
      <c r="T88" s="28"/>
      <c r="U88" s="30"/>
      <c r="V88" s="32" t="s">
        <v>3353</v>
      </c>
      <c r="W88" s="32">
        <v>5</v>
      </c>
      <c r="AA88" s="32"/>
      <c r="AB88" s="32"/>
      <c r="AC88" s="32">
        <v>579255</v>
      </c>
    </row>
    <row r="89" spans="1:29">
      <c r="C89" s="22" t="s">
        <v>390</v>
      </c>
      <c r="D89" s="22" t="s">
        <v>3395</v>
      </c>
      <c r="E89" s="5">
        <v>892</v>
      </c>
      <c r="F89" s="5" t="s">
        <v>275</v>
      </c>
      <c r="G89" s="28" t="s">
        <v>1723</v>
      </c>
      <c r="H89" s="6" t="s">
        <v>276</v>
      </c>
      <c r="J89" s="5" t="s">
        <v>104</v>
      </c>
      <c r="L89" s="27">
        <v>-8</v>
      </c>
      <c r="O89" s="27">
        <v>-1.1700666666666675</v>
      </c>
      <c r="Q89" s="27">
        <v>-5.0261714104116209</v>
      </c>
      <c r="V89" s="32">
        <v>43405</v>
      </c>
      <c r="W89" s="32">
        <v>4</v>
      </c>
      <c r="Z89" s="31" t="s">
        <v>3384</v>
      </c>
      <c r="AA89" s="32">
        <v>33.619999999999997</v>
      </c>
      <c r="AB89" s="32">
        <v>-101.89</v>
      </c>
      <c r="AC89" s="32">
        <v>579255</v>
      </c>
    </row>
    <row r="90" spans="1:29">
      <c r="C90" s="22" t="s">
        <v>390</v>
      </c>
      <c r="D90" s="22" t="s">
        <v>151</v>
      </c>
      <c r="E90" s="5">
        <v>908</v>
      </c>
      <c r="F90" s="5">
        <v>4352</v>
      </c>
      <c r="G90" s="28" t="s">
        <v>1723</v>
      </c>
      <c r="H90" s="6" t="s">
        <v>250</v>
      </c>
      <c r="J90" s="5" t="s">
        <v>225</v>
      </c>
      <c r="L90" s="27">
        <v>-11.6</v>
      </c>
      <c r="O90" s="27">
        <v>-4.8220833333333335</v>
      </c>
      <c r="Q90" s="27">
        <v>2.0182093415531881</v>
      </c>
      <c r="V90" s="32">
        <v>43405</v>
      </c>
      <c r="W90" s="32">
        <v>3</v>
      </c>
      <c r="AA90" s="32">
        <v>29.37</v>
      </c>
      <c r="AB90" s="32">
        <v>-99.47</v>
      </c>
      <c r="AC90" s="32">
        <v>579255</v>
      </c>
    </row>
    <row r="91" spans="1:29" ht="19">
      <c r="C91" s="22" t="s">
        <v>390</v>
      </c>
      <c r="D91" s="22" t="s">
        <v>151</v>
      </c>
      <c r="E91" s="5">
        <v>40450</v>
      </c>
      <c r="F91" s="5">
        <v>2571</v>
      </c>
      <c r="G91" s="28" t="s">
        <v>1723</v>
      </c>
      <c r="H91" s="6" t="s">
        <v>1783</v>
      </c>
      <c r="J91" s="5" t="s">
        <v>104</v>
      </c>
      <c r="L91" s="27">
        <v>-9.4</v>
      </c>
      <c r="O91" s="27">
        <v>-2.6014166666666672</v>
      </c>
      <c r="Q91" s="27">
        <v>-5.9237252595892187</v>
      </c>
      <c r="V91" s="32">
        <v>43405</v>
      </c>
      <c r="W91" s="32">
        <v>3</v>
      </c>
      <c r="X91" s="33" t="s">
        <v>3396</v>
      </c>
      <c r="AA91" s="32">
        <v>29.88</v>
      </c>
      <c r="AB91" s="32">
        <v>-98.62</v>
      </c>
      <c r="AC91" s="32">
        <v>579255</v>
      </c>
    </row>
    <row r="92" spans="1:29">
      <c r="C92" s="22" t="s">
        <v>390</v>
      </c>
      <c r="D92" s="22" t="s">
        <v>151</v>
      </c>
      <c r="E92" s="5">
        <v>30967</v>
      </c>
      <c r="F92" s="5">
        <v>939</v>
      </c>
      <c r="G92" s="28" t="s">
        <v>1723</v>
      </c>
      <c r="H92" s="6" t="s">
        <v>110</v>
      </c>
      <c r="J92" s="5" t="s">
        <v>1744</v>
      </c>
      <c r="L92" s="27">
        <v>-6.8</v>
      </c>
      <c r="O92" s="27">
        <v>2.2499999999998632E-3</v>
      </c>
      <c r="Q92" s="27">
        <v>-1.6267842706049578</v>
      </c>
      <c r="V92" s="32">
        <v>43405</v>
      </c>
      <c r="W92" s="32">
        <v>3</v>
      </c>
      <c r="AA92" s="32">
        <v>27.87</v>
      </c>
      <c r="AB92" s="32">
        <v>-97.2</v>
      </c>
      <c r="AC92" s="32">
        <v>579255</v>
      </c>
    </row>
    <row r="93" spans="1:29">
      <c r="C93" s="22" t="s">
        <v>390</v>
      </c>
      <c r="D93" s="22" t="s">
        <v>151</v>
      </c>
      <c r="E93" s="5">
        <v>40450</v>
      </c>
      <c r="F93" s="5">
        <v>1976</v>
      </c>
      <c r="H93" s="6" t="s">
        <v>1783</v>
      </c>
      <c r="J93" s="5" t="s">
        <v>1744</v>
      </c>
      <c r="L93" s="27">
        <v>-12.5</v>
      </c>
      <c r="O93" s="27">
        <v>-5.6730833333333335</v>
      </c>
      <c r="Q93" s="27">
        <v>-2.9629438635197403E-2</v>
      </c>
      <c r="V93" s="32">
        <v>43405</v>
      </c>
      <c r="W93" s="32">
        <v>3</v>
      </c>
      <c r="AA93" s="32">
        <v>29.88</v>
      </c>
      <c r="AB93" s="32">
        <v>-98.62</v>
      </c>
    </row>
    <row r="94" spans="1:29" ht="32">
      <c r="C94" s="22" t="s">
        <v>390</v>
      </c>
      <c r="D94" s="22" t="s">
        <v>151</v>
      </c>
      <c r="E94" s="5">
        <v>908</v>
      </c>
      <c r="F94" s="5">
        <v>2230</v>
      </c>
      <c r="G94" s="28" t="s">
        <v>1723</v>
      </c>
      <c r="H94" s="6" t="s">
        <v>250</v>
      </c>
      <c r="J94" s="5" t="s">
        <v>225</v>
      </c>
      <c r="L94" s="27">
        <v>-8.3800000000000008</v>
      </c>
      <c r="O94" s="27">
        <v>-1.576361750000002</v>
      </c>
      <c r="P94" s="5">
        <v>30.2272116</v>
      </c>
      <c r="Q94" s="27">
        <v>-0.61384513900000004</v>
      </c>
      <c r="V94" s="32">
        <v>43647</v>
      </c>
      <c r="Z94" s="31" t="s">
        <v>3397</v>
      </c>
      <c r="AA94" s="32">
        <v>29.37</v>
      </c>
      <c r="AB94" s="32">
        <v>-99.47</v>
      </c>
      <c r="AC94" s="32">
        <v>579255</v>
      </c>
    </row>
    <row r="95" spans="1:29">
      <c r="C95" s="22" t="s">
        <v>390</v>
      </c>
      <c r="D95" s="22" t="s">
        <v>151</v>
      </c>
      <c r="E95" s="5">
        <v>908</v>
      </c>
      <c r="F95" s="5">
        <v>2301</v>
      </c>
      <c r="G95" s="28" t="s">
        <v>1723</v>
      </c>
      <c r="H95" s="6" t="s">
        <v>250</v>
      </c>
      <c r="J95" s="5" t="s">
        <v>225</v>
      </c>
      <c r="L95" s="27">
        <v>-11.22</v>
      </c>
      <c r="O95" s="27">
        <v>-4.4155107200000003</v>
      </c>
      <c r="P95" s="5">
        <v>30.40565784</v>
      </c>
      <c r="Q95" s="27">
        <v>-0.44074089599999999</v>
      </c>
      <c r="V95" s="32">
        <v>43647</v>
      </c>
      <c r="AA95" s="32">
        <v>29.37</v>
      </c>
      <c r="AB95" s="32">
        <v>-99.47</v>
      </c>
      <c r="AC95" s="32">
        <v>579255</v>
      </c>
    </row>
    <row r="96" spans="1:29">
      <c r="C96" s="22" t="s">
        <v>390</v>
      </c>
      <c r="D96" s="22" t="s">
        <v>151</v>
      </c>
      <c r="E96" s="5">
        <v>908</v>
      </c>
      <c r="F96" s="5">
        <v>2386</v>
      </c>
      <c r="G96" s="28" t="s">
        <v>1723</v>
      </c>
      <c r="H96" s="6" t="s">
        <v>250</v>
      </c>
      <c r="J96" s="5" t="s">
        <v>225</v>
      </c>
      <c r="L96" s="27">
        <v>-9.99</v>
      </c>
      <c r="O96" s="27">
        <v>-3.1936957200000018</v>
      </c>
      <c r="P96" s="5">
        <v>28.54876488</v>
      </c>
      <c r="Q96" s="27">
        <v>-2.2420455929999998</v>
      </c>
      <c r="V96" s="32">
        <v>43647</v>
      </c>
      <c r="AA96" s="32">
        <v>29.37</v>
      </c>
      <c r="AB96" s="32">
        <v>-99.47</v>
      </c>
      <c r="AC96" s="32">
        <v>579255</v>
      </c>
    </row>
    <row r="97" spans="1:31" s="8" customFormat="1" ht="32">
      <c r="A97" s="5"/>
      <c r="B97" s="5"/>
      <c r="C97" s="22" t="s">
        <v>390</v>
      </c>
      <c r="D97" s="22" t="s">
        <v>151</v>
      </c>
      <c r="E97" s="5">
        <v>908</v>
      </c>
      <c r="F97" s="5">
        <v>2396</v>
      </c>
      <c r="G97" s="28" t="s">
        <v>1723</v>
      </c>
      <c r="H97" s="6" t="s">
        <v>250</v>
      </c>
      <c r="I97" s="6"/>
      <c r="J97" s="5" t="s">
        <v>225</v>
      </c>
      <c r="K97" s="27"/>
      <c r="L97" s="27">
        <v>-6.5538029499999997</v>
      </c>
      <c r="M97" s="56"/>
      <c r="N97" s="56"/>
      <c r="O97" s="27">
        <v>0.24619705000000103</v>
      </c>
      <c r="P97" s="5">
        <v>29.2650592</v>
      </c>
      <c r="Q97" s="27">
        <v>-1.547194381</v>
      </c>
      <c r="R97" s="27"/>
      <c r="S97" s="27"/>
      <c r="T97" s="5"/>
      <c r="U97" s="24"/>
      <c r="V97" s="32">
        <v>43647</v>
      </c>
      <c r="W97" s="32"/>
      <c r="X97" s="33"/>
      <c r="Y97" s="32"/>
      <c r="Z97" s="31" t="s">
        <v>3369</v>
      </c>
      <c r="AA97" s="32">
        <v>29.37</v>
      </c>
      <c r="AB97" s="32">
        <v>-99.47</v>
      </c>
      <c r="AC97" s="32">
        <v>579255</v>
      </c>
      <c r="AD97" s="34"/>
      <c r="AE97" s="34"/>
    </row>
    <row r="98" spans="1:31">
      <c r="C98" s="22" t="s">
        <v>390</v>
      </c>
      <c r="D98" s="22" t="s">
        <v>151</v>
      </c>
      <c r="E98" s="5">
        <v>30967</v>
      </c>
      <c r="F98" s="5">
        <v>1128</v>
      </c>
      <c r="G98" s="28" t="s">
        <v>1723</v>
      </c>
      <c r="H98" s="6" t="s">
        <v>110</v>
      </c>
      <c r="J98" s="5" t="s">
        <v>104</v>
      </c>
      <c r="L98" s="27">
        <v>-8.9658965500000001</v>
      </c>
      <c r="O98" s="27">
        <v>-2.1658965499999994</v>
      </c>
      <c r="P98" s="5">
        <v>27.403520159999999</v>
      </c>
      <c r="Q98" s="27">
        <v>-3.353006073</v>
      </c>
      <c r="V98" s="32">
        <v>43647</v>
      </c>
      <c r="AA98" s="32">
        <v>27.87</v>
      </c>
      <c r="AB98" s="32">
        <v>-97.2</v>
      </c>
      <c r="AC98" s="32">
        <v>579255</v>
      </c>
    </row>
    <row r="99" spans="1:31">
      <c r="C99" s="22" t="s">
        <v>390</v>
      </c>
      <c r="D99" s="22" t="s">
        <v>151</v>
      </c>
      <c r="E99" s="5">
        <v>31141</v>
      </c>
      <c r="F99" s="5">
        <v>49</v>
      </c>
      <c r="G99" s="28" t="s">
        <v>1723</v>
      </c>
      <c r="H99" s="6" t="s">
        <v>3398</v>
      </c>
      <c r="J99" s="5" t="s">
        <v>104</v>
      </c>
      <c r="L99" s="27">
        <v>-10.91553865</v>
      </c>
      <c r="O99" s="27">
        <v>-4.1155386499999986</v>
      </c>
      <c r="P99" s="5">
        <v>29.259607519999999</v>
      </c>
      <c r="Q99" s="27">
        <v>-1.5524828589999999</v>
      </c>
      <c r="V99" s="32">
        <v>43647</v>
      </c>
      <c r="AA99" s="32">
        <v>28.070491000000001</v>
      </c>
      <c r="AB99" s="32">
        <v>-97.225471999999996</v>
      </c>
      <c r="AC99" s="32">
        <v>579255</v>
      </c>
    </row>
    <row r="100" spans="1:31" ht="32">
      <c r="C100" s="22" t="s">
        <v>390</v>
      </c>
      <c r="D100" s="22" t="s">
        <v>151</v>
      </c>
      <c r="E100" s="5">
        <v>31141</v>
      </c>
      <c r="F100" s="5">
        <v>92</v>
      </c>
      <c r="G100" s="28" t="s">
        <v>1723</v>
      </c>
      <c r="H100" s="6" t="s">
        <v>3398</v>
      </c>
      <c r="J100" s="5" t="s">
        <v>104</v>
      </c>
      <c r="O100" s="27">
        <v>-3.9102278800000008</v>
      </c>
      <c r="P100" s="5">
        <v>27.39291072</v>
      </c>
      <c r="V100" s="32">
        <v>43647</v>
      </c>
      <c r="Z100" s="31" t="s">
        <v>3399</v>
      </c>
      <c r="AA100" s="32">
        <v>28.070491000000001</v>
      </c>
      <c r="AB100" s="32">
        <v>-97.225471999999996</v>
      </c>
      <c r="AC100" s="32">
        <v>579255</v>
      </c>
    </row>
    <row r="101" spans="1:31">
      <c r="C101" s="22" t="s">
        <v>390</v>
      </c>
      <c r="D101" s="22" t="s">
        <v>151</v>
      </c>
      <c r="E101" s="5">
        <v>40450</v>
      </c>
      <c r="F101" s="5">
        <v>1619</v>
      </c>
      <c r="G101" s="28" t="s">
        <v>1723</v>
      </c>
      <c r="H101" s="6" t="s">
        <v>1783</v>
      </c>
      <c r="J101" s="5" t="s">
        <v>104</v>
      </c>
      <c r="O101" s="27">
        <v>-6.1978645200000004</v>
      </c>
      <c r="P101" s="5">
        <v>26.456978400000001</v>
      </c>
      <c r="V101" s="32">
        <v>43647</v>
      </c>
      <c r="AA101" s="32">
        <v>29.88</v>
      </c>
      <c r="AB101" s="32">
        <v>-98.62</v>
      </c>
      <c r="AC101" s="32">
        <v>579255</v>
      </c>
    </row>
    <row r="102" spans="1:31">
      <c r="C102" s="22" t="s">
        <v>390</v>
      </c>
      <c r="D102" s="22" t="s">
        <v>151</v>
      </c>
      <c r="E102" s="5">
        <v>40450</v>
      </c>
      <c r="F102" s="5">
        <v>1975</v>
      </c>
      <c r="G102" s="28" t="s">
        <v>1723</v>
      </c>
      <c r="H102" s="6" t="s">
        <v>1783</v>
      </c>
      <c r="J102" s="5" t="s">
        <v>104</v>
      </c>
      <c r="L102" s="27">
        <v>-8.81</v>
      </c>
      <c r="O102" s="27">
        <v>-2.0099999999999998</v>
      </c>
      <c r="P102" s="5">
        <v>29.82</v>
      </c>
      <c r="Q102" s="27">
        <v>-1.008866383</v>
      </c>
      <c r="V102" s="32">
        <v>43647</v>
      </c>
      <c r="AA102" s="32">
        <v>29.88</v>
      </c>
      <c r="AB102" s="32">
        <v>-98.62</v>
      </c>
      <c r="AC102" s="32">
        <v>579255</v>
      </c>
    </row>
    <row r="103" spans="1:31">
      <c r="C103" s="22" t="s">
        <v>390</v>
      </c>
      <c r="D103" s="22" t="s">
        <v>151</v>
      </c>
      <c r="E103" s="5">
        <v>30967</v>
      </c>
      <c r="F103" s="5">
        <v>110</v>
      </c>
      <c r="G103" s="28" t="s">
        <v>1723</v>
      </c>
      <c r="H103" s="6" t="s">
        <v>110</v>
      </c>
      <c r="J103" s="5" t="s">
        <v>1744</v>
      </c>
      <c r="L103" s="27">
        <v>-6.2</v>
      </c>
      <c r="O103" s="27">
        <v>0.6</v>
      </c>
      <c r="P103" s="5">
        <v>28.38</v>
      </c>
      <c r="Q103" s="27">
        <v>-2.4057582989999999</v>
      </c>
      <c r="V103" s="32">
        <v>43647</v>
      </c>
      <c r="AA103" s="32">
        <v>27.87</v>
      </c>
      <c r="AB103" s="32">
        <v>-97.2</v>
      </c>
      <c r="AC103" s="32">
        <v>579255</v>
      </c>
    </row>
    <row r="104" spans="1:31" ht="19">
      <c r="C104" s="22" t="s">
        <v>390</v>
      </c>
      <c r="D104" s="22" t="s">
        <v>151</v>
      </c>
      <c r="E104" s="5">
        <v>30967</v>
      </c>
      <c r="F104" s="5">
        <v>39</v>
      </c>
      <c r="G104" s="28" t="s">
        <v>1723</v>
      </c>
      <c r="H104" s="6" t="s">
        <v>110</v>
      </c>
      <c r="J104" s="5" t="s">
        <v>1744</v>
      </c>
      <c r="L104" s="27">
        <v>-7.09</v>
      </c>
      <c r="O104" s="27">
        <v>-0.28999999999999998</v>
      </c>
      <c r="P104" s="5">
        <v>28.55</v>
      </c>
      <c r="Q104" s="27">
        <v>-2.2408474479999998</v>
      </c>
      <c r="V104" s="32">
        <v>43647</v>
      </c>
      <c r="X104" s="33" t="s">
        <v>3400</v>
      </c>
      <c r="AA104" s="32">
        <v>27.87</v>
      </c>
      <c r="AB104" s="32">
        <v>-97.2</v>
      </c>
      <c r="AC104" s="32">
        <v>579255</v>
      </c>
    </row>
    <row r="105" spans="1:31">
      <c r="C105" s="22" t="s">
        <v>390</v>
      </c>
      <c r="D105" s="22" t="s">
        <v>151</v>
      </c>
      <c r="E105" s="5">
        <v>40450</v>
      </c>
      <c r="F105" s="5">
        <v>280</v>
      </c>
      <c r="G105" s="28" t="s">
        <v>1723</v>
      </c>
      <c r="H105" s="6" t="s">
        <v>1783</v>
      </c>
      <c r="J105" s="5" t="s">
        <v>1744</v>
      </c>
      <c r="L105" s="27">
        <v>-10.93</v>
      </c>
      <c r="O105" s="27">
        <v>-4.13</v>
      </c>
      <c r="P105" s="5">
        <v>28.89</v>
      </c>
      <c r="Q105" s="27">
        <v>-1.9110257450000001</v>
      </c>
      <c r="V105" s="32">
        <v>43647</v>
      </c>
      <c r="AA105" s="32">
        <v>29.88</v>
      </c>
      <c r="AB105" s="32">
        <v>-98.62</v>
      </c>
      <c r="AC105" s="32">
        <v>579255</v>
      </c>
    </row>
    <row r="106" spans="1:31" ht="19">
      <c r="C106" s="22" t="s">
        <v>390</v>
      </c>
      <c r="D106" s="22" t="s">
        <v>151</v>
      </c>
      <c r="E106" s="5">
        <v>41229</v>
      </c>
      <c r="F106" s="5">
        <v>19787</v>
      </c>
      <c r="G106" s="28" t="s">
        <v>1741</v>
      </c>
      <c r="H106" s="6" t="s">
        <v>1742</v>
      </c>
      <c r="J106" s="5" t="s">
        <v>1744</v>
      </c>
      <c r="K106" s="27">
        <v>7.2423608000000002</v>
      </c>
      <c r="L106" s="27">
        <v>-12.266299999999998</v>
      </c>
      <c r="R106" s="27">
        <v>16.851170804393739</v>
      </c>
      <c r="S106" s="27">
        <v>2.8206439827658385</v>
      </c>
      <c r="V106" s="32">
        <v>43709</v>
      </c>
      <c r="W106" s="32">
        <v>6</v>
      </c>
      <c r="X106" s="33" t="s">
        <v>3401</v>
      </c>
      <c r="Y106" s="32">
        <v>19809</v>
      </c>
      <c r="AA106" s="32">
        <v>30.13</v>
      </c>
      <c r="AB106" s="32">
        <v>-99.54</v>
      </c>
      <c r="AC106" s="32">
        <v>579255</v>
      </c>
    </row>
    <row r="107" spans="1:31" ht="19">
      <c r="C107" s="22" t="s">
        <v>390</v>
      </c>
      <c r="D107" s="22" t="s">
        <v>151</v>
      </c>
      <c r="E107" s="5">
        <v>41229</v>
      </c>
      <c r="F107" s="5">
        <v>19786</v>
      </c>
      <c r="G107" s="28" t="s">
        <v>1741</v>
      </c>
      <c r="H107" s="6" t="s">
        <v>1742</v>
      </c>
      <c r="J107" s="5" t="s">
        <v>1744</v>
      </c>
      <c r="K107" s="27">
        <v>7.3789268000000003</v>
      </c>
      <c r="L107" s="27">
        <v>-11.958049999999998</v>
      </c>
      <c r="R107" s="27">
        <v>13.536137007023864</v>
      </c>
      <c r="S107" s="27">
        <v>2.8171824153234861</v>
      </c>
      <c r="V107" s="32">
        <v>43709</v>
      </c>
      <c r="W107" s="32">
        <v>6</v>
      </c>
      <c r="X107" s="33" t="s">
        <v>3401</v>
      </c>
      <c r="Y107" s="32">
        <v>19809</v>
      </c>
      <c r="AA107" s="32">
        <v>30.13</v>
      </c>
      <c r="AB107" s="32">
        <v>-99.54</v>
      </c>
      <c r="AC107" s="32">
        <v>579255</v>
      </c>
    </row>
    <row r="108" spans="1:31" ht="19">
      <c r="C108" s="22" t="s">
        <v>390</v>
      </c>
      <c r="D108" s="22" t="s">
        <v>151</v>
      </c>
      <c r="E108" s="5">
        <v>41229</v>
      </c>
      <c r="F108" s="5">
        <v>11925</v>
      </c>
      <c r="G108" s="28" t="s">
        <v>1741</v>
      </c>
      <c r="H108" s="6" t="s">
        <v>1742</v>
      </c>
      <c r="J108" s="5" t="s">
        <v>1744</v>
      </c>
      <c r="K108" s="27">
        <v>8.1720212000000014</v>
      </c>
      <c r="L108" s="27">
        <v>-11.198399999999998</v>
      </c>
      <c r="R108" s="27">
        <v>14.247552990763666</v>
      </c>
      <c r="S108" s="27">
        <v>2.7548273989730792</v>
      </c>
      <c r="V108" s="32">
        <v>43709</v>
      </c>
      <c r="W108" s="32">
        <v>6</v>
      </c>
      <c r="X108" s="33" t="s">
        <v>3401</v>
      </c>
      <c r="Y108" s="32">
        <v>19809</v>
      </c>
      <c r="AA108" s="32">
        <v>30.13</v>
      </c>
      <c r="AB108" s="32">
        <v>-99.54</v>
      </c>
      <c r="AC108" s="32">
        <v>579255</v>
      </c>
    </row>
    <row r="109" spans="1:31" ht="19">
      <c r="C109" s="22" t="s">
        <v>390</v>
      </c>
      <c r="D109" s="22" t="s">
        <v>391</v>
      </c>
      <c r="E109" s="5">
        <v>30967</v>
      </c>
      <c r="F109" s="5">
        <v>694</v>
      </c>
      <c r="G109" s="28" t="s">
        <v>1723</v>
      </c>
      <c r="H109" s="6" t="s">
        <v>110</v>
      </c>
      <c r="J109" s="5" t="s">
        <v>104</v>
      </c>
      <c r="L109" s="27">
        <v>-7.52</v>
      </c>
      <c r="O109" s="27">
        <v>-0.72</v>
      </c>
      <c r="P109" s="5">
        <v>29.93</v>
      </c>
      <c r="Q109" s="27">
        <v>-0.9</v>
      </c>
      <c r="S109" s="27">
        <v>0</v>
      </c>
      <c r="V109" s="32" t="s">
        <v>3402</v>
      </c>
      <c r="X109" s="33" t="s">
        <v>3403</v>
      </c>
      <c r="Y109" s="32">
        <v>50000</v>
      </c>
      <c r="AA109" s="32">
        <v>27.87</v>
      </c>
      <c r="AB109" s="32">
        <v>-97.2</v>
      </c>
      <c r="AC109" s="32">
        <v>579255</v>
      </c>
    </row>
    <row r="110" spans="1:31" ht="19">
      <c r="C110" s="22" t="s">
        <v>390</v>
      </c>
      <c r="D110" s="22" t="s">
        <v>391</v>
      </c>
      <c r="E110" s="5">
        <v>30967</v>
      </c>
      <c r="F110" s="5">
        <v>930</v>
      </c>
      <c r="G110" s="28" t="s">
        <v>1723</v>
      </c>
      <c r="H110" s="6" t="s">
        <v>110</v>
      </c>
      <c r="J110" s="5" t="s">
        <v>104</v>
      </c>
      <c r="L110" s="27">
        <v>-6.38</v>
      </c>
      <c r="O110" s="27">
        <v>0.42</v>
      </c>
      <c r="P110" s="5">
        <v>31.85</v>
      </c>
      <c r="Q110" s="27">
        <v>0.96</v>
      </c>
      <c r="S110" s="27">
        <v>0</v>
      </c>
      <c r="V110" s="32" t="s">
        <v>3402</v>
      </c>
      <c r="X110" s="33" t="s">
        <v>3404</v>
      </c>
      <c r="Y110" s="32">
        <v>50000</v>
      </c>
      <c r="AA110" s="32">
        <v>27.87</v>
      </c>
      <c r="AB110" s="32">
        <v>-97.2</v>
      </c>
      <c r="AC110" s="32">
        <v>579255</v>
      </c>
    </row>
    <row r="111" spans="1:31" ht="32">
      <c r="C111" s="22" t="s">
        <v>390</v>
      </c>
      <c r="D111" s="22" t="s">
        <v>151</v>
      </c>
      <c r="E111" s="5" t="s">
        <v>1771</v>
      </c>
      <c r="F111" s="5" t="s">
        <v>3405</v>
      </c>
      <c r="G111" s="28" t="s">
        <v>1723</v>
      </c>
      <c r="H111" s="6" t="s">
        <v>706</v>
      </c>
      <c r="J111" s="5" t="s">
        <v>225</v>
      </c>
      <c r="L111" s="27">
        <v>-8.1</v>
      </c>
      <c r="O111" s="27">
        <v>-1.3</v>
      </c>
      <c r="P111" s="5">
        <v>26.4</v>
      </c>
      <c r="Q111" s="27">
        <v>-4.33</v>
      </c>
      <c r="S111" s="27">
        <v>0</v>
      </c>
      <c r="V111" s="32" t="s">
        <v>3402</v>
      </c>
      <c r="Y111" s="32">
        <v>9000</v>
      </c>
      <c r="Z111" s="31" t="s">
        <v>3406</v>
      </c>
      <c r="AA111" s="32">
        <v>34.229999999999997</v>
      </c>
      <c r="AB111" s="32">
        <v>-103.42</v>
      </c>
      <c r="AC111" s="32">
        <v>579255</v>
      </c>
    </row>
    <row r="112" spans="1:31" ht="32">
      <c r="C112" s="22" t="s">
        <v>390</v>
      </c>
      <c r="D112" s="22" t="s">
        <v>151</v>
      </c>
      <c r="E112" s="5" t="s">
        <v>1771</v>
      </c>
      <c r="F112" s="5" t="s">
        <v>3407</v>
      </c>
      <c r="G112" s="28" t="s">
        <v>1723</v>
      </c>
      <c r="H112" s="6" t="s">
        <v>706</v>
      </c>
      <c r="J112" s="5" t="s">
        <v>225</v>
      </c>
      <c r="L112" s="27">
        <v>-6.5</v>
      </c>
      <c r="O112" s="27">
        <v>0.3</v>
      </c>
      <c r="P112" s="5">
        <v>26.8</v>
      </c>
      <c r="Q112" s="27">
        <v>-3.94</v>
      </c>
      <c r="S112" s="27">
        <v>0</v>
      </c>
      <c r="V112" s="32" t="s">
        <v>3402</v>
      </c>
      <c r="Y112" s="32">
        <v>9000</v>
      </c>
      <c r="Z112" s="31" t="s">
        <v>3406</v>
      </c>
      <c r="AA112" s="32">
        <v>34.229999999999997</v>
      </c>
      <c r="AB112" s="32">
        <v>-103.42</v>
      </c>
      <c r="AC112" s="32">
        <v>579255</v>
      </c>
    </row>
    <row r="113" spans="3:31">
      <c r="C113" s="22" t="s">
        <v>390</v>
      </c>
      <c r="D113" s="22" t="s">
        <v>151</v>
      </c>
      <c r="E113" s="5" t="s">
        <v>1776</v>
      </c>
      <c r="F113" s="5">
        <v>61893</v>
      </c>
      <c r="G113" s="28" t="s">
        <v>1723</v>
      </c>
      <c r="H113" s="6" t="s">
        <v>1777</v>
      </c>
      <c r="J113" s="5" t="s">
        <v>225</v>
      </c>
      <c r="L113" s="27">
        <v>-6.64</v>
      </c>
      <c r="O113" s="27">
        <v>0.16</v>
      </c>
      <c r="P113" s="5">
        <v>26.7</v>
      </c>
      <c r="Q113" s="27">
        <v>-4.04</v>
      </c>
      <c r="S113" s="27">
        <v>0</v>
      </c>
      <c r="V113" s="32" t="s">
        <v>3402</v>
      </c>
      <c r="AA113" s="32">
        <v>32.966667000000001</v>
      </c>
      <c r="AB113" s="32">
        <v>-96.8</v>
      </c>
      <c r="AC113" s="32">
        <v>579255</v>
      </c>
    </row>
    <row r="114" spans="3:31">
      <c r="C114" s="22" t="s">
        <v>390</v>
      </c>
      <c r="D114" s="22" t="s">
        <v>151</v>
      </c>
      <c r="E114" s="5">
        <v>40806</v>
      </c>
      <c r="F114" s="5">
        <v>37</v>
      </c>
      <c r="G114" s="28" t="s">
        <v>1723</v>
      </c>
      <c r="H114" s="6" t="s">
        <v>1767</v>
      </c>
      <c r="J114" s="5" t="s">
        <v>225</v>
      </c>
      <c r="L114" s="27">
        <v>-7.01</v>
      </c>
      <c r="O114" s="27">
        <v>-0.21</v>
      </c>
      <c r="P114" s="5">
        <v>28.53</v>
      </c>
      <c r="Q114" s="27">
        <v>-2.2599999999999998</v>
      </c>
      <c r="S114" s="27">
        <v>0</v>
      </c>
      <c r="V114" s="32" t="s">
        <v>3402</v>
      </c>
      <c r="Y114" s="32">
        <v>10100</v>
      </c>
      <c r="AA114" s="32">
        <v>29.82</v>
      </c>
      <c r="AB114" s="32">
        <v>-101.55</v>
      </c>
      <c r="AC114" s="32">
        <v>579255</v>
      </c>
    </row>
    <row r="115" spans="3:31">
      <c r="C115" s="22" t="s">
        <v>390</v>
      </c>
      <c r="D115" s="22" t="s">
        <v>151</v>
      </c>
      <c r="E115" s="5">
        <v>40806</v>
      </c>
      <c r="F115" s="5">
        <v>496</v>
      </c>
      <c r="G115" s="28" t="s">
        <v>1723</v>
      </c>
      <c r="H115" s="6" t="s">
        <v>1767</v>
      </c>
      <c r="J115" s="5" t="s">
        <v>225</v>
      </c>
      <c r="L115" s="27">
        <v>-6.06</v>
      </c>
      <c r="O115" s="27">
        <v>0.74</v>
      </c>
      <c r="P115" s="5">
        <v>26.26</v>
      </c>
      <c r="Q115" s="27">
        <v>-4.46</v>
      </c>
      <c r="S115" s="27">
        <v>0</v>
      </c>
      <c r="V115" s="32" t="s">
        <v>3402</v>
      </c>
      <c r="Y115" s="32">
        <v>10100</v>
      </c>
      <c r="AA115" s="32">
        <v>29.82</v>
      </c>
      <c r="AB115" s="32">
        <v>-101.55</v>
      </c>
      <c r="AC115" s="32">
        <v>579255</v>
      </c>
    </row>
    <row r="116" spans="3:31" ht="32">
      <c r="C116" s="22" t="s">
        <v>390</v>
      </c>
      <c r="D116" s="22" t="s">
        <v>151</v>
      </c>
      <c r="E116" s="5" t="s">
        <v>1771</v>
      </c>
      <c r="F116" s="5" t="s">
        <v>3408</v>
      </c>
      <c r="G116" s="28" t="s">
        <v>1723</v>
      </c>
      <c r="H116" s="6" t="s">
        <v>706</v>
      </c>
      <c r="J116" s="5" t="s">
        <v>225</v>
      </c>
      <c r="L116" s="27">
        <v>-6</v>
      </c>
      <c r="O116" s="27">
        <v>0.8</v>
      </c>
      <c r="P116" s="5">
        <v>24.8</v>
      </c>
      <c r="Q116" s="27">
        <v>-5.88</v>
      </c>
      <c r="S116" s="27">
        <v>0</v>
      </c>
      <c r="V116" s="32" t="s">
        <v>3402</v>
      </c>
      <c r="Y116" s="32">
        <v>9000</v>
      </c>
      <c r="Z116" s="31" t="s">
        <v>3406</v>
      </c>
      <c r="AA116" s="32">
        <v>34.229999999999997</v>
      </c>
      <c r="AB116" s="32">
        <v>-103.42</v>
      </c>
      <c r="AC116" s="32">
        <v>579255</v>
      </c>
    </row>
    <row r="117" spans="3:31" ht="32">
      <c r="C117" s="22" t="s">
        <v>390</v>
      </c>
      <c r="D117" s="22" t="s">
        <v>151</v>
      </c>
      <c r="E117" s="5" t="s">
        <v>1771</v>
      </c>
      <c r="F117" s="5" t="s">
        <v>3407</v>
      </c>
      <c r="G117" s="28" t="s">
        <v>1723</v>
      </c>
      <c r="H117" s="6" t="s">
        <v>706</v>
      </c>
      <c r="J117" s="5" t="s">
        <v>225</v>
      </c>
      <c r="L117" s="27">
        <v>-8.6999999999999993</v>
      </c>
      <c r="O117" s="27">
        <v>-1.9</v>
      </c>
      <c r="P117" s="5">
        <v>20.8</v>
      </c>
      <c r="Q117" s="27">
        <v>-9.76</v>
      </c>
      <c r="S117" s="27">
        <v>0</v>
      </c>
      <c r="V117" s="32" t="s">
        <v>3402</v>
      </c>
      <c r="Y117" s="32">
        <v>9000</v>
      </c>
      <c r="Z117" s="31" t="s">
        <v>3406</v>
      </c>
      <c r="AA117" s="32">
        <v>34.229999999999997</v>
      </c>
      <c r="AB117" s="32">
        <v>-103.42</v>
      </c>
      <c r="AC117" s="32">
        <v>579255</v>
      </c>
    </row>
    <row r="118" spans="3:31" ht="32">
      <c r="C118" s="22" t="s">
        <v>390</v>
      </c>
      <c r="D118" s="22" t="s">
        <v>151</v>
      </c>
      <c r="E118" s="5" t="s">
        <v>1771</v>
      </c>
      <c r="F118" s="5" t="s">
        <v>3407</v>
      </c>
      <c r="G118" s="28" t="s">
        <v>1723</v>
      </c>
      <c r="H118" s="6" t="s">
        <v>706</v>
      </c>
      <c r="J118" s="5" t="s">
        <v>225</v>
      </c>
      <c r="L118" s="27">
        <v>-7.6</v>
      </c>
      <c r="O118" s="27">
        <v>-0.8</v>
      </c>
      <c r="P118" s="5">
        <v>28.1</v>
      </c>
      <c r="Q118" s="27">
        <v>-2.68</v>
      </c>
      <c r="S118" s="27">
        <v>0</v>
      </c>
      <c r="V118" s="32" t="s">
        <v>3402</v>
      </c>
      <c r="Y118" s="32">
        <v>9000</v>
      </c>
      <c r="Z118" s="31" t="s">
        <v>3406</v>
      </c>
      <c r="AA118" s="32">
        <v>34.229999999999997</v>
      </c>
      <c r="AB118" s="32">
        <v>-103.42</v>
      </c>
      <c r="AC118" s="32">
        <v>579255</v>
      </c>
    </row>
    <row r="119" spans="3:31" ht="32">
      <c r="C119" s="22" t="s">
        <v>390</v>
      </c>
      <c r="D119" s="22" t="s">
        <v>151</v>
      </c>
      <c r="E119" s="5" t="s">
        <v>1771</v>
      </c>
      <c r="F119" s="5" t="s">
        <v>3407</v>
      </c>
      <c r="G119" s="28" t="s">
        <v>1723</v>
      </c>
      <c r="H119" s="6" t="s">
        <v>706</v>
      </c>
      <c r="J119" s="5" t="s">
        <v>225</v>
      </c>
      <c r="L119" s="27">
        <v>-5.9</v>
      </c>
      <c r="O119" s="27">
        <v>0.9</v>
      </c>
      <c r="P119" s="5">
        <v>25.6</v>
      </c>
      <c r="Q119" s="27">
        <v>-5.0999999999999996</v>
      </c>
      <c r="S119" s="27">
        <v>0</v>
      </c>
      <c r="V119" s="32" t="s">
        <v>3402</v>
      </c>
      <c r="Y119" s="32">
        <v>9000</v>
      </c>
      <c r="Z119" s="31" t="s">
        <v>3406</v>
      </c>
      <c r="AA119" s="32">
        <v>34.229999999999997</v>
      </c>
      <c r="AB119" s="32">
        <v>-103.42</v>
      </c>
      <c r="AC119" s="32">
        <v>579255</v>
      </c>
    </row>
    <row r="120" spans="3:31" ht="32">
      <c r="C120" s="22" t="s">
        <v>390</v>
      </c>
      <c r="D120" s="22" t="s">
        <v>151</v>
      </c>
      <c r="E120" s="5" t="s">
        <v>1771</v>
      </c>
      <c r="F120" s="5" t="s">
        <v>3407</v>
      </c>
      <c r="G120" s="28" t="s">
        <v>1723</v>
      </c>
      <c r="H120" s="6" t="s">
        <v>706</v>
      </c>
      <c r="J120" s="5" t="s">
        <v>225</v>
      </c>
      <c r="L120" s="27">
        <v>-5.9</v>
      </c>
      <c r="O120" s="27">
        <v>0.9</v>
      </c>
      <c r="P120" s="5">
        <v>29.7</v>
      </c>
      <c r="Q120" s="27">
        <v>-1.1299999999999999</v>
      </c>
      <c r="S120" s="27">
        <v>0</v>
      </c>
      <c r="V120" s="32" t="s">
        <v>3402</v>
      </c>
      <c r="Y120" s="32">
        <v>9000</v>
      </c>
      <c r="Z120" s="31" t="s">
        <v>3406</v>
      </c>
      <c r="AA120" s="32">
        <v>34.229999999999997</v>
      </c>
      <c r="AB120" s="32">
        <v>-103.42</v>
      </c>
      <c r="AC120" s="32">
        <v>579255</v>
      </c>
    </row>
    <row r="121" spans="3:31" ht="32">
      <c r="C121" s="22" t="s">
        <v>390</v>
      </c>
      <c r="D121" s="22" t="s">
        <v>151</v>
      </c>
      <c r="E121" s="5" t="s">
        <v>1771</v>
      </c>
      <c r="F121" s="5" t="s">
        <v>3407</v>
      </c>
      <c r="G121" s="28" t="s">
        <v>1723</v>
      </c>
      <c r="H121" s="6" t="s">
        <v>706</v>
      </c>
      <c r="J121" s="5" t="s">
        <v>225</v>
      </c>
      <c r="L121" s="27">
        <v>-5</v>
      </c>
      <c r="O121" s="27">
        <v>1.8</v>
      </c>
      <c r="P121" s="5">
        <v>27.3</v>
      </c>
      <c r="Q121" s="27">
        <v>-3.45</v>
      </c>
      <c r="S121" s="27">
        <v>0</v>
      </c>
      <c r="V121" s="32" t="s">
        <v>3402</v>
      </c>
      <c r="Y121" s="32">
        <v>9000</v>
      </c>
      <c r="Z121" s="31" t="s">
        <v>3406</v>
      </c>
      <c r="AA121" s="32">
        <v>34.229999999999997</v>
      </c>
      <c r="AB121" s="32">
        <v>-103.42</v>
      </c>
      <c r="AC121" s="32">
        <v>579255</v>
      </c>
    </row>
    <row r="122" spans="3:31" ht="19">
      <c r="C122" s="22" t="s">
        <v>390</v>
      </c>
      <c r="D122" s="22" t="s">
        <v>151</v>
      </c>
      <c r="E122" s="5" t="s">
        <v>1773</v>
      </c>
      <c r="F122" s="5">
        <v>7324</v>
      </c>
      <c r="G122" s="28" t="s">
        <v>1723</v>
      </c>
      <c r="H122" s="6" t="s">
        <v>1774</v>
      </c>
      <c r="J122" s="5" t="s">
        <v>225</v>
      </c>
      <c r="L122" s="27">
        <v>-8.65</v>
      </c>
      <c r="O122" s="27">
        <v>-1.85</v>
      </c>
      <c r="P122" s="5">
        <v>25.9</v>
      </c>
      <c r="Q122" s="27">
        <v>-4.8099999999999996</v>
      </c>
      <c r="S122" s="27">
        <v>0</v>
      </c>
      <c r="V122" s="32" t="s">
        <v>3402</v>
      </c>
      <c r="X122" s="33" t="s">
        <v>3409</v>
      </c>
      <c r="Y122" s="32">
        <v>9680</v>
      </c>
      <c r="Z122" s="31" t="s">
        <v>3410</v>
      </c>
      <c r="AA122" s="32">
        <v>30.25</v>
      </c>
      <c r="AB122" s="32">
        <v>-99.87</v>
      </c>
      <c r="AC122" s="32">
        <v>579255</v>
      </c>
    </row>
    <row r="123" spans="3:31">
      <c r="C123" s="22" t="s">
        <v>390</v>
      </c>
      <c r="D123" s="22" t="s">
        <v>151</v>
      </c>
      <c r="E123" s="5">
        <v>30907</v>
      </c>
      <c r="F123" s="5">
        <v>13</v>
      </c>
      <c r="G123" s="28" t="s">
        <v>1723</v>
      </c>
      <c r="H123" s="6" t="s">
        <v>1780</v>
      </c>
      <c r="J123" s="5" t="s">
        <v>104</v>
      </c>
      <c r="L123" s="27">
        <v>-8.66</v>
      </c>
      <c r="O123" s="27">
        <v>-1.86</v>
      </c>
      <c r="P123" s="5">
        <v>28.72</v>
      </c>
      <c r="Q123" s="27">
        <v>-2.08</v>
      </c>
      <c r="S123" s="27">
        <v>0</v>
      </c>
      <c r="V123" s="32" t="s">
        <v>3402</v>
      </c>
      <c r="Y123" s="32">
        <v>30000</v>
      </c>
      <c r="AA123" s="32">
        <v>32.119999999999997</v>
      </c>
      <c r="AB123" s="32">
        <v>-96</v>
      </c>
      <c r="AC123" s="32">
        <v>579255</v>
      </c>
    </row>
    <row r="124" spans="3:31" ht="19">
      <c r="C124" s="22" t="s">
        <v>390</v>
      </c>
      <c r="D124" s="22" t="s">
        <v>151</v>
      </c>
      <c r="E124" s="5">
        <v>30907</v>
      </c>
      <c r="F124" s="5">
        <v>33</v>
      </c>
      <c r="G124" s="28" t="s">
        <v>1723</v>
      </c>
      <c r="H124" s="6" t="s">
        <v>1780</v>
      </c>
      <c r="J124" s="5" t="s">
        <v>104</v>
      </c>
      <c r="L124" s="27">
        <v>-7.28</v>
      </c>
      <c r="O124" s="27">
        <v>-0.48</v>
      </c>
      <c r="P124" s="5">
        <v>29.49</v>
      </c>
      <c r="Q124" s="27">
        <v>-1.33</v>
      </c>
      <c r="S124" s="27">
        <v>0</v>
      </c>
      <c r="V124" s="32" t="s">
        <v>3402</v>
      </c>
      <c r="X124" s="33" t="s">
        <v>3411</v>
      </c>
      <c r="Y124" s="32">
        <v>30000</v>
      </c>
      <c r="AA124" s="32">
        <v>32.119999999999997</v>
      </c>
      <c r="AB124" s="32">
        <v>-96</v>
      </c>
      <c r="AC124" s="32">
        <v>579255</v>
      </c>
    </row>
    <row r="125" spans="3:31">
      <c r="C125" s="22" t="s">
        <v>390</v>
      </c>
      <c r="D125" s="22" t="s">
        <v>151</v>
      </c>
      <c r="E125" s="5">
        <v>30967</v>
      </c>
      <c r="F125" s="5">
        <v>1638</v>
      </c>
      <c r="G125" s="28" t="s">
        <v>1723</v>
      </c>
      <c r="H125" s="6" t="s">
        <v>110</v>
      </c>
      <c r="J125" s="5" t="s">
        <v>104</v>
      </c>
      <c r="L125" s="27">
        <v>-8.77</v>
      </c>
      <c r="O125" s="27">
        <v>-1.97</v>
      </c>
      <c r="P125" s="5">
        <v>30.12</v>
      </c>
      <c r="Q125" s="27">
        <v>-0.72</v>
      </c>
      <c r="S125" s="27">
        <v>0</v>
      </c>
      <c r="V125" s="32" t="s">
        <v>3402</v>
      </c>
      <c r="Y125" s="32">
        <v>50000</v>
      </c>
      <c r="AA125" s="32">
        <v>27.87</v>
      </c>
      <c r="AB125" s="32">
        <v>-97.2</v>
      </c>
      <c r="AC125" s="32">
        <v>579255</v>
      </c>
    </row>
    <row r="126" spans="3:31">
      <c r="C126" s="22" t="s">
        <v>390</v>
      </c>
      <c r="D126" s="22" t="s">
        <v>151</v>
      </c>
      <c r="E126" s="5">
        <v>30967</v>
      </c>
      <c r="F126" s="5">
        <v>1662</v>
      </c>
      <c r="G126" s="28" t="s">
        <v>1723</v>
      </c>
      <c r="H126" s="6" t="s">
        <v>110</v>
      </c>
      <c r="J126" s="5" t="s">
        <v>104</v>
      </c>
      <c r="L126" s="27">
        <v>-7.63</v>
      </c>
      <c r="O126" s="27">
        <v>-0.83</v>
      </c>
      <c r="P126" s="5">
        <v>31.76</v>
      </c>
      <c r="Q126" s="27">
        <v>0.87</v>
      </c>
      <c r="S126" s="27">
        <v>0</v>
      </c>
      <c r="V126" s="32" t="s">
        <v>3402</v>
      </c>
      <c r="Y126" s="32">
        <v>50000</v>
      </c>
      <c r="AA126" s="32">
        <v>27.87</v>
      </c>
      <c r="AB126" s="32">
        <v>-97.2</v>
      </c>
      <c r="AC126" s="32">
        <v>579255</v>
      </c>
    </row>
    <row r="127" spans="3:31">
      <c r="C127" s="22" t="s">
        <v>390</v>
      </c>
      <c r="D127" s="22" t="s">
        <v>151</v>
      </c>
      <c r="E127" s="5">
        <v>30967</v>
      </c>
      <c r="F127" s="5">
        <v>2473</v>
      </c>
      <c r="G127" s="28" t="s">
        <v>1723</v>
      </c>
      <c r="H127" s="6" t="s">
        <v>110</v>
      </c>
      <c r="J127" s="5" t="s">
        <v>104</v>
      </c>
      <c r="L127" s="27">
        <v>-7.52</v>
      </c>
      <c r="O127" s="27">
        <v>-0.72</v>
      </c>
      <c r="P127" s="5">
        <v>29.36</v>
      </c>
      <c r="Q127" s="27">
        <v>-1.46</v>
      </c>
      <c r="S127" s="27">
        <v>0</v>
      </c>
      <c r="V127" s="32" t="s">
        <v>3402</v>
      </c>
      <c r="Y127" s="32">
        <v>50000</v>
      </c>
      <c r="AA127" s="32">
        <v>27.87</v>
      </c>
      <c r="AB127" s="32">
        <v>-97.2</v>
      </c>
      <c r="AC127" s="32">
        <v>579255</v>
      </c>
    </row>
    <row r="128" spans="3:31">
      <c r="C128" s="22" t="s">
        <v>390</v>
      </c>
      <c r="D128" s="22" t="s">
        <v>151</v>
      </c>
      <c r="E128" s="5">
        <v>30967</v>
      </c>
      <c r="F128" s="5">
        <v>2481</v>
      </c>
      <c r="G128" s="28" t="s">
        <v>1723</v>
      </c>
      <c r="H128" s="6" t="s">
        <v>110</v>
      </c>
      <c r="J128" s="5" t="s">
        <v>104</v>
      </c>
      <c r="L128" s="27">
        <v>-5.65</v>
      </c>
      <c r="O128" s="27">
        <v>1.1499999999999999</v>
      </c>
      <c r="P128" s="5">
        <v>30.02</v>
      </c>
      <c r="Q128" s="27">
        <v>-0.81</v>
      </c>
      <c r="S128" s="27">
        <v>0</v>
      </c>
      <c r="V128" s="32" t="s">
        <v>3402</v>
      </c>
      <c r="Y128" s="32">
        <v>50000</v>
      </c>
      <c r="AA128" s="32">
        <v>27.87</v>
      </c>
      <c r="AB128" s="32">
        <v>-97.2</v>
      </c>
      <c r="AC128" s="32">
        <v>579255</v>
      </c>
      <c r="AD128" s="30"/>
      <c r="AE128" s="30"/>
    </row>
    <row r="129" spans="1:31">
      <c r="C129" s="22" t="s">
        <v>390</v>
      </c>
      <c r="D129" s="22" t="s">
        <v>151</v>
      </c>
      <c r="E129" s="5">
        <v>31030</v>
      </c>
      <c r="F129" s="5" t="s">
        <v>1781</v>
      </c>
      <c r="G129" s="28" t="s">
        <v>1723</v>
      </c>
      <c r="H129" s="6" t="s">
        <v>1782</v>
      </c>
      <c r="J129" s="5" t="s">
        <v>104</v>
      </c>
      <c r="L129" s="27">
        <v>-6.79</v>
      </c>
      <c r="O129" s="27">
        <v>0.01</v>
      </c>
      <c r="P129" s="5">
        <v>30.26</v>
      </c>
      <c r="Q129" s="27">
        <v>-0.57999999999999996</v>
      </c>
      <c r="S129" s="27">
        <v>0</v>
      </c>
      <c r="V129" s="32" t="s">
        <v>3402</v>
      </c>
      <c r="Y129" s="32">
        <v>30000</v>
      </c>
      <c r="AA129" s="32">
        <v>32.25</v>
      </c>
      <c r="AB129" s="32">
        <v>-96.25</v>
      </c>
      <c r="AC129" s="32">
        <v>579255</v>
      </c>
    </row>
    <row r="130" spans="1:31">
      <c r="C130" s="22" t="s">
        <v>390</v>
      </c>
      <c r="D130" s="22" t="s">
        <v>151</v>
      </c>
      <c r="E130" s="5">
        <v>31030</v>
      </c>
      <c r="F130" s="5" t="s">
        <v>398</v>
      </c>
      <c r="G130" s="28" t="s">
        <v>1723</v>
      </c>
      <c r="H130" s="6" t="s">
        <v>1782</v>
      </c>
      <c r="J130" s="5" t="s">
        <v>104</v>
      </c>
      <c r="L130" s="27">
        <v>-8.1300000000000008</v>
      </c>
      <c r="O130" s="27">
        <v>-1.33</v>
      </c>
      <c r="P130" s="5">
        <v>27.96</v>
      </c>
      <c r="Q130" s="27">
        <v>-2.81</v>
      </c>
      <c r="S130" s="27">
        <v>0</v>
      </c>
      <c r="V130" s="32" t="s">
        <v>3402</v>
      </c>
      <c r="Y130" s="32">
        <v>30000</v>
      </c>
      <c r="AA130" s="32">
        <v>32.25</v>
      </c>
      <c r="AB130" s="32">
        <v>-96.25</v>
      </c>
      <c r="AC130" s="32">
        <v>579255</v>
      </c>
    </row>
    <row r="131" spans="1:31">
      <c r="C131" s="22" t="s">
        <v>390</v>
      </c>
      <c r="D131" s="22" t="s">
        <v>151</v>
      </c>
      <c r="E131" s="5">
        <v>933</v>
      </c>
      <c r="F131" s="5">
        <v>3002</v>
      </c>
      <c r="G131" s="28" t="s">
        <v>1723</v>
      </c>
      <c r="H131" s="6" t="s">
        <v>249</v>
      </c>
      <c r="J131" s="5" t="s">
        <v>104</v>
      </c>
      <c r="L131" s="27">
        <v>-7.9</v>
      </c>
      <c r="O131" s="27">
        <v>-1.1000000000000001</v>
      </c>
      <c r="P131" s="5">
        <v>29.4</v>
      </c>
      <c r="Q131" s="27">
        <v>-1.42</v>
      </c>
      <c r="S131" s="27">
        <v>0</v>
      </c>
      <c r="V131" s="32" t="s">
        <v>3402</v>
      </c>
      <c r="Y131" s="32">
        <v>18500</v>
      </c>
      <c r="Z131" s="31" t="s">
        <v>3412</v>
      </c>
      <c r="AA131" s="32">
        <v>29.62</v>
      </c>
      <c r="AB131" s="32">
        <v>-98.37</v>
      </c>
      <c r="AC131" s="32">
        <v>579255</v>
      </c>
    </row>
    <row r="132" spans="1:31" ht="48">
      <c r="C132" s="22" t="s">
        <v>390</v>
      </c>
      <c r="D132" s="22" t="s">
        <v>151</v>
      </c>
      <c r="E132" s="5">
        <v>937</v>
      </c>
      <c r="F132" s="5">
        <v>907</v>
      </c>
      <c r="G132" s="28" t="s">
        <v>1723</v>
      </c>
      <c r="H132" s="6" t="s">
        <v>706</v>
      </c>
      <c r="J132" s="5" t="s">
        <v>104</v>
      </c>
      <c r="L132" s="27">
        <v>-5.4</v>
      </c>
      <c r="O132" s="27">
        <v>1.4</v>
      </c>
      <c r="P132" s="5">
        <v>28.14</v>
      </c>
      <c r="Q132" s="27">
        <v>-2.64</v>
      </c>
      <c r="S132" s="27">
        <v>0</v>
      </c>
      <c r="V132" s="32" t="s">
        <v>3402</v>
      </c>
      <c r="X132" s="33" t="s">
        <v>3366</v>
      </c>
      <c r="Y132" s="32">
        <v>15000</v>
      </c>
      <c r="Z132" s="31" t="s">
        <v>3377</v>
      </c>
      <c r="AA132" s="32">
        <v>34.229999999999997</v>
      </c>
      <c r="AB132" s="32">
        <v>-103.42</v>
      </c>
      <c r="AC132" s="32">
        <v>579255</v>
      </c>
    </row>
    <row r="133" spans="1:31" ht="48">
      <c r="C133" s="22" t="s">
        <v>390</v>
      </c>
      <c r="D133" s="22" t="s">
        <v>151</v>
      </c>
      <c r="E133" s="5" t="s">
        <v>1771</v>
      </c>
      <c r="F133" s="5" t="s">
        <v>3413</v>
      </c>
      <c r="G133" s="28" t="s">
        <v>1723</v>
      </c>
      <c r="H133" s="6" t="s">
        <v>706</v>
      </c>
      <c r="J133" s="5" t="s">
        <v>104</v>
      </c>
      <c r="L133" s="27">
        <v>-5.7</v>
      </c>
      <c r="O133" s="27">
        <v>1.1000000000000001</v>
      </c>
      <c r="P133" s="5">
        <v>25.2</v>
      </c>
      <c r="Q133" s="27">
        <v>-5.49</v>
      </c>
      <c r="S133" s="27">
        <v>0</v>
      </c>
      <c r="V133" s="32" t="s">
        <v>3402</v>
      </c>
      <c r="Y133" s="32">
        <v>15000</v>
      </c>
      <c r="Z133" s="31" t="s">
        <v>3377</v>
      </c>
      <c r="AA133" s="32">
        <v>34.229999999999997</v>
      </c>
      <c r="AB133" s="32">
        <v>-103.42</v>
      </c>
      <c r="AC133" s="32">
        <v>579255</v>
      </c>
    </row>
    <row r="134" spans="1:31" ht="48">
      <c r="C134" s="22" t="s">
        <v>390</v>
      </c>
      <c r="D134" s="22" t="s">
        <v>151</v>
      </c>
      <c r="E134" s="5" t="s">
        <v>1771</v>
      </c>
      <c r="F134" s="5" t="s">
        <v>3407</v>
      </c>
      <c r="G134" s="28" t="s">
        <v>1723</v>
      </c>
      <c r="H134" s="6" t="s">
        <v>706</v>
      </c>
      <c r="J134" s="5" t="s">
        <v>104</v>
      </c>
      <c r="L134" s="27">
        <v>-8.1</v>
      </c>
      <c r="O134" s="27">
        <v>-1.3</v>
      </c>
      <c r="P134" s="5">
        <v>28</v>
      </c>
      <c r="Q134" s="27">
        <v>-2.77</v>
      </c>
      <c r="S134" s="27">
        <v>0</v>
      </c>
      <c r="V134" s="32" t="s">
        <v>3402</v>
      </c>
      <c r="Y134" s="32">
        <v>15000</v>
      </c>
      <c r="Z134" s="31" t="s">
        <v>3377</v>
      </c>
      <c r="AA134" s="32">
        <v>34.229999999999997</v>
      </c>
      <c r="AB134" s="32">
        <v>-103.42</v>
      </c>
      <c r="AC134" s="32">
        <v>579255</v>
      </c>
    </row>
    <row r="135" spans="1:31" ht="48">
      <c r="C135" s="22" t="s">
        <v>390</v>
      </c>
      <c r="D135" s="22" t="s">
        <v>151</v>
      </c>
      <c r="E135" s="5" t="s">
        <v>1771</v>
      </c>
      <c r="F135" s="5" t="s">
        <v>3407</v>
      </c>
      <c r="G135" s="28" t="s">
        <v>1723</v>
      </c>
      <c r="H135" s="6" t="s">
        <v>706</v>
      </c>
      <c r="J135" s="5" t="s">
        <v>104</v>
      </c>
      <c r="L135" s="27">
        <v>-6.4</v>
      </c>
      <c r="O135" s="27">
        <v>0.4</v>
      </c>
      <c r="P135" s="5">
        <v>26.2</v>
      </c>
      <c r="Q135" s="27">
        <v>-4.5199999999999996</v>
      </c>
      <c r="S135" s="27">
        <v>0</v>
      </c>
      <c r="V135" s="32" t="s">
        <v>3402</v>
      </c>
      <c r="Y135" s="32">
        <v>15000</v>
      </c>
      <c r="Z135" s="31" t="s">
        <v>3377</v>
      </c>
      <c r="AA135" s="32">
        <v>34.229999999999997</v>
      </c>
      <c r="AB135" s="32">
        <v>-103.42</v>
      </c>
      <c r="AC135" s="32">
        <v>579255</v>
      </c>
    </row>
    <row r="136" spans="1:31">
      <c r="C136" s="22" t="s">
        <v>390</v>
      </c>
      <c r="D136" s="22" t="s">
        <v>151</v>
      </c>
      <c r="E136" s="5" t="s">
        <v>1773</v>
      </c>
      <c r="F136" s="5">
        <v>2825</v>
      </c>
      <c r="G136" s="28" t="s">
        <v>1723</v>
      </c>
      <c r="H136" s="6" t="s">
        <v>1787</v>
      </c>
      <c r="J136" s="5" t="s">
        <v>104</v>
      </c>
      <c r="L136" s="27">
        <v>-4.01</v>
      </c>
      <c r="O136" s="27">
        <v>2.79</v>
      </c>
      <c r="P136" s="5">
        <v>30.83</v>
      </c>
      <c r="Q136" s="27">
        <v>-0.03</v>
      </c>
      <c r="S136" s="27">
        <v>0</v>
      </c>
      <c r="V136" s="32" t="s">
        <v>3402</v>
      </c>
      <c r="Y136" s="32">
        <v>16775</v>
      </c>
      <c r="AA136" s="32">
        <v>34.369999999999997</v>
      </c>
      <c r="AB136" s="32">
        <v>-99.75</v>
      </c>
      <c r="AC136" s="32">
        <v>579255</v>
      </c>
    </row>
    <row r="137" spans="1:31">
      <c r="C137" s="22" t="s">
        <v>390</v>
      </c>
      <c r="D137" s="22" t="s">
        <v>151</v>
      </c>
      <c r="E137" s="5" t="s">
        <v>1776</v>
      </c>
      <c r="F137" s="5">
        <v>60178</v>
      </c>
      <c r="G137" s="28" t="s">
        <v>1723</v>
      </c>
      <c r="H137" s="6" t="s">
        <v>1788</v>
      </c>
      <c r="J137" s="5" t="s">
        <v>104</v>
      </c>
      <c r="L137" s="27">
        <v>-8.86</v>
      </c>
      <c r="O137" s="27">
        <v>-2.06</v>
      </c>
      <c r="P137" s="5">
        <v>27.93</v>
      </c>
      <c r="Q137" s="27">
        <v>-2.84</v>
      </c>
      <c r="S137" s="27">
        <v>0</v>
      </c>
      <c r="V137" s="32" t="s">
        <v>3402</v>
      </c>
      <c r="Y137" s="32">
        <v>30000</v>
      </c>
      <c r="AA137" s="32">
        <v>32.733333000000002</v>
      </c>
      <c r="AB137" s="32">
        <v>-96.733333000000002</v>
      </c>
      <c r="AC137" s="32">
        <v>579255</v>
      </c>
    </row>
    <row r="138" spans="1:31">
      <c r="C138" s="22" t="s">
        <v>390</v>
      </c>
      <c r="D138" s="22" t="s">
        <v>151</v>
      </c>
      <c r="E138" s="5" t="s">
        <v>1776</v>
      </c>
      <c r="F138" s="5">
        <v>60608</v>
      </c>
      <c r="G138" s="28" t="s">
        <v>1723</v>
      </c>
      <c r="H138" s="6" t="s">
        <v>1788</v>
      </c>
      <c r="J138" s="5" t="s">
        <v>104</v>
      </c>
      <c r="L138" s="27">
        <v>-10.19</v>
      </c>
      <c r="O138" s="27">
        <v>-3.39</v>
      </c>
      <c r="P138" s="5">
        <v>26.24</v>
      </c>
      <c r="Q138" s="27">
        <v>-4.4800000000000004</v>
      </c>
      <c r="S138" s="27">
        <v>0</v>
      </c>
      <c r="V138" s="32" t="s">
        <v>3402</v>
      </c>
      <c r="Y138" s="32">
        <v>30000</v>
      </c>
      <c r="AA138" s="32">
        <v>32.733333000000002</v>
      </c>
      <c r="AB138" s="32">
        <v>-96.733333000000002</v>
      </c>
      <c r="AC138" s="32">
        <v>579255</v>
      </c>
    </row>
    <row r="139" spans="1:31">
      <c r="C139" s="22" t="s">
        <v>390</v>
      </c>
      <c r="D139" s="22" t="s">
        <v>151</v>
      </c>
      <c r="E139" s="5" t="s">
        <v>1776</v>
      </c>
      <c r="F139" s="5">
        <v>60849</v>
      </c>
      <c r="G139" s="28" t="s">
        <v>1723</v>
      </c>
      <c r="H139" s="6" t="s">
        <v>1788</v>
      </c>
      <c r="J139" s="5" t="s">
        <v>104</v>
      </c>
      <c r="L139" s="27">
        <v>-8.08</v>
      </c>
      <c r="O139" s="27">
        <v>-1.28</v>
      </c>
      <c r="P139" s="5">
        <v>28.43</v>
      </c>
      <c r="Q139" s="27">
        <v>-2.36</v>
      </c>
      <c r="S139" s="27">
        <v>0</v>
      </c>
      <c r="V139" s="32" t="s">
        <v>3402</v>
      </c>
      <c r="Y139" s="32">
        <v>30000</v>
      </c>
      <c r="AA139" s="32">
        <v>32.733333000000002</v>
      </c>
      <c r="AB139" s="32">
        <v>-96.733333000000002</v>
      </c>
      <c r="AC139" s="32">
        <v>579255</v>
      </c>
    </row>
    <row r="140" spans="1:31" s="11" customFormat="1">
      <c r="A140" s="5"/>
      <c r="B140" s="5"/>
      <c r="C140" s="22" t="s">
        <v>390</v>
      </c>
      <c r="D140" s="22" t="s">
        <v>151</v>
      </c>
      <c r="E140" s="5">
        <v>40450</v>
      </c>
      <c r="F140" s="5">
        <v>585</v>
      </c>
      <c r="G140" s="28" t="s">
        <v>1723</v>
      </c>
      <c r="H140" s="6" t="s">
        <v>1783</v>
      </c>
      <c r="I140" s="6"/>
      <c r="J140" s="5" t="s">
        <v>104</v>
      </c>
      <c r="K140" s="27"/>
      <c r="L140" s="27">
        <v>-10.61</v>
      </c>
      <c r="M140" s="56"/>
      <c r="N140" s="56"/>
      <c r="O140" s="27">
        <v>-3.81</v>
      </c>
      <c r="P140" s="5">
        <v>28.02</v>
      </c>
      <c r="Q140" s="27">
        <v>-2.75</v>
      </c>
      <c r="R140" s="27"/>
      <c r="S140" s="27">
        <v>0</v>
      </c>
      <c r="T140" s="5"/>
      <c r="U140" s="24"/>
      <c r="V140" s="32" t="s">
        <v>3402</v>
      </c>
      <c r="W140" s="32"/>
      <c r="X140" s="33"/>
      <c r="Y140" s="32">
        <v>13000</v>
      </c>
      <c r="Z140" s="31"/>
      <c r="AA140" s="32">
        <v>29.88</v>
      </c>
      <c r="AB140" s="32">
        <v>-98.62</v>
      </c>
      <c r="AC140" s="32">
        <v>579255</v>
      </c>
      <c r="AD140" s="24"/>
      <c r="AE140" s="24"/>
    </row>
    <row r="141" spans="1:31">
      <c r="C141" s="22" t="s">
        <v>390</v>
      </c>
      <c r="D141" s="22" t="s">
        <v>151</v>
      </c>
      <c r="E141" s="5">
        <v>933</v>
      </c>
      <c r="F141" s="5">
        <v>2198</v>
      </c>
      <c r="G141" s="28" t="s">
        <v>1723</v>
      </c>
      <c r="H141" s="6" t="s">
        <v>249</v>
      </c>
      <c r="J141" s="5" t="s">
        <v>104</v>
      </c>
      <c r="L141" s="27">
        <v>-8.9</v>
      </c>
      <c r="O141" s="27">
        <v>-2.1</v>
      </c>
      <c r="P141" s="5">
        <v>30.98</v>
      </c>
      <c r="Q141" s="27">
        <v>0.12</v>
      </c>
      <c r="S141" s="27">
        <v>0</v>
      </c>
      <c r="V141" s="32" t="s">
        <v>3402</v>
      </c>
      <c r="Y141" s="32">
        <v>18500</v>
      </c>
      <c r="Z141" s="31" t="s">
        <v>3412</v>
      </c>
      <c r="AA141" s="32">
        <v>29.62</v>
      </c>
      <c r="AB141" s="32">
        <v>-98.37</v>
      </c>
      <c r="AC141" s="32">
        <v>579255</v>
      </c>
      <c r="AD141" s="43"/>
      <c r="AE141" s="43"/>
    </row>
    <row r="142" spans="1:31">
      <c r="C142" s="22" t="s">
        <v>390</v>
      </c>
      <c r="D142" s="22" t="s">
        <v>151</v>
      </c>
      <c r="E142" s="5">
        <v>933</v>
      </c>
      <c r="F142" s="5">
        <v>3285</v>
      </c>
      <c r="G142" s="28" t="s">
        <v>1723</v>
      </c>
      <c r="H142" s="6" t="s">
        <v>249</v>
      </c>
      <c r="J142" s="5" t="s">
        <v>104</v>
      </c>
      <c r="L142" s="27">
        <v>-9.57</v>
      </c>
      <c r="O142" s="27">
        <v>-2.77</v>
      </c>
      <c r="P142" s="5">
        <v>28.51</v>
      </c>
      <c r="Q142" s="27">
        <v>-2.2799999999999998</v>
      </c>
      <c r="S142" s="27">
        <v>0</v>
      </c>
      <c r="V142" s="32" t="s">
        <v>3402</v>
      </c>
      <c r="Y142" s="32">
        <v>18500</v>
      </c>
      <c r="Z142" s="31" t="s">
        <v>3412</v>
      </c>
      <c r="AA142" s="32">
        <v>29.62</v>
      </c>
      <c r="AB142" s="32">
        <v>-98.37</v>
      </c>
      <c r="AC142" s="32">
        <v>579255</v>
      </c>
    </row>
    <row r="143" spans="1:31">
      <c r="C143" s="22" t="s">
        <v>390</v>
      </c>
      <c r="D143" s="22" t="s">
        <v>151</v>
      </c>
      <c r="E143" s="5">
        <v>933</v>
      </c>
      <c r="F143" s="5">
        <v>3390</v>
      </c>
      <c r="G143" s="28" t="s">
        <v>1723</v>
      </c>
      <c r="H143" s="6" t="s">
        <v>249</v>
      </c>
      <c r="J143" s="5" t="s">
        <v>104</v>
      </c>
      <c r="L143" s="27">
        <v>-6.49</v>
      </c>
      <c r="O143" s="27">
        <v>0.31</v>
      </c>
      <c r="P143" s="5">
        <v>28.99</v>
      </c>
      <c r="Q143" s="27">
        <v>-1.81</v>
      </c>
      <c r="S143" s="27">
        <v>0</v>
      </c>
      <c r="V143" s="32" t="s">
        <v>3402</v>
      </c>
      <c r="Y143" s="32">
        <v>18500</v>
      </c>
      <c r="Z143" s="31" t="s">
        <v>3412</v>
      </c>
      <c r="AA143" s="32">
        <v>29.62</v>
      </c>
      <c r="AB143" s="32">
        <v>-98.37</v>
      </c>
      <c r="AC143" s="32">
        <v>579255</v>
      </c>
    </row>
    <row r="144" spans="1:31" ht="19">
      <c r="C144" s="22" t="s">
        <v>390</v>
      </c>
      <c r="D144" s="22" t="s">
        <v>151</v>
      </c>
      <c r="E144" s="5">
        <v>933</v>
      </c>
      <c r="F144" s="5">
        <v>3525</v>
      </c>
      <c r="G144" s="28" t="s">
        <v>1723</v>
      </c>
      <c r="H144" s="6" t="s">
        <v>249</v>
      </c>
      <c r="J144" s="5" t="s">
        <v>104</v>
      </c>
      <c r="L144" s="27">
        <v>-8.7799999999999994</v>
      </c>
      <c r="O144" s="27">
        <v>-1.98</v>
      </c>
      <c r="P144" s="5">
        <v>29.06</v>
      </c>
      <c r="Q144" s="27">
        <v>-1.75</v>
      </c>
      <c r="S144" s="27">
        <v>0</v>
      </c>
      <c r="V144" s="32" t="s">
        <v>3402</v>
      </c>
      <c r="X144" s="33" t="s">
        <v>3414</v>
      </c>
      <c r="Y144" s="32">
        <v>18500</v>
      </c>
      <c r="Z144" s="31" t="s">
        <v>3412</v>
      </c>
      <c r="AA144" s="32">
        <v>29.62</v>
      </c>
      <c r="AB144" s="32">
        <v>-98.37</v>
      </c>
      <c r="AC144" s="32">
        <v>579255</v>
      </c>
    </row>
    <row r="145" spans="1:31" ht="19">
      <c r="C145" s="22" t="s">
        <v>390</v>
      </c>
      <c r="D145" s="22" t="s">
        <v>391</v>
      </c>
      <c r="E145" s="5">
        <v>30967</v>
      </c>
      <c r="F145" s="5">
        <v>110</v>
      </c>
      <c r="G145" s="28" t="s">
        <v>1723</v>
      </c>
      <c r="H145" s="6" t="s">
        <v>110</v>
      </c>
      <c r="J145" s="5" t="s">
        <v>104</v>
      </c>
      <c r="L145" s="27">
        <v>-5</v>
      </c>
      <c r="O145" s="27">
        <v>1.8</v>
      </c>
      <c r="P145" s="5">
        <v>31.8</v>
      </c>
      <c r="Q145" s="27">
        <v>0.91200000000000003</v>
      </c>
      <c r="S145" s="27">
        <v>0</v>
      </c>
      <c r="V145" s="32" t="s">
        <v>3415</v>
      </c>
      <c r="X145" s="33" t="s">
        <v>3134</v>
      </c>
      <c r="Y145" s="32">
        <v>50000</v>
      </c>
      <c r="AA145" s="32">
        <v>27.87</v>
      </c>
      <c r="AB145" s="32">
        <v>-97.2</v>
      </c>
      <c r="AC145" s="32">
        <v>579255</v>
      </c>
    </row>
    <row r="146" spans="1:31" s="10" customFormat="1" ht="19">
      <c r="A146" s="5"/>
      <c r="B146" s="5"/>
      <c r="C146" s="22" t="s">
        <v>390</v>
      </c>
      <c r="D146" s="22" t="s">
        <v>391</v>
      </c>
      <c r="E146" s="5">
        <v>30967</v>
      </c>
      <c r="F146" s="5">
        <v>39</v>
      </c>
      <c r="G146" s="28" t="s">
        <v>1723</v>
      </c>
      <c r="H146" s="6" t="s">
        <v>110</v>
      </c>
      <c r="I146" s="6"/>
      <c r="J146" s="5" t="s">
        <v>104</v>
      </c>
      <c r="K146" s="27"/>
      <c r="L146" s="27">
        <v>-6.3</v>
      </c>
      <c r="M146" s="56"/>
      <c r="N146" s="56"/>
      <c r="O146" s="27">
        <v>0.5</v>
      </c>
      <c r="P146" s="5">
        <v>31.4</v>
      </c>
      <c r="Q146" s="27">
        <v>0.52400000000000002</v>
      </c>
      <c r="R146" s="27"/>
      <c r="S146" s="27">
        <v>0</v>
      </c>
      <c r="T146" s="5"/>
      <c r="U146" s="24"/>
      <c r="V146" s="32" t="s">
        <v>3415</v>
      </c>
      <c r="W146" s="32"/>
      <c r="X146" s="33" t="s">
        <v>3134</v>
      </c>
      <c r="Y146" s="32">
        <v>50000</v>
      </c>
      <c r="Z146" s="31"/>
      <c r="AA146" s="32">
        <v>27.87</v>
      </c>
      <c r="AB146" s="32">
        <v>-97.2</v>
      </c>
      <c r="AC146" s="32">
        <v>579255</v>
      </c>
      <c r="AD146" s="24"/>
      <c r="AE146" s="24"/>
    </row>
    <row r="147" spans="1:31" s="10" customFormat="1" ht="19">
      <c r="A147" s="5"/>
      <c r="B147" s="5"/>
      <c r="C147" s="22" t="s">
        <v>390</v>
      </c>
      <c r="D147" s="22" t="s">
        <v>391</v>
      </c>
      <c r="E147" s="5">
        <v>30967</v>
      </c>
      <c r="F147" s="5">
        <v>473</v>
      </c>
      <c r="G147" s="28" t="s">
        <v>1723</v>
      </c>
      <c r="H147" s="6" t="s">
        <v>110</v>
      </c>
      <c r="I147" s="6"/>
      <c r="J147" s="5" t="s">
        <v>104</v>
      </c>
      <c r="K147" s="27"/>
      <c r="L147" s="27">
        <v>-7.5</v>
      </c>
      <c r="M147" s="56"/>
      <c r="N147" s="56"/>
      <c r="O147" s="27">
        <v>-0.7</v>
      </c>
      <c r="P147" s="5">
        <v>29.4</v>
      </c>
      <c r="Q147" s="27">
        <v>-1.4159999999999999</v>
      </c>
      <c r="R147" s="27"/>
      <c r="S147" s="27">
        <v>0</v>
      </c>
      <c r="T147" s="5"/>
      <c r="U147" s="24"/>
      <c r="V147" s="32" t="s">
        <v>3415</v>
      </c>
      <c r="W147" s="32"/>
      <c r="X147" s="33" t="s">
        <v>174</v>
      </c>
      <c r="Y147" s="32">
        <v>50000</v>
      </c>
      <c r="Z147" s="31"/>
      <c r="AA147" s="32">
        <v>27.87</v>
      </c>
      <c r="AB147" s="32">
        <v>-97.2</v>
      </c>
      <c r="AC147" s="32">
        <v>579255</v>
      </c>
      <c r="AD147" s="30"/>
      <c r="AE147" s="30"/>
    </row>
    <row r="148" spans="1:31" s="10" customFormat="1" ht="19">
      <c r="A148" s="5"/>
      <c r="B148" s="5"/>
      <c r="C148" s="22" t="s">
        <v>390</v>
      </c>
      <c r="D148" s="22" t="s">
        <v>391</v>
      </c>
      <c r="E148" s="5">
        <v>30967</v>
      </c>
      <c r="F148" s="5">
        <v>481</v>
      </c>
      <c r="G148" s="28" t="s">
        <v>1723</v>
      </c>
      <c r="H148" s="6" t="s">
        <v>110</v>
      </c>
      <c r="I148" s="6"/>
      <c r="J148" s="5" t="s">
        <v>104</v>
      </c>
      <c r="K148" s="27"/>
      <c r="L148" s="27">
        <v>-5.7</v>
      </c>
      <c r="M148" s="56"/>
      <c r="N148" s="56"/>
      <c r="O148" s="27">
        <v>1.1000000000000001</v>
      </c>
      <c r="P148" s="5">
        <v>30</v>
      </c>
      <c r="Q148" s="27">
        <v>-0.83399999999999996</v>
      </c>
      <c r="R148" s="27"/>
      <c r="S148" s="27">
        <v>0</v>
      </c>
      <c r="T148" s="5"/>
      <c r="U148" s="24"/>
      <c r="V148" s="32" t="s">
        <v>3415</v>
      </c>
      <c r="W148" s="32"/>
      <c r="X148" s="33" t="s">
        <v>3416</v>
      </c>
      <c r="Y148" s="32">
        <v>50000</v>
      </c>
      <c r="Z148" s="31"/>
      <c r="AA148" s="32">
        <v>27.87</v>
      </c>
      <c r="AB148" s="32">
        <v>-97.2</v>
      </c>
      <c r="AC148" s="32">
        <v>579255</v>
      </c>
      <c r="AD148" s="30"/>
      <c r="AE148" s="30"/>
    </row>
    <row r="149" spans="1:31" ht="19">
      <c r="C149" s="22" t="s">
        <v>390</v>
      </c>
      <c r="D149" s="22" t="s">
        <v>391</v>
      </c>
      <c r="E149" s="5">
        <v>30967</v>
      </c>
      <c r="F149" s="5">
        <v>638</v>
      </c>
      <c r="G149" s="28" t="s">
        <v>1723</v>
      </c>
      <c r="H149" s="6" t="s">
        <v>110</v>
      </c>
      <c r="J149" s="5" t="s">
        <v>104</v>
      </c>
      <c r="L149" s="27">
        <v>-8.8000000000000007</v>
      </c>
      <c r="O149" s="27">
        <v>-2</v>
      </c>
      <c r="P149" s="5">
        <v>30.1</v>
      </c>
      <c r="Q149" s="27">
        <v>-0.73699999999999999</v>
      </c>
      <c r="S149" s="27">
        <v>0</v>
      </c>
      <c r="V149" s="32" t="s">
        <v>3415</v>
      </c>
      <c r="X149" s="33" t="s">
        <v>3158</v>
      </c>
      <c r="Y149" s="32">
        <v>50000</v>
      </c>
      <c r="AA149" s="32">
        <v>27.87</v>
      </c>
      <c r="AB149" s="32">
        <v>-97.2</v>
      </c>
      <c r="AC149" s="32">
        <v>579255</v>
      </c>
      <c r="AD149" s="30"/>
      <c r="AE149" s="30"/>
    </row>
    <row r="150" spans="1:31" ht="19">
      <c r="C150" s="22" t="s">
        <v>390</v>
      </c>
      <c r="D150" s="22" t="s">
        <v>391</v>
      </c>
      <c r="E150" s="5">
        <v>30967</v>
      </c>
      <c r="F150" s="5">
        <v>662</v>
      </c>
      <c r="G150" s="28" t="s">
        <v>1723</v>
      </c>
      <c r="H150" s="6" t="s">
        <v>110</v>
      </c>
      <c r="J150" s="5" t="s">
        <v>104</v>
      </c>
      <c r="L150" s="27">
        <v>-7.6</v>
      </c>
      <c r="O150" s="27">
        <v>-0.8</v>
      </c>
      <c r="P150" s="5">
        <v>31.8</v>
      </c>
      <c r="Q150" s="27">
        <v>0.91200000000000003</v>
      </c>
      <c r="S150" s="27">
        <v>0</v>
      </c>
      <c r="V150" s="32" t="s">
        <v>3415</v>
      </c>
      <c r="X150" s="33" t="s">
        <v>186</v>
      </c>
      <c r="Y150" s="32">
        <v>50000</v>
      </c>
      <c r="AA150" s="32">
        <v>27.87</v>
      </c>
      <c r="AB150" s="32">
        <v>-97.2</v>
      </c>
      <c r="AC150" s="32">
        <v>579255</v>
      </c>
    </row>
    <row r="151" spans="1:31" ht="19">
      <c r="C151" s="22" t="s">
        <v>390</v>
      </c>
      <c r="D151" s="22" t="s">
        <v>391</v>
      </c>
      <c r="E151" s="5">
        <v>30967</v>
      </c>
      <c r="F151" s="5">
        <v>939</v>
      </c>
      <c r="G151" s="28" t="s">
        <v>1723</v>
      </c>
      <c r="H151" s="6" t="s">
        <v>110</v>
      </c>
      <c r="J151" s="5" t="s">
        <v>104</v>
      </c>
      <c r="L151" s="27">
        <v>-5.9</v>
      </c>
      <c r="O151" s="27">
        <v>0.9</v>
      </c>
      <c r="P151" s="5">
        <v>32.9</v>
      </c>
      <c r="Q151" s="27">
        <v>1.9790000000000001</v>
      </c>
      <c r="S151" s="27">
        <v>0</v>
      </c>
      <c r="V151" s="32" t="s">
        <v>3415</v>
      </c>
      <c r="X151" s="33" t="s">
        <v>3134</v>
      </c>
      <c r="Y151" s="32">
        <v>50000</v>
      </c>
      <c r="AA151" s="32">
        <v>27.87</v>
      </c>
      <c r="AB151" s="32">
        <v>-97.2</v>
      </c>
      <c r="AC151" s="32">
        <v>579255</v>
      </c>
    </row>
    <row r="152" spans="1:31">
      <c r="A152" s="28"/>
      <c r="B152" s="28"/>
      <c r="C152" s="29" t="s">
        <v>1790</v>
      </c>
      <c r="D152" s="29" t="s">
        <v>151</v>
      </c>
      <c r="E152" s="28">
        <v>30839</v>
      </c>
      <c r="F152" s="28">
        <v>111</v>
      </c>
      <c r="G152" s="28" t="s">
        <v>1723</v>
      </c>
      <c r="H152" s="41" t="s">
        <v>1791</v>
      </c>
      <c r="I152" s="41"/>
      <c r="J152" s="28"/>
      <c r="K152" s="42">
        <v>9.5642782000000004</v>
      </c>
      <c r="L152" s="42">
        <v>-11.78946</v>
      </c>
      <c r="O152" s="42"/>
      <c r="P152" s="28"/>
      <c r="Q152" s="42"/>
      <c r="R152" s="42">
        <v>14.606865622857971</v>
      </c>
      <c r="S152" s="42">
        <v>3.0537358364360703</v>
      </c>
      <c r="T152" s="28"/>
      <c r="U152" s="30"/>
      <c r="V152" s="32" t="s">
        <v>3417</v>
      </c>
      <c r="W152" s="32">
        <v>4</v>
      </c>
      <c r="AA152" s="32"/>
      <c r="AB152" s="32"/>
      <c r="AC152" s="32">
        <v>579255</v>
      </c>
    </row>
    <row r="153" spans="1:31" s="10" customFormat="1" ht="19">
      <c r="A153" s="5"/>
      <c r="B153" s="5"/>
      <c r="C153" s="22" t="s">
        <v>1790</v>
      </c>
      <c r="D153" s="22" t="s">
        <v>151</v>
      </c>
      <c r="E153" s="5">
        <v>41229</v>
      </c>
      <c r="F153" s="5">
        <v>12138</v>
      </c>
      <c r="G153" s="28" t="s">
        <v>1723</v>
      </c>
      <c r="H153" s="6" t="s">
        <v>1137</v>
      </c>
      <c r="I153" s="6"/>
      <c r="J153" s="5" t="s">
        <v>1744</v>
      </c>
      <c r="K153" s="27">
        <v>10.639923000000001</v>
      </c>
      <c r="L153" s="27">
        <v>-10.7290896</v>
      </c>
      <c r="M153" s="56"/>
      <c r="N153" s="56"/>
      <c r="O153" s="27"/>
      <c r="P153" s="5"/>
      <c r="Q153" s="27"/>
      <c r="R153" s="27">
        <v>15.711407994546992</v>
      </c>
      <c r="S153" s="27">
        <v>2.8443427027983481</v>
      </c>
      <c r="T153" s="5"/>
      <c r="U153" s="24"/>
      <c r="V153" s="32" t="s">
        <v>3417</v>
      </c>
      <c r="W153" s="32">
        <v>4</v>
      </c>
      <c r="X153" s="33" t="s">
        <v>3373</v>
      </c>
      <c r="Y153" s="32">
        <v>15095</v>
      </c>
      <c r="Z153" s="31"/>
      <c r="AA153" s="32">
        <v>30.13</v>
      </c>
      <c r="AB153" s="32">
        <v>-99.54</v>
      </c>
      <c r="AC153" s="32">
        <v>579255</v>
      </c>
      <c r="AD153" s="24"/>
      <c r="AE153" s="24"/>
    </row>
    <row r="154" spans="1:31" ht="19">
      <c r="C154" s="22" t="s">
        <v>203</v>
      </c>
      <c r="D154" s="22" t="s">
        <v>204</v>
      </c>
      <c r="E154" s="5">
        <v>30967</v>
      </c>
      <c r="F154" s="5">
        <v>1599</v>
      </c>
      <c r="G154" s="28" t="s">
        <v>1723</v>
      </c>
      <c r="H154" s="6" t="s">
        <v>110</v>
      </c>
      <c r="J154" s="5" t="s">
        <v>104</v>
      </c>
      <c r="M154" s="56" t="s">
        <v>487</v>
      </c>
      <c r="N154" s="56">
        <v>-27.3</v>
      </c>
      <c r="R154" s="27">
        <v>0.4</v>
      </c>
      <c r="S154" s="27">
        <v>53.4</v>
      </c>
      <c r="V154" s="32" t="s">
        <v>3349</v>
      </c>
      <c r="W154" s="32">
        <v>5</v>
      </c>
      <c r="X154" s="33" t="s">
        <v>3418</v>
      </c>
      <c r="Y154" s="32">
        <v>50000</v>
      </c>
      <c r="AA154" s="32">
        <v>27.87</v>
      </c>
      <c r="AB154" s="32">
        <v>-97.2</v>
      </c>
      <c r="AC154" s="32">
        <v>1100000</v>
      </c>
    </row>
    <row r="155" spans="1:31" ht="57">
      <c r="C155" s="22" t="s">
        <v>203</v>
      </c>
      <c r="D155" s="22" t="s">
        <v>204</v>
      </c>
      <c r="E155" s="5">
        <v>30967</v>
      </c>
      <c r="F155" s="5">
        <v>1595</v>
      </c>
      <c r="G155" s="28" t="s">
        <v>1723</v>
      </c>
      <c r="H155" s="6" t="s">
        <v>110</v>
      </c>
      <c r="J155" s="5" t="s">
        <v>104</v>
      </c>
      <c r="M155" s="56" t="s">
        <v>487</v>
      </c>
      <c r="N155" s="56">
        <v>-24.9</v>
      </c>
      <c r="R155" s="27">
        <v>1.7</v>
      </c>
      <c r="S155" s="27">
        <v>5.4</v>
      </c>
      <c r="V155" s="32" t="s">
        <v>3349</v>
      </c>
      <c r="W155" s="32">
        <v>5</v>
      </c>
      <c r="X155" s="33" t="s">
        <v>3419</v>
      </c>
      <c r="Y155" s="32">
        <v>50000</v>
      </c>
      <c r="AA155" s="32">
        <v>27.87</v>
      </c>
      <c r="AB155" s="32">
        <v>-97.2</v>
      </c>
      <c r="AC155" s="32">
        <v>1100000</v>
      </c>
    </row>
    <row r="156" spans="1:31" ht="38">
      <c r="C156" s="22" t="s">
        <v>203</v>
      </c>
      <c r="D156" s="22" t="s">
        <v>204</v>
      </c>
      <c r="E156" s="5">
        <v>908</v>
      </c>
      <c r="F156" s="5">
        <v>2391</v>
      </c>
      <c r="G156" s="28" t="s">
        <v>1723</v>
      </c>
      <c r="H156" s="6" t="s">
        <v>250</v>
      </c>
      <c r="J156" s="5" t="s">
        <v>104</v>
      </c>
      <c r="M156" s="56" t="s">
        <v>487</v>
      </c>
      <c r="N156" s="56">
        <v>-27.9</v>
      </c>
      <c r="R156" s="27" t="s">
        <v>463</v>
      </c>
      <c r="S156" s="27">
        <v>100</v>
      </c>
      <c r="V156" s="32" t="s">
        <v>3353</v>
      </c>
      <c r="W156" s="32">
        <v>5</v>
      </c>
      <c r="X156" s="33" t="s">
        <v>3420</v>
      </c>
      <c r="Y156" s="32">
        <v>13000</v>
      </c>
      <c r="AA156" s="32">
        <v>29.37</v>
      </c>
      <c r="AB156" s="32">
        <v>-99.47</v>
      </c>
      <c r="AC156" s="32">
        <v>1100000</v>
      </c>
    </row>
    <row r="157" spans="1:31" ht="38">
      <c r="C157" s="22" t="s">
        <v>203</v>
      </c>
      <c r="D157" s="22" t="s">
        <v>204</v>
      </c>
      <c r="E157" s="5">
        <v>908</v>
      </c>
      <c r="F157" s="5">
        <v>2393</v>
      </c>
      <c r="G157" s="28" t="s">
        <v>1723</v>
      </c>
      <c r="H157" s="6" t="s">
        <v>250</v>
      </c>
      <c r="J157" s="5" t="s">
        <v>104</v>
      </c>
      <c r="M157" s="56" t="s">
        <v>487</v>
      </c>
      <c r="N157" s="56" t="s">
        <v>487</v>
      </c>
      <c r="R157" s="27" t="s">
        <v>463</v>
      </c>
      <c r="S157" s="27">
        <v>100</v>
      </c>
      <c r="V157" s="32" t="s">
        <v>3353</v>
      </c>
      <c r="W157" s="32">
        <v>6</v>
      </c>
      <c r="X157" s="33" t="s">
        <v>3420</v>
      </c>
      <c r="Y157" s="32">
        <v>13000</v>
      </c>
      <c r="AA157" s="32">
        <v>29.37</v>
      </c>
      <c r="AB157" s="32">
        <v>-99.47</v>
      </c>
      <c r="AC157" s="32">
        <v>1100000</v>
      </c>
    </row>
    <row r="158" spans="1:31">
      <c r="C158" s="22" t="s">
        <v>203</v>
      </c>
      <c r="D158" s="22" t="s">
        <v>1796</v>
      </c>
      <c r="E158" s="5">
        <v>30967</v>
      </c>
      <c r="F158" s="5">
        <v>2237</v>
      </c>
      <c r="G158" s="28" t="s">
        <v>1723</v>
      </c>
      <c r="H158" s="6" t="s">
        <v>110</v>
      </c>
      <c r="J158" s="5" t="s">
        <v>104</v>
      </c>
      <c r="L158" s="27">
        <v>-16.600000000000001</v>
      </c>
      <c r="O158" s="27">
        <v>-9.8153333333333332</v>
      </c>
      <c r="Q158" s="27">
        <v>-1.9673143367916737</v>
      </c>
      <c r="V158" s="32">
        <v>43405</v>
      </c>
      <c r="AA158" s="32">
        <v>27.87</v>
      </c>
      <c r="AB158" s="32">
        <v>-97.2</v>
      </c>
      <c r="AC158" s="32">
        <v>1100000</v>
      </c>
    </row>
    <row r="159" spans="1:31">
      <c r="C159" s="22" t="s">
        <v>203</v>
      </c>
      <c r="D159" s="22" t="s">
        <v>1796</v>
      </c>
      <c r="E159" s="5">
        <v>30967</v>
      </c>
      <c r="F159" s="5">
        <v>290</v>
      </c>
      <c r="G159" s="28" t="s">
        <v>1723</v>
      </c>
      <c r="H159" s="6" t="s">
        <v>110</v>
      </c>
      <c r="J159" s="5" t="s">
        <v>104</v>
      </c>
      <c r="L159" s="27">
        <v>-16.7</v>
      </c>
      <c r="O159" s="27">
        <v>-9.8630833333333321</v>
      </c>
      <c r="Q159" s="27">
        <v>-4.0681827255457392</v>
      </c>
      <c r="V159" s="32">
        <v>43405</v>
      </c>
      <c r="W159" s="32">
        <v>3</v>
      </c>
      <c r="AA159" s="32">
        <v>27.87</v>
      </c>
      <c r="AB159" s="32">
        <v>-97.2</v>
      </c>
      <c r="AC159" s="32">
        <v>1100000</v>
      </c>
    </row>
    <row r="160" spans="1:31">
      <c r="C160" s="22" t="s">
        <v>203</v>
      </c>
      <c r="D160" s="22" t="s">
        <v>1796</v>
      </c>
      <c r="E160" s="5">
        <v>40685</v>
      </c>
      <c r="F160" s="5" t="s">
        <v>1798</v>
      </c>
      <c r="G160" s="28" t="s">
        <v>1723</v>
      </c>
      <c r="H160" s="6" t="s">
        <v>134</v>
      </c>
      <c r="J160" s="5" t="s">
        <v>104</v>
      </c>
      <c r="L160" s="27">
        <v>-6.6</v>
      </c>
      <c r="O160" s="27">
        <v>0.1506666666666665</v>
      </c>
      <c r="Q160" s="27">
        <v>-1.0257737542046925</v>
      </c>
      <c r="V160" s="32">
        <v>43405</v>
      </c>
      <c r="AA160" s="32">
        <v>30.75</v>
      </c>
      <c r="AB160" s="32">
        <v>-99.25</v>
      </c>
      <c r="AC160" s="32">
        <v>1100000</v>
      </c>
    </row>
    <row r="161" spans="3:29">
      <c r="C161" s="22" t="s">
        <v>203</v>
      </c>
      <c r="D161" s="22" t="s">
        <v>1796</v>
      </c>
      <c r="E161" s="5">
        <v>40685</v>
      </c>
      <c r="F161" s="5" t="s">
        <v>1799</v>
      </c>
      <c r="G161" s="28" t="s">
        <v>1723</v>
      </c>
      <c r="H161" s="6" t="s">
        <v>134</v>
      </c>
      <c r="J161" s="5" t="s">
        <v>104</v>
      </c>
      <c r="L161" s="27">
        <v>-7.1</v>
      </c>
      <c r="O161" s="27">
        <v>-0.30866666666666687</v>
      </c>
      <c r="Q161" s="27">
        <v>-2.488032410136384</v>
      </c>
      <c r="V161" s="32">
        <v>43405</v>
      </c>
      <c r="AA161" s="32">
        <v>30.75</v>
      </c>
      <c r="AB161" s="32">
        <v>-99.25</v>
      </c>
      <c r="AC161" s="32">
        <v>1100000</v>
      </c>
    </row>
    <row r="162" spans="3:29">
      <c r="C162" s="22" t="s">
        <v>203</v>
      </c>
      <c r="D162" s="22" t="s">
        <v>1796</v>
      </c>
      <c r="E162" s="5">
        <v>908</v>
      </c>
      <c r="F162" s="5">
        <v>2407</v>
      </c>
      <c r="G162" s="28" t="s">
        <v>1723</v>
      </c>
      <c r="H162" s="6" t="s">
        <v>250</v>
      </c>
      <c r="J162" s="5" t="s">
        <v>104</v>
      </c>
      <c r="L162" s="27">
        <v>-15.4</v>
      </c>
      <c r="O162" s="27">
        <v>-8.6464166666666671</v>
      </c>
      <c r="Q162" s="27">
        <v>-1.6689632399667289</v>
      </c>
      <c r="V162" s="32">
        <v>43405</v>
      </c>
      <c r="W162" s="32">
        <v>3</v>
      </c>
      <c r="AA162" s="32">
        <v>29.37</v>
      </c>
      <c r="AB162" s="32">
        <v>-99.47</v>
      </c>
      <c r="AC162" s="32">
        <v>1100000</v>
      </c>
    </row>
    <row r="163" spans="3:29">
      <c r="C163" s="22" t="s">
        <v>203</v>
      </c>
      <c r="D163" s="22" t="s">
        <v>1796</v>
      </c>
      <c r="E163" s="5">
        <v>30967</v>
      </c>
      <c r="F163" s="5">
        <v>2238</v>
      </c>
      <c r="G163" s="28" t="s">
        <v>1723</v>
      </c>
      <c r="H163" s="6" t="s">
        <v>110</v>
      </c>
      <c r="J163" s="5" t="s">
        <v>104</v>
      </c>
      <c r="L163" s="27">
        <v>-17.899999999999999</v>
      </c>
      <c r="O163" s="27">
        <v>-11.1234</v>
      </c>
      <c r="Q163" s="27">
        <v>-3.0839295702502341</v>
      </c>
      <c r="V163" s="32">
        <v>43405</v>
      </c>
      <c r="W163" s="32">
        <v>4</v>
      </c>
      <c r="AA163" s="32">
        <v>27.87</v>
      </c>
      <c r="AB163" s="32">
        <v>-97.2</v>
      </c>
      <c r="AC163" s="32">
        <v>1100000</v>
      </c>
    </row>
    <row r="164" spans="3:29" ht="19">
      <c r="C164" s="22" t="s">
        <v>203</v>
      </c>
      <c r="D164" s="22" t="s">
        <v>1796</v>
      </c>
      <c r="E164" s="5">
        <v>30967</v>
      </c>
      <c r="F164" s="5">
        <v>42</v>
      </c>
      <c r="G164" s="28" t="s">
        <v>1723</v>
      </c>
      <c r="H164" s="6" t="s">
        <v>110</v>
      </c>
      <c r="J164" s="5" t="s">
        <v>104</v>
      </c>
      <c r="L164" s="27">
        <v>-17.600000000000001</v>
      </c>
      <c r="O164" s="27">
        <v>-10.763666666666667</v>
      </c>
      <c r="Q164" s="27">
        <v>-3.1936070589131305</v>
      </c>
      <c r="V164" s="32">
        <v>43405</v>
      </c>
      <c r="X164" s="33" t="s">
        <v>3400</v>
      </c>
      <c r="AA164" s="32">
        <v>27.87</v>
      </c>
      <c r="AB164" s="32">
        <v>-97.2</v>
      </c>
      <c r="AC164" s="32">
        <v>1100000</v>
      </c>
    </row>
    <row r="165" spans="3:29">
      <c r="C165" s="22" t="s">
        <v>203</v>
      </c>
      <c r="D165" s="22" t="s">
        <v>1796</v>
      </c>
      <c r="E165" s="5">
        <v>30967</v>
      </c>
      <c r="F165" s="5">
        <v>915</v>
      </c>
      <c r="G165" s="28" t="s">
        <v>1723</v>
      </c>
      <c r="H165" s="6" t="s">
        <v>110</v>
      </c>
      <c r="J165" s="5" t="s">
        <v>104</v>
      </c>
      <c r="L165" s="27">
        <v>-18.100000000000001</v>
      </c>
      <c r="O165" s="27">
        <v>-11.325999999999999</v>
      </c>
      <c r="Q165" s="27">
        <v>-4.220772410730774</v>
      </c>
      <c r="V165" s="32">
        <v>43405</v>
      </c>
      <c r="AA165" s="32">
        <v>27.87</v>
      </c>
      <c r="AB165" s="32">
        <v>-97.2</v>
      </c>
      <c r="AC165" s="32">
        <v>1100000</v>
      </c>
    </row>
    <row r="166" spans="3:29">
      <c r="C166" s="22" t="s">
        <v>203</v>
      </c>
      <c r="D166" s="22" t="s">
        <v>1796</v>
      </c>
      <c r="E166" s="5">
        <v>31141</v>
      </c>
      <c r="F166" s="5">
        <v>95</v>
      </c>
      <c r="G166" s="28" t="s">
        <v>1723</v>
      </c>
      <c r="H166" s="6" t="s">
        <v>3398</v>
      </c>
      <c r="J166" s="5" t="s">
        <v>104</v>
      </c>
      <c r="L166" s="27">
        <v>-13.2</v>
      </c>
      <c r="O166" s="27">
        <v>-6.3777499999999998</v>
      </c>
      <c r="Q166" s="27">
        <v>-3.6646595147236667</v>
      </c>
      <c r="V166" s="32">
        <v>43405</v>
      </c>
      <c r="W166" s="32">
        <v>3</v>
      </c>
      <c r="AA166" s="32">
        <v>28.070491000000001</v>
      </c>
      <c r="AB166" s="32">
        <v>-97.225471999999996</v>
      </c>
      <c r="AC166" s="32">
        <v>1100000</v>
      </c>
    </row>
    <row r="167" spans="3:29">
      <c r="C167" s="22" t="s">
        <v>203</v>
      </c>
      <c r="D167" s="22" t="s">
        <v>1796</v>
      </c>
      <c r="E167" s="5">
        <v>42263</v>
      </c>
      <c r="F167" s="5">
        <v>1</v>
      </c>
      <c r="G167" s="28" t="s">
        <v>1723</v>
      </c>
      <c r="J167" s="5" t="s">
        <v>104</v>
      </c>
      <c r="L167" s="27">
        <v>-6.5</v>
      </c>
      <c r="O167" s="27">
        <v>0.2653333333333332</v>
      </c>
      <c r="Q167" s="27">
        <v>0.69335920941898621</v>
      </c>
      <c r="V167" s="32">
        <v>43405</v>
      </c>
      <c r="AA167" s="32"/>
      <c r="AB167" s="32"/>
      <c r="AC167" s="32">
        <v>1100000</v>
      </c>
    </row>
    <row r="168" spans="3:29">
      <c r="C168" s="22" t="s">
        <v>203</v>
      </c>
      <c r="D168" s="22" t="s">
        <v>1796</v>
      </c>
      <c r="E168" s="5">
        <v>177</v>
      </c>
      <c r="F168" s="5" t="s">
        <v>996</v>
      </c>
      <c r="H168" s="6" t="s">
        <v>1797</v>
      </c>
      <c r="J168" s="5" t="s">
        <v>104</v>
      </c>
      <c r="L168" s="27">
        <v>-8.5</v>
      </c>
      <c r="O168" s="27">
        <v>-1.7480833333333337</v>
      </c>
      <c r="Q168" s="27">
        <v>-3.3371912959001975</v>
      </c>
      <c r="V168" s="32">
        <v>43405</v>
      </c>
      <c r="W168" s="32">
        <v>3</v>
      </c>
      <c r="AA168" s="32"/>
      <c r="AB168" s="32"/>
      <c r="AC168" s="32">
        <v>1100000</v>
      </c>
    </row>
    <row r="169" spans="3:29">
      <c r="C169" s="22" t="s">
        <v>203</v>
      </c>
      <c r="D169" s="22" t="s">
        <v>1796</v>
      </c>
      <c r="E169" s="5">
        <v>908</v>
      </c>
      <c r="F169" s="5">
        <v>2373</v>
      </c>
      <c r="G169" s="28" t="s">
        <v>1723</v>
      </c>
      <c r="H169" s="6" t="s">
        <v>250</v>
      </c>
      <c r="J169" s="5" t="s">
        <v>104</v>
      </c>
      <c r="L169" s="27">
        <v>-16.09</v>
      </c>
      <c r="O169" s="27">
        <v>-9.2888071200000013</v>
      </c>
      <c r="P169" s="5">
        <v>31.26996888</v>
      </c>
      <c r="Q169" s="27">
        <v>0.397695982</v>
      </c>
      <c r="V169" s="32">
        <v>43647</v>
      </c>
      <c r="AA169" s="32">
        <v>29.37</v>
      </c>
      <c r="AB169" s="32">
        <v>-99.47</v>
      </c>
      <c r="AC169" s="32">
        <v>1100000</v>
      </c>
    </row>
    <row r="170" spans="3:29">
      <c r="C170" s="22" t="s">
        <v>203</v>
      </c>
      <c r="D170" s="22" t="s">
        <v>1796</v>
      </c>
      <c r="E170" s="5">
        <v>908</v>
      </c>
      <c r="F170" s="5">
        <v>2382</v>
      </c>
      <c r="G170" s="28" t="s">
        <v>1723</v>
      </c>
      <c r="H170" s="6" t="s">
        <v>250</v>
      </c>
      <c r="J170" s="5" t="s">
        <v>104</v>
      </c>
      <c r="L170" s="27">
        <v>-14.68560355</v>
      </c>
      <c r="O170" s="27">
        <v>-7.885603549999999</v>
      </c>
      <c r="P170" s="5">
        <v>29.690919280000003</v>
      </c>
      <c r="Q170" s="27">
        <v>-1.1340829210000001</v>
      </c>
      <c r="V170" s="32">
        <v>43647</v>
      </c>
      <c r="AA170" s="32">
        <v>29.37</v>
      </c>
      <c r="AB170" s="32">
        <v>-99.47</v>
      </c>
      <c r="AC170" s="32">
        <v>1100000</v>
      </c>
    </row>
    <row r="171" spans="3:29">
      <c r="C171" s="22" t="s">
        <v>203</v>
      </c>
      <c r="D171" s="22" t="s">
        <v>1796</v>
      </c>
      <c r="E171" s="5">
        <v>30967</v>
      </c>
      <c r="F171" s="5">
        <v>2239</v>
      </c>
      <c r="G171" s="28" t="s">
        <v>1723</v>
      </c>
      <c r="H171" s="6" t="s">
        <v>110</v>
      </c>
      <c r="J171" s="5" t="s">
        <v>104</v>
      </c>
      <c r="O171" s="27">
        <v>-9.5128231599999999</v>
      </c>
      <c r="P171" s="5">
        <v>28.80996</v>
      </c>
      <c r="V171" s="32">
        <v>43647</v>
      </c>
      <c r="AA171" s="32">
        <v>27.87</v>
      </c>
      <c r="AB171" s="32">
        <v>-97.2</v>
      </c>
      <c r="AC171" s="32">
        <v>1100000</v>
      </c>
    </row>
    <row r="172" spans="3:29">
      <c r="C172" s="22" t="s">
        <v>203</v>
      </c>
      <c r="D172" s="22" t="s">
        <v>1796</v>
      </c>
      <c r="E172" s="5">
        <v>1295</v>
      </c>
      <c r="F172" s="5">
        <v>28</v>
      </c>
      <c r="G172" s="28" t="s">
        <v>1723</v>
      </c>
      <c r="H172" s="6" t="s">
        <v>1171</v>
      </c>
      <c r="J172" s="5" t="s">
        <v>104</v>
      </c>
      <c r="L172" s="27">
        <v>-14.39</v>
      </c>
      <c r="O172" s="27">
        <v>-7.59</v>
      </c>
      <c r="P172" s="5">
        <v>29.63</v>
      </c>
      <c r="Q172" s="27">
        <v>-1.1931785109999999</v>
      </c>
      <c r="V172" s="32">
        <v>43647</v>
      </c>
      <c r="AA172" s="32">
        <v>31.12</v>
      </c>
      <c r="AB172" s="32">
        <v>-98.75</v>
      </c>
      <c r="AC172" s="32">
        <v>1100000</v>
      </c>
    </row>
    <row r="173" spans="3:29">
      <c r="C173" s="22" t="s">
        <v>203</v>
      </c>
      <c r="D173" s="22" t="s">
        <v>1796</v>
      </c>
      <c r="E173" s="5">
        <v>1295</v>
      </c>
      <c r="F173" s="5">
        <v>30</v>
      </c>
      <c r="G173" s="28" t="s">
        <v>1723</v>
      </c>
      <c r="H173" s="6" t="s">
        <v>1171</v>
      </c>
      <c r="J173" s="5" t="s">
        <v>104</v>
      </c>
      <c r="L173" s="27">
        <v>-9.75</v>
      </c>
      <c r="O173" s="27">
        <v>-2.95</v>
      </c>
      <c r="P173" s="5">
        <v>29.04</v>
      </c>
      <c r="Q173" s="27">
        <v>-1.765516171</v>
      </c>
      <c r="V173" s="32">
        <v>43647</v>
      </c>
      <c r="AA173" s="32">
        <v>31.12</v>
      </c>
      <c r="AB173" s="32">
        <v>-98.75</v>
      </c>
      <c r="AC173" s="32">
        <v>1100000</v>
      </c>
    </row>
    <row r="174" spans="3:29">
      <c r="C174" s="22" t="s">
        <v>203</v>
      </c>
      <c r="D174" s="22" t="s">
        <v>1796</v>
      </c>
      <c r="E174" s="5">
        <v>30967</v>
      </c>
      <c r="F174" s="5">
        <v>1240</v>
      </c>
      <c r="G174" s="28" t="s">
        <v>1723</v>
      </c>
      <c r="H174" s="6" t="s">
        <v>110</v>
      </c>
      <c r="J174" s="5" t="s">
        <v>104</v>
      </c>
      <c r="L174" s="27">
        <v>-18.18</v>
      </c>
      <c r="O174" s="27">
        <v>-11.38</v>
      </c>
      <c r="P174" s="5">
        <v>27.62</v>
      </c>
      <c r="Q174" s="27">
        <v>-3.1430068100000002</v>
      </c>
      <c r="V174" s="32">
        <v>43647</v>
      </c>
      <c r="AA174" s="32">
        <v>27.87</v>
      </c>
      <c r="AB174" s="32">
        <v>-97.2</v>
      </c>
      <c r="AC174" s="32">
        <v>1100000</v>
      </c>
    </row>
    <row r="175" spans="3:29">
      <c r="C175" s="22" t="s">
        <v>203</v>
      </c>
      <c r="D175" s="22" t="s">
        <v>1796</v>
      </c>
      <c r="E175" s="5">
        <v>30967</v>
      </c>
      <c r="F175" s="5">
        <v>2142</v>
      </c>
      <c r="G175" s="28" t="s">
        <v>1723</v>
      </c>
      <c r="H175" s="6" t="s">
        <v>110</v>
      </c>
      <c r="J175" s="5" t="s">
        <v>104</v>
      </c>
      <c r="L175" s="27">
        <v>-6.25</v>
      </c>
      <c r="O175" s="27">
        <v>0.54780892000000136</v>
      </c>
      <c r="P175" s="5">
        <v>28.71192336</v>
      </c>
      <c r="Q175" s="27">
        <v>-2.0837714530000002</v>
      </c>
      <c r="V175" s="32">
        <v>43647</v>
      </c>
      <c r="AA175" s="32">
        <v>27.87</v>
      </c>
      <c r="AB175" s="32">
        <v>-97.2</v>
      </c>
      <c r="AC175" s="32">
        <v>1100000</v>
      </c>
    </row>
    <row r="176" spans="3:29">
      <c r="C176" s="22" t="s">
        <v>203</v>
      </c>
      <c r="D176" s="22" t="s">
        <v>1796</v>
      </c>
      <c r="E176" s="5">
        <v>31141</v>
      </c>
      <c r="F176" s="5">
        <v>50</v>
      </c>
      <c r="G176" s="28" t="s">
        <v>1723</v>
      </c>
      <c r="H176" s="6" t="s">
        <v>3398</v>
      </c>
      <c r="J176" s="5" t="s">
        <v>104</v>
      </c>
      <c r="L176" s="27">
        <v>-18.168013599999998</v>
      </c>
      <c r="O176" s="27">
        <v>-11.368013599999999</v>
      </c>
      <c r="P176" s="5">
        <v>28.39761304</v>
      </c>
      <c r="Q176" s="27">
        <v>-2.3886725260000001</v>
      </c>
      <c r="V176" s="32">
        <v>43647</v>
      </c>
      <c r="AA176" s="32">
        <v>28.070491000000001</v>
      </c>
      <c r="AB176" s="32">
        <v>-97.225471999999996</v>
      </c>
      <c r="AC176" s="32">
        <v>1100000</v>
      </c>
    </row>
    <row r="177" spans="3:29">
      <c r="C177" s="22" t="s">
        <v>203</v>
      </c>
      <c r="D177" s="22" t="s">
        <v>1796</v>
      </c>
      <c r="E177" s="5">
        <v>40685</v>
      </c>
      <c r="F177" s="5">
        <v>814</v>
      </c>
      <c r="G177" s="28" t="s">
        <v>1723</v>
      </c>
      <c r="H177" s="6" t="s">
        <v>134</v>
      </c>
      <c r="J177" s="5" t="s">
        <v>104</v>
      </c>
      <c r="L177" s="27">
        <v>-6.99</v>
      </c>
      <c r="O177" s="27">
        <v>-0.19</v>
      </c>
      <c r="P177" s="5">
        <v>28.7</v>
      </c>
      <c r="Q177" s="27">
        <v>-2.0953378730000001</v>
      </c>
      <c r="V177" s="32">
        <v>43647</v>
      </c>
      <c r="AA177" s="32">
        <v>30.75</v>
      </c>
      <c r="AB177" s="32">
        <v>-99.25</v>
      </c>
      <c r="AC177" s="32">
        <v>1100000</v>
      </c>
    </row>
    <row r="178" spans="3:29" ht="19">
      <c r="C178" s="22" t="s">
        <v>203</v>
      </c>
      <c r="D178" s="22" t="s">
        <v>204</v>
      </c>
      <c r="E178" s="5">
        <v>30967</v>
      </c>
      <c r="F178" s="5">
        <v>142</v>
      </c>
      <c r="G178" s="28" t="s">
        <v>1723</v>
      </c>
      <c r="H178" s="6" t="s">
        <v>110</v>
      </c>
      <c r="J178" s="5" t="s">
        <v>104</v>
      </c>
      <c r="L178" s="27">
        <v>-5.8</v>
      </c>
      <c r="O178" s="27">
        <v>1</v>
      </c>
      <c r="P178" s="5">
        <v>30.5</v>
      </c>
      <c r="Q178" s="27">
        <v>-0.34899999999999998</v>
      </c>
      <c r="S178" s="27">
        <v>0</v>
      </c>
      <c r="V178" s="32" t="s">
        <v>3415</v>
      </c>
      <c r="X178" s="33" t="s">
        <v>3416</v>
      </c>
      <c r="Y178" s="32">
        <v>50000</v>
      </c>
      <c r="AA178" s="32">
        <v>27.87</v>
      </c>
      <c r="AB178" s="32">
        <v>-97.2</v>
      </c>
      <c r="AC178" s="32">
        <v>1100000</v>
      </c>
    </row>
    <row r="179" spans="3:29" ht="19">
      <c r="C179" s="22" t="s">
        <v>203</v>
      </c>
      <c r="D179" s="22" t="s">
        <v>204</v>
      </c>
      <c r="E179" s="5">
        <v>30967</v>
      </c>
      <c r="F179" s="5">
        <v>182</v>
      </c>
      <c r="G179" s="28" t="s">
        <v>1723</v>
      </c>
      <c r="H179" s="6" t="s">
        <v>110</v>
      </c>
      <c r="J179" s="5" t="s">
        <v>104</v>
      </c>
      <c r="L179" s="27">
        <v>-17.399999999999999</v>
      </c>
      <c r="O179" s="27">
        <v>-10.6</v>
      </c>
      <c r="P179" s="5">
        <v>31</v>
      </c>
      <c r="Q179" s="27">
        <v>0.13600000000000001</v>
      </c>
      <c r="S179" s="27">
        <v>0</v>
      </c>
      <c r="V179" s="32" t="s">
        <v>3415</v>
      </c>
      <c r="X179" s="33" t="s">
        <v>3421</v>
      </c>
      <c r="Y179" s="32">
        <v>50000</v>
      </c>
      <c r="AA179" s="32">
        <v>27.87</v>
      </c>
      <c r="AB179" s="32">
        <v>-97.2</v>
      </c>
      <c r="AC179" s="32">
        <v>1100000</v>
      </c>
    </row>
    <row r="180" spans="3:29" ht="19">
      <c r="C180" s="22" t="s">
        <v>203</v>
      </c>
      <c r="D180" s="22" t="s">
        <v>204</v>
      </c>
      <c r="E180" s="5">
        <v>30967</v>
      </c>
      <c r="F180" s="5">
        <v>236</v>
      </c>
      <c r="G180" s="28" t="s">
        <v>1723</v>
      </c>
      <c r="H180" s="6" t="s">
        <v>110</v>
      </c>
      <c r="J180" s="5" t="s">
        <v>104</v>
      </c>
      <c r="L180" s="27">
        <v>-16.600000000000001</v>
      </c>
      <c r="O180" s="27">
        <v>-9.8000000000000007</v>
      </c>
      <c r="P180" s="5">
        <v>31.3</v>
      </c>
      <c r="Q180" s="27">
        <v>0.42699999999999999</v>
      </c>
      <c r="S180" s="27">
        <v>0</v>
      </c>
      <c r="V180" s="32" t="s">
        <v>3415</v>
      </c>
      <c r="X180" s="33" t="s">
        <v>1175</v>
      </c>
      <c r="Y180" s="32">
        <v>50000</v>
      </c>
      <c r="AA180" s="32">
        <v>27.87</v>
      </c>
      <c r="AB180" s="32">
        <v>-97.2</v>
      </c>
      <c r="AC180" s="32">
        <v>1100000</v>
      </c>
    </row>
    <row r="181" spans="3:29" ht="19">
      <c r="C181" s="22" t="s">
        <v>203</v>
      </c>
      <c r="D181" s="22" t="s">
        <v>204</v>
      </c>
      <c r="E181" s="5">
        <v>30967</v>
      </c>
      <c r="F181" s="5">
        <v>237</v>
      </c>
      <c r="G181" s="28" t="s">
        <v>1723</v>
      </c>
      <c r="H181" s="6" t="s">
        <v>110</v>
      </c>
      <c r="J181" s="5" t="s">
        <v>104</v>
      </c>
      <c r="L181" s="27">
        <v>-16.7</v>
      </c>
      <c r="O181" s="27">
        <v>-9.9</v>
      </c>
      <c r="P181" s="5">
        <v>30.3</v>
      </c>
      <c r="Q181" s="27">
        <v>-0.54300000000000004</v>
      </c>
      <c r="S181" s="27">
        <v>0</v>
      </c>
      <c r="V181" s="32" t="s">
        <v>3415</v>
      </c>
      <c r="X181" s="33" t="s">
        <v>3422</v>
      </c>
      <c r="Y181" s="32">
        <v>50000</v>
      </c>
      <c r="AA181" s="32">
        <v>27.87</v>
      </c>
      <c r="AB181" s="32">
        <v>-97.2</v>
      </c>
      <c r="AC181" s="32">
        <v>1100000</v>
      </c>
    </row>
    <row r="182" spans="3:29" ht="19">
      <c r="C182" s="22" t="s">
        <v>203</v>
      </c>
      <c r="D182" s="22" t="s">
        <v>204</v>
      </c>
      <c r="E182" s="5">
        <v>30967</v>
      </c>
      <c r="F182" s="5">
        <v>239</v>
      </c>
      <c r="G182" s="28" t="s">
        <v>1723</v>
      </c>
      <c r="H182" s="6" t="s">
        <v>110</v>
      </c>
      <c r="J182" s="5" t="s">
        <v>104</v>
      </c>
      <c r="L182" s="27">
        <v>-17.5</v>
      </c>
      <c r="O182" s="27">
        <v>-10.7</v>
      </c>
      <c r="P182" s="5">
        <v>31.1</v>
      </c>
      <c r="Q182" s="27">
        <v>0.23300000000000001</v>
      </c>
      <c r="S182" s="27">
        <v>0</v>
      </c>
      <c r="V182" s="32" t="s">
        <v>3415</v>
      </c>
      <c r="X182" s="33" t="s">
        <v>3423</v>
      </c>
      <c r="Y182" s="32">
        <v>50000</v>
      </c>
      <c r="AA182" s="32">
        <v>27.87</v>
      </c>
      <c r="AB182" s="32">
        <v>-97.2</v>
      </c>
      <c r="AC182" s="32">
        <v>1100000</v>
      </c>
    </row>
    <row r="183" spans="3:29" ht="19">
      <c r="C183" s="22" t="s">
        <v>203</v>
      </c>
      <c r="D183" s="22" t="s">
        <v>204</v>
      </c>
      <c r="E183" s="5">
        <v>30967</v>
      </c>
      <c r="F183" s="5">
        <v>240</v>
      </c>
      <c r="G183" s="28" t="s">
        <v>1723</v>
      </c>
      <c r="H183" s="6" t="s">
        <v>110</v>
      </c>
      <c r="J183" s="5" t="s">
        <v>104</v>
      </c>
      <c r="L183" s="27">
        <v>-18.5</v>
      </c>
      <c r="O183" s="27">
        <v>-11.7</v>
      </c>
      <c r="P183" s="5">
        <v>30.8</v>
      </c>
      <c r="Q183" s="27">
        <v>-5.8000000000000003E-2</v>
      </c>
      <c r="S183" s="27">
        <v>0</v>
      </c>
      <c r="V183" s="32" t="s">
        <v>3415</v>
      </c>
      <c r="X183" s="33" t="s">
        <v>3424</v>
      </c>
      <c r="Y183" s="32">
        <v>50000</v>
      </c>
      <c r="AA183" s="32">
        <v>27.87</v>
      </c>
      <c r="AB183" s="32">
        <v>-97.2</v>
      </c>
      <c r="AC183" s="32">
        <v>1100000</v>
      </c>
    </row>
    <row r="184" spans="3:29" ht="19">
      <c r="C184" s="22" t="s">
        <v>203</v>
      </c>
      <c r="D184" s="22" t="s">
        <v>204</v>
      </c>
      <c r="E184" s="5">
        <v>30967</v>
      </c>
      <c r="F184" s="5">
        <v>290</v>
      </c>
      <c r="G184" s="28" t="s">
        <v>1723</v>
      </c>
      <c r="H184" s="6" t="s">
        <v>110</v>
      </c>
      <c r="J184" s="5" t="s">
        <v>104</v>
      </c>
      <c r="L184" s="27">
        <v>-17.7</v>
      </c>
      <c r="O184" s="27">
        <v>-10.9</v>
      </c>
      <c r="P184" s="5">
        <v>29.5</v>
      </c>
      <c r="Q184" s="27">
        <v>-1.319</v>
      </c>
      <c r="S184" s="27">
        <v>0</v>
      </c>
      <c r="V184" s="32" t="s">
        <v>3415</v>
      </c>
      <c r="X184" s="33" t="s">
        <v>3425</v>
      </c>
      <c r="Y184" s="32">
        <v>50000</v>
      </c>
      <c r="AA184" s="32">
        <v>27.87</v>
      </c>
      <c r="AB184" s="32">
        <v>-97.2</v>
      </c>
      <c r="AC184" s="32">
        <v>1100000</v>
      </c>
    </row>
    <row r="185" spans="3:29" ht="19">
      <c r="C185" s="22" t="s">
        <v>203</v>
      </c>
      <c r="D185" s="22" t="s">
        <v>204</v>
      </c>
      <c r="E185" s="5">
        <v>30967</v>
      </c>
      <c r="F185" s="5">
        <v>77</v>
      </c>
      <c r="G185" s="28" t="s">
        <v>1723</v>
      </c>
      <c r="H185" s="6" t="s">
        <v>110</v>
      </c>
      <c r="J185" s="5" t="s">
        <v>104</v>
      </c>
      <c r="L185" s="27">
        <v>-8.8000000000000007</v>
      </c>
      <c r="O185" s="27">
        <v>-2</v>
      </c>
      <c r="P185" s="5">
        <v>29.3</v>
      </c>
      <c r="Q185" s="27">
        <v>-1.5129999999999999</v>
      </c>
      <c r="S185" s="27">
        <v>0</v>
      </c>
      <c r="V185" s="32" t="s">
        <v>3415</v>
      </c>
      <c r="X185" s="33" t="s">
        <v>174</v>
      </c>
      <c r="Y185" s="32">
        <v>50000</v>
      </c>
      <c r="AA185" s="32">
        <v>27.87</v>
      </c>
      <c r="AB185" s="32">
        <v>-97.2</v>
      </c>
      <c r="AC185" s="32">
        <v>1100000</v>
      </c>
    </row>
    <row r="186" spans="3:29" ht="19">
      <c r="C186" s="22" t="s">
        <v>203</v>
      </c>
      <c r="D186" s="22" t="s">
        <v>204</v>
      </c>
      <c r="E186" s="5">
        <v>30967</v>
      </c>
      <c r="F186" s="5">
        <v>915</v>
      </c>
      <c r="G186" s="28" t="s">
        <v>1723</v>
      </c>
      <c r="H186" s="6" t="s">
        <v>110</v>
      </c>
      <c r="J186" s="5" t="s">
        <v>104</v>
      </c>
      <c r="L186" s="27">
        <v>-18.8</v>
      </c>
      <c r="O186" s="27">
        <v>-12</v>
      </c>
      <c r="P186" s="5">
        <v>29.2</v>
      </c>
      <c r="Q186" s="27">
        <v>-1.61</v>
      </c>
      <c r="S186" s="27">
        <v>0</v>
      </c>
      <c r="V186" s="32" t="s">
        <v>3415</v>
      </c>
      <c r="X186" s="33" t="s">
        <v>209</v>
      </c>
      <c r="Y186" s="32">
        <v>50000</v>
      </c>
      <c r="AA186" s="32">
        <v>27.87</v>
      </c>
      <c r="AB186" s="32">
        <v>-97.2</v>
      </c>
      <c r="AC186" s="32">
        <v>1100000</v>
      </c>
    </row>
    <row r="187" spans="3:29">
      <c r="C187" s="22" t="s">
        <v>203</v>
      </c>
      <c r="D187" s="22" t="s">
        <v>204</v>
      </c>
      <c r="E187" s="5">
        <v>933</v>
      </c>
      <c r="F187" s="5">
        <v>1922</v>
      </c>
      <c r="G187" s="28" t="s">
        <v>1723</v>
      </c>
      <c r="H187" s="6" t="s">
        <v>249</v>
      </c>
      <c r="J187" s="5" t="s">
        <v>104</v>
      </c>
      <c r="L187" s="27">
        <v>-14</v>
      </c>
      <c r="O187" s="27">
        <v>-7.2</v>
      </c>
      <c r="Q187" s="27">
        <v>0</v>
      </c>
      <c r="S187" s="27">
        <v>0</v>
      </c>
      <c r="V187" s="32" t="e">
        <v>#N/A</v>
      </c>
      <c r="AA187" s="32">
        <v>29.62</v>
      </c>
      <c r="AB187" s="32">
        <v>-98.37</v>
      </c>
      <c r="AC187" s="32">
        <v>1100000</v>
      </c>
    </row>
    <row r="188" spans="3:29">
      <c r="C188" s="22" t="s">
        <v>203</v>
      </c>
      <c r="D188" s="22" t="s">
        <v>204</v>
      </c>
      <c r="E188" s="5" t="s">
        <v>1792</v>
      </c>
      <c r="F188" s="5" t="s">
        <v>996</v>
      </c>
      <c r="G188" s="28" t="s">
        <v>1723</v>
      </c>
      <c r="H188" s="6" t="s">
        <v>990</v>
      </c>
      <c r="J188" s="5" t="s">
        <v>104</v>
      </c>
      <c r="K188" s="27" t="s">
        <v>487</v>
      </c>
      <c r="L188" s="27">
        <v>-16.29</v>
      </c>
      <c r="O188" s="27">
        <v>-9.49</v>
      </c>
      <c r="P188" s="5">
        <v>29.99</v>
      </c>
      <c r="Q188" s="27">
        <v>-0.84484705999999998</v>
      </c>
      <c r="V188" s="32" t="e">
        <v>#N/A</v>
      </c>
      <c r="W188" s="32" t="s">
        <v>487</v>
      </c>
      <c r="Y188" s="32" t="s">
        <v>487</v>
      </c>
      <c r="AA188" s="32" t="s">
        <v>487</v>
      </c>
      <c r="AB188" s="32" t="s">
        <v>487</v>
      </c>
      <c r="AC188" s="32">
        <v>1100000</v>
      </c>
    </row>
    <row r="189" spans="3:29" ht="19">
      <c r="C189" s="22" t="s">
        <v>1800</v>
      </c>
      <c r="D189" s="22" t="s">
        <v>1796</v>
      </c>
      <c r="E189" s="5" t="s">
        <v>1801</v>
      </c>
      <c r="F189" s="5">
        <v>5416</v>
      </c>
      <c r="G189" s="28" t="s">
        <v>1723</v>
      </c>
      <c r="H189" s="6" t="s">
        <v>3426</v>
      </c>
      <c r="J189" s="5" t="s">
        <v>1744</v>
      </c>
      <c r="M189" s="56" t="s">
        <v>487</v>
      </c>
      <c r="N189" s="56" t="s">
        <v>487</v>
      </c>
      <c r="R189" s="27" t="s">
        <v>463</v>
      </c>
      <c r="S189" s="27" t="s">
        <v>487</v>
      </c>
      <c r="V189" s="32" t="s">
        <v>3417</v>
      </c>
      <c r="W189" s="32">
        <v>4</v>
      </c>
      <c r="X189" s="33" t="s">
        <v>3427</v>
      </c>
      <c r="AA189" s="32"/>
      <c r="AB189" s="32"/>
      <c r="AC189" s="32">
        <v>1100000</v>
      </c>
    </row>
    <row r="190" spans="3:29" ht="19">
      <c r="C190" s="22" t="s">
        <v>266</v>
      </c>
      <c r="D190" s="22" t="s">
        <v>282</v>
      </c>
      <c r="E190" s="5">
        <v>933</v>
      </c>
      <c r="F190" s="5" t="s">
        <v>1832</v>
      </c>
      <c r="G190" s="28" t="s">
        <v>1827</v>
      </c>
      <c r="H190" s="6" t="s">
        <v>249</v>
      </c>
      <c r="J190" s="5" t="s">
        <v>104</v>
      </c>
      <c r="M190" s="56" t="s">
        <v>487</v>
      </c>
      <c r="N190" s="56">
        <v>-19.5</v>
      </c>
      <c r="R190" s="27">
        <v>9.4</v>
      </c>
      <c r="S190" s="27">
        <v>4.3</v>
      </c>
      <c r="V190" s="32" t="s">
        <v>3346</v>
      </c>
      <c r="W190" s="32">
        <v>1</v>
      </c>
      <c r="X190" s="33" t="s">
        <v>487</v>
      </c>
      <c r="Y190" s="32">
        <v>18500</v>
      </c>
      <c r="Z190" s="31" t="s">
        <v>3367</v>
      </c>
      <c r="AA190" s="32">
        <v>29.62</v>
      </c>
      <c r="AB190" s="32">
        <v>-98.37</v>
      </c>
      <c r="AC190" s="32">
        <v>65000</v>
      </c>
    </row>
    <row r="191" spans="3:29" ht="38">
      <c r="C191" s="22" t="s">
        <v>266</v>
      </c>
      <c r="D191" s="22" t="s">
        <v>282</v>
      </c>
      <c r="E191" s="5">
        <v>30967</v>
      </c>
      <c r="F191" s="5">
        <v>172</v>
      </c>
      <c r="G191" s="28" t="s">
        <v>1827</v>
      </c>
      <c r="H191" s="6" t="s">
        <v>110</v>
      </c>
      <c r="J191" s="5" t="s">
        <v>104</v>
      </c>
      <c r="M191" s="56" t="s">
        <v>487</v>
      </c>
      <c r="N191" s="56" t="s">
        <v>487</v>
      </c>
      <c r="R191" s="27" t="s">
        <v>463</v>
      </c>
      <c r="S191" s="27">
        <v>100</v>
      </c>
      <c r="V191" s="32" t="s">
        <v>3353</v>
      </c>
      <c r="W191" s="32">
        <v>6</v>
      </c>
      <c r="X191" s="33" t="s">
        <v>3428</v>
      </c>
      <c r="Y191" s="32">
        <v>50000</v>
      </c>
      <c r="AA191" s="32">
        <v>27.87</v>
      </c>
      <c r="AB191" s="32">
        <v>-97.2</v>
      </c>
      <c r="AC191" s="32">
        <v>65000</v>
      </c>
    </row>
    <row r="192" spans="3:29" ht="38">
      <c r="C192" s="22" t="s">
        <v>266</v>
      </c>
      <c r="D192" s="22" t="s">
        <v>282</v>
      </c>
      <c r="E192" s="5">
        <v>908</v>
      </c>
      <c r="F192" s="5">
        <v>2428</v>
      </c>
      <c r="G192" s="28" t="s">
        <v>1827</v>
      </c>
      <c r="H192" s="6" t="s">
        <v>250</v>
      </c>
      <c r="J192" s="5" t="s">
        <v>104</v>
      </c>
      <c r="M192" s="56" t="s">
        <v>487</v>
      </c>
      <c r="N192" s="56">
        <v>-27.8</v>
      </c>
      <c r="R192" s="27" t="s">
        <v>463</v>
      </c>
      <c r="S192" s="27">
        <v>100</v>
      </c>
      <c r="V192" s="32" t="s">
        <v>3353</v>
      </c>
      <c r="W192" s="32">
        <v>4</v>
      </c>
      <c r="X192" s="33" t="s">
        <v>3429</v>
      </c>
      <c r="Y192" s="32">
        <v>13000</v>
      </c>
      <c r="AA192" s="32">
        <v>29.37</v>
      </c>
      <c r="AB192" s="32">
        <v>-99.47</v>
      </c>
      <c r="AC192" s="32">
        <v>65000</v>
      </c>
    </row>
    <row r="193" spans="1:31" ht="38">
      <c r="C193" s="22" t="s">
        <v>266</v>
      </c>
      <c r="D193" s="22" t="s">
        <v>282</v>
      </c>
      <c r="E193" s="5">
        <v>908</v>
      </c>
      <c r="F193" s="5">
        <v>2429</v>
      </c>
      <c r="G193" s="28" t="s">
        <v>1827</v>
      </c>
      <c r="H193" s="6" t="s">
        <v>250</v>
      </c>
      <c r="J193" s="5" t="s">
        <v>104</v>
      </c>
      <c r="M193" s="56" t="s">
        <v>487</v>
      </c>
      <c r="N193" s="56" t="s">
        <v>487</v>
      </c>
      <c r="R193" s="27" t="s">
        <v>463</v>
      </c>
      <c r="S193" s="27">
        <v>100</v>
      </c>
      <c r="V193" s="32" t="s">
        <v>3353</v>
      </c>
      <c r="W193" s="32">
        <v>4</v>
      </c>
      <c r="X193" s="33" t="s">
        <v>3429</v>
      </c>
      <c r="Y193" s="32">
        <v>13000</v>
      </c>
      <c r="AA193" s="32">
        <v>29.37</v>
      </c>
      <c r="AB193" s="32">
        <v>-99.47</v>
      </c>
      <c r="AC193" s="32">
        <v>65000</v>
      </c>
    </row>
    <row r="194" spans="1:31" ht="38">
      <c r="C194" s="22" t="s">
        <v>266</v>
      </c>
      <c r="D194" s="22" t="s">
        <v>282</v>
      </c>
      <c r="E194" s="5">
        <v>908</v>
      </c>
      <c r="F194" s="5">
        <v>2430</v>
      </c>
      <c r="G194" s="28" t="s">
        <v>1827</v>
      </c>
      <c r="H194" s="6" t="s">
        <v>250</v>
      </c>
      <c r="J194" s="5" t="s">
        <v>104</v>
      </c>
      <c r="M194" s="56" t="s">
        <v>487</v>
      </c>
      <c r="N194" s="56">
        <v>-28.1</v>
      </c>
      <c r="R194" s="27" t="s">
        <v>463</v>
      </c>
      <c r="S194" s="27">
        <v>100</v>
      </c>
      <c r="V194" s="32" t="s">
        <v>3353</v>
      </c>
      <c r="W194" s="32">
        <v>4</v>
      </c>
      <c r="X194" s="33" t="s">
        <v>3429</v>
      </c>
      <c r="Y194" s="32">
        <v>13000</v>
      </c>
      <c r="AA194" s="32">
        <v>29.37</v>
      </c>
      <c r="AB194" s="32">
        <v>-99.47</v>
      </c>
      <c r="AC194" s="32">
        <v>65000</v>
      </c>
    </row>
    <row r="195" spans="1:31" ht="19">
      <c r="C195" s="22" t="s">
        <v>266</v>
      </c>
      <c r="D195" s="22" t="s">
        <v>350</v>
      </c>
      <c r="E195" s="5">
        <v>40685</v>
      </c>
      <c r="F195" s="5">
        <v>773</v>
      </c>
      <c r="G195" s="28" t="s">
        <v>1827</v>
      </c>
      <c r="H195" s="6" t="s">
        <v>134</v>
      </c>
      <c r="J195" s="5" t="s">
        <v>104</v>
      </c>
      <c r="M195" s="56" t="s">
        <v>487</v>
      </c>
      <c r="N195" s="56" t="s">
        <v>487</v>
      </c>
      <c r="R195" s="27" t="s">
        <v>463</v>
      </c>
      <c r="S195" s="27">
        <v>100</v>
      </c>
      <c r="V195" s="32" t="s">
        <v>3353</v>
      </c>
      <c r="W195" s="32">
        <v>1</v>
      </c>
      <c r="X195" s="33" t="s">
        <v>104</v>
      </c>
      <c r="Y195" s="32">
        <v>30000</v>
      </c>
      <c r="AA195" s="32">
        <v>30.75</v>
      </c>
      <c r="AB195" s="32">
        <v>-99.25</v>
      </c>
      <c r="AC195" s="32">
        <v>13406</v>
      </c>
    </row>
    <row r="196" spans="1:31" ht="38">
      <c r="C196" s="22" t="s">
        <v>266</v>
      </c>
      <c r="D196" s="22" t="s">
        <v>350</v>
      </c>
      <c r="E196" s="5">
        <v>908</v>
      </c>
      <c r="F196" s="5">
        <v>2316</v>
      </c>
      <c r="G196" s="28" t="s">
        <v>1827</v>
      </c>
      <c r="H196" s="6" t="s">
        <v>250</v>
      </c>
      <c r="J196" s="5" t="s">
        <v>104</v>
      </c>
      <c r="M196" s="56" t="s">
        <v>487</v>
      </c>
      <c r="N196" s="56">
        <v>-27.7</v>
      </c>
      <c r="R196" s="27" t="s">
        <v>463</v>
      </c>
      <c r="S196" s="27">
        <v>100</v>
      </c>
      <c r="V196" s="32" t="s">
        <v>3353</v>
      </c>
      <c r="W196" s="32">
        <v>4</v>
      </c>
      <c r="X196" s="33" t="s">
        <v>3430</v>
      </c>
      <c r="Y196" s="32">
        <v>13000</v>
      </c>
      <c r="AA196" s="32">
        <v>29.37</v>
      </c>
      <c r="AB196" s="32">
        <v>-99.47</v>
      </c>
      <c r="AC196" s="32">
        <v>13406</v>
      </c>
    </row>
    <row r="197" spans="1:31" ht="19">
      <c r="C197" s="22" t="s">
        <v>266</v>
      </c>
      <c r="D197" s="22" t="s">
        <v>350</v>
      </c>
      <c r="E197" s="5">
        <v>908</v>
      </c>
      <c r="F197" s="5">
        <v>4267</v>
      </c>
      <c r="G197" s="28" t="s">
        <v>1827</v>
      </c>
      <c r="H197" s="6" t="s">
        <v>250</v>
      </c>
      <c r="J197" s="28" t="s">
        <v>225</v>
      </c>
      <c r="M197" s="56" t="s">
        <v>487</v>
      </c>
      <c r="N197" s="56" t="s">
        <v>487</v>
      </c>
      <c r="R197" s="27">
        <v>0.4</v>
      </c>
      <c r="S197" s="27">
        <v>13.1</v>
      </c>
      <c r="V197" s="32" t="s">
        <v>3353</v>
      </c>
      <c r="W197" s="32">
        <v>4</v>
      </c>
      <c r="X197" s="33" t="s">
        <v>3431</v>
      </c>
      <c r="Z197" s="31" t="s">
        <v>3432</v>
      </c>
      <c r="AA197" s="32">
        <v>29.37</v>
      </c>
      <c r="AB197" s="32">
        <v>-99.47</v>
      </c>
      <c r="AC197" s="32">
        <v>13406</v>
      </c>
    </row>
    <row r="198" spans="1:31" s="12" customFormat="1" ht="64">
      <c r="A198" s="5"/>
      <c r="B198" s="5"/>
      <c r="C198" s="22" t="s">
        <v>266</v>
      </c>
      <c r="D198" s="22" t="s">
        <v>151</v>
      </c>
      <c r="E198" s="5">
        <v>908</v>
      </c>
      <c r="F198" s="5">
        <v>4300</v>
      </c>
      <c r="G198" s="28" t="s">
        <v>1827</v>
      </c>
      <c r="H198" s="6" t="s">
        <v>250</v>
      </c>
      <c r="I198" s="6"/>
      <c r="J198" s="5" t="s">
        <v>225</v>
      </c>
      <c r="K198" s="27"/>
      <c r="L198" s="27"/>
      <c r="M198" s="56" t="s">
        <v>487</v>
      </c>
      <c r="N198" s="56" t="s">
        <v>487</v>
      </c>
      <c r="O198" s="27"/>
      <c r="P198" s="5"/>
      <c r="Q198" s="27"/>
      <c r="R198" s="27">
        <v>0.4</v>
      </c>
      <c r="S198" s="27">
        <v>12.9</v>
      </c>
      <c r="T198" s="5"/>
      <c r="U198" s="24"/>
      <c r="V198" s="32" t="s">
        <v>3353</v>
      </c>
      <c r="W198" s="32">
        <v>5</v>
      </c>
      <c r="X198" s="33" t="s">
        <v>3389</v>
      </c>
      <c r="Y198" s="32">
        <v>2000</v>
      </c>
      <c r="Z198" s="31" t="s">
        <v>3433</v>
      </c>
      <c r="AA198" s="32">
        <v>29.37</v>
      </c>
      <c r="AB198" s="32">
        <v>-99.47</v>
      </c>
      <c r="AC198" s="32"/>
      <c r="AD198" s="24"/>
      <c r="AE198" s="24"/>
    </row>
    <row r="199" spans="1:31" s="12" customFormat="1" ht="19">
      <c r="A199" s="5"/>
      <c r="B199" s="5"/>
      <c r="C199" s="22" t="s">
        <v>266</v>
      </c>
      <c r="D199" s="22" t="s">
        <v>282</v>
      </c>
      <c r="E199" s="5">
        <v>30967</v>
      </c>
      <c r="F199" s="5">
        <v>172</v>
      </c>
      <c r="G199" s="28" t="s">
        <v>1827</v>
      </c>
      <c r="H199" s="6" t="s">
        <v>110</v>
      </c>
      <c r="I199" s="6"/>
      <c r="J199" s="5" t="s">
        <v>104</v>
      </c>
      <c r="K199" s="27"/>
      <c r="L199" s="27"/>
      <c r="M199" s="56" t="s">
        <v>487</v>
      </c>
      <c r="N199" s="56">
        <v>-24.9</v>
      </c>
      <c r="O199" s="27"/>
      <c r="P199" s="5"/>
      <c r="Q199" s="27"/>
      <c r="R199" s="27">
        <v>1.4</v>
      </c>
      <c r="S199" s="27">
        <v>5.8</v>
      </c>
      <c r="T199" s="5"/>
      <c r="U199" s="24"/>
      <c r="V199" s="32" t="s">
        <v>3353</v>
      </c>
      <c r="W199" s="32">
        <v>5</v>
      </c>
      <c r="X199" s="33" t="s">
        <v>3434</v>
      </c>
      <c r="Y199" s="32">
        <v>50000</v>
      </c>
      <c r="Z199" s="31"/>
      <c r="AA199" s="32">
        <v>27.87</v>
      </c>
      <c r="AB199" s="32">
        <v>-97.2</v>
      </c>
      <c r="AC199" s="32">
        <v>65000</v>
      </c>
      <c r="AD199" s="24"/>
      <c r="AE199" s="24"/>
    </row>
    <row r="200" spans="1:31" s="12" customFormat="1">
      <c r="A200" s="5"/>
      <c r="B200" s="5"/>
      <c r="C200" s="22" t="s">
        <v>266</v>
      </c>
      <c r="D200" s="22" t="s">
        <v>350</v>
      </c>
      <c r="E200" s="5">
        <v>1295</v>
      </c>
      <c r="F200" s="5">
        <v>1</v>
      </c>
      <c r="G200" s="28" t="s">
        <v>1827</v>
      </c>
      <c r="H200" s="6" t="s">
        <v>1171</v>
      </c>
      <c r="I200" s="6"/>
      <c r="J200" s="5" t="s">
        <v>104</v>
      </c>
      <c r="K200" s="27"/>
      <c r="L200" s="27"/>
      <c r="M200" s="56" t="s">
        <v>487</v>
      </c>
      <c r="N200" s="56" t="s">
        <v>487</v>
      </c>
      <c r="O200" s="27"/>
      <c r="P200" s="5"/>
      <c r="Q200" s="27"/>
      <c r="R200" s="27">
        <v>4</v>
      </c>
      <c r="S200" s="27">
        <v>5</v>
      </c>
      <c r="T200" s="5"/>
      <c r="U200" s="24"/>
      <c r="V200" s="32" t="s">
        <v>3353</v>
      </c>
      <c r="W200" s="32">
        <v>1</v>
      </c>
      <c r="X200" s="33"/>
      <c r="Y200" s="32">
        <v>20000</v>
      </c>
      <c r="Z200" s="31"/>
      <c r="AA200" s="32">
        <v>31.12</v>
      </c>
      <c r="AB200" s="32">
        <v>-98.75</v>
      </c>
      <c r="AC200" s="32">
        <v>13406</v>
      </c>
      <c r="AD200" s="24"/>
      <c r="AE200" s="24"/>
    </row>
    <row r="201" spans="1:31" s="12" customFormat="1" ht="64">
      <c r="A201" s="5"/>
      <c r="B201" s="5"/>
      <c r="C201" s="22" t="s">
        <v>266</v>
      </c>
      <c r="D201" s="22" t="s">
        <v>151</v>
      </c>
      <c r="E201" s="5">
        <v>908</v>
      </c>
      <c r="F201" s="5">
        <v>4311</v>
      </c>
      <c r="G201" s="28" t="s">
        <v>1827</v>
      </c>
      <c r="H201" s="6" t="s">
        <v>250</v>
      </c>
      <c r="I201" s="6"/>
      <c r="J201" s="5" t="s">
        <v>225</v>
      </c>
      <c r="K201" s="27">
        <v>9.8000000000000007</v>
      </c>
      <c r="L201" s="27">
        <v>-16.5</v>
      </c>
      <c r="M201" s="56"/>
      <c r="N201" s="56"/>
      <c r="O201" s="27"/>
      <c r="P201" s="5"/>
      <c r="Q201" s="27"/>
      <c r="R201" s="27">
        <v>12</v>
      </c>
      <c r="S201" s="27">
        <v>3.7</v>
      </c>
      <c r="T201" s="5"/>
      <c r="U201" s="24"/>
      <c r="V201" s="32" t="s">
        <v>3353</v>
      </c>
      <c r="W201" s="32">
        <v>5</v>
      </c>
      <c r="X201" s="33" t="s">
        <v>3435</v>
      </c>
      <c r="Y201" s="32">
        <v>2000</v>
      </c>
      <c r="Z201" s="31" t="s">
        <v>3433</v>
      </c>
      <c r="AA201" s="32">
        <v>29.37</v>
      </c>
      <c r="AB201" s="32">
        <v>-99.47</v>
      </c>
      <c r="AC201" s="32"/>
      <c r="AD201" s="24"/>
      <c r="AE201" s="24"/>
    </row>
    <row r="202" spans="1:31" s="12" customFormat="1">
      <c r="A202" s="5"/>
      <c r="B202" s="5"/>
      <c r="C202" s="22" t="s">
        <v>266</v>
      </c>
      <c r="D202" s="22" t="s">
        <v>350</v>
      </c>
      <c r="E202" s="5">
        <v>933</v>
      </c>
      <c r="F202" s="5">
        <v>1625</v>
      </c>
      <c r="G202" s="28" t="s">
        <v>1827</v>
      </c>
      <c r="H202" s="6" t="s">
        <v>249</v>
      </c>
      <c r="I202" s="6"/>
      <c r="J202" s="5" t="s">
        <v>104</v>
      </c>
      <c r="K202" s="27">
        <v>10.7</v>
      </c>
      <c r="L202" s="27">
        <v>-16.5</v>
      </c>
      <c r="M202" s="56"/>
      <c r="N202" s="56"/>
      <c r="O202" s="27"/>
      <c r="P202" s="5"/>
      <c r="Q202" s="27"/>
      <c r="R202" s="27">
        <v>10.7</v>
      </c>
      <c r="S202" s="27">
        <v>3.5</v>
      </c>
      <c r="T202" s="5"/>
      <c r="U202" s="24"/>
      <c r="V202" s="32" t="s">
        <v>3353</v>
      </c>
      <c r="W202" s="32">
        <v>1</v>
      </c>
      <c r="X202" s="33"/>
      <c r="Y202" s="32">
        <v>18500</v>
      </c>
      <c r="Z202" s="31"/>
      <c r="AA202" s="32">
        <v>29.62</v>
      </c>
      <c r="AB202" s="32">
        <v>-98.37</v>
      </c>
      <c r="AC202" s="32">
        <v>13406</v>
      </c>
      <c r="AD202" s="26"/>
      <c r="AE202" s="26"/>
    </row>
    <row r="203" spans="1:31" s="12" customFormat="1" ht="19">
      <c r="A203" s="5"/>
      <c r="B203" s="5"/>
      <c r="C203" s="22" t="s">
        <v>266</v>
      </c>
      <c r="D203" s="22" t="s">
        <v>3436</v>
      </c>
      <c r="E203" s="5" t="s">
        <v>487</v>
      </c>
      <c r="F203" s="5">
        <v>567407</v>
      </c>
      <c r="G203" s="28" t="s">
        <v>1827</v>
      </c>
      <c r="H203" s="6" t="s">
        <v>487</v>
      </c>
      <c r="I203" s="6"/>
      <c r="J203" s="5" t="s">
        <v>289</v>
      </c>
      <c r="K203" s="27">
        <v>11.3</v>
      </c>
      <c r="L203" s="27">
        <v>-20.6</v>
      </c>
      <c r="M203" s="56"/>
      <c r="N203" s="56"/>
      <c r="O203" s="27"/>
      <c r="P203" s="5"/>
      <c r="Q203" s="27"/>
      <c r="R203" s="27">
        <v>12.7</v>
      </c>
      <c r="S203" s="27">
        <v>3.5</v>
      </c>
      <c r="T203" s="5"/>
      <c r="U203" s="24"/>
      <c r="V203" s="32" t="s">
        <v>3353</v>
      </c>
      <c r="W203" s="32">
        <v>1</v>
      </c>
      <c r="X203" s="33" t="s">
        <v>487</v>
      </c>
      <c r="Y203" s="32">
        <v>0</v>
      </c>
      <c r="Z203" s="31"/>
      <c r="AA203" s="32"/>
      <c r="AB203" s="32"/>
      <c r="AC203" s="32"/>
      <c r="AD203" s="26"/>
      <c r="AE203" s="26"/>
    </row>
    <row r="204" spans="1:31" s="12" customFormat="1" ht="57">
      <c r="A204" s="5"/>
      <c r="B204" s="5"/>
      <c r="C204" s="22" t="s">
        <v>266</v>
      </c>
      <c r="D204" s="22" t="s">
        <v>151</v>
      </c>
      <c r="E204" s="5">
        <v>908</v>
      </c>
      <c r="F204" s="5">
        <v>3591</v>
      </c>
      <c r="G204" s="28" t="s">
        <v>1827</v>
      </c>
      <c r="H204" s="6" t="s">
        <v>250</v>
      </c>
      <c r="I204" s="6"/>
      <c r="J204" s="5" t="s">
        <v>225</v>
      </c>
      <c r="K204" s="27">
        <v>10.4</v>
      </c>
      <c r="L204" s="27">
        <v>-15.8</v>
      </c>
      <c r="M204" s="56"/>
      <c r="N204" s="56"/>
      <c r="O204" s="27"/>
      <c r="P204" s="5"/>
      <c r="Q204" s="27"/>
      <c r="R204" s="27">
        <v>10.7</v>
      </c>
      <c r="S204" s="27">
        <v>3.5</v>
      </c>
      <c r="T204" s="5"/>
      <c r="U204" s="24"/>
      <c r="V204" s="32" t="s">
        <v>3353</v>
      </c>
      <c r="W204" s="32">
        <v>4</v>
      </c>
      <c r="X204" s="33" t="s">
        <v>3437</v>
      </c>
      <c r="Y204" s="32">
        <v>3500</v>
      </c>
      <c r="Z204" s="31"/>
      <c r="AA204" s="32">
        <v>29.37</v>
      </c>
      <c r="AB204" s="32">
        <v>-99.47</v>
      </c>
      <c r="AC204" s="32"/>
      <c r="AD204" s="26"/>
      <c r="AE204" s="26"/>
    </row>
    <row r="205" spans="1:31" s="12" customFormat="1">
      <c r="A205" s="5"/>
      <c r="B205" s="5"/>
      <c r="C205" s="22" t="s">
        <v>266</v>
      </c>
      <c r="D205" s="22" t="s">
        <v>350</v>
      </c>
      <c r="E205" s="5">
        <v>933</v>
      </c>
      <c r="F205" s="5">
        <v>670</v>
      </c>
      <c r="G205" s="28" t="s">
        <v>1827</v>
      </c>
      <c r="H205" s="6" t="s">
        <v>249</v>
      </c>
      <c r="I205" s="6"/>
      <c r="J205" s="5" t="s">
        <v>104</v>
      </c>
      <c r="K205" s="27">
        <v>10.1</v>
      </c>
      <c r="L205" s="27">
        <v>-16.2</v>
      </c>
      <c r="M205" s="56"/>
      <c r="N205" s="56"/>
      <c r="O205" s="27"/>
      <c r="P205" s="5"/>
      <c r="Q205" s="27"/>
      <c r="R205" s="27">
        <v>7.3</v>
      </c>
      <c r="S205" s="27">
        <v>3.4</v>
      </c>
      <c r="T205" s="5"/>
      <c r="U205" s="24"/>
      <c r="V205" s="32" t="s">
        <v>3353</v>
      </c>
      <c r="W205" s="32">
        <v>1</v>
      </c>
      <c r="X205" s="33"/>
      <c r="Y205" s="32">
        <v>18500</v>
      </c>
      <c r="Z205" s="31"/>
      <c r="AA205" s="32">
        <v>29.62</v>
      </c>
      <c r="AB205" s="32">
        <v>-98.37</v>
      </c>
      <c r="AC205" s="32">
        <v>13406</v>
      </c>
      <c r="AD205" s="26"/>
      <c r="AE205" s="26"/>
    </row>
    <row r="206" spans="1:31">
      <c r="C206" s="22" t="s">
        <v>266</v>
      </c>
      <c r="D206" s="22" t="s">
        <v>282</v>
      </c>
      <c r="E206" s="5">
        <v>40449</v>
      </c>
      <c r="F206" s="5">
        <v>175</v>
      </c>
      <c r="G206" s="28" t="s">
        <v>1827</v>
      </c>
      <c r="H206" s="6" t="s">
        <v>1814</v>
      </c>
      <c r="J206" s="5" t="s">
        <v>104</v>
      </c>
      <c r="K206" s="27">
        <v>7.1</v>
      </c>
      <c r="L206" s="27">
        <v>-19.7</v>
      </c>
      <c r="R206" s="27">
        <v>6.9</v>
      </c>
      <c r="S206" s="27">
        <v>3.3</v>
      </c>
      <c r="V206" s="32" t="s">
        <v>3353</v>
      </c>
      <c r="W206" s="32">
        <v>1</v>
      </c>
      <c r="Y206" s="32">
        <v>10000</v>
      </c>
      <c r="AA206" s="32">
        <v>30.36</v>
      </c>
      <c r="AB206" s="32">
        <v>-98.1</v>
      </c>
      <c r="AC206" s="32">
        <v>65000</v>
      </c>
      <c r="AD206" s="26"/>
      <c r="AE206" s="26"/>
    </row>
    <row r="207" spans="1:31" ht="57">
      <c r="C207" s="22" t="s">
        <v>266</v>
      </c>
      <c r="D207" s="22" t="s">
        <v>350</v>
      </c>
      <c r="E207" s="5">
        <v>43202</v>
      </c>
      <c r="F207" s="5">
        <v>73</v>
      </c>
      <c r="G207" s="28" t="s">
        <v>1827</v>
      </c>
      <c r="H207" s="6" t="s">
        <v>1181</v>
      </c>
      <c r="J207" s="5" t="s">
        <v>225</v>
      </c>
      <c r="K207" s="27">
        <v>9.6999999999999993</v>
      </c>
      <c r="L207" s="27">
        <v>-19.2</v>
      </c>
      <c r="R207" s="27">
        <v>13.7</v>
      </c>
      <c r="S207" s="27">
        <v>3.3</v>
      </c>
      <c r="V207" s="32" t="s">
        <v>3353</v>
      </c>
      <c r="W207" s="32">
        <v>1</v>
      </c>
      <c r="X207" s="33" t="s">
        <v>3438</v>
      </c>
      <c r="Y207" s="32">
        <v>5000</v>
      </c>
      <c r="AA207" s="32"/>
      <c r="AB207" s="32"/>
      <c r="AC207" s="32">
        <v>13406</v>
      </c>
      <c r="AD207" s="26"/>
      <c r="AE207" s="26"/>
    </row>
    <row r="208" spans="1:31" ht="57">
      <c r="C208" s="22" t="s">
        <v>266</v>
      </c>
      <c r="D208" s="22" t="s">
        <v>350</v>
      </c>
      <c r="E208" s="5">
        <v>43202</v>
      </c>
      <c r="F208" s="5">
        <v>77</v>
      </c>
      <c r="G208" s="28" t="s">
        <v>1827</v>
      </c>
      <c r="H208" s="6" t="s">
        <v>1181</v>
      </c>
      <c r="J208" s="5" t="s">
        <v>225</v>
      </c>
      <c r="K208" s="27">
        <v>8.4</v>
      </c>
      <c r="L208" s="27">
        <v>-19.100000000000001</v>
      </c>
      <c r="R208" s="27">
        <v>13.6</v>
      </c>
      <c r="S208" s="27">
        <v>3.3</v>
      </c>
      <c r="V208" s="32" t="s">
        <v>3353</v>
      </c>
      <c r="W208" s="32">
        <v>1</v>
      </c>
      <c r="X208" s="33" t="s">
        <v>3438</v>
      </c>
      <c r="Y208" s="32">
        <v>5000</v>
      </c>
      <c r="AA208" s="32"/>
      <c r="AB208" s="32"/>
      <c r="AC208" s="32">
        <v>13406</v>
      </c>
      <c r="AD208" s="26"/>
      <c r="AE208" s="26"/>
    </row>
    <row r="209" spans="3:31">
      <c r="C209" s="22" t="s">
        <v>266</v>
      </c>
      <c r="D209" s="22" t="s">
        <v>282</v>
      </c>
      <c r="E209" s="5">
        <v>933</v>
      </c>
      <c r="F209" s="5">
        <v>2201</v>
      </c>
      <c r="G209" s="28" t="s">
        <v>1827</v>
      </c>
      <c r="H209" s="6" t="s">
        <v>249</v>
      </c>
      <c r="J209" s="5" t="s">
        <v>104</v>
      </c>
      <c r="K209" s="27">
        <v>12.9</v>
      </c>
      <c r="L209" s="27">
        <v>-11.3</v>
      </c>
      <c r="R209" s="27">
        <v>5.9</v>
      </c>
      <c r="S209" s="27">
        <v>3.2</v>
      </c>
      <c r="V209" s="32" t="s">
        <v>3353</v>
      </c>
      <c r="W209" s="32">
        <v>4</v>
      </c>
      <c r="Y209" s="32">
        <v>18500</v>
      </c>
      <c r="AA209" s="32">
        <v>29.62</v>
      </c>
      <c r="AB209" s="32">
        <v>-98.37</v>
      </c>
      <c r="AC209" s="32">
        <v>65000</v>
      </c>
      <c r="AD209" s="26"/>
      <c r="AE209" s="26"/>
    </row>
    <row r="210" spans="3:31" ht="38">
      <c r="C210" s="22" t="s">
        <v>266</v>
      </c>
      <c r="D210" s="22" t="s">
        <v>350</v>
      </c>
      <c r="E210" s="5">
        <v>908</v>
      </c>
      <c r="F210" s="5">
        <v>3521</v>
      </c>
      <c r="G210" s="28" t="s">
        <v>1827</v>
      </c>
      <c r="H210" s="6" t="s">
        <v>250</v>
      </c>
      <c r="J210" s="5" t="s">
        <v>225</v>
      </c>
      <c r="K210" s="27">
        <v>12.6</v>
      </c>
      <c r="L210" s="27">
        <v>-15.1</v>
      </c>
      <c r="R210" s="27">
        <v>8.1999999999999993</v>
      </c>
      <c r="S210" s="27">
        <v>3.2</v>
      </c>
      <c r="V210" s="32" t="s">
        <v>3353</v>
      </c>
      <c r="W210" s="32">
        <v>4</v>
      </c>
      <c r="X210" s="33" t="s">
        <v>3439</v>
      </c>
      <c r="Y210" s="32">
        <v>3500</v>
      </c>
      <c r="AA210" s="32">
        <v>29.37</v>
      </c>
      <c r="AB210" s="32">
        <v>-99.47</v>
      </c>
      <c r="AC210" s="32">
        <v>13406</v>
      </c>
    </row>
    <row r="211" spans="3:31" ht="19">
      <c r="C211" s="22" t="s">
        <v>266</v>
      </c>
      <c r="D211" s="22" t="s">
        <v>282</v>
      </c>
      <c r="E211" s="5">
        <v>933</v>
      </c>
      <c r="F211" s="5">
        <v>326</v>
      </c>
      <c r="G211" s="28" t="s">
        <v>1827</v>
      </c>
      <c r="H211" s="6" t="s">
        <v>249</v>
      </c>
      <c r="J211" s="5" t="s">
        <v>104</v>
      </c>
      <c r="K211" s="27">
        <v>12.7</v>
      </c>
      <c r="L211" s="27">
        <v>-11.2</v>
      </c>
      <c r="R211" s="27">
        <v>14.1</v>
      </c>
      <c r="S211" s="27">
        <v>3.1</v>
      </c>
      <c r="V211" s="32" t="s">
        <v>3353</v>
      </c>
      <c r="W211" s="32">
        <v>5</v>
      </c>
      <c r="X211" s="33" t="s">
        <v>3440</v>
      </c>
      <c r="Y211" s="32">
        <v>18500</v>
      </c>
      <c r="AA211" s="32">
        <v>29.62</v>
      </c>
      <c r="AB211" s="32">
        <v>-98.37</v>
      </c>
      <c r="AC211" s="32">
        <v>65000</v>
      </c>
    </row>
    <row r="212" spans="3:31" ht="57">
      <c r="C212" s="22" t="s">
        <v>266</v>
      </c>
      <c r="D212" s="22" t="s">
        <v>350</v>
      </c>
      <c r="E212" s="5">
        <v>43202</v>
      </c>
      <c r="F212" s="5">
        <v>79</v>
      </c>
      <c r="G212" s="28" t="s">
        <v>1827</v>
      </c>
      <c r="H212" s="6" t="s">
        <v>1181</v>
      </c>
      <c r="J212" s="5" t="s">
        <v>225</v>
      </c>
      <c r="K212" s="27">
        <v>8.3000000000000007</v>
      </c>
      <c r="L212" s="27">
        <v>-19.100000000000001</v>
      </c>
      <c r="R212" s="27">
        <v>14.8</v>
      </c>
      <c r="S212" s="27">
        <v>3.1</v>
      </c>
      <c r="V212" s="32" t="s">
        <v>3353</v>
      </c>
      <c r="W212" s="32">
        <v>1</v>
      </c>
      <c r="X212" s="33" t="s">
        <v>3438</v>
      </c>
      <c r="Y212" s="32">
        <v>5000</v>
      </c>
      <c r="AA212" s="32"/>
      <c r="AB212" s="32"/>
      <c r="AC212" s="32">
        <v>13406</v>
      </c>
    </row>
    <row r="213" spans="3:31" ht="38">
      <c r="C213" s="22" t="s">
        <v>266</v>
      </c>
      <c r="D213" s="22" t="s">
        <v>350</v>
      </c>
      <c r="E213" s="5">
        <v>908</v>
      </c>
      <c r="F213" s="5">
        <v>383</v>
      </c>
      <c r="G213" s="28" t="s">
        <v>1827</v>
      </c>
      <c r="H213" s="6" t="s">
        <v>250</v>
      </c>
      <c r="J213" s="5" t="s">
        <v>225</v>
      </c>
      <c r="K213" s="27">
        <v>7.8</v>
      </c>
      <c r="L213" s="27">
        <v>-14.5</v>
      </c>
      <c r="R213" s="27">
        <v>14.3</v>
      </c>
      <c r="S213" s="27">
        <v>3.1</v>
      </c>
      <c r="V213" s="32" t="s">
        <v>3353</v>
      </c>
      <c r="W213" s="32">
        <v>4</v>
      </c>
      <c r="X213" s="33" t="s">
        <v>3441</v>
      </c>
      <c r="Y213" s="32">
        <v>1000</v>
      </c>
      <c r="AA213" s="32">
        <v>29.37</v>
      </c>
      <c r="AB213" s="32">
        <v>-99.47</v>
      </c>
      <c r="AC213" s="32">
        <v>13406</v>
      </c>
    </row>
    <row r="214" spans="3:31" ht="19">
      <c r="C214" s="22" t="s">
        <v>266</v>
      </c>
      <c r="D214" s="22" t="s">
        <v>350</v>
      </c>
      <c r="E214" s="5">
        <v>40450</v>
      </c>
      <c r="F214" s="5">
        <v>1603</v>
      </c>
      <c r="G214" s="28" t="s">
        <v>1827</v>
      </c>
      <c r="H214" s="6" t="s">
        <v>1783</v>
      </c>
      <c r="J214" s="5" t="s">
        <v>104</v>
      </c>
      <c r="K214" s="27">
        <v>9.6999999999999993</v>
      </c>
      <c r="L214" s="27">
        <v>-15.1</v>
      </c>
      <c r="R214" s="27">
        <v>8.4</v>
      </c>
      <c r="S214" s="27">
        <v>3.1</v>
      </c>
      <c r="V214" s="32" t="s">
        <v>3353</v>
      </c>
      <c r="W214" s="32">
        <v>6</v>
      </c>
      <c r="X214" s="33" t="s">
        <v>309</v>
      </c>
      <c r="Y214" s="32">
        <v>13000</v>
      </c>
      <c r="AA214" s="32">
        <v>29.88</v>
      </c>
      <c r="AB214" s="32">
        <v>-98.62</v>
      </c>
      <c r="AC214" s="32">
        <v>13406</v>
      </c>
    </row>
    <row r="215" spans="3:31" ht="19">
      <c r="C215" s="22" t="s">
        <v>266</v>
      </c>
      <c r="D215" s="22" t="s">
        <v>3436</v>
      </c>
      <c r="E215" s="5" t="s">
        <v>487</v>
      </c>
      <c r="F215" s="5">
        <v>567385</v>
      </c>
      <c r="G215" s="28" t="s">
        <v>1827</v>
      </c>
      <c r="H215" s="6" t="s">
        <v>487</v>
      </c>
      <c r="J215" s="5" t="s">
        <v>289</v>
      </c>
      <c r="K215" s="27">
        <v>12.7</v>
      </c>
      <c r="L215" s="27">
        <v>-17.5</v>
      </c>
      <c r="R215" s="27">
        <v>14.6</v>
      </c>
      <c r="S215" s="27">
        <v>3.1</v>
      </c>
      <c r="V215" s="32" t="s">
        <v>3353</v>
      </c>
      <c r="W215" s="32">
        <v>1</v>
      </c>
      <c r="X215" s="33" t="s">
        <v>487</v>
      </c>
      <c r="Y215" s="32">
        <v>0</v>
      </c>
      <c r="AA215" s="32"/>
      <c r="AB215" s="32"/>
    </row>
    <row r="216" spans="3:31" ht="19">
      <c r="C216" s="22" t="s">
        <v>266</v>
      </c>
      <c r="D216" s="22" t="s">
        <v>3436</v>
      </c>
      <c r="E216" s="5" t="s">
        <v>487</v>
      </c>
      <c r="F216" s="5">
        <v>567403</v>
      </c>
      <c r="G216" s="28" t="s">
        <v>1827</v>
      </c>
      <c r="H216" s="6" t="s">
        <v>487</v>
      </c>
      <c r="J216" s="5" t="s">
        <v>289</v>
      </c>
      <c r="K216" s="27">
        <v>12.7</v>
      </c>
      <c r="L216" s="27">
        <v>-18.2</v>
      </c>
      <c r="R216" s="27">
        <v>15.1</v>
      </c>
      <c r="S216" s="27">
        <v>3.1</v>
      </c>
      <c r="V216" s="32" t="s">
        <v>3353</v>
      </c>
      <c r="W216" s="32">
        <v>1</v>
      </c>
      <c r="X216" s="33" t="s">
        <v>487</v>
      </c>
      <c r="Y216" s="32">
        <v>0</v>
      </c>
      <c r="AA216" s="32"/>
      <c r="AB216" s="32"/>
    </row>
    <row r="217" spans="3:31" ht="32">
      <c r="C217" s="22" t="s">
        <v>266</v>
      </c>
      <c r="D217" s="22" t="s">
        <v>151</v>
      </c>
      <c r="E217" s="5">
        <v>908</v>
      </c>
      <c r="F217" s="5">
        <v>4521</v>
      </c>
      <c r="G217" s="28" t="s">
        <v>1827</v>
      </c>
      <c r="H217" s="6" t="s">
        <v>250</v>
      </c>
      <c r="J217" s="5" t="s">
        <v>225</v>
      </c>
      <c r="K217" s="27">
        <v>9.6</v>
      </c>
      <c r="L217" s="27">
        <v>-13</v>
      </c>
      <c r="R217" s="27">
        <v>13.4</v>
      </c>
      <c r="S217" s="27">
        <v>3.1</v>
      </c>
      <c r="V217" s="32" t="s">
        <v>3353</v>
      </c>
      <c r="W217" s="32">
        <v>5</v>
      </c>
      <c r="X217" s="33" t="s">
        <v>3442</v>
      </c>
      <c r="Z217" s="31" t="s">
        <v>3443</v>
      </c>
      <c r="AA217" s="32">
        <v>29.37</v>
      </c>
      <c r="AB217" s="32">
        <v>-99.47</v>
      </c>
    </row>
    <row r="218" spans="3:31">
      <c r="C218" s="22" t="s">
        <v>266</v>
      </c>
      <c r="D218" s="22" t="s">
        <v>350</v>
      </c>
      <c r="E218" s="5">
        <v>220</v>
      </c>
      <c r="F218" s="5">
        <v>36</v>
      </c>
      <c r="G218" s="28" t="s">
        <v>1827</v>
      </c>
      <c r="H218" s="6" t="s">
        <v>1212</v>
      </c>
      <c r="J218" s="5" t="s">
        <v>225</v>
      </c>
      <c r="K218" s="27">
        <v>8.4</v>
      </c>
      <c r="L218" s="27">
        <v>-16.399999999999999</v>
      </c>
      <c r="R218" s="27">
        <v>13.4</v>
      </c>
      <c r="S218" s="27">
        <v>3</v>
      </c>
      <c r="V218" s="32" t="s">
        <v>3353</v>
      </c>
      <c r="W218" s="32">
        <v>1</v>
      </c>
      <c r="AA218" s="32"/>
      <c r="AB218" s="32"/>
      <c r="AC218" s="32">
        <v>13406</v>
      </c>
    </row>
    <row r="219" spans="3:31" ht="57">
      <c r="C219" s="22" t="s">
        <v>266</v>
      </c>
      <c r="D219" s="22" t="s">
        <v>350</v>
      </c>
      <c r="E219" s="5">
        <v>908</v>
      </c>
      <c r="F219" s="5">
        <v>347</v>
      </c>
      <c r="G219" s="28" t="s">
        <v>1827</v>
      </c>
      <c r="H219" s="6" t="s">
        <v>250</v>
      </c>
      <c r="J219" s="5" t="s">
        <v>225</v>
      </c>
      <c r="K219" s="27">
        <v>10.1</v>
      </c>
      <c r="L219" s="27">
        <v>-10.4</v>
      </c>
      <c r="R219" s="27">
        <v>14.6</v>
      </c>
      <c r="S219" s="27">
        <v>3</v>
      </c>
      <c r="V219" s="32" t="s">
        <v>3353</v>
      </c>
      <c r="W219" s="32">
        <v>6</v>
      </c>
      <c r="X219" s="33" t="s">
        <v>3444</v>
      </c>
      <c r="Y219" s="32">
        <v>1000</v>
      </c>
      <c r="AA219" s="32">
        <v>29.37</v>
      </c>
      <c r="AB219" s="32">
        <v>-99.47</v>
      </c>
      <c r="AC219" s="32">
        <v>13406</v>
      </c>
    </row>
    <row r="220" spans="3:31" ht="64">
      <c r="C220" s="22" t="s">
        <v>266</v>
      </c>
      <c r="D220" s="22" t="s">
        <v>350</v>
      </c>
      <c r="E220" s="5">
        <v>908</v>
      </c>
      <c r="F220" s="5">
        <v>3939</v>
      </c>
      <c r="G220" s="28" t="s">
        <v>1827</v>
      </c>
      <c r="H220" s="6" t="s">
        <v>250</v>
      </c>
      <c r="J220" s="5" t="s">
        <v>225</v>
      </c>
      <c r="K220" s="27">
        <v>9.8000000000000007</v>
      </c>
      <c r="L220" s="27">
        <v>-13.8</v>
      </c>
      <c r="R220" s="27">
        <v>14.8</v>
      </c>
      <c r="S220" s="27">
        <v>3</v>
      </c>
      <c r="V220" s="32" t="s">
        <v>3353</v>
      </c>
      <c r="W220" s="32">
        <v>1</v>
      </c>
      <c r="X220" s="33" t="s">
        <v>3445</v>
      </c>
      <c r="Y220" s="32">
        <v>2000</v>
      </c>
      <c r="Z220" s="31" t="s">
        <v>3446</v>
      </c>
      <c r="AA220" s="32">
        <v>29.37</v>
      </c>
      <c r="AB220" s="32">
        <v>-99.47</v>
      </c>
      <c r="AC220" s="32">
        <v>13406</v>
      </c>
    </row>
    <row r="221" spans="3:31" ht="19">
      <c r="C221" s="22" t="s">
        <v>266</v>
      </c>
      <c r="D221" s="22" t="s">
        <v>350</v>
      </c>
      <c r="E221" s="5">
        <v>908</v>
      </c>
      <c r="F221" s="5">
        <v>4297</v>
      </c>
      <c r="G221" s="28" t="s">
        <v>1827</v>
      </c>
      <c r="H221" s="6" t="s">
        <v>250</v>
      </c>
      <c r="J221" s="5" t="s">
        <v>225</v>
      </c>
      <c r="K221" s="27">
        <v>7.7</v>
      </c>
      <c r="L221" s="27">
        <v>-16.899999999999999</v>
      </c>
      <c r="R221" s="27">
        <v>14.5</v>
      </c>
      <c r="S221" s="27">
        <v>3</v>
      </c>
      <c r="V221" s="32" t="s">
        <v>3353</v>
      </c>
      <c r="W221" s="32">
        <v>5</v>
      </c>
      <c r="X221" s="33" t="s">
        <v>3447</v>
      </c>
      <c r="Y221" s="32">
        <v>1000</v>
      </c>
      <c r="AA221" s="32">
        <v>29.37</v>
      </c>
      <c r="AB221" s="32">
        <v>-99.47</v>
      </c>
      <c r="AC221" s="32">
        <v>13406</v>
      </c>
    </row>
    <row r="222" spans="3:31" ht="64">
      <c r="C222" s="22" t="s">
        <v>266</v>
      </c>
      <c r="D222" s="22" t="s">
        <v>350</v>
      </c>
      <c r="E222" s="5">
        <v>908</v>
      </c>
      <c r="F222" s="5">
        <v>4309</v>
      </c>
      <c r="G222" s="28" t="s">
        <v>1827</v>
      </c>
      <c r="H222" s="6" t="s">
        <v>250</v>
      </c>
      <c r="J222" s="5" t="s">
        <v>225</v>
      </c>
      <c r="K222" s="27">
        <v>10.3</v>
      </c>
      <c r="L222" s="27">
        <v>-14.1</v>
      </c>
      <c r="R222" s="27">
        <v>14.5</v>
      </c>
      <c r="S222" s="27">
        <v>3</v>
      </c>
      <c r="V222" s="32" t="s">
        <v>3353</v>
      </c>
      <c r="W222" s="32">
        <v>1</v>
      </c>
      <c r="X222" s="33" t="s">
        <v>3448</v>
      </c>
      <c r="Y222" s="32">
        <v>2000</v>
      </c>
      <c r="Z222" s="31" t="s">
        <v>3446</v>
      </c>
      <c r="AA222" s="32">
        <v>29.37</v>
      </c>
      <c r="AB222" s="32">
        <v>-99.47</v>
      </c>
      <c r="AC222" s="32">
        <v>13406</v>
      </c>
    </row>
    <row r="223" spans="3:31" ht="64">
      <c r="C223" s="22" t="s">
        <v>266</v>
      </c>
      <c r="D223" s="22" t="s">
        <v>350</v>
      </c>
      <c r="E223" s="5">
        <v>908</v>
      </c>
      <c r="F223" s="5">
        <v>4324</v>
      </c>
      <c r="G223" s="28" t="s">
        <v>1827</v>
      </c>
      <c r="H223" s="6" t="s">
        <v>250</v>
      </c>
      <c r="J223" s="5" t="s">
        <v>225</v>
      </c>
      <c r="K223" s="27">
        <v>9.6999999999999993</v>
      </c>
      <c r="L223" s="27">
        <v>-15.1</v>
      </c>
      <c r="R223" s="27">
        <v>14.6</v>
      </c>
      <c r="S223" s="27">
        <v>3</v>
      </c>
      <c r="V223" s="32" t="s">
        <v>3353</v>
      </c>
      <c r="W223" s="32">
        <v>1</v>
      </c>
      <c r="X223" s="33" t="s">
        <v>3449</v>
      </c>
      <c r="Y223" s="32">
        <v>2000</v>
      </c>
      <c r="Z223" s="31" t="s">
        <v>3446</v>
      </c>
      <c r="AA223" s="32">
        <v>29.37</v>
      </c>
      <c r="AB223" s="32">
        <v>-99.47</v>
      </c>
      <c r="AC223" s="32">
        <v>13406</v>
      </c>
    </row>
    <row r="224" spans="3:31" ht="19">
      <c r="C224" s="22" t="s">
        <v>266</v>
      </c>
      <c r="D224" s="22" t="s">
        <v>350</v>
      </c>
      <c r="E224" s="5">
        <v>40450</v>
      </c>
      <c r="F224" s="5">
        <v>1608</v>
      </c>
      <c r="G224" s="28" t="s">
        <v>1827</v>
      </c>
      <c r="H224" s="6" t="s">
        <v>1783</v>
      </c>
      <c r="J224" s="5" t="s">
        <v>104</v>
      </c>
      <c r="K224" s="27">
        <v>8.1</v>
      </c>
      <c r="L224" s="27">
        <v>-17.2</v>
      </c>
      <c r="R224" s="27">
        <v>13.2</v>
      </c>
      <c r="S224" s="27">
        <v>3</v>
      </c>
      <c r="V224" s="32" t="s">
        <v>3353</v>
      </c>
      <c r="W224" s="32">
        <v>5</v>
      </c>
      <c r="X224" s="33" t="s">
        <v>309</v>
      </c>
      <c r="Y224" s="32">
        <v>13000</v>
      </c>
      <c r="AA224" s="32">
        <v>29.88</v>
      </c>
      <c r="AB224" s="32">
        <v>-98.62</v>
      </c>
      <c r="AC224" s="32">
        <v>13406</v>
      </c>
    </row>
    <row r="225" spans="3:29" ht="38">
      <c r="C225" s="22" t="s">
        <v>266</v>
      </c>
      <c r="D225" s="22" t="s">
        <v>350</v>
      </c>
      <c r="E225" s="5">
        <v>40450</v>
      </c>
      <c r="F225" s="5">
        <v>1609</v>
      </c>
      <c r="G225" s="28" t="s">
        <v>1827</v>
      </c>
      <c r="H225" s="6" t="s">
        <v>1783</v>
      </c>
      <c r="J225" s="5" t="s">
        <v>104</v>
      </c>
      <c r="K225" s="27">
        <v>9.1</v>
      </c>
      <c r="L225" s="27">
        <v>-15.6</v>
      </c>
      <c r="R225" s="27">
        <v>12</v>
      </c>
      <c r="S225" s="27">
        <v>3</v>
      </c>
      <c r="V225" s="32" t="s">
        <v>3353</v>
      </c>
      <c r="W225" s="32">
        <v>5</v>
      </c>
      <c r="X225" s="33" t="s">
        <v>3379</v>
      </c>
      <c r="Y225" s="32">
        <v>13000</v>
      </c>
      <c r="AA225" s="32">
        <v>29.88</v>
      </c>
      <c r="AB225" s="32">
        <v>-98.62</v>
      </c>
      <c r="AC225" s="32">
        <v>13406</v>
      </c>
    </row>
    <row r="226" spans="3:29" ht="76">
      <c r="C226" s="22" t="s">
        <v>266</v>
      </c>
      <c r="D226" s="22" t="s">
        <v>350</v>
      </c>
      <c r="E226" s="5">
        <v>40450</v>
      </c>
      <c r="F226" s="5">
        <v>345</v>
      </c>
      <c r="G226" s="28" t="s">
        <v>1827</v>
      </c>
      <c r="H226" s="6" t="s">
        <v>1783</v>
      </c>
      <c r="J226" s="5" t="s">
        <v>104</v>
      </c>
      <c r="K226" s="27">
        <v>9</v>
      </c>
      <c r="L226" s="27">
        <v>-14.7</v>
      </c>
      <c r="R226" s="27">
        <v>11.1</v>
      </c>
      <c r="S226" s="27">
        <v>3</v>
      </c>
      <c r="V226" s="32" t="s">
        <v>3353</v>
      </c>
      <c r="W226" s="32">
        <v>6</v>
      </c>
      <c r="X226" s="33" t="s">
        <v>3450</v>
      </c>
      <c r="Y226" s="32">
        <v>13000</v>
      </c>
      <c r="AA226" s="32">
        <v>29.88</v>
      </c>
      <c r="AB226" s="32">
        <v>-98.62</v>
      </c>
      <c r="AC226" s="32">
        <v>13406</v>
      </c>
    </row>
    <row r="227" spans="3:29" ht="19">
      <c r="C227" s="22" t="s">
        <v>266</v>
      </c>
      <c r="D227" s="22" t="s">
        <v>3436</v>
      </c>
      <c r="E227" s="5" t="s">
        <v>487</v>
      </c>
      <c r="F227" s="5">
        <v>567396</v>
      </c>
      <c r="G227" s="28" t="s">
        <v>1827</v>
      </c>
      <c r="H227" s="6" t="s">
        <v>487</v>
      </c>
      <c r="J227" s="5" t="s">
        <v>289</v>
      </c>
      <c r="K227" s="27">
        <v>11.2</v>
      </c>
      <c r="L227" s="27">
        <v>-16.7</v>
      </c>
      <c r="R227" s="27">
        <v>15.3</v>
      </c>
      <c r="S227" s="27">
        <v>3</v>
      </c>
      <c r="V227" s="32" t="s">
        <v>3353</v>
      </c>
      <c r="W227" s="32">
        <v>1</v>
      </c>
      <c r="X227" s="33" t="s">
        <v>487</v>
      </c>
      <c r="Y227" s="32">
        <v>0</v>
      </c>
      <c r="AA227" s="32"/>
      <c r="AB227" s="32"/>
    </row>
    <row r="228" spans="3:29" ht="19">
      <c r="C228" s="22" t="s">
        <v>266</v>
      </c>
      <c r="D228" s="22" t="s">
        <v>3436</v>
      </c>
      <c r="E228" s="5" t="s">
        <v>487</v>
      </c>
      <c r="F228" s="5">
        <v>567398</v>
      </c>
      <c r="G228" s="28" t="s">
        <v>1827</v>
      </c>
      <c r="H228" s="6" t="s">
        <v>487</v>
      </c>
      <c r="J228" s="5" t="s">
        <v>289</v>
      </c>
      <c r="K228" s="27">
        <v>11</v>
      </c>
      <c r="L228" s="27">
        <v>-17.600000000000001</v>
      </c>
      <c r="R228" s="27">
        <v>15.3</v>
      </c>
      <c r="S228" s="27">
        <v>3</v>
      </c>
      <c r="V228" s="32" t="s">
        <v>3353</v>
      </c>
      <c r="W228" s="32">
        <v>1</v>
      </c>
      <c r="X228" s="33" t="s">
        <v>487</v>
      </c>
      <c r="Y228" s="32">
        <v>0</v>
      </c>
      <c r="AA228" s="32"/>
      <c r="AB228" s="32"/>
    </row>
    <row r="229" spans="3:29" ht="19">
      <c r="C229" s="22" t="s">
        <v>266</v>
      </c>
      <c r="D229" s="22" t="s">
        <v>505</v>
      </c>
      <c r="E229" s="5">
        <v>892</v>
      </c>
      <c r="F229" s="5">
        <v>256</v>
      </c>
      <c r="G229" s="28" t="s">
        <v>1827</v>
      </c>
      <c r="H229" s="6" t="s">
        <v>276</v>
      </c>
      <c r="K229" s="27">
        <v>10.1</v>
      </c>
      <c r="L229" s="27">
        <v>-11.9</v>
      </c>
      <c r="R229" s="27">
        <v>13</v>
      </c>
      <c r="S229" s="27">
        <v>3</v>
      </c>
      <c r="V229" s="32" t="s">
        <v>3353</v>
      </c>
      <c r="W229" s="32">
        <v>5</v>
      </c>
      <c r="X229" s="33" t="s">
        <v>3451</v>
      </c>
      <c r="AA229" s="32">
        <v>33.619999999999997</v>
      </c>
      <c r="AB229" s="32">
        <v>-101.89</v>
      </c>
      <c r="AC229" s="32">
        <v>37000</v>
      </c>
    </row>
    <row r="230" spans="3:29" ht="38">
      <c r="C230" s="22" t="s">
        <v>266</v>
      </c>
      <c r="D230" s="22" t="s">
        <v>282</v>
      </c>
      <c r="E230" s="5">
        <v>908</v>
      </c>
      <c r="F230" s="5">
        <v>118</v>
      </c>
      <c r="G230" s="28" t="s">
        <v>1827</v>
      </c>
      <c r="H230" s="6" t="s">
        <v>250</v>
      </c>
      <c r="J230" s="5" t="s">
        <v>104</v>
      </c>
      <c r="K230" s="27">
        <v>11.4</v>
      </c>
      <c r="L230" s="27">
        <v>-10.8</v>
      </c>
      <c r="R230" s="27">
        <v>15.4</v>
      </c>
      <c r="S230" s="27">
        <v>2.9</v>
      </c>
      <c r="V230" s="32" t="s">
        <v>3353</v>
      </c>
      <c r="W230" s="32">
        <v>5</v>
      </c>
      <c r="X230" s="33" t="s">
        <v>3452</v>
      </c>
      <c r="Y230" s="32">
        <v>1000</v>
      </c>
      <c r="AA230" s="32">
        <v>29.37</v>
      </c>
      <c r="AB230" s="32">
        <v>-99.47</v>
      </c>
      <c r="AC230" s="32">
        <v>65000</v>
      </c>
    </row>
    <row r="231" spans="3:29">
      <c r="C231" s="22" t="s">
        <v>266</v>
      </c>
      <c r="D231" s="22" t="s">
        <v>350</v>
      </c>
      <c r="E231" s="5">
        <v>43133</v>
      </c>
      <c r="F231" s="5">
        <v>1413</v>
      </c>
      <c r="G231" s="28" t="s">
        <v>1827</v>
      </c>
      <c r="H231" s="6" t="s">
        <v>1183</v>
      </c>
      <c r="J231" s="5" t="s">
        <v>225</v>
      </c>
      <c r="K231" s="27">
        <v>7.2</v>
      </c>
      <c r="L231" s="27">
        <v>-17.7</v>
      </c>
      <c r="R231" s="27">
        <v>15</v>
      </c>
      <c r="S231" s="27">
        <v>2.9</v>
      </c>
      <c r="V231" s="32" t="s">
        <v>3353</v>
      </c>
      <c r="W231" s="32">
        <v>1</v>
      </c>
      <c r="Y231" s="32">
        <v>4950</v>
      </c>
      <c r="AA231" s="32">
        <v>29.76</v>
      </c>
      <c r="AB231" s="32">
        <v>-98.77</v>
      </c>
      <c r="AC231" s="32">
        <v>13406</v>
      </c>
    </row>
    <row r="232" spans="3:29" ht="38">
      <c r="C232" s="22" t="s">
        <v>266</v>
      </c>
      <c r="D232" s="22" t="s">
        <v>350</v>
      </c>
      <c r="E232" s="5">
        <v>908</v>
      </c>
      <c r="F232" s="5">
        <v>341</v>
      </c>
      <c r="G232" s="28" t="s">
        <v>1827</v>
      </c>
      <c r="H232" s="6" t="s">
        <v>250</v>
      </c>
      <c r="J232" s="5" t="s">
        <v>225</v>
      </c>
      <c r="K232" s="27">
        <v>11.4</v>
      </c>
      <c r="L232" s="27">
        <v>-10.1</v>
      </c>
      <c r="R232" s="27">
        <v>14.6</v>
      </c>
      <c r="S232" s="27">
        <v>2.9</v>
      </c>
      <c r="V232" s="32" t="s">
        <v>3353</v>
      </c>
      <c r="W232" s="32">
        <v>6</v>
      </c>
      <c r="X232" s="33" t="s">
        <v>3453</v>
      </c>
      <c r="Y232" s="32">
        <v>3500</v>
      </c>
      <c r="AA232" s="32">
        <v>29.37</v>
      </c>
      <c r="AB232" s="32">
        <v>-99.47</v>
      </c>
      <c r="AC232" s="32">
        <v>13406</v>
      </c>
    </row>
    <row r="233" spans="3:29" ht="64">
      <c r="C233" s="22" t="s">
        <v>266</v>
      </c>
      <c r="D233" s="22" t="s">
        <v>350</v>
      </c>
      <c r="E233" s="5">
        <v>908</v>
      </c>
      <c r="F233" s="5">
        <v>4262</v>
      </c>
      <c r="G233" s="28" t="s">
        <v>1827</v>
      </c>
      <c r="H233" s="6" t="s">
        <v>250</v>
      </c>
      <c r="J233" s="5" t="s">
        <v>225</v>
      </c>
      <c r="K233" s="27">
        <v>7.1</v>
      </c>
      <c r="L233" s="27">
        <v>-16.100000000000001</v>
      </c>
      <c r="R233" s="27">
        <v>15.2</v>
      </c>
      <c r="S233" s="27">
        <v>2.9</v>
      </c>
      <c r="V233" s="32" t="s">
        <v>3353</v>
      </c>
      <c r="W233" s="32">
        <v>1</v>
      </c>
      <c r="X233" s="33" t="s">
        <v>3454</v>
      </c>
      <c r="Y233" s="32">
        <v>2000</v>
      </c>
      <c r="Z233" s="31" t="s">
        <v>3446</v>
      </c>
      <c r="AA233" s="32">
        <v>29.37</v>
      </c>
      <c r="AB233" s="32">
        <v>-99.47</v>
      </c>
      <c r="AC233" s="32">
        <v>13406</v>
      </c>
    </row>
    <row r="234" spans="3:29" ht="38">
      <c r="C234" s="22" t="s">
        <v>266</v>
      </c>
      <c r="D234" s="22" t="s">
        <v>350</v>
      </c>
      <c r="E234" s="5">
        <v>908</v>
      </c>
      <c r="F234" s="5">
        <v>437</v>
      </c>
      <c r="G234" s="28" t="s">
        <v>1827</v>
      </c>
      <c r="H234" s="6" t="s">
        <v>250</v>
      </c>
      <c r="J234" s="5" t="s">
        <v>225</v>
      </c>
      <c r="K234" s="27">
        <v>7.8</v>
      </c>
      <c r="L234" s="27">
        <v>-13.8</v>
      </c>
      <c r="R234" s="27">
        <v>15.2</v>
      </c>
      <c r="S234" s="27">
        <v>2.9</v>
      </c>
      <c r="V234" s="32" t="s">
        <v>3353</v>
      </c>
      <c r="W234" s="32">
        <v>4</v>
      </c>
      <c r="X234" s="33" t="s">
        <v>3455</v>
      </c>
      <c r="Y234" s="32">
        <v>1000</v>
      </c>
      <c r="AA234" s="32">
        <v>29.37</v>
      </c>
      <c r="AB234" s="32">
        <v>-99.47</v>
      </c>
      <c r="AC234" s="32">
        <v>13406</v>
      </c>
    </row>
    <row r="235" spans="3:29" ht="38">
      <c r="C235" s="22" t="s">
        <v>266</v>
      </c>
      <c r="D235" s="22" t="s">
        <v>350</v>
      </c>
      <c r="E235" s="5">
        <v>908</v>
      </c>
      <c r="F235" s="5">
        <v>820</v>
      </c>
      <c r="G235" s="28" t="s">
        <v>1827</v>
      </c>
      <c r="H235" s="6" t="s">
        <v>250</v>
      </c>
      <c r="J235" s="5" t="s">
        <v>225</v>
      </c>
      <c r="K235" s="27">
        <v>8.8000000000000007</v>
      </c>
      <c r="L235" s="27">
        <v>-13</v>
      </c>
      <c r="R235" s="27">
        <v>14.9</v>
      </c>
      <c r="S235" s="27">
        <v>2.9</v>
      </c>
      <c r="V235" s="32" t="s">
        <v>3353</v>
      </c>
      <c r="W235" s="32">
        <v>4</v>
      </c>
      <c r="X235" s="33" t="s">
        <v>3456</v>
      </c>
      <c r="Y235" s="32">
        <v>1000</v>
      </c>
      <c r="AA235" s="32">
        <v>29.37</v>
      </c>
      <c r="AB235" s="32">
        <v>-99.47</v>
      </c>
      <c r="AC235" s="32">
        <v>13406</v>
      </c>
    </row>
    <row r="236" spans="3:29" ht="19">
      <c r="C236" s="22" t="s">
        <v>266</v>
      </c>
      <c r="D236" s="22" t="s">
        <v>350</v>
      </c>
      <c r="E236" s="5">
        <v>908</v>
      </c>
      <c r="F236" s="5">
        <v>3465</v>
      </c>
      <c r="G236" s="28" t="s">
        <v>1827</v>
      </c>
      <c r="H236" s="6" t="s">
        <v>250</v>
      </c>
      <c r="J236" s="28" t="s">
        <v>225</v>
      </c>
      <c r="K236" s="27">
        <v>10.5</v>
      </c>
      <c r="L236" s="27">
        <v>-8.3000000000000007</v>
      </c>
      <c r="R236" s="27">
        <v>15.7</v>
      </c>
      <c r="S236" s="27">
        <v>2.9</v>
      </c>
      <c r="V236" s="32" t="s">
        <v>3353</v>
      </c>
      <c r="W236" s="32">
        <v>4</v>
      </c>
      <c r="X236" s="33" t="s">
        <v>3457</v>
      </c>
      <c r="Z236" s="31" t="s">
        <v>3432</v>
      </c>
      <c r="AA236" s="32">
        <v>29.37</v>
      </c>
      <c r="AB236" s="32">
        <v>-99.47</v>
      </c>
      <c r="AC236" s="32">
        <v>13406</v>
      </c>
    </row>
    <row r="237" spans="3:29" ht="19">
      <c r="C237" s="22" t="s">
        <v>266</v>
      </c>
      <c r="D237" s="22" t="s">
        <v>3436</v>
      </c>
      <c r="E237" s="5" t="s">
        <v>487</v>
      </c>
      <c r="F237" s="5">
        <v>567393</v>
      </c>
      <c r="G237" s="28" t="s">
        <v>1827</v>
      </c>
      <c r="H237" s="6" t="s">
        <v>487</v>
      </c>
      <c r="J237" s="5" t="s">
        <v>289</v>
      </c>
      <c r="K237" s="27">
        <v>11.9</v>
      </c>
      <c r="L237" s="27">
        <v>-16</v>
      </c>
      <c r="R237" s="27">
        <v>15.2</v>
      </c>
      <c r="S237" s="27">
        <v>2.9</v>
      </c>
      <c r="V237" s="32" t="s">
        <v>3353</v>
      </c>
      <c r="W237" s="32">
        <v>1</v>
      </c>
      <c r="X237" s="33" t="s">
        <v>487</v>
      </c>
      <c r="Y237" s="32">
        <v>0</v>
      </c>
      <c r="AA237" s="32"/>
      <c r="AB237" s="32"/>
    </row>
    <row r="238" spans="3:29" ht="19">
      <c r="C238" s="22" t="s">
        <v>266</v>
      </c>
      <c r="D238" s="22" t="s">
        <v>3436</v>
      </c>
      <c r="E238" s="5" t="s">
        <v>487</v>
      </c>
      <c r="F238" s="5">
        <v>567394</v>
      </c>
      <c r="G238" s="28" t="s">
        <v>1827</v>
      </c>
      <c r="H238" s="6" t="s">
        <v>487</v>
      </c>
      <c r="J238" s="5" t="s">
        <v>289</v>
      </c>
      <c r="K238" s="27">
        <v>10.4</v>
      </c>
      <c r="L238" s="27">
        <v>-16.2</v>
      </c>
      <c r="R238" s="27">
        <v>15.2</v>
      </c>
      <c r="S238" s="27">
        <v>2.9</v>
      </c>
      <c r="V238" s="32" t="s">
        <v>3353</v>
      </c>
      <c r="W238" s="32">
        <v>1</v>
      </c>
      <c r="X238" s="33" t="s">
        <v>487</v>
      </c>
      <c r="Y238" s="32">
        <v>0</v>
      </c>
      <c r="AA238" s="32"/>
      <c r="AB238" s="32"/>
    </row>
    <row r="239" spans="3:29" ht="19">
      <c r="C239" s="22" t="s">
        <v>266</v>
      </c>
      <c r="D239" s="22" t="s">
        <v>3436</v>
      </c>
      <c r="E239" s="5" t="s">
        <v>487</v>
      </c>
      <c r="F239" s="5">
        <v>567395</v>
      </c>
      <c r="G239" s="28" t="s">
        <v>1827</v>
      </c>
      <c r="H239" s="6" t="s">
        <v>487</v>
      </c>
      <c r="J239" s="5" t="s">
        <v>289</v>
      </c>
      <c r="K239" s="27">
        <v>10</v>
      </c>
      <c r="L239" s="27">
        <v>-14</v>
      </c>
      <c r="R239" s="27">
        <v>15.8</v>
      </c>
      <c r="S239" s="27">
        <v>2.9</v>
      </c>
      <c r="V239" s="32" t="s">
        <v>3353</v>
      </c>
      <c r="W239" s="32">
        <v>1</v>
      </c>
      <c r="X239" s="33" t="s">
        <v>487</v>
      </c>
      <c r="Y239" s="32">
        <v>0</v>
      </c>
      <c r="AA239" s="32"/>
      <c r="AB239" s="32"/>
    </row>
    <row r="240" spans="3:29" ht="19">
      <c r="C240" s="22" t="s">
        <v>266</v>
      </c>
      <c r="D240" s="22" t="s">
        <v>505</v>
      </c>
      <c r="E240" s="5">
        <v>41229</v>
      </c>
      <c r="F240" s="5">
        <v>15781</v>
      </c>
      <c r="G240" s="28" t="s">
        <v>1827</v>
      </c>
      <c r="H240" s="6" t="s">
        <v>1137</v>
      </c>
      <c r="J240" s="5" t="s">
        <v>225</v>
      </c>
      <c r="K240" s="27">
        <v>6.3</v>
      </c>
      <c r="L240" s="27">
        <v>-17.7</v>
      </c>
      <c r="R240" s="27">
        <v>15.2</v>
      </c>
      <c r="S240" s="27">
        <v>2.9</v>
      </c>
      <c r="V240" s="32" t="s">
        <v>3353</v>
      </c>
      <c r="W240" s="32">
        <v>1</v>
      </c>
      <c r="X240" s="33" t="s">
        <v>3458</v>
      </c>
      <c r="Y240" s="32">
        <v>5081</v>
      </c>
      <c r="AA240" s="32">
        <v>30.13</v>
      </c>
      <c r="AB240" s="32">
        <v>-99.54</v>
      </c>
      <c r="AC240" s="32">
        <v>37000</v>
      </c>
    </row>
    <row r="241" spans="3:29" ht="19">
      <c r="C241" s="22" t="s">
        <v>266</v>
      </c>
      <c r="D241" s="22" t="s">
        <v>505</v>
      </c>
      <c r="E241" s="5">
        <v>43133</v>
      </c>
      <c r="F241" s="5">
        <v>232</v>
      </c>
      <c r="G241" s="28" t="s">
        <v>1827</v>
      </c>
      <c r="H241" s="6" t="s">
        <v>1183</v>
      </c>
      <c r="J241" s="5" t="s">
        <v>225</v>
      </c>
      <c r="K241" s="27">
        <v>10.1</v>
      </c>
      <c r="L241" s="27">
        <v>-10.4</v>
      </c>
      <c r="R241" s="27">
        <v>13.6</v>
      </c>
      <c r="S241" s="27">
        <v>2.9</v>
      </c>
      <c r="V241" s="32" t="s">
        <v>3353</v>
      </c>
      <c r="W241" s="32">
        <v>1</v>
      </c>
      <c r="X241" s="33" t="s">
        <v>3459</v>
      </c>
      <c r="Y241" s="32">
        <v>4950</v>
      </c>
      <c r="AA241" s="32">
        <v>29.76</v>
      </c>
      <c r="AB241" s="32">
        <v>-98.77</v>
      </c>
      <c r="AC241" s="32">
        <v>37000</v>
      </c>
    </row>
    <row r="242" spans="3:29">
      <c r="C242" s="22" t="s">
        <v>266</v>
      </c>
      <c r="D242" s="22" t="s">
        <v>505</v>
      </c>
      <c r="E242" s="5">
        <v>41229</v>
      </c>
      <c r="F242" s="5">
        <v>12042</v>
      </c>
      <c r="G242" s="28" t="s">
        <v>1827</v>
      </c>
      <c r="H242" s="6" t="s">
        <v>1137</v>
      </c>
      <c r="J242" s="5" t="s">
        <v>225</v>
      </c>
      <c r="K242" s="27">
        <v>10.9</v>
      </c>
      <c r="L242" s="27">
        <v>-10.6</v>
      </c>
      <c r="R242" s="27">
        <v>15.3</v>
      </c>
      <c r="S242" s="27">
        <v>2.9</v>
      </c>
      <c r="V242" s="32" t="s">
        <v>3353</v>
      </c>
      <c r="W242" s="32">
        <v>1</v>
      </c>
      <c r="X242" s="33">
        <v>0</v>
      </c>
      <c r="Z242" s="31" t="s">
        <v>3460</v>
      </c>
      <c r="AA242" s="32">
        <v>30.13</v>
      </c>
      <c r="AB242" s="32">
        <v>-99.54</v>
      </c>
      <c r="AC242" s="32">
        <v>37000</v>
      </c>
    </row>
    <row r="243" spans="3:29" ht="19">
      <c r="C243" s="22" t="s">
        <v>266</v>
      </c>
      <c r="D243" s="22" t="s">
        <v>151</v>
      </c>
      <c r="E243" s="5">
        <v>41229</v>
      </c>
      <c r="F243" s="5">
        <v>720</v>
      </c>
      <c r="G243" s="28" t="s">
        <v>1827</v>
      </c>
      <c r="H243" s="6" t="s">
        <v>1137</v>
      </c>
      <c r="J243" s="5" t="s">
        <v>225</v>
      </c>
      <c r="K243" s="27">
        <v>6.9</v>
      </c>
      <c r="L243" s="27">
        <v>-15.6</v>
      </c>
      <c r="R243" s="27">
        <v>14.8</v>
      </c>
      <c r="S243" s="27">
        <v>2.9</v>
      </c>
      <c r="V243" s="32" t="s">
        <v>3353</v>
      </c>
      <c r="W243" s="32">
        <v>1</v>
      </c>
      <c r="X243" s="33" t="s">
        <v>3461</v>
      </c>
      <c r="Y243" s="32">
        <v>3434</v>
      </c>
      <c r="AA243" s="32">
        <v>30.13</v>
      </c>
      <c r="AB243" s="32">
        <v>-99.54</v>
      </c>
    </row>
    <row r="244" spans="3:29" ht="32">
      <c r="C244" s="22" t="s">
        <v>266</v>
      </c>
      <c r="D244" s="22" t="s">
        <v>151</v>
      </c>
      <c r="E244" s="5">
        <v>908</v>
      </c>
      <c r="F244" s="5">
        <v>4282</v>
      </c>
      <c r="G244" s="28" t="s">
        <v>1827</v>
      </c>
      <c r="H244" s="6" t="s">
        <v>250</v>
      </c>
      <c r="J244" s="5" t="s">
        <v>225</v>
      </c>
      <c r="K244" s="27">
        <v>11.5</v>
      </c>
      <c r="L244" s="27">
        <v>-11.1</v>
      </c>
      <c r="R244" s="27">
        <v>15.2</v>
      </c>
      <c r="S244" s="27">
        <v>2.9</v>
      </c>
      <c r="V244" s="32" t="s">
        <v>3353</v>
      </c>
      <c r="W244" s="32">
        <v>4</v>
      </c>
      <c r="X244" s="33" t="s">
        <v>3462</v>
      </c>
      <c r="Z244" s="31" t="s">
        <v>3443</v>
      </c>
      <c r="AA244" s="32">
        <v>29.37</v>
      </c>
      <c r="AB244" s="32">
        <v>-99.47</v>
      </c>
    </row>
    <row r="245" spans="3:29" ht="32">
      <c r="C245" s="22" t="s">
        <v>266</v>
      </c>
      <c r="D245" s="22" t="s">
        <v>151</v>
      </c>
      <c r="E245" s="5">
        <v>908</v>
      </c>
      <c r="F245" s="5">
        <v>4522</v>
      </c>
      <c r="G245" s="28" t="s">
        <v>1827</v>
      </c>
      <c r="H245" s="6" t="s">
        <v>250</v>
      </c>
      <c r="J245" s="5" t="s">
        <v>225</v>
      </c>
      <c r="K245" s="27">
        <v>10.3</v>
      </c>
      <c r="L245" s="27">
        <v>-10.6</v>
      </c>
      <c r="R245" s="27">
        <v>15.5</v>
      </c>
      <c r="S245" s="27">
        <v>2.9</v>
      </c>
      <c r="V245" s="32" t="s">
        <v>3353</v>
      </c>
      <c r="W245" s="32">
        <v>4</v>
      </c>
      <c r="X245" s="33" t="s">
        <v>3463</v>
      </c>
      <c r="Z245" s="31" t="s">
        <v>3443</v>
      </c>
      <c r="AA245" s="32">
        <v>29.37</v>
      </c>
      <c r="AB245" s="32">
        <v>-99.47</v>
      </c>
    </row>
    <row r="246" spans="3:29" ht="19">
      <c r="C246" s="22" t="s">
        <v>266</v>
      </c>
      <c r="D246" s="22" t="s">
        <v>350</v>
      </c>
      <c r="E246" s="5">
        <v>41229</v>
      </c>
      <c r="F246" s="5">
        <v>10357</v>
      </c>
      <c r="G246" s="28" t="s">
        <v>1827</v>
      </c>
      <c r="H246" s="6" t="s">
        <v>1137</v>
      </c>
      <c r="J246" s="5" t="s">
        <v>225</v>
      </c>
      <c r="K246" s="27">
        <v>13.4</v>
      </c>
      <c r="L246" s="27">
        <v>-15</v>
      </c>
      <c r="R246" s="27">
        <v>15.6</v>
      </c>
      <c r="S246" s="27">
        <v>2.8</v>
      </c>
      <c r="V246" s="32" t="s">
        <v>3353</v>
      </c>
      <c r="W246" s="32">
        <v>1</v>
      </c>
      <c r="X246" s="33" t="s">
        <v>3464</v>
      </c>
      <c r="Y246" s="32">
        <v>9363</v>
      </c>
      <c r="AA246" s="32">
        <v>30.13</v>
      </c>
      <c r="AB246" s="32">
        <v>-99.54</v>
      </c>
      <c r="AC246" s="32">
        <v>13406</v>
      </c>
    </row>
    <row r="247" spans="3:29" ht="19">
      <c r="C247" s="22" t="s">
        <v>266</v>
      </c>
      <c r="D247" s="22" t="s">
        <v>350</v>
      </c>
      <c r="E247" s="5">
        <v>41229</v>
      </c>
      <c r="F247" s="5">
        <v>2539</v>
      </c>
      <c r="G247" s="28" t="s">
        <v>1827</v>
      </c>
      <c r="H247" s="6" t="s">
        <v>1137</v>
      </c>
      <c r="J247" s="5" t="s">
        <v>225</v>
      </c>
      <c r="K247" s="27">
        <v>8.1</v>
      </c>
      <c r="L247" s="27">
        <v>-12.5</v>
      </c>
      <c r="R247" s="27">
        <v>15.2</v>
      </c>
      <c r="S247" s="27">
        <v>2.8</v>
      </c>
      <c r="V247" s="32" t="s">
        <v>3353</v>
      </c>
      <c r="W247" s="32">
        <v>1</v>
      </c>
      <c r="X247" s="33" t="s">
        <v>3465</v>
      </c>
      <c r="Y247" s="32">
        <v>6728</v>
      </c>
      <c r="AA247" s="32">
        <v>30.13</v>
      </c>
      <c r="AB247" s="32">
        <v>-99.54</v>
      </c>
      <c r="AC247" s="32">
        <v>13406</v>
      </c>
    </row>
    <row r="248" spans="3:29" ht="19">
      <c r="C248" s="22" t="s">
        <v>266</v>
      </c>
      <c r="D248" s="22" t="s">
        <v>350</v>
      </c>
      <c r="E248" s="5">
        <v>41229</v>
      </c>
      <c r="F248" s="5">
        <v>2554</v>
      </c>
      <c r="G248" s="28" t="s">
        <v>1827</v>
      </c>
      <c r="H248" s="6" t="s">
        <v>1137</v>
      </c>
      <c r="J248" s="5" t="s">
        <v>225</v>
      </c>
      <c r="K248" s="27">
        <v>9.4</v>
      </c>
      <c r="L248" s="27">
        <v>-16.2</v>
      </c>
      <c r="R248" s="27">
        <v>15.3</v>
      </c>
      <c r="S248" s="27">
        <v>2.8</v>
      </c>
      <c r="V248" s="32" t="s">
        <v>3353</v>
      </c>
      <c r="W248" s="32">
        <v>1</v>
      </c>
      <c r="X248" s="33" t="s">
        <v>3465</v>
      </c>
      <c r="Y248" s="32">
        <v>6728</v>
      </c>
      <c r="AA248" s="32">
        <v>30.13</v>
      </c>
      <c r="AB248" s="32">
        <v>-99.54</v>
      </c>
      <c r="AC248" s="32">
        <v>13406</v>
      </c>
    </row>
    <row r="249" spans="3:29" ht="19">
      <c r="C249" s="22" t="s">
        <v>266</v>
      </c>
      <c r="D249" s="22" t="s">
        <v>350</v>
      </c>
      <c r="E249" s="5">
        <v>41229</v>
      </c>
      <c r="F249" s="5">
        <v>2588</v>
      </c>
      <c r="G249" s="28" t="s">
        <v>1827</v>
      </c>
      <c r="H249" s="6" t="s">
        <v>1137</v>
      </c>
      <c r="J249" s="5" t="s">
        <v>225</v>
      </c>
      <c r="K249" s="27">
        <v>7</v>
      </c>
      <c r="L249" s="27">
        <v>-14.2</v>
      </c>
      <c r="R249" s="27">
        <v>15.4</v>
      </c>
      <c r="S249" s="27">
        <v>2.8</v>
      </c>
      <c r="V249" s="32" t="s">
        <v>3353</v>
      </c>
      <c r="W249" s="32">
        <v>1</v>
      </c>
      <c r="X249" s="33" t="s">
        <v>3466</v>
      </c>
      <c r="Y249" s="32">
        <v>5739</v>
      </c>
      <c r="AA249" s="32">
        <v>30.13</v>
      </c>
      <c r="AB249" s="32">
        <v>-99.54</v>
      </c>
      <c r="AC249" s="32">
        <v>13406</v>
      </c>
    </row>
    <row r="250" spans="3:29" ht="19">
      <c r="C250" s="22" t="s">
        <v>266</v>
      </c>
      <c r="D250" s="22" t="s">
        <v>350</v>
      </c>
      <c r="E250" s="5">
        <v>41229</v>
      </c>
      <c r="F250" s="5">
        <v>2777</v>
      </c>
      <c r="G250" s="28" t="s">
        <v>1827</v>
      </c>
      <c r="H250" s="6" t="s">
        <v>1137</v>
      </c>
      <c r="J250" s="5" t="s">
        <v>225</v>
      </c>
      <c r="K250" s="27">
        <v>9</v>
      </c>
      <c r="L250" s="27">
        <v>-15.2</v>
      </c>
      <c r="R250" s="27">
        <v>15.3</v>
      </c>
      <c r="S250" s="27">
        <v>2.8</v>
      </c>
      <c r="U250" s="24" t="s">
        <v>3372</v>
      </c>
      <c r="V250" s="32" t="s">
        <v>3353</v>
      </c>
      <c r="W250" s="32">
        <v>1</v>
      </c>
      <c r="X250" s="33" t="s">
        <v>3418</v>
      </c>
      <c r="Y250" s="32">
        <v>2446</v>
      </c>
      <c r="AA250" s="32">
        <v>30.13</v>
      </c>
      <c r="AB250" s="32">
        <v>-99.54</v>
      </c>
      <c r="AC250" s="32">
        <v>13406</v>
      </c>
    </row>
    <row r="251" spans="3:29" ht="19">
      <c r="C251" s="22" t="s">
        <v>266</v>
      </c>
      <c r="D251" s="22" t="s">
        <v>350</v>
      </c>
      <c r="E251" s="5">
        <v>41229</v>
      </c>
      <c r="F251" s="5">
        <v>3575</v>
      </c>
      <c r="G251" s="28" t="s">
        <v>1827</v>
      </c>
      <c r="H251" s="6" t="s">
        <v>1137</v>
      </c>
      <c r="J251" s="5" t="s">
        <v>225</v>
      </c>
      <c r="K251" s="27">
        <v>11.7</v>
      </c>
      <c r="L251" s="27">
        <v>-7.7</v>
      </c>
      <c r="R251" s="27">
        <v>15.2</v>
      </c>
      <c r="S251" s="27">
        <v>2.8</v>
      </c>
      <c r="V251" s="32" t="s">
        <v>3353</v>
      </c>
      <c r="W251" s="32">
        <v>1</v>
      </c>
      <c r="X251" s="33" t="s">
        <v>3461</v>
      </c>
      <c r="Y251" s="32">
        <v>3434</v>
      </c>
      <c r="AA251" s="32">
        <v>30.13</v>
      </c>
      <c r="AB251" s="32">
        <v>-99.54</v>
      </c>
      <c r="AC251" s="32">
        <v>13406</v>
      </c>
    </row>
    <row r="252" spans="3:29" ht="19">
      <c r="C252" s="22" t="s">
        <v>266</v>
      </c>
      <c r="D252" s="22" t="s">
        <v>350</v>
      </c>
      <c r="E252" s="5">
        <v>41229</v>
      </c>
      <c r="F252" s="5">
        <v>4004</v>
      </c>
      <c r="G252" s="28" t="s">
        <v>1827</v>
      </c>
      <c r="H252" s="6" t="s">
        <v>1137</v>
      </c>
      <c r="J252" s="5" t="s">
        <v>225</v>
      </c>
      <c r="K252" s="27">
        <v>9.6</v>
      </c>
      <c r="L252" s="27">
        <v>-11.6</v>
      </c>
      <c r="R252" s="27">
        <v>15.5</v>
      </c>
      <c r="S252" s="27">
        <v>2.8</v>
      </c>
      <c r="V252" s="32" t="s">
        <v>3353</v>
      </c>
      <c r="W252" s="32">
        <v>1</v>
      </c>
      <c r="X252" s="33" t="s">
        <v>3467</v>
      </c>
      <c r="Y252" s="32">
        <v>4422</v>
      </c>
      <c r="AA252" s="32">
        <v>30.13</v>
      </c>
      <c r="AB252" s="32">
        <v>-99.54</v>
      </c>
      <c r="AC252" s="32">
        <v>13406</v>
      </c>
    </row>
    <row r="253" spans="3:29" ht="19">
      <c r="C253" s="22" t="s">
        <v>266</v>
      </c>
      <c r="D253" s="22" t="s">
        <v>350</v>
      </c>
      <c r="E253" s="5">
        <v>41229</v>
      </c>
      <c r="F253" s="5">
        <v>6561</v>
      </c>
      <c r="G253" s="28" t="s">
        <v>1827</v>
      </c>
      <c r="H253" s="6" t="s">
        <v>1137</v>
      </c>
      <c r="J253" s="5" t="s">
        <v>225</v>
      </c>
      <c r="K253" s="27">
        <v>7.9</v>
      </c>
      <c r="L253" s="27">
        <v>-16.600000000000001</v>
      </c>
      <c r="R253" s="27">
        <v>15.7</v>
      </c>
      <c r="S253" s="27">
        <v>2.8</v>
      </c>
      <c r="U253" s="24" t="s">
        <v>3372</v>
      </c>
      <c r="V253" s="32" t="s">
        <v>3353</v>
      </c>
      <c r="W253" s="32">
        <v>1</v>
      </c>
      <c r="X253" s="33" t="s">
        <v>3365</v>
      </c>
      <c r="Y253" s="32">
        <v>10351</v>
      </c>
      <c r="AA253" s="32">
        <v>30.13</v>
      </c>
      <c r="AB253" s="32">
        <v>-99.54</v>
      </c>
      <c r="AC253" s="32">
        <v>13406</v>
      </c>
    </row>
    <row r="254" spans="3:29" ht="19">
      <c r="C254" s="22" t="s">
        <v>266</v>
      </c>
      <c r="D254" s="22" t="s">
        <v>350</v>
      </c>
      <c r="E254" s="5">
        <v>41229</v>
      </c>
      <c r="F254" s="5">
        <v>6562</v>
      </c>
      <c r="G254" s="28" t="s">
        <v>1827</v>
      </c>
      <c r="H254" s="6" t="s">
        <v>1137</v>
      </c>
      <c r="J254" s="5" t="s">
        <v>225</v>
      </c>
      <c r="K254" s="27">
        <v>7.5</v>
      </c>
      <c r="L254" s="27">
        <v>-15.9</v>
      </c>
      <c r="R254" s="27">
        <v>15.5</v>
      </c>
      <c r="S254" s="27">
        <v>2.8</v>
      </c>
      <c r="V254" s="32" t="s">
        <v>3353</v>
      </c>
      <c r="W254" s="32">
        <v>1</v>
      </c>
      <c r="X254" s="33" t="s">
        <v>3365</v>
      </c>
      <c r="Y254" s="32">
        <v>10351</v>
      </c>
      <c r="AA254" s="32">
        <v>30.13</v>
      </c>
      <c r="AB254" s="32">
        <v>-99.54</v>
      </c>
      <c r="AC254" s="32">
        <v>13406</v>
      </c>
    </row>
    <row r="255" spans="3:29" ht="76">
      <c r="C255" s="22" t="s">
        <v>266</v>
      </c>
      <c r="D255" s="22" t="s">
        <v>350</v>
      </c>
      <c r="E255" s="5">
        <v>43202</v>
      </c>
      <c r="F255" s="5">
        <v>5</v>
      </c>
      <c r="G255" s="28" t="s">
        <v>1827</v>
      </c>
      <c r="H255" s="6" t="s">
        <v>1181</v>
      </c>
      <c r="J255" s="5" t="s">
        <v>225</v>
      </c>
      <c r="K255" s="27">
        <v>7.5</v>
      </c>
      <c r="L255" s="27">
        <v>-17.100000000000001</v>
      </c>
      <c r="R255" s="27">
        <v>15.7</v>
      </c>
      <c r="S255" s="27">
        <v>2.8</v>
      </c>
      <c r="V255" s="32" t="s">
        <v>3353</v>
      </c>
      <c r="W255" s="32">
        <v>1</v>
      </c>
      <c r="X255" s="33" t="s">
        <v>3468</v>
      </c>
      <c r="Y255" s="32">
        <v>5000</v>
      </c>
      <c r="AA255" s="32"/>
      <c r="AB255" s="32"/>
      <c r="AC255" s="32">
        <v>13406</v>
      </c>
    </row>
    <row r="256" spans="3:29" ht="38">
      <c r="C256" s="22" t="s">
        <v>266</v>
      </c>
      <c r="D256" s="22" t="s">
        <v>350</v>
      </c>
      <c r="E256" s="5">
        <v>908</v>
      </c>
      <c r="F256" s="5">
        <v>2113</v>
      </c>
      <c r="G256" s="28" t="s">
        <v>1827</v>
      </c>
      <c r="H256" s="6" t="s">
        <v>250</v>
      </c>
      <c r="J256" s="5" t="s">
        <v>225</v>
      </c>
      <c r="K256" s="27">
        <v>11</v>
      </c>
      <c r="L256" s="27">
        <v>-13.4</v>
      </c>
      <c r="R256" s="27">
        <v>15.5</v>
      </c>
      <c r="S256" s="27">
        <v>2.8</v>
      </c>
      <c r="V256" s="32" t="s">
        <v>3353</v>
      </c>
      <c r="W256" s="32">
        <v>5</v>
      </c>
      <c r="X256" s="33" t="s">
        <v>3394</v>
      </c>
      <c r="Y256" s="32">
        <v>1000</v>
      </c>
      <c r="AA256" s="32">
        <v>29.37</v>
      </c>
      <c r="AB256" s="32">
        <v>-99.47</v>
      </c>
      <c r="AC256" s="32">
        <v>13406</v>
      </c>
    </row>
    <row r="257" spans="3:29" ht="19">
      <c r="C257" s="22" t="s">
        <v>266</v>
      </c>
      <c r="D257" s="22" t="s">
        <v>350</v>
      </c>
      <c r="E257" s="5">
        <v>908</v>
      </c>
      <c r="F257" s="5">
        <v>2220</v>
      </c>
      <c r="G257" s="28" t="s">
        <v>1827</v>
      </c>
      <c r="H257" s="6" t="s">
        <v>250</v>
      </c>
      <c r="J257" s="5" t="s">
        <v>225</v>
      </c>
      <c r="K257" s="27">
        <v>9.6999999999999993</v>
      </c>
      <c r="L257" s="27">
        <v>-10</v>
      </c>
      <c r="R257" s="27">
        <v>15.7</v>
      </c>
      <c r="S257" s="27">
        <v>2.8</v>
      </c>
      <c r="V257" s="32" t="s">
        <v>3353</v>
      </c>
      <c r="W257" s="32">
        <v>1</v>
      </c>
      <c r="X257" s="33" t="s">
        <v>3469</v>
      </c>
      <c r="Y257" s="32">
        <v>1000</v>
      </c>
      <c r="AA257" s="32">
        <v>29.37</v>
      </c>
      <c r="AB257" s="32">
        <v>-99.47</v>
      </c>
      <c r="AC257" s="32">
        <v>13406</v>
      </c>
    </row>
    <row r="258" spans="3:29" ht="38">
      <c r="C258" s="22" t="s">
        <v>266</v>
      </c>
      <c r="D258" s="22" t="s">
        <v>350</v>
      </c>
      <c r="E258" s="5">
        <v>908</v>
      </c>
      <c r="F258" s="5">
        <v>382</v>
      </c>
      <c r="G258" s="28" t="s">
        <v>1827</v>
      </c>
      <c r="H258" s="6" t="s">
        <v>250</v>
      </c>
      <c r="J258" s="5" t="s">
        <v>225</v>
      </c>
      <c r="K258" s="27">
        <v>9.6</v>
      </c>
      <c r="L258" s="27">
        <v>-10.199999999999999</v>
      </c>
      <c r="R258" s="27">
        <v>15.5</v>
      </c>
      <c r="S258" s="27">
        <v>2.8</v>
      </c>
      <c r="V258" s="32" t="s">
        <v>3353</v>
      </c>
      <c r="W258" s="32">
        <v>1</v>
      </c>
      <c r="X258" s="33" t="s">
        <v>3470</v>
      </c>
      <c r="Y258" s="32">
        <v>1000</v>
      </c>
      <c r="AA258" s="32">
        <v>29.37</v>
      </c>
      <c r="AB258" s="32">
        <v>-99.47</v>
      </c>
      <c r="AC258" s="32">
        <v>13406</v>
      </c>
    </row>
    <row r="259" spans="3:29" ht="64">
      <c r="C259" s="22" t="s">
        <v>266</v>
      </c>
      <c r="D259" s="22" t="s">
        <v>350</v>
      </c>
      <c r="E259" s="5">
        <v>908</v>
      </c>
      <c r="F259" s="5">
        <v>3938</v>
      </c>
      <c r="G259" s="28" t="s">
        <v>1827</v>
      </c>
      <c r="H259" s="6" t="s">
        <v>250</v>
      </c>
      <c r="J259" s="5" t="s">
        <v>225</v>
      </c>
      <c r="K259" s="27">
        <v>10.1</v>
      </c>
      <c r="L259" s="27">
        <v>-12</v>
      </c>
      <c r="R259" s="27">
        <v>15.3</v>
      </c>
      <c r="S259" s="27">
        <v>2.8</v>
      </c>
      <c r="V259" s="32" t="s">
        <v>3353</v>
      </c>
      <c r="W259" s="32">
        <v>1</v>
      </c>
      <c r="X259" s="33" t="s">
        <v>3471</v>
      </c>
      <c r="Y259" s="32">
        <v>2000</v>
      </c>
      <c r="Z259" s="31" t="s">
        <v>3446</v>
      </c>
      <c r="AA259" s="32">
        <v>29.37</v>
      </c>
      <c r="AB259" s="32">
        <v>-99.47</v>
      </c>
      <c r="AC259" s="32">
        <v>13406</v>
      </c>
    </row>
    <row r="260" spans="3:29" ht="64">
      <c r="C260" s="22" t="s">
        <v>266</v>
      </c>
      <c r="D260" s="22" t="s">
        <v>350</v>
      </c>
      <c r="E260" s="5">
        <v>908</v>
      </c>
      <c r="F260" s="5">
        <v>4291</v>
      </c>
      <c r="G260" s="28" t="s">
        <v>1827</v>
      </c>
      <c r="H260" s="6" t="s">
        <v>250</v>
      </c>
      <c r="J260" s="5" t="s">
        <v>225</v>
      </c>
      <c r="K260" s="27">
        <v>8.4</v>
      </c>
      <c r="L260" s="27">
        <v>-13.6</v>
      </c>
      <c r="R260" s="27">
        <v>15.5</v>
      </c>
      <c r="S260" s="27">
        <v>2.8</v>
      </c>
      <c r="V260" s="32" t="s">
        <v>3353</v>
      </c>
      <c r="W260" s="32">
        <v>1</v>
      </c>
      <c r="X260" s="33" t="s">
        <v>3472</v>
      </c>
      <c r="Y260" s="32">
        <v>2000</v>
      </c>
      <c r="Z260" s="31" t="s">
        <v>3446</v>
      </c>
      <c r="AA260" s="32">
        <v>29.37</v>
      </c>
      <c r="AB260" s="32">
        <v>-99.47</v>
      </c>
      <c r="AC260" s="32">
        <v>13406</v>
      </c>
    </row>
    <row r="261" spans="3:29" ht="64">
      <c r="C261" s="22" t="s">
        <v>266</v>
      </c>
      <c r="D261" s="22" t="s">
        <v>350</v>
      </c>
      <c r="E261" s="5">
        <v>908</v>
      </c>
      <c r="F261" s="5">
        <v>4294</v>
      </c>
      <c r="G261" s="28" t="s">
        <v>1827</v>
      </c>
      <c r="H261" s="6" t="s">
        <v>250</v>
      </c>
      <c r="J261" s="5" t="s">
        <v>225</v>
      </c>
      <c r="K261" s="27">
        <v>9.1999999999999993</v>
      </c>
      <c r="L261" s="27">
        <v>-11.7</v>
      </c>
      <c r="R261" s="27">
        <v>15.2</v>
      </c>
      <c r="S261" s="27">
        <v>2.8</v>
      </c>
      <c r="V261" s="32" t="s">
        <v>3353</v>
      </c>
      <c r="W261" s="32">
        <v>1</v>
      </c>
      <c r="X261" s="33" t="s">
        <v>3473</v>
      </c>
      <c r="Y261" s="32">
        <v>2000</v>
      </c>
      <c r="Z261" s="31" t="s">
        <v>3446</v>
      </c>
      <c r="AA261" s="32">
        <v>29.37</v>
      </c>
      <c r="AB261" s="32">
        <v>-99.47</v>
      </c>
      <c r="AC261" s="32">
        <v>13406</v>
      </c>
    </row>
    <row r="262" spans="3:29" ht="64">
      <c r="C262" s="22" t="s">
        <v>266</v>
      </c>
      <c r="D262" s="22" t="s">
        <v>350</v>
      </c>
      <c r="E262" s="5">
        <v>908</v>
      </c>
      <c r="F262" s="5">
        <v>4308</v>
      </c>
      <c r="G262" s="28" t="s">
        <v>1827</v>
      </c>
      <c r="H262" s="6" t="s">
        <v>250</v>
      </c>
      <c r="J262" s="5" t="s">
        <v>225</v>
      </c>
      <c r="K262" s="27">
        <v>8.9</v>
      </c>
      <c r="L262" s="27">
        <v>-13.7</v>
      </c>
      <c r="R262" s="27">
        <v>15.4</v>
      </c>
      <c r="S262" s="27">
        <v>2.8</v>
      </c>
      <c r="V262" s="32" t="s">
        <v>3353</v>
      </c>
      <c r="W262" s="32">
        <v>1</v>
      </c>
      <c r="X262" s="33" t="s">
        <v>3474</v>
      </c>
      <c r="Y262" s="32">
        <v>2000</v>
      </c>
      <c r="Z262" s="31" t="s">
        <v>3446</v>
      </c>
      <c r="AA262" s="32">
        <v>29.37</v>
      </c>
      <c r="AB262" s="32">
        <v>-99.47</v>
      </c>
      <c r="AC262" s="32">
        <v>13406</v>
      </c>
    </row>
    <row r="263" spans="3:29" ht="38">
      <c r="C263" s="22" t="s">
        <v>266</v>
      </c>
      <c r="D263" s="22" t="s">
        <v>350</v>
      </c>
      <c r="E263" s="5">
        <v>43481</v>
      </c>
      <c r="F263" s="5">
        <v>4</v>
      </c>
      <c r="G263" s="28" t="s">
        <v>1827</v>
      </c>
      <c r="H263" s="6" t="s">
        <v>1182</v>
      </c>
      <c r="J263" s="5" t="s">
        <v>225</v>
      </c>
      <c r="K263" s="27">
        <v>8.6</v>
      </c>
      <c r="L263" s="27">
        <v>-12.3</v>
      </c>
      <c r="R263" s="27">
        <v>15.7</v>
      </c>
      <c r="S263" s="27">
        <v>2.8</v>
      </c>
      <c r="V263" s="32" t="s">
        <v>3353</v>
      </c>
      <c r="W263" s="32">
        <v>1</v>
      </c>
      <c r="X263" s="33" t="s">
        <v>3475</v>
      </c>
      <c r="AA263" s="32"/>
      <c r="AB263" s="32"/>
      <c r="AC263" s="32">
        <v>13406</v>
      </c>
    </row>
    <row r="264" spans="3:29" ht="19">
      <c r="C264" s="22" t="s">
        <v>266</v>
      </c>
      <c r="D264" s="22" t="s">
        <v>350</v>
      </c>
      <c r="E264" s="5">
        <v>908</v>
      </c>
      <c r="F264" s="5">
        <v>4283</v>
      </c>
      <c r="G264" s="28" t="s">
        <v>1827</v>
      </c>
      <c r="H264" s="6" t="s">
        <v>250</v>
      </c>
      <c r="J264" s="28" t="s">
        <v>225</v>
      </c>
      <c r="K264" s="27">
        <v>10</v>
      </c>
      <c r="L264" s="27">
        <v>-12.7</v>
      </c>
      <c r="R264" s="27">
        <v>15.1</v>
      </c>
      <c r="S264" s="27">
        <v>2.8</v>
      </c>
      <c r="V264" s="32" t="s">
        <v>3353</v>
      </c>
      <c r="W264" s="32">
        <v>1</v>
      </c>
      <c r="X264" s="33" t="s">
        <v>3476</v>
      </c>
      <c r="Z264" s="31" t="s">
        <v>3432</v>
      </c>
      <c r="AA264" s="32">
        <v>29.37</v>
      </c>
      <c r="AB264" s="32">
        <v>-99.47</v>
      </c>
      <c r="AC264" s="32">
        <v>13406</v>
      </c>
    </row>
    <row r="265" spans="3:29" ht="76">
      <c r="C265" s="22" t="s">
        <v>266</v>
      </c>
      <c r="D265" s="22" t="s">
        <v>350</v>
      </c>
      <c r="E265" s="5">
        <v>908</v>
      </c>
      <c r="F265" s="5">
        <v>4469</v>
      </c>
      <c r="G265" s="28" t="s">
        <v>1827</v>
      </c>
      <c r="H265" s="6" t="s">
        <v>250</v>
      </c>
      <c r="J265" s="28" t="s">
        <v>225</v>
      </c>
      <c r="K265" s="27">
        <v>9.9</v>
      </c>
      <c r="L265" s="27">
        <v>-16.5</v>
      </c>
      <c r="R265" s="27">
        <v>14.4</v>
      </c>
      <c r="S265" s="27">
        <v>2.8</v>
      </c>
      <c r="V265" s="32" t="s">
        <v>3353</v>
      </c>
      <c r="W265" s="32">
        <v>1</v>
      </c>
      <c r="X265" s="33" t="s">
        <v>3477</v>
      </c>
      <c r="Z265" s="31" t="s">
        <v>3432</v>
      </c>
      <c r="AA265" s="32">
        <v>29.37</v>
      </c>
      <c r="AB265" s="32">
        <v>-99.47</v>
      </c>
      <c r="AC265" s="32">
        <v>13406</v>
      </c>
    </row>
    <row r="266" spans="3:29" ht="19">
      <c r="C266" s="22" t="s">
        <v>266</v>
      </c>
      <c r="D266" s="22" t="s">
        <v>350</v>
      </c>
      <c r="E266" s="5">
        <v>41229</v>
      </c>
      <c r="F266" s="5">
        <v>2598</v>
      </c>
      <c r="G266" s="28" t="s">
        <v>1827</v>
      </c>
      <c r="H266" s="6" t="s">
        <v>1742</v>
      </c>
      <c r="J266" s="5" t="s">
        <v>1728</v>
      </c>
      <c r="K266" s="27">
        <v>7.2</v>
      </c>
      <c r="L266" s="27">
        <v>-17</v>
      </c>
      <c r="R266" s="27">
        <v>15.2</v>
      </c>
      <c r="S266" s="27">
        <v>2.8</v>
      </c>
      <c r="V266" s="32" t="s">
        <v>3353</v>
      </c>
      <c r="W266" s="32">
        <v>1</v>
      </c>
      <c r="X266" s="33" t="s">
        <v>3478</v>
      </c>
      <c r="Y266" s="32">
        <v>8045</v>
      </c>
      <c r="AA266" s="32">
        <v>30.13</v>
      </c>
      <c r="AB266" s="32">
        <v>-99.54</v>
      </c>
      <c r="AC266" s="32">
        <v>13406</v>
      </c>
    </row>
    <row r="267" spans="3:29" ht="19">
      <c r="C267" s="22" t="s">
        <v>266</v>
      </c>
      <c r="D267" s="22" t="s">
        <v>3436</v>
      </c>
      <c r="E267" s="5" t="s">
        <v>487</v>
      </c>
      <c r="F267" s="5">
        <v>567409</v>
      </c>
      <c r="G267" s="28" t="s">
        <v>1827</v>
      </c>
      <c r="H267" s="6" t="s">
        <v>487</v>
      </c>
      <c r="J267" s="5" t="s">
        <v>289</v>
      </c>
      <c r="K267" s="27">
        <v>11.4</v>
      </c>
      <c r="L267" s="27">
        <v>-17.5</v>
      </c>
      <c r="R267" s="27">
        <v>16.2</v>
      </c>
      <c r="S267" s="27">
        <v>2.8</v>
      </c>
      <c r="V267" s="32" t="s">
        <v>3353</v>
      </c>
      <c r="W267" s="32">
        <v>1</v>
      </c>
      <c r="X267" s="33" t="s">
        <v>487</v>
      </c>
      <c r="Y267" s="32">
        <v>0</v>
      </c>
      <c r="AA267" s="32"/>
      <c r="AB267" s="32"/>
    </row>
    <row r="268" spans="3:29" ht="19">
      <c r="C268" s="22" t="s">
        <v>266</v>
      </c>
      <c r="D268" s="22" t="s">
        <v>505</v>
      </c>
      <c r="E268" s="5">
        <v>41229</v>
      </c>
      <c r="F268" s="5">
        <v>700</v>
      </c>
      <c r="G268" s="28" t="s">
        <v>1827</v>
      </c>
      <c r="H268" s="6" t="s">
        <v>1137</v>
      </c>
      <c r="J268" s="5" t="s">
        <v>225</v>
      </c>
      <c r="K268" s="27">
        <v>10.4</v>
      </c>
      <c r="L268" s="27">
        <v>-9.4</v>
      </c>
      <c r="R268" s="27">
        <v>15.3</v>
      </c>
      <c r="S268" s="27">
        <v>2.8</v>
      </c>
      <c r="V268" s="32" t="s">
        <v>3353</v>
      </c>
      <c r="W268" s="32">
        <v>1</v>
      </c>
      <c r="X268" s="33" t="s">
        <v>3479</v>
      </c>
      <c r="Y268" s="32">
        <v>1458</v>
      </c>
      <c r="AA268" s="32">
        <v>30.13</v>
      </c>
      <c r="AB268" s="32">
        <v>-99.54</v>
      </c>
      <c r="AC268" s="32">
        <v>37000</v>
      </c>
    </row>
    <row r="269" spans="3:29" ht="19">
      <c r="C269" s="22" t="s">
        <v>266</v>
      </c>
      <c r="D269" s="22" t="s">
        <v>505</v>
      </c>
      <c r="E269" s="5">
        <v>41229</v>
      </c>
      <c r="F269" s="5">
        <v>3743</v>
      </c>
      <c r="G269" s="28" t="s">
        <v>1827</v>
      </c>
      <c r="H269" s="6" t="s">
        <v>1137</v>
      </c>
      <c r="J269" s="5" t="s">
        <v>104</v>
      </c>
      <c r="K269" s="27">
        <v>12.6</v>
      </c>
      <c r="L269" s="27">
        <v>-16.5</v>
      </c>
      <c r="R269" s="27">
        <v>15.2</v>
      </c>
      <c r="S269" s="27">
        <v>2.8</v>
      </c>
      <c r="V269" s="32" t="s">
        <v>3353</v>
      </c>
      <c r="W269" s="32">
        <v>1</v>
      </c>
      <c r="X269" s="33" t="s">
        <v>3414</v>
      </c>
      <c r="Y269" s="32">
        <v>13315</v>
      </c>
      <c r="AA269" s="32">
        <v>30.13</v>
      </c>
      <c r="AB269" s="32">
        <v>-99.54</v>
      </c>
      <c r="AC269" s="32">
        <v>37000</v>
      </c>
    </row>
    <row r="270" spans="3:29">
      <c r="C270" s="22" t="s">
        <v>266</v>
      </c>
      <c r="D270" s="22" t="s">
        <v>151</v>
      </c>
      <c r="E270" s="5">
        <v>220</v>
      </c>
      <c r="F270" s="5">
        <v>27</v>
      </c>
      <c r="G270" s="28" t="s">
        <v>1827</v>
      </c>
      <c r="H270" s="6" t="s">
        <v>1212</v>
      </c>
      <c r="J270" s="5" t="s">
        <v>225</v>
      </c>
      <c r="K270" s="27">
        <v>10.5</v>
      </c>
      <c r="L270" s="27">
        <v>-17.8</v>
      </c>
      <c r="R270" s="27">
        <v>15.5</v>
      </c>
      <c r="S270" s="27">
        <v>2.8</v>
      </c>
      <c r="V270" s="32" t="s">
        <v>3353</v>
      </c>
      <c r="W270" s="32">
        <v>1</v>
      </c>
      <c r="AA270" s="32"/>
      <c r="AB270" s="32"/>
    </row>
    <row r="271" spans="3:29" ht="19">
      <c r="C271" s="22" t="s">
        <v>266</v>
      </c>
      <c r="D271" s="22" t="s">
        <v>151</v>
      </c>
      <c r="E271" s="5">
        <v>41229</v>
      </c>
      <c r="F271" s="5">
        <v>721</v>
      </c>
      <c r="G271" s="28" t="s">
        <v>1827</v>
      </c>
      <c r="H271" s="6" t="s">
        <v>1137</v>
      </c>
      <c r="J271" s="5" t="s">
        <v>225</v>
      </c>
      <c r="K271" s="27">
        <v>7.2</v>
      </c>
      <c r="L271" s="27">
        <v>-16.3</v>
      </c>
      <c r="R271" s="27">
        <v>15.2</v>
      </c>
      <c r="S271" s="27">
        <v>2.8</v>
      </c>
      <c r="V271" s="32" t="s">
        <v>3353</v>
      </c>
      <c r="W271" s="32">
        <v>1</v>
      </c>
      <c r="X271" s="33" t="s">
        <v>3461</v>
      </c>
      <c r="Y271" s="32">
        <v>3434</v>
      </c>
      <c r="AA271" s="32">
        <v>30.13</v>
      </c>
      <c r="AB271" s="32">
        <v>-99.54</v>
      </c>
    </row>
    <row r="272" spans="3:29" ht="19">
      <c r="C272" s="22" t="s">
        <v>266</v>
      </c>
      <c r="D272" s="22" t="s">
        <v>151</v>
      </c>
      <c r="E272" s="5">
        <v>41229</v>
      </c>
      <c r="F272" s="5">
        <v>8326</v>
      </c>
      <c r="G272" s="28" t="s">
        <v>1827</v>
      </c>
      <c r="H272" s="6" t="s">
        <v>1137</v>
      </c>
      <c r="J272" s="5" t="s">
        <v>225</v>
      </c>
      <c r="K272" s="27">
        <v>8.5</v>
      </c>
      <c r="L272" s="27">
        <v>-12.6</v>
      </c>
      <c r="R272" s="27">
        <v>15.1</v>
      </c>
      <c r="S272" s="27">
        <v>2.8</v>
      </c>
      <c r="V272" s="32" t="s">
        <v>3353</v>
      </c>
      <c r="W272" s="32">
        <v>1</v>
      </c>
      <c r="X272" s="33" t="s">
        <v>3480</v>
      </c>
      <c r="Y272" s="32">
        <v>1128</v>
      </c>
      <c r="AA272" s="32">
        <v>30.13</v>
      </c>
      <c r="AB272" s="32">
        <v>-99.54</v>
      </c>
    </row>
    <row r="273" spans="1:31" ht="38">
      <c r="C273" s="22" t="s">
        <v>266</v>
      </c>
      <c r="D273" s="22" t="s">
        <v>151</v>
      </c>
      <c r="E273" s="5">
        <v>908</v>
      </c>
      <c r="F273" s="5">
        <v>3627</v>
      </c>
      <c r="G273" s="28" t="s">
        <v>1827</v>
      </c>
      <c r="H273" s="6" t="s">
        <v>250</v>
      </c>
      <c r="J273" s="5" t="s">
        <v>225</v>
      </c>
      <c r="K273" s="27">
        <v>7.1</v>
      </c>
      <c r="L273" s="27">
        <v>-16</v>
      </c>
      <c r="R273" s="27">
        <v>15.1</v>
      </c>
      <c r="S273" s="27">
        <v>2.8</v>
      </c>
      <c r="V273" s="32" t="s">
        <v>3353</v>
      </c>
      <c r="W273" s="32">
        <v>5</v>
      </c>
      <c r="X273" s="33" t="s">
        <v>3350</v>
      </c>
      <c r="Y273" s="32">
        <v>1000</v>
      </c>
      <c r="AA273" s="32">
        <v>29.37</v>
      </c>
      <c r="AB273" s="32">
        <v>-99.47</v>
      </c>
    </row>
    <row r="274" spans="1:31" ht="19">
      <c r="C274" s="22" t="s">
        <v>266</v>
      </c>
      <c r="D274" s="22" t="s">
        <v>151</v>
      </c>
      <c r="E274" s="5">
        <v>41229</v>
      </c>
      <c r="F274" s="5">
        <v>10876</v>
      </c>
      <c r="G274" s="28" t="s">
        <v>1827</v>
      </c>
      <c r="H274" s="6" t="s">
        <v>1137</v>
      </c>
      <c r="J274" s="5" t="s">
        <v>104</v>
      </c>
      <c r="K274" s="27">
        <v>12.3</v>
      </c>
      <c r="L274" s="27">
        <v>-11.8</v>
      </c>
      <c r="R274" s="27">
        <v>15.5</v>
      </c>
      <c r="S274" s="27">
        <v>2.8</v>
      </c>
      <c r="V274" s="32" t="s">
        <v>3353</v>
      </c>
      <c r="W274" s="32">
        <v>1</v>
      </c>
      <c r="X274" s="33" t="s">
        <v>3414</v>
      </c>
      <c r="Y274" s="32">
        <v>13315</v>
      </c>
      <c r="AA274" s="32">
        <v>30.13</v>
      </c>
      <c r="AB274" s="32">
        <v>-99.54</v>
      </c>
    </row>
    <row r="275" spans="1:31" s="10" customFormat="1" ht="19">
      <c r="A275" s="5"/>
      <c r="B275" s="5"/>
      <c r="C275" s="22" t="s">
        <v>266</v>
      </c>
      <c r="D275" s="22" t="s">
        <v>151</v>
      </c>
      <c r="E275" s="5">
        <v>41229</v>
      </c>
      <c r="F275" s="5">
        <v>11182</v>
      </c>
      <c r="G275" s="28" t="s">
        <v>1827</v>
      </c>
      <c r="H275" s="6" t="s">
        <v>1137</v>
      </c>
      <c r="I275" s="6"/>
      <c r="J275" s="5" t="s">
        <v>104</v>
      </c>
      <c r="K275" s="27">
        <v>5</v>
      </c>
      <c r="L275" s="27">
        <v>-18.7</v>
      </c>
      <c r="M275" s="56"/>
      <c r="N275" s="56"/>
      <c r="O275" s="27"/>
      <c r="P275" s="5"/>
      <c r="Q275" s="27"/>
      <c r="R275" s="27">
        <v>15.1</v>
      </c>
      <c r="S275" s="27">
        <v>2.8</v>
      </c>
      <c r="T275" s="5"/>
      <c r="U275" s="24"/>
      <c r="V275" s="32" t="s">
        <v>3353</v>
      </c>
      <c r="W275" s="32">
        <v>1</v>
      </c>
      <c r="X275" s="33" t="s">
        <v>3481</v>
      </c>
      <c r="Y275" s="32">
        <v>15095</v>
      </c>
      <c r="Z275" s="31"/>
      <c r="AA275" s="32">
        <v>30.13</v>
      </c>
      <c r="AB275" s="32">
        <v>-99.54</v>
      </c>
      <c r="AC275" s="32"/>
      <c r="AD275" s="30"/>
      <c r="AE275" s="30"/>
    </row>
    <row r="276" spans="1:31" s="10" customFormat="1" ht="19">
      <c r="A276" s="28"/>
      <c r="B276" s="28"/>
      <c r="C276" s="29" t="s">
        <v>266</v>
      </c>
      <c r="D276" s="29" t="s">
        <v>282</v>
      </c>
      <c r="E276" s="28">
        <v>41229</v>
      </c>
      <c r="F276" s="28">
        <v>10802</v>
      </c>
      <c r="G276" s="28" t="s">
        <v>1827</v>
      </c>
      <c r="H276" s="41" t="s">
        <v>1137</v>
      </c>
      <c r="I276" s="41"/>
      <c r="J276" s="28" t="s">
        <v>104</v>
      </c>
      <c r="K276" s="42">
        <v>13.7</v>
      </c>
      <c r="L276" s="42">
        <v>-12.6</v>
      </c>
      <c r="M276" s="56"/>
      <c r="N276" s="56"/>
      <c r="O276" s="42"/>
      <c r="P276" s="28"/>
      <c r="Q276" s="42"/>
      <c r="R276" s="42">
        <v>15.5</v>
      </c>
      <c r="S276" s="42">
        <v>2.7</v>
      </c>
      <c r="T276" s="28"/>
      <c r="U276" s="30" t="s">
        <v>3372</v>
      </c>
      <c r="V276" s="32" t="s">
        <v>3353</v>
      </c>
      <c r="W276" s="32">
        <v>1</v>
      </c>
      <c r="X276" s="33" t="s">
        <v>3482</v>
      </c>
      <c r="Y276" s="32">
        <v>11998</v>
      </c>
      <c r="Z276" s="31"/>
      <c r="AA276" s="32">
        <v>30.13</v>
      </c>
      <c r="AB276" s="32">
        <v>-99.54</v>
      </c>
      <c r="AC276" s="32">
        <v>37000</v>
      </c>
      <c r="AD276" s="30"/>
      <c r="AE276" s="30"/>
    </row>
    <row r="277" spans="1:31" ht="19">
      <c r="A277" s="28"/>
      <c r="B277" s="28"/>
      <c r="C277" s="29" t="s">
        <v>266</v>
      </c>
      <c r="D277" s="29" t="s">
        <v>282</v>
      </c>
      <c r="E277" s="28">
        <v>41229</v>
      </c>
      <c r="F277" s="28">
        <v>3543</v>
      </c>
      <c r="G277" s="28" t="s">
        <v>1827</v>
      </c>
      <c r="H277" s="41" t="s">
        <v>1137</v>
      </c>
      <c r="I277" s="41"/>
      <c r="J277" s="28" t="s">
        <v>104</v>
      </c>
      <c r="K277" s="42">
        <v>12.9</v>
      </c>
      <c r="L277" s="42">
        <v>-12.7</v>
      </c>
      <c r="O277" s="42"/>
      <c r="P277" s="28"/>
      <c r="Q277" s="42"/>
      <c r="R277" s="42">
        <v>15.6</v>
      </c>
      <c r="S277" s="42">
        <v>2.7</v>
      </c>
      <c r="T277" s="28"/>
      <c r="U277" s="30" t="s">
        <v>3372</v>
      </c>
      <c r="V277" s="32" t="s">
        <v>3353</v>
      </c>
      <c r="W277" s="32">
        <v>1</v>
      </c>
      <c r="X277" s="33" t="s">
        <v>3483</v>
      </c>
      <c r="Y277" s="32">
        <v>12656</v>
      </c>
      <c r="AA277" s="32">
        <v>30.13</v>
      </c>
      <c r="AB277" s="32">
        <v>-99.54</v>
      </c>
      <c r="AC277" s="32">
        <v>37000</v>
      </c>
    </row>
    <row r="278" spans="1:31" ht="19">
      <c r="C278" s="22" t="s">
        <v>266</v>
      </c>
      <c r="D278" s="22" t="s">
        <v>350</v>
      </c>
      <c r="E278" s="5">
        <v>41229</v>
      </c>
      <c r="F278" s="5">
        <v>10778</v>
      </c>
      <c r="G278" s="28" t="s">
        <v>1827</v>
      </c>
      <c r="H278" s="6" t="s">
        <v>1137</v>
      </c>
      <c r="J278" s="5" t="s">
        <v>225</v>
      </c>
      <c r="K278" s="27">
        <v>10.5</v>
      </c>
      <c r="L278" s="27">
        <v>-17</v>
      </c>
      <c r="R278" s="27">
        <v>15.9</v>
      </c>
      <c r="S278" s="27">
        <v>2.7</v>
      </c>
      <c r="U278" s="24" t="s">
        <v>3372</v>
      </c>
      <c r="V278" s="32" t="s">
        <v>3353</v>
      </c>
      <c r="W278" s="32">
        <v>1</v>
      </c>
      <c r="X278" s="33" t="s">
        <v>3484</v>
      </c>
      <c r="Y278" s="32">
        <v>4093</v>
      </c>
      <c r="AA278" s="32">
        <v>30.13</v>
      </c>
      <c r="AB278" s="32">
        <v>-99.54</v>
      </c>
      <c r="AC278" s="32">
        <v>13406</v>
      </c>
    </row>
    <row r="279" spans="1:31" ht="19">
      <c r="C279" s="22" t="s">
        <v>266</v>
      </c>
      <c r="D279" s="22" t="s">
        <v>350</v>
      </c>
      <c r="E279" s="5">
        <v>41229</v>
      </c>
      <c r="F279" s="5">
        <v>294</v>
      </c>
      <c r="G279" s="28" t="s">
        <v>1827</v>
      </c>
      <c r="H279" s="6" t="s">
        <v>1137</v>
      </c>
      <c r="J279" s="5" t="s">
        <v>225</v>
      </c>
      <c r="K279" s="27">
        <v>10.6</v>
      </c>
      <c r="L279" s="27">
        <v>-16.100000000000001</v>
      </c>
      <c r="R279" s="27">
        <v>15.8</v>
      </c>
      <c r="S279" s="27">
        <v>2.7</v>
      </c>
      <c r="U279" s="24" t="s">
        <v>3372</v>
      </c>
      <c r="V279" s="32" t="s">
        <v>3353</v>
      </c>
      <c r="W279" s="32">
        <v>1</v>
      </c>
      <c r="X279" s="33" t="s">
        <v>3440</v>
      </c>
      <c r="Y279" s="32">
        <v>10680</v>
      </c>
      <c r="AA279" s="32">
        <v>30.13</v>
      </c>
      <c r="AB279" s="32">
        <v>-99.54</v>
      </c>
      <c r="AC279" s="32">
        <v>13406</v>
      </c>
    </row>
    <row r="280" spans="1:31" ht="19">
      <c r="C280" s="22" t="s">
        <v>266</v>
      </c>
      <c r="D280" s="22" t="s">
        <v>350</v>
      </c>
      <c r="E280" s="5">
        <v>41229</v>
      </c>
      <c r="F280" s="5">
        <v>697</v>
      </c>
      <c r="G280" s="28" t="s">
        <v>1827</v>
      </c>
      <c r="H280" s="6" t="s">
        <v>1137</v>
      </c>
      <c r="J280" s="5" t="s">
        <v>225</v>
      </c>
      <c r="K280" s="27">
        <v>8.1</v>
      </c>
      <c r="L280" s="27">
        <v>-17.100000000000001</v>
      </c>
      <c r="R280" s="27">
        <v>16.100000000000001</v>
      </c>
      <c r="S280" s="27">
        <v>2.7</v>
      </c>
      <c r="V280" s="32" t="s">
        <v>3353</v>
      </c>
      <c r="W280" s="32">
        <v>1</v>
      </c>
      <c r="X280" s="33" t="s">
        <v>3484</v>
      </c>
      <c r="Y280" s="32">
        <v>4093</v>
      </c>
      <c r="AA280" s="32">
        <v>30.13</v>
      </c>
      <c r="AB280" s="32">
        <v>-99.54</v>
      </c>
      <c r="AC280" s="32">
        <v>13406</v>
      </c>
    </row>
    <row r="281" spans="1:31" ht="19">
      <c r="C281" s="22" t="s">
        <v>266</v>
      </c>
      <c r="D281" s="22" t="s">
        <v>350</v>
      </c>
      <c r="E281" s="5">
        <v>41229</v>
      </c>
      <c r="F281" s="5">
        <v>9849</v>
      </c>
      <c r="G281" s="28" t="s">
        <v>1827</v>
      </c>
      <c r="H281" s="6" t="s">
        <v>1137</v>
      </c>
      <c r="J281" s="5" t="s">
        <v>225</v>
      </c>
      <c r="K281" s="27">
        <v>7.7</v>
      </c>
      <c r="L281" s="27">
        <v>-16.399999999999999</v>
      </c>
      <c r="R281" s="27">
        <v>15.5</v>
      </c>
      <c r="S281" s="27">
        <v>2.7</v>
      </c>
      <c r="U281" s="24" t="s">
        <v>3372</v>
      </c>
      <c r="V281" s="32" t="s">
        <v>3353</v>
      </c>
      <c r="W281" s="32">
        <v>1</v>
      </c>
      <c r="X281" s="33" t="s">
        <v>3485</v>
      </c>
      <c r="Y281" s="32">
        <v>5410</v>
      </c>
      <c r="AA281" s="32">
        <v>30.13</v>
      </c>
      <c r="AB281" s="32">
        <v>-99.54</v>
      </c>
      <c r="AC281" s="32">
        <v>13406</v>
      </c>
    </row>
    <row r="282" spans="1:31" ht="19">
      <c r="C282" s="22" t="s">
        <v>266</v>
      </c>
      <c r="D282" s="22" t="s">
        <v>350</v>
      </c>
      <c r="E282" s="5">
        <v>41229</v>
      </c>
      <c r="F282" s="5">
        <v>9881</v>
      </c>
      <c r="G282" s="28" t="s">
        <v>1827</v>
      </c>
      <c r="H282" s="6" t="s">
        <v>1137</v>
      </c>
      <c r="J282" s="5" t="s">
        <v>225</v>
      </c>
      <c r="K282" s="27">
        <v>8.1</v>
      </c>
      <c r="L282" s="27">
        <v>-16.2</v>
      </c>
      <c r="R282" s="27">
        <v>28.2</v>
      </c>
      <c r="S282" s="27">
        <v>2.7</v>
      </c>
      <c r="U282" s="24" t="s">
        <v>3372</v>
      </c>
      <c r="V282" s="32" t="s">
        <v>3353</v>
      </c>
      <c r="W282" s="32">
        <v>1</v>
      </c>
      <c r="X282" s="33" t="s">
        <v>3478</v>
      </c>
      <c r="Y282" s="32">
        <v>7716</v>
      </c>
      <c r="AA282" s="32">
        <v>30.13</v>
      </c>
      <c r="AB282" s="32">
        <v>-99.54</v>
      </c>
      <c r="AC282" s="32">
        <v>13406</v>
      </c>
    </row>
    <row r="283" spans="1:31" ht="19">
      <c r="C283" s="22" t="s">
        <v>266</v>
      </c>
      <c r="D283" s="22" t="s">
        <v>350</v>
      </c>
      <c r="E283" s="5">
        <v>41229</v>
      </c>
      <c r="F283" s="5">
        <v>9951</v>
      </c>
      <c r="G283" s="28" t="s">
        <v>1827</v>
      </c>
      <c r="H283" s="6" t="s">
        <v>1137</v>
      </c>
      <c r="J283" s="5" t="s">
        <v>225</v>
      </c>
      <c r="K283" s="27">
        <v>9.6999999999999993</v>
      </c>
      <c r="L283" s="27">
        <v>-13.1</v>
      </c>
      <c r="R283" s="27">
        <v>16</v>
      </c>
      <c r="S283" s="27">
        <v>2.7</v>
      </c>
      <c r="U283" s="24" t="s">
        <v>3372</v>
      </c>
      <c r="V283" s="32" t="s">
        <v>3353</v>
      </c>
      <c r="W283" s="32">
        <v>1</v>
      </c>
      <c r="X283" s="33" t="s">
        <v>3486</v>
      </c>
      <c r="Y283" s="32">
        <v>8045</v>
      </c>
      <c r="AA283" s="32">
        <v>30.13</v>
      </c>
      <c r="AB283" s="32">
        <v>-99.54</v>
      </c>
      <c r="AC283" s="32">
        <v>13406</v>
      </c>
    </row>
    <row r="284" spans="1:31">
      <c r="C284" s="22" t="s">
        <v>266</v>
      </c>
      <c r="D284" s="22" t="s">
        <v>350</v>
      </c>
      <c r="E284" s="5">
        <v>43133</v>
      </c>
      <c r="F284" s="5">
        <v>1426</v>
      </c>
      <c r="G284" s="28" t="s">
        <v>1827</v>
      </c>
      <c r="H284" s="6" t="s">
        <v>1183</v>
      </c>
      <c r="J284" s="5" t="s">
        <v>225</v>
      </c>
      <c r="K284" s="27">
        <v>9.1999999999999993</v>
      </c>
      <c r="L284" s="27">
        <v>-11.6</v>
      </c>
      <c r="R284" s="27">
        <v>15.5</v>
      </c>
      <c r="S284" s="27">
        <v>2.7</v>
      </c>
      <c r="V284" s="32" t="s">
        <v>3353</v>
      </c>
      <c r="W284" s="32">
        <v>1</v>
      </c>
      <c r="Y284" s="32">
        <v>4950</v>
      </c>
      <c r="AA284" s="32">
        <v>29.76</v>
      </c>
      <c r="AB284" s="32">
        <v>-98.77</v>
      </c>
      <c r="AC284" s="32">
        <v>13406</v>
      </c>
    </row>
    <row r="285" spans="1:31" ht="38">
      <c r="C285" s="22" t="s">
        <v>266</v>
      </c>
      <c r="D285" s="22" t="s">
        <v>350</v>
      </c>
      <c r="E285" s="5">
        <v>43202</v>
      </c>
      <c r="F285" s="5">
        <v>43</v>
      </c>
      <c r="G285" s="28" t="s">
        <v>1827</v>
      </c>
      <c r="H285" s="6" t="s">
        <v>1181</v>
      </c>
      <c r="J285" s="5" t="s">
        <v>225</v>
      </c>
      <c r="K285" s="27">
        <v>8.1</v>
      </c>
      <c r="L285" s="27">
        <v>-14.6</v>
      </c>
      <c r="R285" s="27">
        <v>16.100000000000001</v>
      </c>
      <c r="S285" s="27">
        <v>2.7</v>
      </c>
      <c r="V285" s="32" t="s">
        <v>3353</v>
      </c>
      <c r="W285" s="32">
        <v>1</v>
      </c>
      <c r="X285" s="33" t="s">
        <v>3487</v>
      </c>
      <c r="Y285" s="32">
        <v>5000</v>
      </c>
      <c r="AA285" s="32"/>
      <c r="AB285" s="32"/>
      <c r="AC285" s="32">
        <v>13406</v>
      </c>
    </row>
    <row r="286" spans="1:31" ht="19">
      <c r="C286" s="22" t="s">
        <v>266</v>
      </c>
      <c r="D286" s="22" t="s">
        <v>350</v>
      </c>
      <c r="E286" s="5">
        <v>41229</v>
      </c>
      <c r="F286" s="5">
        <v>11094</v>
      </c>
      <c r="G286" s="28" t="s">
        <v>1827</v>
      </c>
      <c r="H286" s="6" t="s">
        <v>1137</v>
      </c>
      <c r="J286" s="5" t="s">
        <v>104</v>
      </c>
      <c r="K286" s="27">
        <v>12.3</v>
      </c>
      <c r="L286" s="27">
        <v>-11.9</v>
      </c>
      <c r="R286" s="27">
        <v>15.9</v>
      </c>
      <c r="S286" s="27">
        <v>2.7</v>
      </c>
      <c r="V286" s="32" t="s">
        <v>3353</v>
      </c>
      <c r="W286" s="32">
        <v>1</v>
      </c>
      <c r="X286" s="33" t="s">
        <v>3488</v>
      </c>
      <c r="Y286" s="32">
        <v>13645</v>
      </c>
      <c r="AA286" s="32">
        <v>30.13</v>
      </c>
      <c r="AB286" s="32">
        <v>-99.54</v>
      </c>
      <c r="AC286" s="32">
        <v>13406</v>
      </c>
    </row>
    <row r="287" spans="1:31" ht="19">
      <c r="C287" s="22" t="s">
        <v>266</v>
      </c>
      <c r="D287" s="22" t="s">
        <v>3436</v>
      </c>
      <c r="E287" s="5" t="s">
        <v>487</v>
      </c>
      <c r="F287" s="5">
        <v>567382</v>
      </c>
      <c r="G287" s="28" t="s">
        <v>1827</v>
      </c>
      <c r="H287" s="6" t="s">
        <v>487</v>
      </c>
      <c r="J287" s="5" t="s">
        <v>289</v>
      </c>
      <c r="K287" s="27">
        <v>11.4</v>
      </c>
      <c r="L287" s="27">
        <v>-15.3</v>
      </c>
      <c r="R287" s="27">
        <v>16.3</v>
      </c>
      <c r="S287" s="27">
        <v>2.7</v>
      </c>
      <c r="V287" s="32" t="s">
        <v>3353</v>
      </c>
      <c r="W287" s="32">
        <v>1</v>
      </c>
      <c r="X287" s="33" t="s">
        <v>487</v>
      </c>
      <c r="Y287" s="32">
        <v>0</v>
      </c>
      <c r="AA287" s="32"/>
      <c r="AB287" s="32"/>
    </row>
    <row r="288" spans="1:31" ht="19">
      <c r="C288" s="22" t="s">
        <v>266</v>
      </c>
      <c r="D288" s="22" t="s">
        <v>3436</v>
      </c>
      <c r="E288" s="5" t="s">
        <v>487</v>
      </c>
      <c r="F288" s="5">
        <v>567383</v>
      </c>
      <c r="G288" s="28" t="s">
        <v>1827</v>
      </c>
      <c r="H288" s="6" t="s">
        <v>487</v>
      </c>
      <c r="J288" s="5" t="s">
        <v>289</v>
      </c>
      <c r="K288" s="27">
        <v>10.1</v>
      </c>
      <c r="L288" s="27">
        <v>-15.5</v>
      </c>
      <c r="R288" s="27">
        <v>16.5</v>
      </c>
      <c r="S288" s="27">
        <v>2.7</v>
      </c>
      <c r="V288" s="32" t="s">
        <v>3353</v>
      </c>
      <c r="W288" s="32">
        <v>1</v>
      </c>
      <c r="X288" s="33" t="s">
        <v>487</v>
      </c>
      <c r="Y288" s="32">
        <v>0</v>
      </c>
      <c r="AA288" s="32"/>
      <c r="AB288" s="32"/>
    </row>
    <row r="289" spans="3:29" ht="19">
      <c r="C289" s="22" t="s">
        <v>266</v>
      </c>
      <c r="D289" s="22" t="s">
        <v>3436</v>
      </c>
      <c r="E289" s="5" t="s">
        <v>487</v>
      </c>
      <c r="F289" s="5">
        <v>567408</v>
      </c>
      <c r="G289" s="28" t="s">
        <v>1827</v>
      </c>
      <c r="H289" s="6" t="s">
        <v>487</v>
      </c>
      <c r="J289" s="5" t="s">
        <v>289</v>
      </c>
      <c r="K289" s="27">
        <v>9.6999999999999993</v>
      </c>
      <c r="L289" s="27">
        <v>-17.899999999999999</v>
      </c>
      <c r="R289" s="27">
        <v>16.399999999999999</v>
      </c>
      <c r="S289" s="27">
        <v>2.7</v>
      </c>
      <c r="V289" s="32" t="s">
        <v>3353</v>
      </c>
      <c r="W289" s="32">
        <v>1</v>
      </c>
      <c r="X289" s="33" t="s">
        <v>487</v>
      </c>
      <c r="Y289" s="32">
        <v>0</v>
      </c>
      <c r="AA289" s="32"/>
      <c r="AB289" s="32"/>
    </row>
    <row r="290" spans="3:29" ht="19">
      <c r="C290" s="22" t="s">
        <v>266</v>
      </c>
      <c r="D290" s="22" t="s">
        <v>3436</v>
      </c>
      <c r="E290" s="5" t="s">
        <v>487</v>
      </c>
      <c r="F290" s="5">
        <v>567410</v>
      </c>
      <c r="G290" s="28" t="s">
        <v>1827</v>
      </c>
      <c r="H290" s="6" t="s">
        <v>487</v>
      </c>
      <c r="J290" s="5" t="s">
        <v>289</v>
      </c>
      <c r="K290" s="27">
        <v>10.3</v>
      </c>
      <c r="L290" s="27">
        <v>-16.100000000000001</v>
      </c>
      <c r="R290" s="27">
        <v>16.3</v>
      </c>
      <c r="S290" s="27">
        <v>2.7</v>
      </c>
      <c r="V290" s="32" t="s">
        <v>3353</v>
      </c>
      <c r="W290" s="32">
        <v>1</v>
      </c>
      <c r="X290" s="33" t="s">
        <v>487</v>
      </c>
      <c r="Y290" s="32">
        <v>0</v>
      </c>
      <c r="AA290" s="32"/>
      <c r="AB290" s="32"/>
    </row>
    <row r="291" spans="3:29" ht="19">
      <c r="C291" s="22" t="s">
        <v>266</v>
      </c>
      <c r="D291" s="22" t="s">
        <v>3436</v>
      </c>
      <c r="E291" s="5" t="s">
        <v>487</v>
      </c>
      <c r="F291" s="5">
        <v>567411</v>
      </c>
      <c r="G291" s="28" t="s">
        <v>1827</v>
      </c>
      <c r="H291" s="6" t="s">
        <v>487</v>
      </c>
      <c r="J291" s="5" t="s">
        <v>289</v>
      </c>
      <c r="K291" s="27">
        <v>10.199999999999999</v>
      </c>
      <c r="L291" s="27">
        <v>-15.7</v>
      </c>
      <c r="R291" s="27">
        <v>16.3</v>
      </c>
      <c r="S291" s="27">
        <v>2.7</v>
      </c>
      <c r="V291" s="32" t="s">
        <v>3353</v>
      </c>
      <c r="W291" s="32">
        <v>1</v>
      </c>
      <c r="X291" s="33" t="s">
        <v>487</v>
      </c>
      <c r="Y291" s="32">
        <v>0</v>
      </c>
      <c r="AA291" s="32"/>
      <c r="AB291" s="32"/>
    </row>
    <row r="292" spans="3:29">
      <c r="C292" s="22" t="s">
        <v>266</v>
      </c>
      <c r="D292" s="22" t="s">
        <v>505</v>
      </c>
      <c r="E292" s="5">
        <v>43133</v>
      </c>
      <c r="F292" s="5">
        <v>236</v>
      </c>
      <c r="G292" s="28" t="s">
        <v>1827</v>
      </c>
      <c r="H292" s="6" t="s">
        <v>1183</v>
      </c>
      <c r="J292" s="5" t="s">
        <v>225</v>
      </c>
      <c r="K292" s="27">
        <v>9.9</v>
      </c>
      <c r="L292" s="27">
        <v>-9.5</v>
      </c>
      <c r="R292" s="27">
        <v>16.100000000000001</v>
      </c>
      <c r="S292" s="27">
        <v>2.7</v>
      </c>
      <c r="V292" s="32" t="s">
        <v>3353</v>
      </c>
      <c r="W292" s="32">
        <v>1</v>
      </c>
      <c r="Y292" s="32">
        <v>4950</v>
      </c>
      <c r="AA292" s="32">
        <v>29.76</v>
      </c>
      <c r="AB292" s="32">
        <v>-98.77</v>
      </c>
      <c r="AC292" s="32">
        <v>37000</v>
      </c>
    </row>
    <row r="293" spans="3:29">
      <c r="C293" s="22" t="s">
        <v>266</v>
      </c>
      <c r="D293" s="22" t="s">
        <v>1833</v>
      </c>
      <c r="E293" s="5">
        <v>40449</v>
      </c>
      <c r="F293" s="5">
        <v>563</v>
      </c>
      <c r="G293" s="28" t="s">
        <v>1827</v>
      </c>
      <c r="H293" s="6" t="s">
        <v>1814</v>
      </c>
      <c r="J293" s="5" t="s">
        <v>1744</v>
      </c>
      <c r="K293" s="27">
        <v>4.5896216799999996</v>
      </c>
      <c r="L293" s="27" t="s">
        <v>487</v>
      </c>
      <c r="R293" s="27">
        <v>1.6416298015338133</v>
      </c>
      <c r="S293" s="27">
        <v>3.3397070280377785</v>
      </c>
      <c r="T293" s="5" t="s">
        <v>3489</v>
      </c>
      <c r="V293" s="32" t="s">
        <v>3417</v>
      </c>
      <c r="W293" s="32">
        <v>4</v>
      </c>
      <c r="Y293" s="32" t="s">
        <v>3490</v>
      </c>
      <c r="AA293" s="32">
        <v>30.36</v>
      </c>
      <c r="AB293" s="32">
        <v>-98.1</v>
      </c>
      <c r="AC293" s="32">
        <v>13406</v>
      </c>
    </row>
    <row r="294" spans="3:29">
      <c r="C294" s="22" t="s">
        <v>266</v>
      </c>
      <c r="D294" s="22" t="s">
        <v>505</v>
      </c>
      <c r="E294" s="5">
        <v>41352</v>
      </c>
      <c r="F294" s="5">
        <v>1</v>
      </c>
      <c r="G294" s="28" t="s">
        <v>1827</v>
      </c>
      <c r="H294" s="6" t="s">
        <v>1842</v>
      </c>
      <c r="J294" s="5" t="s">
        <v>1728</v>
      </c>
      <c r="K294" s="27">
        <v>11.3693948</v>
      </c>
      <c r="L294" s="27">
        <v>-9.6804360000000003</v>
      </c>
      <c r="R294" s="27">
        <v>13.167975100961119</v>
      </c>
      <c r="S294" s="27">
        <v>2.9353913346578824</v>
      </c>
      <c r="V294" s="32" t="s">
        <v>3417</v>
      </c>
      <c r="W294" s="32">
        <v>4</v>
      </c>
      <c r="Y294" s="32" t="s">
        <v>3491</v>
      </c>
      <c r="AA294" s="32"/>
      <c r="AB294" s="32"/>
      <c r="AC294" s="32">
        <v>37000</v>
      </c>
    </row>
    <row r="295" spans="3:29">
      <c r="C295" s="22" t="s">
        <v>266</v>
      </c>
      <c r="D295" s="22" t="s">
        <v>505</v>
      </c>
      <c r="E295" s="5">
        <v>41229</v>
      </c>
      <c r="F295" s="5">
        <v>10812</v>
      </c>
      <c r="G295" s="28" t="s">
        <v>1827</v>
      </c>
      <c r="H295" s="6" t="s">
        <v>1137</v>
      </c>
      <c r="J295" s="5" t="s">
        <v>1744</v>
      </c>
      <c r="K295" s="27">
        <v>12.6215692</v>
      </c>
      <c r="L295" s="27">
        <v>-11.5495666</v>
      </c>
      <c r="R295" s="27">
        <v>15.25114363301067</v>
      </c>
      <c r="S295" s="27">
        <v>2.8516478992725696</v>
      </c>
      <c r="V295" s="32" t="s">
        <v>3417</v>
      </c>
      <c r="W295" s="32">
        <v>5</v>
      </c>
      <c r="X295" s="33">
        <v>12327</v>
      </c>
      <c r="Y295" s="32">
        <v>12327</v>
      </c>
      <c r="AA295" s="32">
        <v>30.13</v>
      </c>
      <c r="AB295" s="32">
        <v>-99.54</v>
      </c>
      <c r="AC295" s="32">
        <v>37000</v>
      </c>
    </row>
    <row r="296" spans="3:29">
      <c r="C296" s="22" t="s">
        <v>266</v>
      </c>
      <c r="D296" s="22" t="s">
        <v>350</v>
      </c>
      <c r="E296" s="5">
        <v>41229</v>
      </c>
      <c r="F296" s="5">
        <v>6153</v>
      </c>
      <c r="G296" s="28" t="s">
        <v>1827</v>
      </c>
      <c r="H296" s="6" t="s">
        <v>1137</v>
      </c>
      <c r="J296" s="5" t="s">
        <v>1728</v>
      </c>
      <c r="K296" s="27">
        <v>7.7721731999999992</v>
      </c>
      <c r="L296" s="27">
        <v>-16.158056200000001</v>
      </c>
      <c r="R296" s="27">
        <v>10.57504591243983</v>
      </c>
      <c r="S296" s="27">
        <v>2.8209804679797394</v>
      </c>
      <c r="V296" s="32" t="s">
        <v>3417</v>
      </c>
      <c r="W296" s="32">
        <v>5</v>
      </c>
      <c r="X296" s="33">
        <v>5081</v>
      </c>
      <c r="Y296" s="32">
        <v>5081</v>
      </c>
      <c r="AA296" s="32">
        <v>30.13</v>
      </c>
      <c r="AB296" s="32">
        <v>-99.54</v>
      </c>
      <c r="AC296" s="32">
        <v>13406</v>
      </c>
    </row>
    <row r="297" spans="3:29">
      <c r="C297" s="22" t="s">
        <v>266</v>
      </c>
      <c r="D297" s="22" t="s">
        <v>350</v>
      </c>
      <c r="E297" s="5">
        <v>41229</v>
      </c>
      <c r="F297" s="5">
        <v>644</v>
      </c>
      <c r="G297" s="28" t="s">
        <v>1827</v>
      </c>
      <c r="H297" s="6" t="s">
        <v>1137</v>
      </c>
      <c r="J297" s="5" t="s">
        <v>1728</v>
      </c>
      <c r="K297" s="27">
        <v>14.201925599999999</v>
      </c>
      <c r="L297" s="27">
        <v>-15.527686199999998</v>
      </c>
      <c r="R297" s="27">
        <v>15.354392928344769</v>
      </c>
      <c r="S297" s="27">
        <v>2.8183465017077971</v>
      </c>
      <c r="V297" s="32" t="s">
        <v>3417</v>
      </c>
      <c r="W297" s="32">
        <v>5</v>
      </c>
      <c r="X297" s="33">
        <v>11668</v>
      </c>
      <c r="Y297" s="32">
        <v>11668</v>
      </c>
      <c r="AA297" s="32">
        <v>30.13</v>
      </c>
      <c r="AB297" s="32">
        <v>-99.54</v>
      </c>
      <c r="AC297" s="32">
        <v>13406</v>
      </c>
    </row>
    <row r="298" spans="3:29">
      <c r="C298" s="22" t="s">
        <v>266</v>
      </c>
      <c r="D298" s="22" t="s">
        <v>350</v>
      </c>
      <c r="E298" s="5">
        <v>41229</v>
      </c>
      <c r="F298" s="5">
        <v>1358</v>
      </c>
      <c r="G298" s="28" t="s">
        <v>1827</v>
      </c>
      <c r="H298" s="6" t="s">
        <v>1137</v>
      </c>
      <c r="J298" s="5" t="s">
        <v>1728</v>
      </c>
      <c r="K298" s="27">
        <v>7.8956859999999995</v>
      </c>
      <c r="L298" s="27">
        <v>-13.152645999999999</v>
      </c>
      <c r="R298" s="27">
        <v>15.390460616500167</v>
      </c>
      <c r="S298" s="27">
        <v>2.7779456863062681</v>
      </c>
      <c r="V298" s="32" t="s">
        <v>3417</v>
      </c>
      <c r="W298" s="32">
        <v>5</v>
      </c>
      <c r="X298" s="33">
        <v>5739</v>
      </c>
      <c r="Y298" s="32">
        <v>5739</v>
      </c>
      <c r="AA298" s="32">
        <v>30.13</v>
      </c>
      <c r="AB298" s="32">
        <v>-99.54</v>
      </c>
      <c r="AC298" s="32">
        <v>13406</v>
      </c>
    </row>
    <row r="299" spans="3:29">
      <c r="C299" s="22" t="s">
        <v>266</v>
      </c>
      <c r="D299" s="22" t="s">
        <v>282</v>
      </c>
      <c r="E299" s="5">
        <v>31141</v>
      </c>
      <c r="F299" s="5">
        <v>62</v>
      </c>
      <c r="G299" s="28" t="s">
        <v>1827</v>
      </c>
      <c r="H299" s="6" t="s">
        <v>3398</v>
      </c>
      <c r="J299" s="5" t="s">
        <v>104</v>
      </c>
      <c r="L299" s="27">
        <v>-9.82</v>
      </c>
      <c r="O299" s="27">
        <v>-5.52</v>
      </c>
      <c r="P299" s="5">
        <v>29.86</v>
      </c>
      <c r="Q299" s="27">
        <v>-0.97006382999999996</v>
      </c>
      <c r="V299" s="32">
        <v>43647</v>
      </c>
      <c r="AA299" s="32">
        <v>28.070491000000001</v>
      </c>
      <c r="AB299" s="32">
        <v>-97.225471999999996</v>
      </c>
      <c r="AC299" s="32">
        <v>65000</v>
      </c>
    </row>
    <row r="300" spans="3:29">
      <c r="C300" s="22" t="s">
        <v>266</v>
      </c>
      <c r="D300" s="22" t="s">
        <v>282</v>
      </c>
      <c r="E300" s="5">
        <v>908</v>
      </c>
      <c r="F300" s="5">
        <v>2354</v>
      </c>
      <c r="G300" s="28" t="s">
        <v>1827</v>
      </c>
      <c r="H300" s="6" t="s">
        <v>250</v>
      </c>
      <c r="J300" s="5" t="s">
        <v>104</v>
      </c>
      <c r="L300" s="27">
        <v>-8.52</v>
      </c>
      <c r="O300" s="27">
        <v>-4.22</v>
      </c>
      <c r="P300" s="5">
        <v>29.12</v>
      </c>
      <c r="Q300" s="27">
        <v>-1.687911065</v>
      </c>
      <c r="V300" s="32">
        <v>43647</v>
      </c>
      <c r="AA300" s="32">
        <v>29.37</v>
      </c>
      <c r="AB300" s="32">
        <v>-99.47</v>
      </c>
      <c r="AC300" s="32">
        <v>65000</v>
      </c>
    </row>
    <row r="301" spans="3:29">
      <c r="C301" s="22" t="s">
        <v>266</v>
      </c>
      <c r="D301" s="22" t="s">
        <v>282</v>
      </c>
      <c r="E301" s="5">
        <v>933</v>
      </c>
      <c r="F301" s="5">
        <v>2201</v>
      </c>
      <c r="G301" s="28" t="s">
        <v>1827</v>
      </c>
      <c r="H301" s="6" t="s">
        <v>249</v>
      </c>
      <c r="J301" s="5" t="s">
        <v>104</v>
      </c>
      <c r="L301" s="27">
        <v>-10.65</v>
      </c>
      <c r="O301" s="27">
        <v>-6.345479720000001</v>
      </c>
      <c r="P301" s="5">
        <v>27.796741439999998</v>
      </c>
      <c r="Q301" s="27">
        <v>-2.971556332</v>
      </c>
      <c r="V301" s="32">
        <v>43647</v>
      </c>
      <c r="AA301" s="32">
        <v>29.62</v>
      </c>
      <c r="AB301" s="32">
        <v>-98.37</v>
      </c>
      <c r="AC301" s="32">
        <v>65000</v>
      </c>
    </row>
    <row r="302" spans="3:29" ht="19">
      <c r="C302" s="22" t="s">
        <v>266</v>
      </c>
      <c r="D302" s="22" t="s">
        <v>3436</v>
      </c>
      <c r="E302" s="5">
        <v>43133</v>
      </c>
      <c r="F302" s="5">
        <v>220</v>
      </c>
      <c r="G302" s="28" t="s">
        <v>1827</v>
      </c>
      <c r="H302" s="6" t="s">
        <v>1821</v>
      </c>
      <c r="J302" s="5" t="s">
        <v>1728</v>
      </c>
      <c r="K302" s="27">
        <v>8.9954636000000008</v>
      </c>
      <c r="L302" s="27">
        <v>-16.837852295000001</v>
      </c>
      <c r="R302" s="27">
        <v>12.281212076909682</v>
      </c>
      <c r="S302" s="27">
        <v>3.0053962323982524</v>
      </c>
      <c r="V302" s="32">
        <v>43709</v>
      </c>
      <c r="W302" s="32">
        <v>6</v>
      </c>
      <c r="X302" s="33" t="s">
        <v>3492</v>
      </c>
      <c r="Y302" s="32" t="s">
        <v>3493</v>
      </c>
      <c r="AA302" s="32">
        <v>29.76</v>
      </c>
      <c r="AB302" s="32">
        <v>-98.77</v>
      </c>
      <c r="AC302" s="32">
        <v>13406</v>
      </c>
    </row>
    <row r="303" spans="3:29" ht="19">
      <c r="C303" s="22" t="s">
        <v>266</v>
      </c>
      <c r="D303" s="22" t="s">
        <v>3436</v>
      </c>
      <c r="E303" s="5">
        <v>43133</v>
      </c>
      <c r="F303" s="5">
        <v>219</v>
      </c>
      <c r="G303" s="28" t="s">
        <v>1827</v>
      </c>
      <c r="H303" s="6" t="s">
        <v>1821</v>
      </c>
      <c r="J303" s="5" t="s">
        <v>1728</v>
      </c>
      <c r="T303" s="5" t="s">
        <v>3494</v>
      </c>
      <c r="V303" s="32" t="e">
        <v>#N/A</v>
      </c>
      <c r="X303" s="33" t="s">
        <v>3492</v>
      </c>
      <c r="Y303" s="32" t="s">
        <v>3493</v>
      </c>
      <c r="AA303" s="32">
        <v>29.76</v>
      </c>
      <c r="AB303" s="32">
        <v>-98.77</v>
      </c>
      <c r="AC303" s="32">
        <v>13406</v>
      </c>
    </row>
    <row r="304" spans="3:29" ht="19">
      <c r="C304" s="22" t="s">
        <v>460</v>
      </c>
      <c r="D304" s="22" t="s">
        <v>151</v>
      </c>
      <c r="E304" s="5">
        <v>998</v>
      </c>
      <c r="F304" s="5">
        <v>115</v>
      </c>
      <c r="G304" s="28" t="s">
        <v>1723</v>
      </c>
      <c r="H304" s="6" t="s">
        <v>190</v>
      </c>
      <c r="J304" s="5" t="s">
        <v>104</v>
      </c>
      <c r="K304" s="34"/>
      <c r="L304" s="34"/>
      <c r="M304" s="56" t="s">
        <v>487</v>
      </c>
      <c r="N304" s="56" t="s">
        <v>487</v>
      </c>
      <c r="R304" s="27" t="s">
        <v>463</v>
      </c>
      <c r="S304" s="27" t="s">
        <v>487</v>
      </c>
      <c r="V304" s="32" t="s">
        <v>3417</v>
      </c>
      <c r="W304" s="32">
        <v>4</v>
      </c>
      <c r="X304" s="33" t="s">
        <v>3495</v>
      </c>
      <c r="Z304" s="31" t="s">
        <v>3384</v>
      </c>
      <c r="AA304" s="32"/>
      <c r="AB304" s="32"/>
    </row>
    <row r="305" spans="3:29" ht="19">
      <c r="C305" s="22" t="s">
        <v>460</v>
      </c>
      <c r="D305" s="22" t="s">
        <v>151</v>
      </c>
      <c r="E305" s="5">
        <v>998</v>
      </c>
      <c r="F305" s="5">
        <v>137</v>
      </c>
      <c r="G305" s="28" t="s">
        <v>1723</v>
      </c>
      <c r="H305" s="6" t="s">
        <v>190</v>
      </c>
      <c r="J305" s="5" t="s">
        <v>104</v>
      </c>
      <c r="M305" s="56" t="s">
        <v>487</v>
      </c>
      <c r="N305" s="56">
        <v>-27.435293600000001</v>
      </c>
      <c r="R305" s="27" t="s">
        <v>463</v>
      </c>
      <c r="S305" s="27" t="s">
        <v>487</v>
      </c>
      <c r="V305" s="32" t="s">
        <v>3417</v>
      </c>
      <c r="W305" s="32">
        <v>4</v>
      </c>
      <c r="X305" s="33" t="s">
        <v>3496</v>
      </c>
      <c r="Z305" s="31" t="s">
        <v>3384</v>
      </c>
      <c r="AA305" s="32"/>
      <c r="AB305" s="32"/>
    </row>
    <row r="306" spans="3:29" ht="19">
      <c r="C306" s="22" t="s">
        <v>460</v>
      </c>
      <c r="D306" s="22" t="s">
        <v>151</v>
      </c>
      <c r="E306" s="5">
        <v>31141</v>
      </c>
      <c r="F306" s="5">
        <v>63</v>
      </c>
      <c r="G306" s="28" t="s">
        <v>1723</v>
      </c>
      <c r="H306" s="6" t="s">
        <v>3398</v>
      </c>
      <c r="J306" s="5" t="s">
        <v>104</v>
      </c>
      <c r="L306" s="27">
        <v>-18.64</v>
      </c>
      <c r="O306" s="27">
        <v>-11.84</v>
      </c>
      <c r="P306" s="5">
        <v>29.56</v>
      </c>
      <c r="Q306" s="27">
        <v>-1.261082979</v>
      </c>
      <c r="V306" s="32">
        <v>43647</v>
      </c>
      <c r="X306" s="33" t="s">
        <v>3497</v>
      </c>
      <c r="Z306" s="31" t="s">
        <v>3384</v>
      </c>
      <c r="AA306" s="32">
        <v>28.070491000000001</v>
      </c>
      <c r="AB306" s="32">
        <v>-97.225471999999996</v>
      </c>
    </row>
    <row r="307" spans="3:29" ht="19">
      <c r="C307" s="22" t="s">
        <v>606</v>
      </c>
      <c r="D307" s="22" t="s">
        <v>151</v>
      </c>
      <c r="E307" s="5">
        <v>30967</v>
      </c>
      <c r="F307" s="5">
        <v>219</v>
      </c>
      <c r="G307" s="28" t="s">
        <v>1723</v>
      </c>
      <c r="H307" s="6" t="s">
        <v>110</v>
      </c>
      <c r="J307" s="5" t="s">
        <v>104</v>
      </c>
      <c r="L307" s="27">
        <v>-14.2</v>
      </c>
      <c r="O307" s="27">
        <v>-7.4</v>
      </c>
      <c r="P307" s="5">
        <v>29.3</v>
      </c>
      <c r="Q307" s="27">
        <v>-1.5129999999999999</v>
      </c>
      <c r="S307" s="27">
        <v>0</v>
      </c>
      <c r="V307" s="32" t="s">
        <v>3415</v>
      </c>
      <c r="X307" s="33" t="s">
        <v>186</v>
      </c>
      <c r="Y307" s="32">
        <v>50000</v>
      </c>
      <c r="AA307" s="32">
        <v>27.87</v>
      </c>
      <c r="AB307" s="32">
        <v>-97.2</v>
      </c>
    </row>
    <row r="308" spans="3:29" ht="76">
      <c r="C308" s="22" t="s">
        <v>150</v>
      </c>
      <c r="D308" s="22" t="s">
        <v>151</v>
      </c>
      <c r="E308" s="5">
        <v>908</v>
      </c>
      <c r="F308" s="5">
        <v>2362</v>
      </c>
      <c r="G308" s="28" t="s">
        <v>1723</v>
      </c>
      <c r="H308" s="6" t="s">
        <v>250</v>
      </c>
      <c r="J308" s="5" t="s">
        <v>104</v>
      </c>
      <c r="M308" s="56" t="s">
        <v>487</v>
      </c>
      <c r="N308" s="56">
        <v>-27.7</v>
      </c>
      <c r="R308" s="27" t="s">
        <v>463</v>
      </c>
      <c r="S308" s="27">
        <v>100</v>
      </c>
      <c r="V308" s="32" t="s">
        <v>3346</v>
      </c>
      <c r="W308" s="32">
        <v>2</v>
      </c>
      <c r="X308" s="33" t="s">
        <v>3498</v>
      </c>
      <c r="AA308" s="32">
        <v>29.37</v>
      </c>
      <c r="AB308" s="32">
        <v>-99.47</v>
      </c>
      <c r="AC308" s="32">
        <v>400000</v>
      </c>
    </row>
    <row r="309" spans="3:29" ht="19">
      <c r="C309" s="22" t="s">
        <v>150</v>
      </c>
      <c r="D309" s="22" t="s">
        <v>151</v>
      </c>
      <c r="E309" s="5">
        <v>41229</v>
      </c>
      <c r="F309" s="5">
        <v>10798</v>
      </c>
      <c r="G309" s="28" t="s">
        <v>1723</v>
      </c>
      <c r="H309" s="6" t="s">
        <v>1137</v>
      </c>
      <c r="J309" s="5" t="s">
        <v>104</v>
      </c>
      <c r="K309" s="27">
        <v>8.5</v>
      </c>
      <c r="L309" s="27">
        <v>-10.5</v>
      </c>
      <c r="R309" s="27">
        <v>11.7</v>
      </c>
      <c r="S309" s="27">
        <v>2.8</v>
      </c>
      <c r="V309" s="32" t="s">
        <v>3346</v>
      </c>
      <c r="W309" s="32">
        <v>2</v>
      </c>
      <c r="X309" s="33" t="s">
        <v>3499</v>
      </c>
      <c r="Y309" s="32">
        <v>11503.5</v>
      </c>
      <c r="Z309" s="31" t="s">
        <v>3384</v>
      </c>
      <c r="AA309" s="32">
        <v>30.13</v>
      </c>
      <c r="AB309" s="32">
        <v>-99.54</v>
      </c>
      <c r="AC309" s="32">
        <v>400000</v>
      </c>
    </row>
    <row r="310" spans="3:29" ht="19">
      <c r="C310" s="22" t="s">
        <v>150</v>
      </c>
      <c r="D310" s="22" t="s">
        <v>151</v>
      </c>
      <c r="E310" s="5">
        <v>41229</v>
      </c>
      <c r="F310" s="5">
        <v>10795</v>
      </c>
      <c r="G310" s="28" t="s">
        <v>1723</v>
      </c>
      <c r="H310" s="6" t="s">
        <v>1137</v>
      </c>
      <c r="J310" s="5" t="s">
        <v>104</v>
      </c>
      <c r="K310" s="27">
        <v>5.9</v>
      </c>
      <c r="L310" s="27">
        <v>-15.1</v>
      </c>
      <c r="R310" s="27">
        <v>15.9</v>
      </c>
      <c r="S310" s="27">
        <v>2.8</v>
      </c>
      <c r="V310" s="32" t="s">
        <v>3346</v>
      </c>
      <c r="W310" s="32">
        <v>2</v>
      </c>
      <c r="X310" s="33" t="s">
        <v>3373</v>
      </c>
      <c r="Y310" s="32">
        <v>14977</v>
      </c>
      <c r="AA310" s="32">
        <v>30.13</v>
      </c>
      <c r="AB310" s="32">
        <v>-99.54</v>
      </c>
      <c r="AC310" s="32">
        <v>400000</v>
      </c>
    </row>
    <row r="311" spans="3:29" ht="19">
      <c r="C311" s="22" t="s">
        <v>150</v>
      </c>
      <c r="D311" s="22" t="s">
        <v>151</v>
      </c>
      <c r="E311" s="5">
        <v>41229</v>
      </c>
      <c r="F311" s="5">
        <v>520</v>
      </c>
      <c r="G311" s="28" t="s">
        <v>1723</v>
      </c>
      <c r="H311" s="6" t="s">
        <v>1137</v>
      </c>
      <c r="J311" s="5" t="s">
        <v>104</v>
      </c>
      <c r="K311" s="27">
        <v>5.7</v>
      </c>
      <c r="L311" s="27">
        <v>-13.8</v>
      </c>
      <c r="R311" s="27">
        <v>16</v>
      </c>
      <c r="S311" s="27">
        <v>2.8</v>
      </c>
      <c r="V311" s="32" t="s">
        <v>3346</v>
      </c>
      <c r="W311" s="32">
        <v>1</v>
      </c>
      <c r="X311" s="33" t="s">
        <v>487</v>
      </c>
      <c r="Y311" s="32">
        <v>13569</v>
      </c>
      <c r="AA311" s="32">
        <v>30.13</v>
      </c>
      <c r="AB311" s="32">
        <v>-99.54</v>
      </c>
      <c r="AC311" s="32">
        <v>400000</v>
      </c>
    </row>
    <row r="312" spans="3:29" ht="19">
      <c r="C312" s="22" t="s">
        <v>150</v>
      </c>
      <c r="D312" s="22" t="s">
        <v>151</v>
      </c>
      <c r="E312" s="5">
        <v>41229</v>
      </c>
      <c r="F312" s="5">
        <v>10796</v>
      </c>
      <c r="G312" s="28" t="s">
        <v>1723</v>
      </c>
      <c r="H312" s="6" t="s">
        <v>1137</v>
      </c>
      <c r="J312" s="5" t="s">
        <v>104</v>
      </c>
      <c r="K312" s="27">
        <v>7.9</v>
      </c>
      <c r="L312" s="27">
        <v>-9.9</v>
      </c>
      <c r="R312" s="27">
        <v>16.3</v>
      </c>
      <c r="S312" s="27">
        <v>2.7</v>
      </c>
      <c r="V312" s="32" t="s">
        <v>3346</v>
      </c>
      <c r="W312" s="32">
        <v>2</v>
      </c>
      <c r="X312" s="33" t="s">
        <v>3499</v>
      </c>
      <c r="Y312" s="32">
        <v>11503.5</v>
      </c>
      <c r="Z312" s="31" t="s">
        <v>3384</v>
      </c>
      <c r="AA312" s="32">
        <v>30.13</v>
      </c>
      <c r="AB312" s="32">
        <v>-99.54</v>
      </c>
      <c r="AC312" s="32">
        <v>400000</v>
      </c>
    </row>
    <row r="313" spans="3:29" ht="38">
      <c r="C313" s="22" t="s">
        <v>150</v>
      </c>
      <c r="D313" s="22" t="s">
        <v>151</v>
      </c>
      <c r="E313" s="5">
        <v>908</v>
      </c>
      <c r="F313" s="5">
        <v>2334</v>
      </c>
      <c r="G313" s="28" t="s">
        <v>1723</v>
      </c>
      <c r="H313" s="6" t="s">
        <v>250</v>
      </c>
      <c r="J313" s="5" t="s">
        <v>104</v>
      </c>
      <c r="M313" s="56" t="s">
        <v>487</v>
      </c>
      <c r="N313" s="56" t="s">
        <v>487</v>
      </c>
      <c r="R313" s="27" t="s">
        <v>463</v>
      </c>
      <c r="S313" s="27">
        <v>100</v>
      </c>
      <c r="V313" s="32" t="s">
        <v>3353</v>
      </c>
      <c r="W313" s="32">
        <v>5</v>
      </c>
      <c r="X313" s="33" t="s">
        <v>3500</v>
      </c>
      <c r="Y313" s="32">
        <v>13000</v>
      </c>
      <c r="AA313" s="32">
        <v>29.37</v>
      </c>
      <c r="AB313" s="32">
        <v>-99.47</v>
      </c>
      <c r="AC313" s="32">
        <v>400000</v>
      </c>
    </row>
    <row r="314" spans="3:29" ht="38">
      <c r="C314" s="22" t="s">
        <v>150</v>
      </c>
      <c r="D314" s="22" t="s">
        <v>151</v>
      </c>
      <c r="E314" s="5">
        <v>908</v>
      </c>
      <c r="F314" s="5">
        <v>2364</v>
      </c>
      <c r="G314" s="28" t="s">
        <v>1723</v>
      </c>
      <c r="H314" s="6" t="s">
        <v>250</v>
      </c>
      <c r="J314" s="5" t="s">
        <v>104</v>
      </c>
      <c r="M314" s="56" t="s">
        <v>487</v>
      </c>
      <c r="N314" s="56" t="s">
        <v>487</v>
      </c>
      <c r="R314" s="27" t="s">
        <v>463</v>
      </c>
      <c r="S314" s="27">
        <v>100</v>
      </c>
      <c r="V314" s="32" t="s">
        <v>3353</v>
      </c>
      <c r="W314" s="32">
        <v>4</v>
      </c>
      <c r="X314" s="33" t="s">
        <v>3420</v>
      </c>
      <c r="Y314" s="32">
        <v>13000</v>
      </c>
      <c r="AA314" s="32">
        <v>29.37</v>
      </c>
      <c r="AB314" s="32">
        <v>-99.47</v>
      </c>
      <c r="AC314" s="32">
        <v>400000</v>
      </c>
    </row>
    <row r="315" spans="3:29" ht="38">
      <c r="C315" s="22" t="s">
        <v>150</v>
      </c>
      <c r="D315" s="22" t="s">
        <v>151</v>
      </c>
      <c r="E315" s="5">
        <v>908</v>
      </c>
      <c r="F315" s="5">
        <v>2398</v>
      </c>
      <c r="G315" s="28" t="s">
        <v>1723</v>
      </c>
      <c r="H315" s="6" t="s">
        <v>250</v>
      </c>
      <c r="J315" s="5" t="s">
        <v>104</v>
      </c>
      <c r="M315" s="56" t="s">
        <v>487</v>
      </c>
      <c r="N315" s="56" t="s">
        <v>487</v>
      </c>
      <c r="R315" s="27" t="s">
        <v>463</v>
      </c>
      <c r="S315" s="27">
        <v>100</v>
      </c>
      <c r="V315" s="32" t="s">
        <v>3353</v>
      </c>
      <c r="W315" s="32">
        <v>5</v>
      </c>
      <c r="X315" s="33" t="s">
        <v>3420</v>
      </c>
      <c r="Y315" s="32">
        <v>13000</v>
      </c>
      <c r="AA315" s="32">
        <v>29.37</v>
      </c>
      <c r="AB315" s="32">
        <v>-99.47</v>
      </c>
      <c r="AC315" s="32">
        <v>400000</v>
      </c>
    </row>
    <row r="316" spans="3:29" ht="38">
      <c r="C316" s="22" t="s">
        <v>150</v>
      </c>
      <c r="D316" s="22" t="s">
        <v>151</v>
      </c>
      <c r="E316" s="5">
        <v>908</v>
      </c>
      <c r="F316" s="5">
        <v>2310</v>
      </c>
      <c r="G316" s="28" t="s">
        <v>1723</v>
      </c>
      <c r="H316" s="6" t="s">
        <v>250</v>
      </c>
      <c r="J316" s="5" t="s">
        <v>104</v>
      </c>
      <c r="K316" s="27">
        <v>8.1</v>
      </c>
      <c r="L316" s="27">
        <v>-20.2</v>
      </c>
      <c r="R316" s="27">
        <v>16.2</v>
      </c>
      <c r="S316" s="27">
        <v>2.9</v>
      </c>
      <c r="V316" s="32" t="s">
        <v>3353</v>
      </c>
      <c r="W316" s="32">
        <v>4</v>
      </c>
      <c r="X316" s="33" t="s">
        <v>3501</v>
      </c>
      <c r="Y316" s="32">
        <v>13000</v>
      </c>
      <c r="AA316" s="32">
        <v>29.37</v>
      </c>
      <c r="AB316" s="32">
        <v>-99.47</v>
      </c>
      <c r="AC316" s="32">
        <v>400000</v>
      </c>
    </row>
    <row r="317" spans="3:29">
      <c r="C317" s="22" t="s">
        <v>150</v>
      </c>
      <c r="D317" s="22" t="s">
        <v>151</v>
      </c>
      <c r="E317" s="5">
        <v>40685</v>
      </c>
      <c r="F317" s="5">
        <v>2260</v>
      </c>
      <c r="H317" s="6" t="s">
        <v>134</v>
      </c>
      <c r="J317" s="5" t="s">
        <v>104</v>
      </c>
      <c r="L317" s="27">
        <v>-12.6</v>
      </c>
      <c r="O317" s="27">
        <v>-5.8474000000000004</v>
      </c>
      <c r="Q317" s="27">
        <v>-2.8195614948795082</v>
      </c>
      <c r="V317" s="32">
        <v>43405</v>
      </c>
      <c r="W317" s="32">
        <v>4</v>
      </c>
      <c r="Z317" s="31" t="s">
        <v>3384</v>
      </c>
      <c r="AA317" s="32">
        <v>30.75</v>
      </c>
      <c r="AB317" s="32">
        <v>-99.25</v>
      </c>
    </row>
    <row r="318" spans="3:29">
      <c r="C318" s="22" t="s">
        <v>150</v>
      </c>
      <c r="D318" s="22" t="s">
        <v>151</v>
      </c>
      <c r="E318" s="5">
        <v>30967</v>
      </c>
      <c r="F318" s="5">
        <v>2140</v>
      </c>
      <c r="G318" s="28" t="s">
        <v>1723</v>
      </c>
      <c r="H318" s="6" t="s">
        <v>110</v>
      </c>
      <c r="J318" s="5" t="s">
        <v>104</v>
      </c>
      <c r="L318" s="27">
        <v>-8.6999999999999993</v>
      </c>
      <c r="O318" s="27">
        <v>-1.9224166666666669</v>
      </c>
      <c r="Q318" s="27">
        <v>-3.2405449960242549</v>
      </c>
      <c r="V318" s="32">
        <v>43405</v>
      </c>
      <c r="W318" s="32">
        <v>3</v>
      </c>
      <c r="AA318" s="32">
        <v>27.87</v>
      </c>
      <c r="AB318" s="32">
        <v>-97.2</v>
      </c>
      <c r="AC318" s="32">
        <v>400000</v>
      </c>
    </row>
    <row r="319" spans="3:29">
      <c r="C319" s="22" t="s">
        <v>150</v>
      </c>
      <c r="D319" s="22" t="s">
        <v>151</v>
      </c>
      <c r="E319" s="5">
        <v>30967</v>
      </c>
      <c r="F319" s="5">
        <v>2235</v>
      </c>
      <c r="G319" s="28" t="s">
        <v>1723</v>
      </c>
      <c r="H319" s="6" t="s">
        <v>110</v>
      </c>
      <c r="J319" s="5" t="s">
        <v>104</v>
      </c>
      <c r="L319" s="27">
        <v>-10.1</v>
      </c>
      <c r="O319" s="27">
        <v>-3.27075</v>
      </c>
      <c r="Q319" s="27">
        <v>0.17130187210341319</v>
      </c>
      <c r="V319" s="32">
        <v>43405</v>
      </c>
      <c r="W319" s="32">
        <v>3</v>
      </c>
      <c r="AA319" s="32">
        <v>27.87</v>
      </c>
      <c r="AB319" s="32">
        <v>-97.2</v>
      </c>
      <c r="AC319" s="32">
        <v>400000</v>
      </c>
    </row>
    <row r="320" spans="3:29" ht="16.5" customHeight="1">
      <c r="C320" s="22" t="s">
        <v>150</v>
      </c>
      <c r="D320" s="22" t="s">
        <v>151</v>
      </c>
      <c r="E320" s="5">
        <v>908</v>
      </c>
      <c r="F320" s="5">
        <v>2358</v>
      </c>
      <c r="G320" s="28" t="s">
        <v>1723</v>
      </c>
      <c r="H320" s="6" t="s">
        <v>250</v>
      </c>
      <c r="J320" s="5" t="s">
        <v>104</v>
      </c>
      <c r="L320" s="27">
        <v>-10.5</v>
      </c>
      <c r="O320" s="27">
        <v>-3.7210000000000005</v>
      </c>
      <c r="Q320" s="27">
        <v>-4.7172633206885166</v>
      </c>
      <c r="V320" s="32">
        <v>43405</v>
      </c>
      <c r="Z320" s="31" t="s">
        <v>3384</v>
      </c>
      <c r="AA320" s="32">
        <v>29.37</v>
      </c>
      <c r="AB320" s="32">
        <v>-99.47</v>
      </c>
      <c r="AC320" s="32">
        <v>400000</v>
      </c>
    </row>
    <row r="321" spans="3:29">
      <c r="C321" s="22" t="s">
        <v>150</v>
      </c>
      <c r="D321" s="22" t="s">
        <v>151</v>
      </c>
      <c r="E321" s="5">
        <v>908</v>
      </c>
      <c r="F321" s="5">
        <v>2466</v>
      </c>
      <c r="G321" s="28" t="s">
        <v>1723</v>
      </c>
      <c r="H321" s="6" t="s">
        <v>250</v>
      </c>
      <c r="J321" s="5" t="s">
        <v>104</v>
      </c>
      <c r="L321" s="27">
        <v>-8.1</v>
      </c>
      <c r="O321" s="27">
        <v>-1.2754166666666669</v>
      </c>
      <c r="Q321" s="27">
        <v>-1.9067596341629951</v>
      </c>
      <c r="V321" s="32">
        <v>43405</v>
      </c>
      <c r="W321" s="32">
        <v>3</v>
      </c>
      <c r="Z321" s="31" t="s">
        <v>3384</v>
      </c>
      <c r="AA321" s="32">
        <v>29.37</v>
      </c>
      <c r="AB321" s="32">
        <v>-99.47</v>
      </c>
      <c r="AC321" s="32">
        <v>400000</v>
      </c>
    </row>
    <row r="322" spans="3:29">
      <c r="C322" s="22" t="s">
        <v>150</v>
      </c>
      <c r="D322" s="22" t="s">
        <v>151</v>
      </c>
      <c r="E322" s="5">
        <v>908</v>
      </c>
      <c r="F322" s="5">
        <v>2471</v>
      </c>
      <c r="G322" s="28" t="s">
        <v>1723</v>
      </c>
      <c r="H322" s="6" t="s">
        <v>250</v>
      </c>
      <c r="J322" s="5" t="s">
        <v>104</v>
      </c>
      <c r="L322" s="27">
        <v>-8.8000000000000007</v>
      </c>
      <c r="O322" s="27">
        <v>-2.0160666666666676</v>
      </c>
      <c r="Q322" s="27">
        <v>-6.3623945348354027E-2</v>
      </c>
      <c r="V322" s="32">
        <v>43405</v>
      </c>
      <c r="W322" s="32">
        <v>4</v>
      </c>
      <c r="Z322" s="31" t="s">
        <v>3384</v>
      </c>
      <c r="AA322" s="32">
        <v>29.37</v>
      </c>
      <c r="AB322" s="32">
        <v>-99.47</v>
      </c>
      <c r="AC322" s="32">
        <v>400000</v>
      </c>
    </row>
    <row r="323" spans="3:29" ht="19">
      <c r="C323" s="22" t="s">
        <v>150</v>
      </c>
      <c r="D323" s="22" t="s">
        <v>151</v>
      </c>
      <c r="E323" s="5">
        <v>1295</v>
      </c>
      <c r="F323" s="5">
        <v>33</v>
      </c>
      <c r="G323" s="28" t="s">
        <v>1723</v>
      </c>
      <c r="H323" s="6" t="s">
        <v>1171</v>
      </c>
      <c r="J323" s="5" t="s">
        <v>104</v>
      </c>
      <c r="L323" s="27">
        <v>-12.4</v>
      </c>
      <c r="O323" s="27">
        <v>-5.5530666666666679</v>
      </c>
      <c r="Q323" s="27">
        <v>-3.7584667072831053</v>
      </c>
      <c r="V323" s="32">
        <v>43405</v>
      </c>
      <c r="W323" s="32">
        <v>4</v>
      </c>
      <c r="X323" s="33" t="s">
        <v>3411</v>
      </c>
      <c r="AA323" s="32">
        <v>31.12</v>
      </c>
      <c r="AB323" s="32">
        <v>-98.75</v>
      </c>
      <c r="AC323" s="32">
        <v>400000</v>
      </c>
    </row>
    <row r="324" spans="3:29" ht="19">
      <c r="C324" s="22" t="s">
        <v>150</v>
      </c>
      <c r="D324" s="22" t="s">
        <v>151</v>
      </c>
      <c r="E324" s="5">
        <v>43067</v>
      </c>
      <c r="F324" s="5">
        <v>29</v>
      </c>
      <c r="G324" s="28" t="s">
        <v>1723</v>
      </c>
      <c r="H324" s="6" t="s">
        <v>1893</v>
      </c>
      <c r="J324" s="5" t="s">
        <v>104</v>
      </c>
      <c r="L324" s="27">
        <v>-9.6999999999999993</v>
      </c>
      <c r="O324" s="27">
        <v>-2.9227333333333343</v>
      </c>
      <c r="Q324" s="27">
        <v>-1.2247179045145913</v>
      </c>
      <c r="V324" s="32">
        <v>43405</v>
      </c>
      <c r="W324" s="32">
        <v>4</v>
      </c>
      <c r="X324" s="33" t="s">
        <v>3411</v>
      </c>
      <c r="Z324" s="31" t="s">
        <v>3384</v>
      </c>
      <c r="AA324" s="32">
        <v>30.25</v>
      </c>
      <c r="AB324" s="32">
        <v>-97.75</v>
      </c>
      <c r="AC324" s="32">
        <v>400000</v>
      </c>
    </row>
    <row r="325" spans="3:29">
      <c r="C325" s="22" t="s">
        <v>150</v>
      </c>
      <c r="D325" s="22" t="s">
        <v>151</v>
      </c>
      <c r="E325" s="5">
        <v>43067</v>
      </c>
      <c r="F325" s="5">
        <v>30</v>
      </c>
      <c r="G325" s="28" t="s">
        <v>1723</v>
      </c>
      <c r="H325" s="6" t="s">
        <v>1893</v>
      </c>
      <c r="J325" s="5" t="s">
        <v>104</v>
      </c>
      <c r="L325" s="27">
        <v>-10.8</v>
      </c>
      <c r="O325" s="27">
        <v>-3.9996666666666667</v>
      </c>
      <c r="Q325" s="27">
        <v>-2.5753165741195971</v>
      </c>
      <c r="V325" s="32">
        <v>43405</v>
      </c>
      <c r="Z325" s="31" t="s">
        <v>3384</v>
      </c>
      <c r="AA325" s="32">
        <v>30.25</v>
      </c>
      <c r="AB325" s="32">
        <v>-97.75</v>
      </c>
      <c r="AC325" s="32">
        <v>400000</v>
      </c>
    </row>
    <row r="326" spans="3:29">
      <c r="C326" s="22" t="s">
        <v>150</v>
      </c>
      <c r="D326" s="22" t="s">
        <v>151</v>
      </c>
      <c r="E326" s="5">
        <v>43067</v>
      </c>
      <c r="F326" s="5">
        <v>62</v>
      </c>
      <c r="G326" s="28" t="s">
        <v>1723</v>
      </c>
      <c r="H326" s="6" t="s">
        <v>1893</v>
      </c>
      <c r="J326" s="5" t="s">
        <v>104</v>
      </c>
      <c r="L326" s="27">
        <v>-10.7</v>
      </c>
      <c r="O326" s="27">
        <v>-3.8817333333333339</v>
      </c>
      <c r="Q326" s="27">
        <v>-3.5562052023825572</v>
      </c>
      <c r="V326" s="32">
        <v>43405</v>
      </c>
      <c r="W326" s="32">
        <v>4</v>
      </c>
      <c r="Z326" s="31" t="s">
        <v>3384</v>
      </c>
      <c r="AA326" s="32">
        <v>30.25</v>
      </c>
      <c r="AB326" s="32">
        <v>-97.75</v>
      </c>
      <c r="AC326" s="32">
        <v>400000</v>
      </c>
    </row>
    <row r="327" spans="3:29">
      <c r="C327" s="22" t="s">
        <v>150</v>
      </c>
      <c r="D327" s="22" t="s">
        <v>151</v>
      </c>
      <c r="E327" s="5">
        <v>908</v>
      </c>
      <c r="F327" s="5">
        <v>2462</v>
      </c>
      <c r="G327" s="28" t="s">
        <v>1723</v>
      </c>
      <c r="H327" s="6" t="s">
        <v>250</v>
      </c>
      <c r="J327" s="5" t="s">
        <v>104</v>
      </c>
      <c r="L327" s="27">
        <v>-7.3</v>
      </c>
      <c r="O327" s="27">
        <v>-0.48806666666666743</v>
      </c>
      <c r="Q327" s="27">
        <v>-0.80458522192157034</v>
      </c>
      <c r="V327" s="32">
        <v>43405</v>
      </c>
      <c r="W327" s="32">
        <v>4</v>
      </c>
      <c r="Z327" s="31" t="s">
        <v>3384</v>
      </c>
      <c r="AA327" s="32">
        <v>29.37</v>
      </c>
      <c r="AB327" s="32">
        <v>-99.47</v>
      </c>
      <c r="AC327" s="32">
        <v>400000</v>
      </c>
    </row>
    <row r="328" spans="3:29">
      <c r="C328" s="22" t="s">
        <v>150</v>
      </c>
      <c r="D328" s="22" t="s">
        <v>151</v>
      </c>
      <c r="E328" s="5">
        <v>933</v>
      </c>
      <c r="F328" s="5">
        <v>1284</v>
      </c>
      <c r="G328" s="28" t="s">
        <v>1723</v>
      </c>
      <c r="H328" s="6" t="s">
        <v>249</v>
      </c>
      <c r="J328" s="5" t="s">
        <v>104</v>
      </c>
      <c r="L328" s="27">
        <v>-10.1</v>
      </c>
      <c r="O328" s="27">
        <v>-3.2936666666666667</v>
      </c>
      <c r="Q328" s="27">
        <v>-2.9503397881919682</v>
      </c>
      <c r="V328" s="32">
        <v>43405</v>
      </c>
      <c r="Z328" s="31" t="s">
        <v>3384</v>
      </c>
      <c r="AA328" s="32">
        <v>29.62</v>
      </c>
      <c r="AB328" s="32">
        <v>-98.37</v>
      </c>
      <c r="AC328" s="32">
        <v>400000</v>
      </c>
    </row>
    <row r="329" spans="3:29">
      <c r="C329" s="22" t="s">
        <v>150</v>
      </c>
      <c r="D329" s="22" t="s">
        <v>151</v>
      </c>
      <c r="E329" s="5">
        <v>30967</v>
      </c>
      <c r="F329" s="5">
        <v>2232</v>
      </c>
      <c r="G329" s="28" t="s">
        <v>1723</v>
      </c>
      <c r="H329" s="6" t="s">
        <v>110</v>
      </c>
      <c r="J329" s="5" t="s">
        <v>104</v>
      </c>
      <c r="L329" s="27">
        <v>-8.1642360400000005</v>
      </c>
      <c r="O329" s="27">
        <v>-1.364236039999998</v>
      </c>
      <c r="P329" s="5">
        <v>30.296684800000001</v>
      </c>
      <c r="Q329" s="27">
        <v>-0.54645170099999996</v>
      </c>
      <c r="V329" s="32">
        <v>43647</v>
      </c>
      <c r="AA329" s="32">
        <v>27.87</v>
      </c>
      <c r="AB329" s="32">
        <v>-97.2</v>
      </c>
      <c r="AC329" s="32">
        <v>400000</v>
      </c>
    </row>
    <row r="330" spans="3:29">
      <c r="C330" s="22" t="s">
        <v>150</v>
      </c>
      <c r="D330" s="22" t="s">
        <v>151</v>
      </c>
      <c r="E330" s="5">
        <v>30967</v>
      </c>
      <c r="F330" s="5">
        <v>1540</v>
      </c>
      <c r="G330" s="28" t="s">
        <v>1723</v>
      </c>
      <c r="H330" s="6" t="s">
        <v>110</v>
      </c>
      <c r="J330" s="5" t="s">
        <v>104</v>
      </c>
      <c r="L330" s="27">
        <v>-10.18</v>
      </c>
      <c r="O330" s="27">
        <v>-3.38</v>
      </c>
      <c r="P330" s="5">
        <v>27.52</v>
      </c>
      <c r="Q330" s="27">
        <v>-3.2400131929999998</v>
      </c>
      <c r="V330" s="32">
        <v>43647</v>
      </c>
      <c r="AA330" s="32">
        <v>27.87</v>
      </c>
      <c r="AB330" s="32">
        <v>-97.2</v>
      </c>
      <c r="AC330" s="32">
        <v>400000</v>
      </c>
    </row>
    <row r="331" spans="3:29">
      <c r="C331" s="22" t="s">
        <v>150</v>
      </c>
      <c r="D331" s="22" t="s">
        <v>151</v>
      </c>
      <c r="E331" s="5">
        <v>908</v>
      </c>
      <c r="F331" s="5">
        <v>2380</v>
      </c>
      <c r="G331" s="28" t="s">
        <v>1723</v>
      </c>
      <c r="H331" s="6" t="s">
        <v>250</v>
      </c>
      <c r="J331" s="5" t="s">
        <v>104</v>
      </c>
      <c r="L331" s="27">
        <v>-13.63</v>
      </c>
      <c r="O331" s="27">
        <v>-6.8336072800000007</v>
      </c>
      <c r="P331" s="5">
        <v>27.950099999999999</v>
      </c>
      <c r="Q331" s="27">
        <v>-2.8227887389999999</v>
      </c>
      <c r="V331" s="32">
        <v>43647</v>
      </c>
      <c r="Z331" s="31" t="s">
        <v>3384</v>
      </c>
      <c r="AA331" s="32">
        <v>29.37</v>
      </c>
      <c r="AB331" s="32">
        <v>-99.47</v>
      </c>
      <c r="AC331" s="32">
        <v>400000</v>
      </c>
    </row>
    <row r="332" spans="3:29">
      <c r="C332" s="22" t="s">
        <v>150</v>
      </c>
      <c r="D332" s="22" t="s">
        <v>151</v>
      </c>
      <c r="E332" s="5">
        <v>30967</v>
      </c>
      <c r="F332" s="5">
        <v>2239</v>
      </c>
      <c r="G332" s="28" t="s">
        <v>1723</v>
      </c>
      <c r="H332" s="6" t="s">
        <v>110</v>
      </c>
      <c r="J332" s="5" t="s">
        <v>104</v>
      </c>
      <c r="L332" s="27">
        <v>-16.91</v>
      </c>
      <c r="O332" s="27">
        <v>-10.11</v>
      </c>
      <c r="P332" s="5">
        <v>27.17</v>
      </c>
      <c r="Q332" s="27">
        <v>-3.579535533</v>
      </c>
      <c r="V332" s="32">
        <v>43647</v>
      </c>
      <c r="Z332" s="31" t="s">
        <v>3384</v>
      </c>
      <c r="AA332" s="32">
        <v>27.87</v>
      </c>
      <c r="AB332" s="32">
        <v>-97.2</v>
      </c>
      <c r="AC332" s="32">
        <v>400000</v>
      </c>
    </row>
    <row r="333" spans="3:29">
      <c r="C333" s="22" t="s">
        <v>150</v>
      </c>
      <c r="D333" s="22" t="s">
        <v>151</v>
      </c>
      <c r="E333" s="5">
        <v>1295</v>
      </c>
      <c r="F333" s="5">
        <v>36</v>
      </c>
      <c r="G333" s="28" t="s">
        <v>1723</v>
      </c>
      <c r="H333" s="6" t="s">
        <v>1171</v>
      </c>
      <c r="J333" s="5" t="s">
        <v>104</v>
      </c>
      <c r="L333" s="27">
        <v>-10.458095650000001</v>
      </c>
      <c r="O333" s="27">
        <v>-3.6580956499999981</v>
      </c>
      <c r="P333" s="5">
        <v>25.480754560000001</v>
      </c>
      <c r="Q333" s="27">
        <v>-5.2182114349999997</v>
      </c>
      <c r="V333" s="32">
        <v>43647</v>
      </c>
      <c r="AA333" s="32">
        <v>31.12</v>
      </c>
      <c r="AB333" s="32">
        <v>-98.75</v>
      </c>
      <c r="AC333" s="32">
        <v>400000</v>
      </c>
    </row>
    <row r="334" spans="3:29">
      <c r="C334" s="22" t="s">
        <v>150</v>
      </c>
      <c r="D334" s="22" t="s">
        <v>151</v>
      </c>
      <c r="E334" s="5">
        <v>908</v>
      </c>
      <c r="F334" s="5">
        <v>2295</v>
      </c>
      <c r="G334" s="28" t="s">
        <v>1723</v>
      </c>
      <c r="H334" s="6" t="s">
        <v>250</v>
      </c>
      <c r="J334" s="5" t="s">
        <v>104</v>
      </c>
      <c r="L334" s="27">
        <v>-10.7671201</v>
      </c>
      <c r="O334" s="27">
        <v>-3.9671200999999989</v>
      </c>
      <c r="P334" s="5">
        <v>26.227582300000002</v>
      </c>
      <c r="Q334" s="27">
        <v>-4.4937408569999997</v>
      </c>
      <c r="V334" s="32">
        <v>43647</v>
      </c>
      <c r="Z334" s="31" t="s">
        <v>3384</v>
      </c>
      <c r="AA334" s="32">
        <v>29.37</v>
      </c>
      <c r="AB334" s="32">
        <v>-99.47</v>
      </c>
      <c r="AC334" s="32">
        <v>400000</v>
      </c>
    </row>
    <row r="335" spans="3:29">
      <c r="C335" s="22" t="s">
        <v>150</v>
      </c>
      <c r="D335" s="22" t="s">
        <v>151</v>
      </c>
      <c r="E335" s="5">
        <v>908</v>
      </c>
      <c r="F335" s="5">
        <v>2422</v>
      </c>
      <c r="G335" s="28" t="s">
        <v>1723</v>
      </c>
      <c r="H335" s="6" t="s">
        <v>250</v>
      </c>
      <c r="J335" s="5" t="s">
        <v>104</v>
      </c>
      <c r="L335" s="27">
        <v>-11.44</v>
      </c>
      <c r="O335" s="27">
        <v>-4.6399999999999997</v>
      </c>
      <c r="P335" s="5">
        <v>28.32</v>
      </c>
      <c r="Q335" s="27">
        <v>-2.463962129</v>
      </c>
      <c r="V335" s="32">
        <v>43647</v>
      </c>
      <c r="Z335" s="31" t="s">
        <v>3384</v>
      </c>
      <c r="AA335" s="32">
        <v>29.37</v>
      </c>
      <c r="AB335" s="32">
        <v>-99.47</v>
      </c>
      <c r="AC335" s="32">
        <v>400000</v>
      </c>
    </row>
    <row r="336" spans="3:29" ht="19">
      <c r="C336" s="22" t="s">
        <v>150</v>
      </c>
      <c r="D336" s="22" t="s">
        <v>151</v>
      </c>
      <c r="E336" s="5">
        <v>30967</v>
      </c>
      <c r="F336" s="5">
        <v>2224</v>
      </c>
      <c r="G336" s="28" t="s">
        <v>1723</v>
      </c>
      <c r="H336" s="6" t="s">
        <v>110</v>
      </c>
      <c r="J336" s="5" t="s">
        <v>104</v>
      </c>
      <c r="N336" s="56">
        <v>-7.6</v>
      </c>
      <c r="O336" s="27">
        <v>-0.8</v>
      </c>
      <c r="S336" s="27">
        <v>100</v>
      </c>
      <c r="V336" s="32" t="s">
        <v>3502</v>
      </c>
      <c r="X336" s="33" t="s">
        <v>3503</v>
      </c>
      <c r="Y336" s="32">
        <v>50000</v>
      </c>
      <c r="AA336" s="32">
        <v>27.87</v>
      </c>
      <c r="AB336" s="32">
        <v>-97.2</v>
      </c>
      <c r="AC336" s="32">
        <v>400000</v>
      </c>
    </row>
    <row r="337" spans="3:29">
      <c r="C337" s="22" t="s">
        <v>150</v>
      </c>
      <c r="D337" s="22" t="s">
        <v>151</v>
      </c>
      <c r="E337" s="5">
        <v>30967</v>
      </c>
      <c r="F337" s="5">
        <v>1642</v>
      </c>
      <c r="G337" s="28" t="s">
        <v>1723</v>
      </c>
      <c r="H337" s="6" t="s">
        <v>110</v>
      </c>
      <c r="J337" s="5" t="s">
        <v>104</v>
      </c>
      <c r="L337" s="27">
        <v>-9.58</v>
      </c>
      <c r="O337" s="27">
        <v>-2.78</v>
      </c>
      <c r="P337" s="5">
        <v>28.74</v>
      </c>
      <c r="Q337" s="27">
        <v>-2.06</v>
      </c>
      <c r="S337" s="27">
        <v>0</v>
      </c>
      <c r="V337" s="32" t="s">
        <v>3402</v>
      </c>
      <c r="Y337" s="32">
        <v>50000</v>
      </c>
      <c r="AA337" s="32">
        <v>27.87</v>
      </c>
      <c r="AB337" s="32">
        <v>-97.2</v>
      </c>
      <c r="AC337" s="32">
        <v>400000</v>
      </c>
    </row>
    <row r="338" spans="3:29">
      <c r="C338" s="22" t="s">
        <v>150</v>
      </c>
      <c r="D338" s="22" t="s">
        <v>151</v>
      </c>
      <c r="E338" s="5">
        <v>30967</v>
      </c>
      <c r="F338" s="5">
        <v>1870</v>
      </c>
      <c r="G338" s="28" t="s">
        <v>1723</v>
      </c>
      <c r="H338" s="6" t="s">
        <v>110</v>
      </c>
      <c r="J338" s="5" t="s">
        <v>104</v>
      </c>
      <c r="L338" s="27">
        <v>-10.25</v>
      </c>
      <c r="O338" s="27">
        <v>-3.45</v>
      </c>
      <c r="P338" s="5">
        <v>30.89</v>
      </c>
      <c r="Q338" s="27">
        <v>0.03</v>
      </c>
      <c r="S338" s="27">
        <v>0</v>
      </c>
      <c r="V338" s="32" t="s">
        <v>3402</v>
      </c>
      <c r="Y338" s="32">
        <v>50000</v>
      </c>
      <c r="AA338" s="32">
        <v>27.87</v>
      </c>
      <c r="AB338" s="32">
        <v>-97.2</v>
      </c>
      <c r="AC338" s="32">
        <v>400000</v>
      </c>
    </row>
    <row r="339" spans="3:29">
      <c r="C339" s="22" t="s">
        <v>150</v>
      </c>
      <c r="D339" s="22" t="s">
        <v>151</v>
      </c>
      <c r="E339" s="5">
        <v>30967</v>
      </c>
      <c r="F339" s="5">
        <v>2230</v>
      </c>
      <c r="G339" s="28" t="s">
        <v>1723</v>
      </c>
      <c r="H339" s="6" t="s">
        <v>110</v>
      </c>
      <c r="J339" s="5" t="s">
        <v>104</v>
      </c>
      <c r="L339" s="27">
        <v>-8.0299999999999994</v>
      </c>
      <c r="O339" s="27">
        <v>-1.23</v>
      </c>
      <c r="P339" s="5">
        <v>31.31</v>
      </c>
      <c r="Q339" s="27">
        <v>0.44</v>
      </c>
      <c r="S339" s="27">
        <v>0</v>
      </c>
      <c r="V339" s="32" t="s">
        <v>3402</v>
      </c>
      <c r="Y339" s="32">
        <v>50000</v>
      </c>
      <c r="AA339" s="32">
        <v>27.87</v>
      </c>
      <c r="AB339" s="32">
        <v>-97.2</v>
      </c>
      <c r="AC339" s="32">
        <v>400000</v>
      </c>
    </row>
    <row r="340" spans="3:29">
      <c r="C340" s="22" t="s">
        <v>150</v>
      </c>
      <c r="D340" s="22" t="s">
        <v>151</v>
      </c>
      <c r="E340" s="5">
        <v>30967</v>
      </c>
      <c r="F340" s="5">
        <v>241</v>
      </c>
      <c r="G340" s="28" t="s">
        <v>1723</v>
      </c>
      <c r="H340" s="6" t="s">
        <v>110</v>
      </c>
      <c r="J340" s="5" t="s">
        <v>104</v>
      </c>
      <c r="L340" s="27">
        <v>-10.49</v>
      </c>
      <c r="O340" s="27">
        <v>-3.69</v>
      </c>
      <c r="P340" s="5">
        <v>34.270000000000003</v>
      </c>
      <c r="Q340" s="27">
        <v>3.31</v>
      </c>
      <c r="S340" s="27">
        <v>0</v>
      </c>
      <c r="V340" s="32" t="s">
        <v>3402</v>
      </c>
      <c r="Y340" s="32">
        <v>50000</v>
      </c>
      <c r="AA340" s="32">
        <v>27.87</v>
      </c>
      <c r="AB340" s="32">
        <v>-97.2</v>
      </c>
      <c r="AC340" s="32">
        <v>400000</v>
      </c>
    </row>
    <row r="341" spans="3:29">
      <c r="C341" s="22" t="s">
        <v>150</v>
      </c>
      <c r="D341" s="22" t="s">
        <v>151</v>
      </c>
      <c r="E341" s="5">
        <v>30967</v>
      </c>
      <c r="F341" s="5">
        <v>2455</v>
      </c>
      <c r="G341" s="28" t="s">
        <v>1723</v>
      </c>
      <c r="H341" s="6" t="s">
        <v>110</v>
      </c>
      <c r="J341" s="5" t="s">
        <v>104</v>
      </c>
      <c r="L341" s="27">
        <v>-7.54</v>
      </c>
      <c r="O341" s="27">
        <v>-0.74</v>
      </c>
      <c r="P341" s="5">
        <v>29.65</v>
      </c>
      <c r="Q341" s="27">
        <v>-1.17</v>
      </c>
      <c r="S341" s="27">
        <v>0</v>
      </c>
      <c r="V341" s="32" t="s">
        <v>3402</v>
      </c>
      <c r="Y341" s="32">
        <v>50000</v>
      </c>
      <c r="AA341" s="32">
        <v>27.87</v>
      </c>
      <c r="AB341" s="32">
        <v>-97.2</v>
      </c>
      <c r="AC341" s="32">
        <v>400000</v>
      </c>
    </row>
    <row r="342" spans="3:29">
      <c r="C342" s="22" t="s">
        <v>150</v>
      </c>
      <c r="D342" s="22" t="s">
        <v>151</v>
      </c>
      <c r="E342" s="5">
        <v>30967</v>
      </c>
      <c r="F342" s="5">
        <v>312</v>
      </c>
      <c r="G342" s="28" t="s">
        <v>1723</v>
      </c>
      <c r="H342" s="6" t="s">
        <v>110</v>
      </c>
      <c r="J342" s="5" t="s">
        <v>104</v>
      </c>
      <c r="L342" s="27">
        <v>-8.9499999999999993</v>
      </c>
      <c r="O342" s="27">
        <v>-2.15</v>
      </c>
      <c r="P342" s="5">
        <v>29</v>
      </c>
      <c r="Q342" s="27">
        <v>-1.8</v>
      </c>
      <c r="S342" s="27">
        <v>0</v>
      </c>
      <c r="V342" s="32" t="s">
        <v>3402</v>
      </c>
      <c r="Y342" s="32">
        <v>50000</v>
      </c>
      <c r="AA342" s="32">
        <v>27.87</v>
      </c>
      <c r="AB342" s="32">
        <v>-97.2</v>
      </c>
      <c r="AC342" s="32">
        <v>400000</v>
      </c>
    </row>
    <row r="343" spans="3:29">
      <c r="C343" s="22" t="s">
        <v>150</v>
      </c>
      <c r="D343" s="22" t="s">
        <v>151</v>
      </c>
      <c r="E343" s="5">
        <v>30967</v>
      </c>
      <c r="F343" s="5">
        <v>379</v>
      </c>
      <c r="G343" s="28" t="s">
        <v>1723</v>
      </c>
      <c r="H343" s="6" t="s">
        <v>110</v>
      </c>
      <c r="J343" s="5" t="s">
        <v>104</v>
      </c>
      <c r="L343" s="27">
        <v>-7.8</v>
      </c>
      <c r="O343" s="27">
        <v>-1</v>
      </c>
      <c r="P343" s="5">
        <v>28.36</v>
      </c>
      <c r="Q343" s="27">
        <v>-2.4300000000000002</v>
      </c>
      <c r="S343" s="27">
        <v>0</v>
      </c>
      <c r="V343" s="32" t="s">
        <v>3402</v>
      </c>
      <c r="Y343" s="32">
        <v>50000</v>
      </c>
      <c r="AA343" s="32">
        <v>27.87</v>
      </c>
      <c r="AB343" s="32">
        <v>-97.2</v>
      </c>
      <c r="AC343" s="32">
        <v>400000</v>
      </c>
    </row>
    <row r="344" spans="3:29" ht="19">
      <c r="C344" s="22" t="s">
        <v>150</v>
      </c>
      <c r="D344" s="22" t="s">
        <v>151</v>
      </c>
      <c r="E344" s="5">
        <v>30967</v>
      </c>
      <c r="F344" s="5">
        <v>948</v>
      </c>
      <c r="G344" s="28" t="s">
        <v>1723</v>
      </c>
      <c r="H344" s="6" t="s">
        <v>110</v>
      </c>
      <c r="J344" s="5" t="s">
        <v>104</v>
      </c>
      <c r="L344" s="27">
        <v>-9.52</v>
      </c>
      <c r="O344" s="27">
        <v>-2.72</v>
      </c>
      <c r="P344" s="5">
        <v>28.27</v>
      </c>
      <c r="Q344" s="27">
        <v>-2.5099999999999998</v>
      </c>
      <c r="S344" s="27">
        <v>0</v>
      </c>
      <c r="V344" s="32" t="s">
        <v>3402</v>
      </c>
      <c r="X344" s="33" t="s">
        <v>3464</v>
      </c>
      <c r="Y344" s="32">
        <v>50000</v>
      </c>
      <c r="AA344" s="32">
        <v>27.87</v>
      </c>
      <c r="AB344" s="32">
        <v>-97.2</v>
      </c>
      <c r="AC344" s="32">
        <v>400000</v>
      </c>
    </row>
    <row r="345" spans="3:29">
      <c r="C345" s="22" t="s">
        <v>150</v>
      </c>
      <c r="D345" s="22" t="s">
        <v>151</v>
      </c>
      <c r="E345" s="5">
        <v>30967</v>
      </c>
      <c r="F345" s="5" t="s">
        <v>1886</v>
      </c>
      <c r="G345" s="28" t="s">
        <v>1723</v>
      </c>
      <c r="H345" s="6" t="s">
        <v>110</v>
      </c>
      <c r="J345" s="5" t="s">
        <v>104</v>
      </c>
      <c r="L345" s="27">
        <v>-10.14</v>
      </c>
      <c r="O345" s="27">
        <v>-3.34</v>
      </c>
      <c r="P345" s="5">
        <v>26.75</v>
      </c>
      <c r="Q345" s="27">
        <v>-3.99</v>
      </c>
      <c r="S345" s="27">
        <v>0</v>
      </c>
      <c r="V345" s="32" t="s">
        <v>3402</v>
      </c>
      <c r="Y345" s="32">
        <v>50000</v>
      </c>
      <c r="AA345" s="32">
        <v>27.87</v>
      </c>
      <c r="AB345" s="32">
        <v>-97.2</v>
      </c>
      <c r="AC345" s="32">
        <v>400000</v>
      </c>
    </row>
    <row r="346" spans="3:29">
      <c r="C346" s="22" t="s">
        <v>150</v>
      </c>
      <c r="D346" s="22" t="s">
        <v>151</v>
      </c>
      <c r="E346" s="5">
        <v>30967</v>
      </c>
      <c r="F346" s="5" t="s">
        <v>1887</v>
      </c>
      <c r="G346" s="28" t="s">
        <v>1723</v>
      </c>
      <c r="H346" s="6" t="s">
        <v>110</v>
      </c>
      <c r="J346" s="5" t="s">
        <v>104</v>
      </c>
      <c r="L346" s="27">
        <v>-9.56</v>
      </c>
      <c r="O346" s="27">
        <v>-2.76</v>
      </c>
      <c r="P346" s="5">
        <v>26.97</v>
      </c>
      <c r="Q346" s="27">
        <v>-3.77</v>
      </c>
      <c r="S346" s="27">
        <v>0</v>
      </c>
      <c r="V346" s="32" t="s">
        <v>3402</v>
      </c>
      <c r="Y346" s="32">
        <v>50000</v>
      </c>
      <c r="AA346" s="32">
        <v>27.87</v>
      </c>
      <c r="AB346" s="32">
        <v>-97.2</v>
      </c>
      <c r="AC346" s="32">
        <v>400000</v>
      </c>
    </row>
    <row r="347" spans="3:29">
      <c r="C347" s="22" t="s">
        <v>150</v>
      </c>
      <c r="D347" s="22" t="s">
        <v>151</v>
      </c>
      <c r="E347" s="5">
        <v>30967</v>
      </c>
      <c r="F347" s="5">
        <v>2223</v>
      </c>
      <c r="G347" s="28" t="s">
        <v>1723</v>
      </c>
      <c r="H347" s="6" t="s">
        <v>110</v>
      </c>
      <c r="J347" s="5" t="s">
        <v>104</v>
      </c>
      <c r="L347" s="27">
        <v>-7.41</v>
      </c>
      <c r="O347" s="27">
        <v>-0.61</v>
      </c>
      <c r="P347" s="5">
        <v>26.92</v>
      </c>
      <c r="Q347" s="27">
        <v>-3.82</v>
      </c>
      <c r="S347" s="27">
        <v>0</v>
      </c>
      <c r="V347" s="32" t="s">
        <v>3402</v>
      </c>
      <c r="Y347" s="32">
        <v>50000</v>
      </c>
      <c r="AA347" s="32">
        <v>27.87</v>
      </c>
      <c r="AB347" s="32">
        <v>-97.2</v>
      </c>
      <c r="AC347" s="32">
        <v>400000</v>
      </c>
    </row>
    <row r="348" spans="3:29">
      <c r="C348" s="22" t="s">
        <v>150</v>
      </c>
      <c r="D348" s="22" t="s">
        <v>151</v>
      </c>
      <c r="E348" s="5">
        <v>30967</v>
      </c>
      <c r="F348" s="5">
        <v>36</v>
      </c>
      <c r="G348" s="28" t="s">
        <v>1723</v>
      </c>
      <c r="H348" s="6" t="s">
        <v>110</v>
      </c>
      <c r="J348" s="5" t="s">
        <v>104</v>
      </c>
      <c r="L348" s="27">
        <v>-7.78</v>
      </c>
      <c r="O348" s="27">
        <v>-0.98</v>
      </c>
      <c r="P348" s="5">
        <v>28.99</v>
      </c>
      <c r="Q348" s="27">
        <v>-1.81</v>
      </c>
      <c r="S348" s="27">
        <v>0</v>
      </c>
      <c r="V348" s="32" t="s">
        <v>3402</v>
      </c>
      <c r="Y348" s="32">
        <v>50000</v>
      </c>
      <c r="AA348" s="32">
        <v>27.87</v>
      </c>
      <c r="AB348" s="32">
        <v>-97.2</v>
      </c>
      <c r="AC348" s="32">
        <v>400000</v>
      </c>
    </row>
    <row r="349" spans="3:29">
      <c r="C349" s="22" t="s">
        <v>150</v>
      </c>
      <c r="D349" s="22" t="s">
        <v>151</v>
      </c>
      <c r="E349" s="5">
        <v>30967</v>
      </c>
      <c r="F349" s="5">
        <v>708</v>
      </c>
      <c r="G349" s="28" t="s">
        <v>1723</v>
      </c>
      <c r="H349" s="6" t="s">
        <v>110</v>
      </c>
      <c r="J349" s="5" t="s">
        <v>104</v>
      </c>
      <c r="L349" s="27">
        <v>-8.59</v>
      </c>
      <c r="O349" s="27">
        <v>-1.79</v>
      </c>
      <c r="P349" s="5">
        <v>28.43</v>
      </c>
      <c r="Q349" s="27">
        <v>-2.36</v>
      </c>
      <c r="S349" s="27">
        <v>0</v>
      </c>
      <c r="V349" s="32" t="s">
        <v>3402</v>
      </c>
      <c r="Y349" s="32">
        <v>50000</v>
      </c>
      <c r="AA349" s="32">
        <v>27.87</v>
      </c>
      <c r="AB349" s="32">
        <v>-97.2</v>
      </c>
      <c r="AC349" s="32">
        <v>400000</v>
      </c>
    </row>
    <row r="350" spans="3:29">
      <c r="C350" s="22" t="s">
        <v>150</v>
      </c>
      <c r="D350" s="22" t="s">
        <v>151</v>
      </c>
      <c r="E350" s="5">
        <v>30967</v>
      </c>
      <c r="F350" s="5">
        <v>974</v>
      </c>
      <c r="G350" s="28" t="s">
        <v>1723</v>
      </c>
      <c r="H350" s="6" t="s">
        <v>110</v>
      </c>
      <c r="J350" s="5" t="s">
        <v>104</v>
      </c>
      <c r="L350" s="27">
        <v>-10.78</v>
      </c>
      <c r="O350" s="27">
        <v>-3.98</v>
      </c>
      <c r="P350" s="5">
        <v>28.28</v>
      </c>
      <c r="Q350" s="27">
        <v>-2.5</v>
      </c>
      <c r="S350" s="27">
        <v>0</v>
      </c>
      <c r="V350" s="32" t="s">
        <v>3402</v>
      </c>
      <c r="Y350" s="32">
        <v>50000</v>
      </c>
      <c r="AA350" s="32">
        <v>27.87</v>
      </c>
      <c r="AB350" s="32">
        <v>-97.2</v>
      </c>
      <c r="AC350" s="32">
        <v>400000</v>
      </c>
    </row>
    <row r="351" spans="3:29">
      <c r="C351" s="22" t="s">
        <v>150</v>
      </c>
      <c r="D351" s="22" t="s">
        <v>151</v>
      </c>
      <c r="E351" s="5" t="s">
        <v>1776</v>
      </c>
      <c r="F351" s="5">
        <v>60130</v>
      </c>
      <c r="G351" s="28" t="s">
        <v>1723</v>
      </c>
      <c r="H351" s="6" t="s">
        <v>1788</v>
      </c>
      <c r="J351" s="5" t="s">
        <v>104</v>
      </c>
      <c r="L351" s="27">
        <v>-10.73</v>
      </c>
      <c r="O351" s="27">
        <v>-3.93</v>
      </c>
      <c r="P351" s="5">
        <v>31.98</v>
      </c>
      <c r="Q351" s="27">
        <v>1.0900000000000001</v>
      </c>
      <c r="S351" s="27">
        <v>0</v>
      </c>
      <c r="V351" s="32" t="s">
        <v>3402</v>
      </c>
      <c r="Y351" s="32">
        <v>30000</v>
      </c>
      <c r="AA351" s="32">
        <v>32.733333000000002</v>
      </c>
      <c r="AB351" s="32">
        <v>-96.733333000000002</v>
      </c>
      <c r="AC351" s="32">
        <v>400000</v>
      </c>
    </row>
    <row r="352" spans="3:29">
      <c r="C352" s="22" t="s">
        <v>150</v>
      </c>
      <c r="D352" s="22" t="s">
        <v>151</v>
      </c>
      <c r="E352" s="5">
        <v>30967</v>
      </c>
      <c r="F352" s="5">
        <v>1487</v>
      </c>
      <c r="G352" s="28" t="s">
        <v>1723</v>
      </c>
      <c r="H352" s="6" t="s">
        <v>110</v>
      </c>
      <c r="J352" s="5" t="s">
        <v>104</v>
      </c>
      <c r="L352" s="27">
        <v>-7.52</v>
      </c>
      <c r="O352" s="27">
        <v>-0.72</v>
      </c>
      <c r="P352" s="5">
        <v>28.97</v>
      </c>
      <c r="Q352" s="27">
        <v>-1.83</v>
      </c>
      <c r="S352" s="27">
        <v>0</v>
      </c>
      <c r="V352" s="32" t="s">
        <v>3402</v>
      </c>
      <c r="Y352" s="32">
        <v>50000</v>
      </c>
      <c r="AA352" s="32">
        <v>27.87</v>
      </c>
      <c r="AB352" s="32">
        <v>-97.2</v>
      </c>
      <c r="AC352" s="32">
        <v>400000</v>
      </c>
    </row>
    <row r="353" spans="3:29">
      <c r="C353" s="22" t="s">
        <v>150</v>
      </c>
      <c r="D353" s="22" t="s">
        <v>151</v>
      </c>
      <c r="E353" s="5">
        <v>30967</v>
      </c>
      <c r="F353" s="5">
        <v>1518</v>
      </c>
      <c r="G353" s="28" t="s">
        <v>1723</v>
      </c>
      <c r="H353" s="6" t="s">
        <v>110</v>
      </c>
      <c r="J353" s="5" t="s">
        <v>104</v>
      </c>
      <c r="L353" s="27">
        <v>-7.69</v>
      </c>
      <c r="O353" s="27">
        <v>-0.89</v>
      </c>
      <c r="P353" s="5">
        <v>30.27</v>
      </c>
      <c r="Q353" s="27">
        <v>-0.56999999999999995</v>
      </c>
      <c r="S353" s="27">
        <v>0</v>
      </c>
      <c r="V353" s="32" t="s">
        <v>3402</v>
      </c>
      <c r="Y353" s="32">
        <v>50000</v>
      </c>
      <c r="AA353" s="32">
        <v>27.87</v>
      </c>
      <c r="AB353" s="32">
        <v>-97.2</v>
      </c>
      <c r="AC353" s="32">
        <v>400000</v>
      </c>
    </row>
    <row r="354" spans="3:29">
      <c r="C354" s="22" t="s">
        <v>150</v>
      </c>
      <c r="D354" s="22" t="s">
        <v>151</v>
      </c>
      <c r="E354" s="5">
        <v>30967</v>
      </c>
      <c r="F354" s="5">
        <v>1540</v>
      </c>
      <c r="G354" s="28" t="s">
        <v>1723</v>
      </c>
      <c r="H354" s="6" t="s">
        <v>110</v>
      </c>
      <c r="J354" s="5" t="s">
        <v>104</v>
      </c>
      <c r="L354" s="27">
        <v>-10.16</v>
      </c>
      <c r="O354" s="27">
        <v>-3.36</v>
      </c>
      <c r="P354" s="5">
        <v>31.93</v>
      </c>
      <c r="Q354" s="27">
        <v>1.04</v>
      </c>
      <c r="S354" s="27">
        <v>0</v>
      </c>
      <c r="V354" s="32" t="s">
        <v>3402</v>
      </c>
      <c r="Y354" s="32">
        <v>50000</v>
      </c>
      <c r="AA354" s="32">
        <v>27.87</v>
      </c>
      <c r="AB354" s="32">
        <v>-97.2</v>
      </c>
      <c r="AC354" s="32">
        <v>400000</v>
      </c>
    </row>
    <row r="355" spans="3:29">
      <c r="C355" s="22" t="s">
        <v>150</v>
      </c>
      <c r="D355" s="22" t="s">
        <v>151</v>
      </c>
      <c r="E355" s="5">
        <v>30967</v>
      </c>
      <c r="F355" s="5">
        <v>2225</v>
      </c>
      <c r="G355" s="28" t="s">
        <v>1723</v>
      </c>
      <c r="H355" s="6" t="s">
        <v>110</v>
      </c>
      <c r="J355" s="5" t="s">
        <v>104</v>
      </c>
      <c r="L355" s="27">
        <v>-8.24</v>
      </c>
      <c r="O355" s="27">
        <v>-1.44</v>
      </c>
      <c r="P355" s="5">
        <v>30.37</v>
      </c>
      <c r="Q355" s="27">
        <v>-0.48</v>
      </c>
      <c r="S355" s="27">
        <v>0</v>
      </c>
      <c r="V355" s="32" t="s">
        <v>3402</v>
      </c>
      <c r="Y355" s="32">
        <v>50000</v>
      </c>
      <c r="AA355" s="32">
        <v>27.87</v>
      </c>
      <c r="AB355" s="32">
        <v>-97.2</v>
      </c>
      <c r="AC355" s="32">
        <v>400000</v>
      </c>
    </row>
    <row r="356" spans="3:29">
      <c r="C356" s="22" t="s">
        <v>150</v>
      </c>
      <c r="D356" s="22" t="s">
        <v>151</v>
      </c>
      <c r="E356" s="5">
        <v>30967</v>
      </c>
      <c r="F356" s="5">
        <v>2226</v>
      </c>
      <c r="G356" s="28" t="s">
        <v>1723</v>
      </c>
      <c r="H356" s="6" t="s">
        <v>110</v>
      </c>
      <c r="J356" s="5" t="s">
        <v>104</v>
      </c>
      <c r="L356" s="27">
        <v>-7.64</v>
      </c>
      <c r="O356" s="27">
        <v>-0.84</v>
      </c>
      <c r="P356" s="5">
        <v>27.62</v>
      </c>
      <c r="Q356" s="27">
        <v>-3.14</v>
      </c>
      <c r="S356" s="27">
        <v>0</v>
      </c>
      <c r="V356" s="32" t="s">
        <v>3402</v>
      </c>
      <c r="Y356" s="32">
        <v>50000</v>
      </c>
      <c r="AA356" s="32">
        <v>27.87</v>
      </c>
      <c r="AB356" s="32">
        <v>-97.2</v>
      </c>
      <c r="AC356" s="32">
        <v>400000</v>
      </c>
    </row>
    <row r="357" spans="3:29">
      <c r="C357" s="22" t="s">
        <v>150</v>
      </c>
      <c r="D357" s="22" t="s">
        <v>151</v>
      </c>
      <c r="E357" s="5">
        <v>30967</v>
      </c>
      <c r="F357" s="5">
        <v>2229</v>
      </c>
      <c r="G357" s="28" t="s">
        <v>1723</v>
      </c>
      <c r="H357" s="6" t="s">
        <v>110</v>
      </c>
      <c r="J357" s="5" t="s">
        <v>104</v>
      </c>
      <c r="L357" s="27">
        <v>-8.0500000000000007</v>
      </c>
      <c r="O357" s="27">
        <v>-1.25</v>
      </c>
      <c r="P357" s="5">
        <v>30.36</v>
      </c>
      <c r="Q357" s="27">
        <v>-0.49</v>
      </c>
      <c r="S357" s="27">
        <v>0</v>
      </c>
      <c r="V357" s="32" t="s">
        <v>3402</v>
      </c>
      <c r="Y357" s="32">
        <v>50000</v>
      </c>
      <c r="AA357" s="32">
        <v>27.87</v>
      </c>
      <c r="AB357" s="32">
        <v>-97.2</v>
      </c>
      <c r="AC357" s="32">
        <v>400000</v>
      </c>
    </row>
    <row r="358" spans="3:29">
      <c r="C358" s="22" t="s">
        <v>150</v>
      </c>
      <c r="D358" s="22" t="s">
        <v>151</v>
      </c>
      <c r="E358" s="5">
        <v>30967</v>
      </c>
      <c r="F358" s="5">
        <v>242</v>
      </c>
      <c r="G358" s="28" t="s">
        <v>1723</v>
      </c>
      <c r="H358" s="6" t="s">
        <v>110</v>
      </c>
      <c r="J358" s="5" t="s">
        <v>104</v>
      </c>
      <c r="L358" s="27">
        <v>-8.09</v>
      </c>
      <c r="O358" s="27">
        <v>-1.29</v>
      </c>
      <c r="P358" s="5">
        <v>30.83</v>
      </c>
      <c r="Q358" s="27">
        <v>-0.03</v>
      </c>
      <c r="S358" s="27">
        <v>0</v>
      </c>
      <c r="V358" s="32" t="s">
        <v>3402</v>
      </c>
      <c r="Y358" s="32">
        <v>50000</v>
      </c>
      <c r="AA358" s="32">
        <v>27.87</v>
      </c>
      <c r="AB358" s="32">
        <v>-97.2</v>
      </c>
      <c r="AC358" s="32">
        <v>400000</v>
      </c>
    </row>
    <row r="359" spans="3:29">
      <c r="C359" s="22" t="s">
        <v>150</v>
      </c>
      <c r="D359" s="22" t="s">
        <v>151</v>
      </c>
      <c r="E359" s="5">
        <v>30967</v>
      </c>
      <c r="F359" s="5" t="s">
        <v>1889</v>
      </c>
      <c r="G359" s="28" t="s">
        <v>1723</v>
      </c>
      <c r="H359" s="6" t="s">
        <v>110</v>
      </c>
      <c r="J359" s="5" t="s">
        <v>104</v>
      </c>
      <c r="L359" s="27">
        <v>-8.17</v>
      </c>
      <c r="O359" s="27">
        <v>-1.37</v>
      </c>
      <c r="P359" s="5">
        <v>29.1</v>
      </c>
      <c r="Q359" s="27">
        <v>-1.71</v>
      </c>
      <c r="S359" s="27">
        <v>0</v>
      </c>
      <c r="V359" s="32" t="s">
        <v>3402</v>
      </c>
      <c r="Y359" s="32">
        <v>50000</v>
      </c>
      <c r="AA359" s="32">
        <v>27.87</v>
      </c>
      <c r="AB359" s="32">
        <v>-97.2</v>
      </c>
      <c r="AC359" s="32">
        <v>400000</v>
      </c>
    </row>
    <row r="360" spans="3:29">
      <c r="C360" s="22" t="s">
        <v>150</v>
      </c>
      <c r="D360" s="22" t="s">
        <v>151</v>
      </c>
      <c r="E360" s="5">
        <v>30967</v>
      </c>
      <c r="F360" s="5" t="s">
        <v>1890</v>
      </c>
      <c r="G360" s="28" t="s">
        <v>1723</v>
      </c>
      <c r="H360" s="6" t="s">
        <v>110</v>
      </c>
      <c r="J360" s="5" t="s">
        <v>104</v>
      </c>
      <c r="L360" s="27">
        <v>-7.49</v>
      </c>
      <c r="O360" s="27">
        <v>-0.69</v>
      </c>
      <c r="P360" s="5">
        <v>27.98</v>
      </c>
      <c r="Q360" s="27">
        <v>-2.79</v>
      </c>
      <c r="S360" s="27">
        <v>0</v>
      </c>
      <c r="V360" s="32" t="s">
        <v>3402</v>
      </c>
      <c r="Y360" s="32">
        <v>50000</v>
      </c>
      <c r="AA360" s="32">
        <v>27.87</v>
      </c>
      <c r="AB360" s="32">
        <v>-97.2</v>
      </c>
      <c r="AC360" s="32">
        <v>400000</v>
      </c>
    </row>
    <row r="361" spans="3:29">
      <c r="C361" s="22" t="s">
        <v>150</v>
      </c>
      <c r="D361" s="22" t="s">
        <v>151</v>
      </c>
      <c r="E361" s="5">
        <v>30967</v>
      </c>
      <c r="F361" s="5" t="s">
        <v>1891</v>
      </c>
      <c r="G361" s="28" t="s">
        <v>1723</v>
      </c>
      <c r="H361" s="6" t="s">
        <v>110</v>
      </c>
      <c r="J361" s="5" t="s">
        <v>104</v>
      </c>
      <c r="L361" s="27">
        <v>-7.64</v>
      </c>
      <c r="O361" s="27">
        <v>-0.84</v>
      </c>
      <c r="P361" s="5">
        <v>29.83</v>
      </c>
      <c r="Q361" s="27">
        <v>-1</v>
      </c>
      <c r="S361" s="27">
        <v>0</v>
      </c>
      <c r="V361" s="32" t="s">
        <v>3402</v>
      </c>
      <c r="Y361" s="32">
        <v>50000</v>
      </c>
      <c r="AA361" s="32">
        <v>27.87</v>
      </c>
      <c r="AB361" s="32">
        <v>-97.2</v>
      </c>
      <c r="AC361" s="32">
        <v>400000</v>
      </c>
    </row>
    <row r="362" spans="3:29">
      <c r="C362" s="22" t="s">
        <v>150</v>
      </c>
      <c r="D362" s="22" t="s">
        <v>151</v>
      </c>
      <c r="E362" s="5" t="s">
        <v>1776</v>
      </c>
      <c r="F362" s="5">
        <v>60731</v>
      </c>
      <c r="G362" s="28" t="s">
        <v>1723</v>
      </c>
      <c r="H362" s="6" t="s">
        <v>1902</v>
      </c>
      <c r="J362" s="5" t="s">
        <v>104</v>
      </c>
      <c r="L362" s="27">
        <v>-13.11</v>
      </c>
      <c r="O362" s="27">
        <v>-6.31</v>
      </c>
      <c r="P362" s="5">
        <v>28.83</v>
      </c>
      <c r="Q362" s="27">
        <v>-1.97</v>
      </c>
      <c r="S362" s="27">
        <v>0</v>
      </c>
      <c r="V362" s="32" t="s">
        <v>3402</v>
      </c>
      <c r="Y362" s="32">
        <v>10317.5</v>
      </c>
      <c r="Z362" s="31" t="s">
        <v>3384</v>
      </c>
      <c r="AA362" s="32">
        <v>33.369999999999997</v>
      </c>
      <c r="AB362" s="32">
        <v>-95.75</v>
      </c>
      <c r="AC362" s="32">
        <v>400000</v>
      </c>
    </row>
    <row r="363" spans="3:29">
      <c r="C363" s="22" t="s">
        <v>150</v>
      </c>
      <c r="D363" s="22" t="s">
        <v>151</v>
      </c>
      <c r="E363" s="5" t="s">
        <v>1776</v>
      </c>
      <c r="F363" s="5">
        <v>61236</v>
      </c>
      <c r="G363" s="28" t="s">
        <v>1723</v>
      </c>
      <c r="H363" s="6" t="s">
        <v>1902</v>
      </c>
      <c r="J363" s="5" t="s">
        <v>104</v>
      </c>
      <c r="L363" s="27">
        <v>-10.31</v>
      </c>
      <c r="O363" s="27">
        <v>-3.51</v>
      </c>
      <c r="P363" s="5">
        <v>27.11</v>
      </c>
      <c r="Q363" s="27">
        <v>-3.64</v>
      </c>
      <c r="S363" s="27">
        <v>0</v>
      </c>
      <c r="V363" s="32" t="s">
        <v>3402</v>
      </c>
      <c r="Y363" s="32">
        <v>10317.5</v>
      </c>
      <c r="Z363" s="31" t="s">
        <v>3384</v>
      </c>
      <c r="AA363" s="32">
        <v>33.369999999999997</v>
      </c>
      <c r="AB363" s="32">
        <v>-95.75</v>
      </c>
      <c r="AC363" s="32">
        <v>400000</v>
      </c>
    </row>
    <row r="364" spans="3:29">
      <c r="C364" s="22" t="s">
        <v>150</v>
      </c>
      <c r="D364" s="22" t="s">
        <v>151</v>
      </c>
      <c r="E364" s="5" t="s">
        <v>1776</v>
      </c>
      <c r="F364" s="5">
        <v>61245</v>
      </c>
      <c r="G364" s="28" t="s">
        <v>1723</v>
      </c>
      <c r="H364" s="6" t="s">
        <v>1902</v>
      </c>
      <c r="J364" s="5" t="s">
        <v>104</v>
      </c>
      <c r="L364" s="27">
        <v>-12.85</v>
      </c>
      <c r="O364" s="27">
        <v>-6.05</v>
      </c>
      <c r="P364" s="5">
        <v>28.62</v>
      </c>
      <c r="Q364" s="27">
        <v>-2.17</v>
      </c>
      <c r="S364" s="27">
        <v>0</v>
      </c>
      <c r="V364" s="32" t="s">
        <v>3402</v>
      </c>
      <c r="Y364" s="32">
        <v>10317.5</v>
      </c>
      <c r="Z364" s="31" t="s">
        <v>3384</v>
      </c>
      <c r="AA364" s="32">
        <v>33.369999999999997</v>
      </c>
      <c r="AB364" s="32">
        <v>-95.75</v>
      </c>
      <c r="AC364" s="32">
        <v>400000</v>
      </c>
    </row>
    <row r="365" spans="3:29">
      <c r="C365" s="22" t="s">
        <v>150</v>
      </c>
      <c r="D365" s="22" t="s">
        <v>151</v>
      </c>
      <c r="E365" s="5" t="s">
        <v>1776</v>
      </c>
      <c r="F365" s="5">
        <v>61246</v>
      </c>
      <c r="G365" s="28" t="s">
        <v>1723</v>
      </c>
      <c r="H365" s="6" t="s">
        <v>1902</v>
      </c>
      <c r="J365" s="5" t="s">
        <v>104</v>
      </c>
      <c r="L365" s="27">
        <v>-9.69</v>
      </c>
      <c r="O365" s="27">
        <v>-2.89</v>
      </c>
      <c r="P365" s="5">
        <v>31.59</v>
      </c>
      <c r="Q365" s="27">
        <v>0.71</v>
      </c>
      <c r="S365" s="27">
        <v>0</v>
      </c>
      <c r="V365" s="32" t="s">
        <v>3402</v>
      </c>
      <c r="Y365" s="32">
        <v>10317.5</v>
      </c>
      <c r="Z365" s="31" t="s">
        <v>3384</v>
      </c>
      <c r="AA365" s="32">
        <v>33.369999999999997</v>
      </c>
      <c r="AB365" s="32">
        <v>-95.75</v>
      </c>
      <c r="AC365" s="32">
        <v>400000</v>
      </c>
    </row>
    <row r="366" spans="3:29">
      <c r="C366" s="22" t="s">
        <v>150</v>
      </c>
      <c r="D366" s="22" t="s">
        <v>151</v>
      </c>
      <c r="E366" s="5">
        <v>31030</v>
      </c>
      <c r="F366" s="5">
        <v>27</v>
      </c>
      <c r="G366" s="28" t="s">
        <v>1723</v>
      </c>
      <c r="H366" s="6" t="s">
        <v>1782</v>
      </c>
      <c r="J366" s="5" t="s">
        <v>104</v>
      </c>
      <c r="L366" s="27">
        <v>-12.66</v>
      </c>
      <c r="O366" s="27">
        <v>-5.86</v>
      </c>
      <c r="P366" s="5">
        <v>28.28</v>
      </c>
      <c r="Q366" s="27">
        <v>-2.5</v>
      </c>
      <c r="S366" s="27">
        <v>0</v>
      </c>
      <c r="V366" s="32" t="s">
        <v>3402</v>
      </c>
      <c r="Y366" s="32">
        <v>30000</v>
      </c>
      <c r="AA366" s="32">
        <v>32.25</v>
      </c>
      <c r="AB366" s="32">
        <v>-96.25</v>
      </c>
      <c r="AC366" s="32">
        <v>400000</v>
      </c>
    </row>
    <row r="367" spans="3:29">
      <c r="C367" s="22" t="s">
        <v>150</v>
      </c>
      <c r="D367" s="22" t="s">
        <v>151</v>
      </c>
      <c r="E367" s="5">
        <v>31030</v>
      </c>
      <c r="F367" s="5">
        <v>28</v>
      </c>
      <c r="G367" s="28" t="s">
        <v>1723</v>
      </c>
      <c r="H367" s="6" t="s">
        <v>1782</v>
      </c>
      <c r="J367" s="5" t="s">
        <v>104</v>
      </c>
      <c r="L367" s="27">
        <v>-13.69</v>
      </c>
      <c r="O367" s="27">
        <v>-6.89</v>
      </c>
      <c r="P367" s="5">
        <v>31.07</v>
      </c>
      <c r="Q367" s="27">
        <v>0.2</v>
      </c>
      <c r="S367" s="27">
        <v>0</v>
      </c>
      <c r="V367" s="32" t="s">
        <v>3402</v>
      </c>
      <c r="Y367" s="32">
        <v>30000</v>
      </c>
      <c r="AA367" s="32">
        <v>32.25</v>
      </c>
      <c r="AB367" s="32">
        <v>-96.25</v>
      </c>
      <c r="AC367" s="32">
        <v>400000</v>
      </c>
    </row>
    <row r="368" spans="3:29">
      <c r="C368" s="22" t="s">
        <v>150</v>
      </c>
      <c r="D368" s="22" t="s">
        <v>151</v>
      </c>
      <c r="E368" s="5">
        <v>933</v>
      </c>
      <c r="F368" s="5" t="s">
        <v>1880</v>
      </c>
      <c r="G368" s="28" t="s">
        <v>1723</v>
      </c>
      <c r="H368" s="6" t="s">
        <v>249</v>
      </c>
      <c r="J368" s="5" t="s">
        <v>104</v>
      </c>
      <c r="L368" s="27">
        <v>-10.69</v>
      </c>
      <c r="O368" s="27">
        <v>-3.89</v>
      </c>
      <c r="P368" s="5">
        <v>28.39</v>
      </c>
      <c r="Q368" s="27">
        <v>-2.4</v>
      </c>
      <c r="S368" s="27">
        <v>0</v>
      </c>
      <c r="V368" s="32" t="s">
        <v>3402</v>
      </c>
      <c r="Y368" s="32">
        <v>18500</v>
      </c>
      <c r="Z368" s="31" t="s">
        <v>3412</v>
      </c>
      <c r="AA368" s="32">
        <v>29.62</v>
      </c>
      <c r="AB368" s="32">
        <v>-98.37</v>
      </c>
      <c r="AC368" s="32">
        <v>400000</v>
      </c>
    </row>
    <row r="369" spans="3:29">
      <c r="C369" s="22" t="s">
        <v>150</v>
      </c>
      <c r="D369" s="22" t="s">
        <v>151</v>
      </c>
      <c r="E369" s="5">
        <v>933</v>
      </c>
      <c r="F369" s="5" t="s">
        <v>1881</v>
      </c>
      <c r="G369" s="28" t="s">
        <v>1723</v>
      </c>
      <c r="H369" s="6" t="s">
        <v>249</v>
      </c>
      <c r="J369" s="5" t="s">
        <v>104</v>
      </c>
      <c r="L369" s="27">
        <v>-10.89</v>
      </c>
      <c r="O369" s="27">
        <v>-4.09</v>
      </c>
      <c r="P369" s="5">
        <v>28.32</v>
      </c>
      <c r="Q369" s="27">
        <v>-2.46</v>
      </c>
      <c r="S369" s="27">
        <v>0</v>
      </c>
      <c r="V369" s="32" t="s">
        <v>3402</v>
      </c>
      <c r="Y369" s="32">
        <v>18500</v>
      </c>
      <c r="Z369" s="31" t="s">
        <v>3412</v>
      </c>
      <c r="AA369" s="32">
        <v>29.62</v>
      </c>
      <c r="AB369" s="32">
        <v>-98.37</v>
      </c>
      <c r="AC369" s="32">
        <v>400000</v>
      </c>
    </row>
    <row r="370" spans="3:29" ht="48">
      <c r="C370" s="22" t="s">
        <v>150</v>
      </c>
      <c r="D370" s="22" t="s">
        <v>151</v>
      </c>
      <c r="E370" s="5">
        <v>937</v>
      </c>
      <c r="F370" s="5">
        <v>254</v>
      </c>
      <c r="G370" s="28" t="s">
        <v>1723</v>
      </c>
      <c r="H370" s="6" t="s">
        <v>706</v>
      </c>
      <c r="J370" s="5" t="s">
        <v>104</v>
      </c>
      <c r="L370" s="27">
        <v>-11.94</v>
      </c>
      <c r="O370" s="27">
        <v>-5.14</v>
      </c>
      <c r="P370" s="5">
        <v>27.9</v>
      </c>
      <c r="Q370" s="27">
        <v>-2.87</v>
      </c>
      <c r="S370" s="27">
        <v>0</v>
      </c>
      <c r="V370" s="32" t="s">
        <v>3402</v>
      </c>
      <c r="Y370" s="32">
        <v>15000</v>
      </c>
      <c r="Z370" s="31" t="s">
        <v>3377</v>
      </c>
      <c r="AA370" s="32">
        <v>34.229999999999997</v>
      </c>
      <c r="AB370" s="32">
        <v>-103.42</v>
      </c>
      <c r="AC370" s="32">
        <v>400000</v>
      </c>
    </row>
    <row r="371" spans="3:29" ht="48">
      <c r="C371" s="22" t="s">
        <v>150</v>
      </c>
      <c r="D371" s="22" t="s">
        <v>151</v>
      </c>
      <c r="E371" s="5">
        <v>937</v>
      </c>
      <c r="F371" s="5">
        <v>738</v>
      </c>
      <c r="G371" s="28" t="s">
        <v>1723</v>
      </c>
      <c r="H371" s="6" t="s">
        <v>706</v>
      </c>
      <c r="J371" s="5" t="s">
        <v>104</v>
      </c>
      <c r="L371" s="27">
        <v>-13.12</v>
      </c>
      <c r="O371" s="27">
        <v>-6.32</v>
      </c>
      <c r="P371" s="5">
        <v>26.19</v>
      </c>
      <c r="Q371" s="27">
        <v>-4.53</v>
      </c>
      <c r="S371" s="27">
        <v>0</v>
      </c>
      <c r="V371" s="32" t="s">
        <v>3402</v>
      </c>
      <c r="Y371" s="32">
        <v>15000</v>
      </c>
      <c r="Z371" s="31" t="s">
        <v>3377</v>
      </c>
      <c r="AA371" s="32">
        <v>34.229999999999997</v>
      </c>
      <c r="AB371" s="32">
        <v>-103.42</v>
      </c>
      <c r="AC371" s="32">
        <v>400000</v>
      </c>
    </row>
    <row r="372" spans="3:29">
      <c r="C372" s="22" t="s">
        <v>150</v>
      </c>
      <c r="D372" s="22" t="s">
        <v>151</v>
      </c>
      <c r="E372" s="5" t="s">
        <v>1773</v>
      </c>
      <c r="F372" s="5">
        <v>1671</v>
      </c>
      <c r="G372" s="28" t="s">
        <v>1723</v>
      </c>
      <c r="H372" s="6" t="s">
        <v>1787</v>
      </c>
      <c r="J372" s="5" t="s">
        <v>104</v>
      </c>
      <c r="L372" s="27">
        <v>-14.31</v>
      </c>
      <c r="O372" s="27">
        <v>-7.51</v>
      </c>
      <c r="P372" s="5">
        <v>25.49</v>
      </c>
      <c r="Q372" s="27">
        <v>-5.21</v>
      </c>
      <c r="S372" s="27">
        <v>0</v>
      </c>
      <c r="V372" s="32" t="s">
        <v>3402</v>
      </c>
      <c r="Y372" s="32">
        <v>16775</v>
      </c>
      <c r="AA372" s="32">
        <v>34.369999999999997</v>
      </c>
      <c r="AB372" s="32">
        <v>-99.75</v>
      </c>
      <c r="AC372" s="32">
        <v>400000</v>
      </c>
    </row>
    <row r="373" spans="3:29">
      <c r="C373" s="22" t="s">
        <v>150</v>
      </c>
      <c r="D373" s="22" t="s">
        <v>151</v>
      </c>
      <c r="E373" s="5" t="s">
        <v>1773</v>
      </c>
      <c r="F373" s="5">
        <v>1672</v>
      </c>
      <c r="G373" s="28" t="s">
        <v>1723</v>
      </c>
      <c r="H373" s="6" t="s">
        <v>1787</v>
      </c>
      <c r="J373" s="5" t="s">
        <v>104</v>
      </c>
      <c r="L373" s="27">
        <v>-6.58</v>
      </c>
      <c r="O373" s="27">
        <v>0.22</v>
      </c>
      <c r="P373" s="5">
        <v>30.31</v>
      </c>
      <c r="Q373" s="27">
        <v>-0.53</v>
      </c>
      <c r="S373" s="27">
        <v>0</v>
      </c>
      <c r="V373" s="32" t="s">
        <v>3402</v>
      </c>
      <c r="Y373" s="32">
        <v>16775</v>
      </c>
      <c r="AA373" s="32">
        <v>34.369999999999997</v>
      </c>
      <c r="AB373" s="32">
        <v>-99.75</v>
      </c>
      <c r="AC373" s="32">
        <v>400000</v>
      </c>
    </row>
    <row r="374" spans="3:29">
      <c r="C374" s="22" t="s">
        <v>150</v>
      </c>
      <c r="D374" s="22" t="s">
        <v>151</v>
      </c>
      <c r="E374" s="5" t="s">
        <v>1773</v>
      </c>
      <c r="F374" s="5">
        <v>1984</v>
      </c>
      <c r="G374" s="28" t="s">
        <v>1723</v>
      </c>
      <c r="H374" s="6" t="s">
        <v>1896</v>
      </c>
      <c r="J374" s="5" t="s">
        <v>104</v>
      </c>
      <c r="L374" s="27">
        <v>-10.86</v>
      </c>
      <c r="O374" s="27">
        <v>-4.0599999999999996</v>
      </c>
      <c r="P374" s="5">
        <v>28.29</v>
      </c>
      <c r="Q374" s="27">
        <v>-2.4900000000000002</v>
      </c>
      <c r="S374" s="27">
        <v>0</v>
      </c>
      <c r="V374" s="32" t="s">
        <v>3402</v>
      </c>
      <c r="Y374" s="32">
        <v>30000</v>
      </c>
      <c r="AA374" s="32">
        <v>33.979999999999997</v>
      </c>
      <c r="AB374" s="32">
        <v>-99.85</v>
      </c>
      <c r="AC374" s="32">
        <v>400000</v>
      </c>
    </row>
    <row r="375" spans="3:29">
      <c r="C375" s="22" t="s">
        <v>150</v>
      </c>
      <c r="D375" s="22" t="s">
        <v>151</v>
      </c>
      <c r="E375" s="5" t="s">
        <v>1773</v>
      </c>
      <c r="F375" s="5">
        <v>1995</v>
      </c>
      <c r="G375" s="28" t="s">
        <v>1723</v>
      </c>
      <c r="H375" s="6" t="s">
        <v>1896</v>
      </c>
      <c r="J375" s="5" t="s">
        <v>104</v>
      </c>
      <c r="L375" s="27">
        <v>-8.06</v>
      </c>
      <c r="O375" s="27">
        <v>-1.26</v>
      </c>
      <c r="P375" s="5">
        <v>28.65</v>
      </c>
      <c r="Q375" s="27">
        <v>-2.14</v>
      </c>
      <c r="S375" s="27">
        <v>0</v>
      </c>
      <c r="V375" s="32" t="s">
        <v>3402</v>
      </c>
      <c r="Y375" s="32">
        <v>30000</v>
      </c>
      <c r="AA375" s="32">
        <v>33.979999999999997</v>
      </c>
      <c r="AB375" s="32">
        <v>-99.85</v>
      </c>
      <c r="AC375" s="32">
        <v>400000</v>
      </c>
    </row>
    <row r="376" spans="3:29">
      <c r="C376" s="22" t="s">
        <v>150</v>
      </c>
      <c r="D376" s="22" t="s">
        <v>151</v>
      </c>
      <c r="E376" s="5" t="s">
        <v>1773</v>
      </c>
      <c r="F376" s="5">
        <v>2000</v>
      </c>
      <c r="G376" s="28" t="s">
        <v>1723</v>
      </c>
      <c r="H376" s="6" t="s">
        <v>1896</v>
      </c>
      <c r="J376" s="5" t="s">
        <v>104</v>
      </c>
      <c r="L376" s="27">
        <v>-9.93</v>
      </c>
      <c r="O376" s="27">
        <v>-3.13</v>
      </c>
      <c r="P376" s="5">
        <v>29.22</v>
      </c>
      <c r="Q376" s="27">
        <v>-1.59</v>
      </c>
      <c r="S376" s="27">
        <v>0</v>
      </c>
      <c r="V376" s="32" t="s">
        <v>3402</v>
      </c>
      <c r="Y376" s="32">
        <v>30000</v>
      </c>
      <c r="AA376" s="32">
        <v>33.979999999999997</v>
      </c>
      <c r="AB376" s="32">
        <v>-99.85</v>
      </c>
      <c r="AC376" s="32">
        <v>400000</v>
      </c>
    </row>
    <row r="377" spans="3:29">
      <c r="C377" s="22" t="s">
        <v>150</v>
      </c>
      <c r="D377" s="22" t="s">
        <v>151</v>
      </c>
      <c r="E377" s="5" t="s">
        <v>1773</v>
      </c>
      <c r="F377" s="5">
        <v>2036</v>
      </c>
      <c r="G377" s="28" t="s">
        <v>1723</v>
      </c>
      <c r="H377" s="6" t="s">
        <v>968</v>
      </c>
      <c r="J377" s="5" t="s">
        <v>104</v>
      </c>
      <c r="L377" s="27">
        <v>-8.17</v>
      </c>
      <c r="O377" s="27">
        <v>-1.37</v>
      </c>
      <c r="P377" s="5">
        <v>27.05</v>
      </c>
      <c r="Q377" s="27">
        <v>-3.7</v>
      </c>
      <c r="S377" s="27">
        <v>0</v>
      </c>
      <c r="V377" s="32" t="s">
        <v>3402</v>
      </c>
      <c r="Y377" s="32">
        <v>40000</v>
      </c>
      <c r="AA377" s="32">
        <v>34.25</v>
      </c>
      <c r="AB377" s="32">
        <v>-100.5</v>
      </c>
      <c r="AC377" s="32">
        <v>400000</v>
      </c>
    </row>
    <row r="378" spans="3:29">
      <c r="C378" s="22" t="s">
        <v>150</v>
      </c>
      <c r="D378" s="22" t="s">
        <v>151</v>
      </c>
      <c r="E378" s="5" t="s">
        <v>1773</v>
      </c>
      <c r="F378" s="5">
        <v>2720</v>
      </c>
      <c r="G378" s="28" t="s">
        <v>1723</v>
      </c>
      <c r="H378" s="6" t="s">
        <v>1787</v>
      </c>
      <c r="J378" s="5" t="s">
        <v>104</v>
      </c>
      <c r="L378" s="27">
        <v>-9.39</v>
      </c>
      <c r="O378" s="27">
        <v>-2.59</v>
      </c>
      <c r="P378" s="5">
        <v>29.91</v>
      </c>
      <c r="Q378" s="27">
        <v>-0.92</v>
      </c>
      <c r="S378" s="27">
        <v>0</v>
      </c>
      <c r="V378" s="32" t="s">
        <v>3402</v>
      </c>
      <c r="Y378" s="32">
        <v>16775</v>
      </c>
      <c r="AA378" s="32">
        <v>34.369999999999997</v>
      </c>
      <c r="AB378" s="32">
        <v>-99.75</v>
      </c>
      <c r="AC378" s="32">
        <v>400000</v>
      </c>
    </row>
    <row r="379" spans="3:29">
      <c r="C379" s="22" t="s">
        <v>150</v>
      </c>
      <c r="D379" s="22" t="s">
        <v>151</v>
      </c>
      <c r="E379" s="5" t="s">
        <v>1773</v>
      </c>
      <c r="F379" s="5">
        <v>2819</v>
      </c>
      <c r="G379" s="28" t="s">
        <v>1723</v>
      </c>
      <c r="H379" s="6" t="s">
        <v>968</v>
      </c>
      <c r="J379" s="5" t="s">
        <v>104</v>
      </c>
      <c r="L379" s="27">
        <v>-9.32</v>
      </c>
      <c r="O379" s="27">
        <v>-2.52</v>
      </c>
      <c r="P379" s="5">
        <v>27.7</v>
      </c>
      <c r="Q379" s="27">
        <v>-3.07</v>
      </c>
      <c r="S379" s="27">
        <v>0</v>
      </c>
      <c r="V379" s="32" t="s">
        <v>3402</v>
      </c>
      <c r="Y379" s="32">
        <v>40000</v>
      </c>
      <c r="AA379" s="32">
        <v>34.25</v>
      </c>
      <c r="AB379" s="32">
        <v>-100.5</v>
      </c>
      <c r="AC379" s="32">
        <v>400000</v>
      </c>
    </row>
    <row r="380" spans="3:29">
      <c r="C380" s="22" t="s">
        <v>150</v>
      </c>
      <c r="D380" s="22" t="s">
        <v>151</v>
      </c>
      <c r="E380" s="5" t="s">
        <v>1773</v>
      </c>
      <c r="F380" s="5">
        <v>3016</v>
      </c>
      <c r="G380" s="28" t="s">
        <v>1723</v>
      </c>
      <c r="H380" s="6" t="s">
        <v>1787</v>
      </c>
      <c r="J380" s="5" t="s">
        <v>104</v>
      </c>
      <c r="L380" s="27">
        <v>-9.91</v>
      </c>
      <c r="O380" s="27">
        <v>-3.11</v>
      </c>
      <c r="P380" s="5">
        <v>27.98</v>
      </c>
      <c r="Q380" s="27">
        <v>-2.79</v>
      </c>
      <c r="S380" s="27">
        <v>0</v>
      </c>
      <c r="V380" s="32" t="s">
        <v>3402</v>
      </c>
      <c r="Y380" s="32">
        <v>16775</v>
      </c>
      <c r="AA380" s="32">
        <v>34.369999999999997</v>
      </c>
      <c r="AB380" s="32">
        <v>-99.75</v>
      </c>
      <c r="AC380" s="32">
        <v>400000</v>
      </c>
    </row>
    <row r="381" spans="3:29">
      <c r="C381" s="22" t="s">
        <v>150</v>
      </c>
      <c r="D381" s="22" t="s">
        <v>151</v>
      </c>
      <c r="E381" s="5" t="s">
        <v>1897</v>
      </c>
      <c r="F381" s="5" t="s">
        <v>1898</v>
      </c>
      <c r="G381" s="28" t="s">
        <v>1723</v>
      </c>
      <c r="H381" s="6" t="s">
        <v>1899</v>
      </c>
      <c r="J381" s="5" t="s">
        <v>104</v>
      </c>
      <c r="L381" s="27">
        <v>-11.52</v>
      </c>
      <c r="O381" s="27">
        <v>-4.72</v>
      </c>
      <c r="P381" s="5">
        <v>30.34</v>
      </c>
      <c r="Q381" s="27">
        <v>-0.5</v>
      </c>
      <c r="S381" s="27">
        <v>0</v>
      </c>
      <c r="V381" s="32" t="s">
        <v>3402</v>
      </c>
      <c r="Y381" s="32">
        <v>28000</v>
      </c>
      <c r="AA381" s="32">
        <v>31.6</v>
      </c>
      <c r="AB381" s="32">
        <v>-97.183333000000005</v>
      </c>
      <c r="AC381" s="32">
        <v>400000</v>
      </c>
    </row>
    <row r="382" spans="3:29">
      <c r="C382" s="22" t="s">
        <v>150</v>
      </c>
      <c r="D382" s="22" t="s">
        <v>151</v>
      </c>
      <c r="E382" s="5" t="s">
        <v>1776</v>
      </c>
      <c r="F382" s="5">
        <v>60124</v>
      </c>
      <c r="G382" s="28" t="s">
        <v>1723</v>
      </c>
      <c r="H382" s="6" t="s">
        <v>1788</v>
      </c>
      <c r="J382" s="5" t="s">
        <v>104</v>
      </c>
      <c r="L382" s="27">
        <v>-13.26</v>
      </c>
      <c r="O382" s="27">
        <v>-6.46</v>
      </c>
      <c r="P382" s="5">
        <v>28.69</v>
      </c>
      <c r="Q382" s="27">
        <v>-2.11</v>
      </c>
      <c r="S382" s="27">
        <v>0</v>
      </c>
      <c r="V382" s="32" t="s">
        <v>3402</v>
      </c>
      <c r="Y382" s="32">
        <v>30000</v>
      </c>
      <c r="AA382" s="32">
        <v>32.733333000000002</v>
      </c>
      <c r="AB382" s="32">
        <v>-96.733333000000002</v>
      </c>
      <c r="AC382" s="32">
        <v>400000</v>
      </c>
    </row>
    <row r="383" spans="3:29">
      <c r="C383" s="22" t="s">
        <v>150</v>
      </c>
      <c r="D383" s="22" t="s">
        <v>151</v>
      </c>
      <c r="E383" s="5" t="s">
        <v>1776</v>
      </c>
      <c r="F383" s="5">
        <v>60188</v>
      </c>
      <c r="G383" s="28" t="s">
        <v>1723</v>
      </c>
      <c r="H383" s="6" t="s">
        <v>1788</v>
      </c>
      <c r="J383" s="5" t="s">
        <v>104</v>
      </c>
      <c r="L383" s="27">
        <v>-14.24</v>
      </c>
      <c r="O383" s="27">
        <v>-7.44</v>
      </c>
      <c r="P383" s="5">
        <v>30.82</v>
      </c>
      <c r="Q383" s="27">
        <v>-0.04</v>
      </c>
      <c r="S383" s="27">
        <v>0</v>
      </c>
      <c r="V383" s="32" t="s">
        <v>3402</v>
      </c>
      <c r="Y383" s="32">
        <v>30000</v>
      </c>
      <c r="AA383" s="32">
        <v>32.733333000000002</v>
      </c>
      <c r="AB383" s="32">
        <v>-96.733333000000002</v>
      </c>
      <c r="AC383" s="32">
        <v>400000</v>
      </c>
    </row>
    <row r="384" spans="3:29">
      <c r="C384" s="22" t="s">
        <v>150</v>
      </c>
      <c r="D384" s="22" t="s">
        <v>151</v>
      </c>
      <c r="E384" s="5" t="s">
        <v>1776</v>
      </c>
      <c r="F384" s="5">
        <v>60240</v>
      </c>
      <c r="G384" s="28" t="s">
        <v>1723</v>
      </c>
      <c r="H384" s="6" t="s">
        <v>1788</v>
      </c>
      <c r="J384" s="5" t="s">
        <v>104</v>
      </c>
      <c r="L384" s="27">
        <v>-11.76</v>
      </c>
      <c r="O384" s="27">
        <v>-4.96</v>
      </c>
      <c r="P384" s="5">
        <v>30.15</v>
      </c>
      <c r="Q384" s="27">
        <v>-0.69</v>
      </c>
      <c r="S384" s="27">
        <v>0</v>
      </c>
      <c r="V384" s="32" t="s">
        <v>3402</v>
      </c>
      <c r="Y384" s="32">
        <v>30000</v>
      </c>
      <c r="AA384" s="32">
        <v>32.733333000000002</v>
      </c>
      <c r="AB384" s="32">
        <v>-96.733333000000002</v>
      </c>
      <c r="AC384" s="32">
        <v>400000</v>
      </c>
    </row>
    <row r="385" spans="3:29">
      <c r="C385" s="22" t="s">
        <v>150</v>
      </c>
      <c r="D385" s="22" t="s">
        <v>151</v>
      </c>
      <c r="E385" s="5" t="s">
        <v>1776</v>
      </c>
      <c r="F385" s="5">
        <v>60292</v>
      </c>
      <c r="G385" s="28" t="s">
        <v>1723</v>
      </c>
      <c r="H385" s="6" t="s">
        <v>1900</v>
      </c>
      <c r="J385" s="5" t="s">
        <v>104</v>
      </c>
      <c r="L385" s="27">
        <v>-11.12</v>
      </c>
      <c r="O385" s="27">
        <v>-4.32</v>
      </c>
      <c r="P385" s="5">
        <v>29.91</v>
      </c>
      <c r="Q385" s="27">
        <v>-0.92</v>
      </c>
      <c r="S385" s="27">
        <v>0</v>
      </c>
      <c r="V385" s="32" t="s">
        <v>3402</v>
      </c>
      <c r="Y385" s="32">
        <v>30000</v>
      </c>
      <c r="AA385" s="32">
        <v>32.950000000000003</v>
      </c>
      <c r="AB385" s="32">
        <v>-97</v>
      </c>
      <c r="AC385" s="32">
        <v>400000</v>
      </c>
    </row>
    <row r="386" spans="3:29">
      <c r="C386" s="22" t="s">
        <v>150</v>
      </c>
      <c r="D386" s="22" t="s">
        <v>151</v>
      </c>
      <c r="E386" s="5" t="s">
        <v>1776</v>
      </c>
      <c r="F386" s="5" t="s">
        <v>1903</v>
      </c>
      <c r="G386" s="28" t="s">
        <v>1723</v>
      </c>
      <c r="H386" s="6" t="s">
        <v>1901</v>
      </c>
      <c r="J386" s="5" t="s">
        <v>104</v>
      </c>
      <c r="L386" s="27">
        <v>-12.68</v>
      </c>
      <c r="O386" s="27">
        <v>-5.88</v>
      </c>
      <c r="P386" s="5">
        <v>29.55</v>
      </c>
      <c r="Q386" s="27">
        <v>-1.27</v>
      </c>
      <c r="S386" s="27">
        <v>0</v>
      </c>
      <c r="V386" s="32" t="s">
        <v>3402</v>
      </c>
      <c r="Y386" s="32">
        <v>28840</v>
      </c>
      <c r="AA386" s="32">
        <v>33.25</v>
      </c>
      <c r="AB386" s="32">
        <v>-97</v>
      </c>
      <c r="AC386" s="32">
        <v>400000</v>
      </c>
    </row>
    <row r="387" spans="3:29">
      <c r="C387" s="22" t="s">
        <v>150</v>
      </c>
      <c r="D387" s="22" t="s">
        <v>151</v>
      </c>
      <c r="E387" s="5" t="s">
        <v>1776</v>
      </c>
      <c r="F387" s="5">
        <v>60442</v>
      </c>
      <c r="G387" s="28" t="s">
        <v>1723</v>
      </c>
      <c r="H387" s="6" t="s">
        <v>1900</v>
      </c>
      <c r="J387" s="5" t="s">
        <v>104</v>
      </c>
      <c r="L387" s="27">
        <v>-11.38</v>
      </c>
      <c r="O387" s="27">
        <v>-4.58</v>
      </c>
      <c r="P387" s="5">
        <v>30.57</v>
      </c>
      <c r="Q387" s="27">
        <v>-0.28000000000000003</v>
      </c>
      <c r="S387" s="27">
        <v>0</v>
      </c>
      <c r="V387" s="32" t="s">
        <v>3402</v>
      </c>
      <c r="Y387" s="32">
        <v>30000</v>
      </c>
      <c r="AA387" s="32">
        <v>32.950000000000003</v>
      </c>
      <c r="AB387" s="32">
        <v>-97</v>
      </c>
      <c r="AC387" s="32">
        <v>400000</v>
      </c>
    </row>
    <row r="388" spans="3:29">
      <c r="C388" s="22" t="s">
        <v>150</v>
      </c>
      <c r="D388" s="22" t="s">
        <v>151</v>
      </c>
      <c r="E388" s="5" t="s">
        <v>1776</v>
      </c>
      <c r="F388" s="5">
        <v>60531</v>
      </c>
      <c r="G388" s="28" t="s">
        <v>1723</v>
      </c>
      <c r="H388" s="6" t="s">
        <v>1901</v>
      </c>
      <c r="J388" s="5" t="s">
        <v>104</v>
      </c>
      <c r="L388" s="27">
        <v>-12.11</v>
      </c>
      <c r="O388" s="27">
        <v>-5.31</v>
      </c>
      <c r="P388" s="5">
        <v>30.37</v>
      </c>
      <c r="Q388" s="27">
        <v>-0.48</v>
      </c>
      <c r="S388" s="27">
        <v>0</v>
      </c>
      <c r="V388" s="32" t="s">
        <v>3402</v>
      </c>
      <c r="Y388" s="32">
        <v>28840</v>
      </c>
      <c r="AA388" s="32">
        <v>33.25</v>
      </c>
      <c r="AB388" s="32">
        <v>-97</v>
      </c>
      <c r="AC388" s="32">
        <v>400000</v>
      </c>
    </row>
    <row r="389" spans="3:29">
      <c r="C389" s="22" t="s">
        <v>150</v>
      </c>
      <c r="D389" s="22" t="s">
        <v>151</v>
      </c>
      <c r="E389" s="5" t="s">
        <v>1776</v>
      </c>
      <c r="F389" s="5">
        <v>60827</v>
      </c>
      <c r="G389" s="28" t="s">
        <v>1723</v>
      </c>
      <c r="H389" s="6" t="s">
        <v>1901</v>
      </c>
      <c r="J389" s="5" t="s">
        <v>104</v>
      </c>
      <c r="L389" s="27">
        <v>-13.89</v>
      </c>
      <c r="O389" s="27">
        <v>-7.09</v>
      </c>
      <c r="P389" s="5">
        <v>27.79</v>
      </c>
      <c r="Q389" s="27">
        <v>-2.98</v>
      </c>
      <c r="S389" s="27">
        <v>0</v>
      </c>
      <c r="V389" s="32" t="s">
        <v>3402</v>
      </c>
      <c r="Y389" s="32">
        <v>28840</v>
      </c>
      <c r="AA389" s="32">
        <v>33.25</v>
      </c>
      <c r="AB389" s="32">
        <v>-97</v>
      </c>
      <c r="AC389" s="32">
        <v>400000</v>
      </c>
    </row>
    <row r="390" spans="3:29">
      <c r="C390" s="22" t="s">
        <v>150</v>
      </c>
      <c r="D390" s="22" t="s">
        <v>151</v>
      </c>
      <c r="E390" s="5" t="s">
        <v>1776</v>
      </c>
      <c r="F390" s="5">
        <v>60840</v>
      </c>
      <c r="G390" s="28" t="s">
        <v>1723</v>
      </c>
      <c r="H390" s="6" t="s">
        <v>1901</v>
      </c>
      <c r="J390" s="5" t="s">
        <v>104</v>
      </c>
      <c r="L390" s="27">
        <v>-11.54</v>
      </c>
      <c r="O390" s="27">
        <v>-4.74</v>
      </c>
      <c r="P390" s="5">
        <v>32.28</v>
      </c>
      <c r="Q390" s="27">
        <v>1.38</v>
      </c>
      <c r="S390" s="27">
        <v>0</v>
      </c>
      <c r="V390" s="32" t="s">
        <v>3402</v>
      </c>
      <c r="Y390" s="32">
        <v>28840</v>
      </c>
      <c r="AA390" s="32">
        <v>33.25</v>
      </c>
      <c r="AB390" s="32">
        <v>-97</v>
      </c>
      <c r="AC390" s="32">
        <v>400000</v>
      </c>
    </row>
    <row r="391" spans="3:29">
      <c r="C391" s="22" t="s">
        <v>150</v>
      </c>
      <c r="D391" s="22" t="s">
        <v>151</v>
      </c>
      <c r="E391" s="5" t="s">
        <v>1776</v>
      </c>
      <c r="F391" s="5">
        <v>60855</v>
      </c>
      <c r="G391" s="28" t="s">
        <v>1723</v>
      </c>
      <c r="H391" s="6" t="s">
        <v>1788</v>
      </c>
      <c r="J391" s="5" t="s">
        <v>104</v>
      </c>
      <c r="L391" s="27">
        <v>-11.73</v>
      </c>
      <c r="O391" s="27">
        <v>-4.93</v>
      </c>
      <c r="P391" s="5">
        <v>30.17</v>
      </c>
      <c r="Q391" s="27">
        <v>-0.67</v>
      </c>
      <c r="S391" s="27">
        <v>0</v>
      </c>
      <c r="V391" s="32" t="s">
        <v>3402</v>
      </c>
      <c r="Y391" s="32">
        <v>30000</v>
      </c>
      <c r="AA391" s="32">
        <v>32.733333000000002</v>
      </c>
      <c r="AB391" s="32">
        <v>-96.733333000000002</v>
      </c>
      <c r="AC391" s="32">
        <v>400000</v>
      </c>
    </row>
    <row r="392" spans="3:29" ht="19">
      <c r="C392" s="22" t="s">
        <v>150</v>
      </c>
      <c r="D392" s="22" t="s">
        <v>151</v>
      </c>
      <c r="E392" s="5">
        <v>43067</v>
      </c>
      <c r="F392" s="5">
        <v>29</v>
      </c>
      <c r="G392" s="28" t="s">
        <v>1723</v>
      </c>
      <c r="H392" s="6" t="s">
        <v>1893</v>
      </c>
      <c r="J392" s="5" t="s">
        <v>104</v>
      </c>
      <c r="L392" s="27">
        <v>-11.5</v>
      </c>
      <c r="O392" s="27">
        <v>-4.7</v>
      </c>
      <c r="P392" s="5">
        <v>29.58</v>
      </c>
      <c r="Q392" s="27">
        <v>-1.24</v>
      </c>
      <c r="S392" s="27">
        <v>0</v>
      </c>
      <c r="V392" s="32" t="s">
        <v>3402</v>
      </c>
      <c r="X392" s="33" t="s">
        <v>3411</v>
      </c>
      <c r="Y392" s="32">
        <v>17220</v>
      </c>
      <c r="Z392" s="31" t="s">
        <v>3412</v>
      </c>
      <c r="AA392" s="32">
        <v>30.25</v>
      </c>
      <c r="AB392" s="32">
        <v>-97.75</v>
      </c>
      <c r="AC392" s="32">
        <v>400000</v>
      </c>
    </row>
    <row r="393" spans="3:29">
      <c r="C393" s="22" t="s">
        <v>150</v>
      </c>
      <c r="D393" s="22" t="s">
        <v>151</v>
      </c>
      <c r="E393" s="5">
        <v>43067</v>
      </c>
      <c r="F393" s="5">
        <v>62</v>
      </c>
      <c r="G393" s="28" t="s">
        <v>1723</v>
      </c>
      <c r="H393" s="6" t="s">
        <v>1893</v>
      </c>
      <c r="J393" s="5" t="s">
        <v>104</v>
      </c>
      <c r="L393" s="27">
        <v>-10.68</v>
      </c>
      <c r="O393" s="27">
        <v>-3.88</v>
      </c>
      <c r="P393" s="5">
        <v>27.83</v>
      </c>
      <c r="Q393" s="27">
        <v>-2.94</v>
      </c>
      <c r="S393" s="27">
        <v>0</v>
      </c>
      <c r="V393" s="32" t="s">
        <v>3402</v>
      </c>
      <c r="Y393" s="32">
        <v>17220</v>
      </c>
      <c r="Z393" s="31" t="s">
        <v>3412</v>
      </c>
      <c r="AA393" s="32">
        <v>30.25</v>
      </c>
      <c r="AB393" s="32">
        <v>-97.75</v>
      </c>
      <c r="AC393" s="32">
        <v>400000</v>
      </c>
    </row>
    <row r="394" spans="3:29">
      <c r="C394" s="22" t="s">
        <v>150</v>
      </c>
      <c r="D394" s="22" t="s">
        <v>151</v>
      </c>
      <c r="E394" s="5">
        <v>908</v>
      </c>
      <c r="F394" s="5">
        <v>2422</v>
      </c>
      <c r="G394" s="28" t="s">
        <v>1723</v>
      </c>
      <c r="H394" s="6" t="s">
        <v>250</v>
      </c>
      <c r="J394" s="5" t="s">
        <v>104</v>
      </c>
      <c r="L394" s="27">
        <v>-12.24</v>
      </c>
      <c r="O394" s="27">
        <v>-5.44</v>
      </c>
      <c r="P394" s="5">
        <v>24.95</v>
      </c>
      <c r="Q394" s="27">
        <v>-5.73</v>
      </c>
      <c r="S394" s="27">
        <v>0</v>
      </c>
      <c r="V394" s="32" t="s">
        <v>3402</v>
      </c>
      <c r="Y394" s="32">
        <v>13000</v>
      </c>
      <c r="AA394" s="32">
        <v>29.37</v>
      </c>
      <c r="AB394" s="32">
        <v>-99.47</v>
      </c>
      <c r="AC394" s="32">
        <v>400000</v>
      </c>
    </row>
    <row r="395" spans="3:29">
      <c r="C395" s="22" t="s">
        <v>150</v>
      </c>
      <c r="D395" s="22" t="s">
        <v>151</v>
      </c>
      <c r="E395" s="5">
        <v>908</v>
      </c>
      <c r="F395" s="5">
        <v>2436</v>
      </c>
      <c r="G395" s="28" t="s">
        <v>1723</v>
      </c>
      <c r="H395" s="6" t="s">
        <v>250</v>
      </c>
      <c r="J395" s="5" t="s">
        <v>104</v>
      </c>
      <c r="L395" s="27">
        <v>-9.11</v>
      </c>
      <c r="O395" s="27">
        <v>-2.31</v>
      </c>
      <c r="P395" s="5">
        <v>31.02</v>
      </c>
      <c r="Q395" s="27">
        <v>0.16</v>
      </c>
      <c r="S395" s="27">
        <v>0</v>
      </c>
      <c r="V395" s="32" t="s">
        <v>3402</v>
      </c>
      <c r="Y395" s="32">
        <v>13000</v>
      </c>
      <c r="AA395" s="32">
        <v>29.37</v>
      </c>
      <c r="AB395" s="32">
        <v>-99.47</v>
      </c>
      <c r="AC395" s="32">
        <v>400000</v>
      </c>
    </row>
    <row r="396" spans="3:29">
      <c r="C396" s="22" t="s">
        <v>150</v>
      </c>
      <c r="D396" s="22" t="s">
        <v>151</v>
      </c>
      <c r="E396" s="5">
        <v>933</v>
      </c>
      <c r="F396" s="5">
        <v>1284</v>
      </c>
      <c r="G396" s="28" t="s">
        <v>1723</v>
      </c>
      <c r="H396" s="6" t="s">
        <v>249</v>
      </c>
      <c r="J396" s="5" t="s">
        <v>104</v>
      </c>
      <c r="L396" s="27">
        <v>-10.68</v>
      </c>
      <c r="O396" s="27">
        <v>-3.88</v>
      </c>
      <c r="P396" s="5">
        <v>28.49</v>
      </c>
      <c r="Q396" s="27">
        <v>-2.2999999999999998</v>
      </c>
      <c r="S396" s="27">
        <v>0</v>
      </c>
      <c r="V396" s="32" t="s">
        <v>3402</v>
      </c>
      <c r="Y396" s="32">
        <v>18500</v>
      </c>
      <c r="Z396" s="31" t="s">
        <v>3412</v>
      </c>
      <c r="AA396" s="32">
        <v>29.62</v>
      </c>
      <c r="AB396" s="32">
        <v>-98.37</v>
      </c>
      <c r="AC396" s="32">
        <v>400000</v>
      </c>
    </row>
    <row r="397" spans="3:29" ht="19">
      <c r="C397" s="22" t="s">
        <v>150</v>
      </c>
      <c r="D397" s="22" t="s">
        <v>151</v>
      </c>
      <c r="F397" s="5">
        <v>814</v>
      </c>
      <c r="G397" s="28" t="s">
        <v>1723</v>
      </c>
      <c r="H397" s="6" t="s">
        <v>110</v>
      </c>
      <c r="J397" s="5" t="s">
        <v>104</v>
      </c>
      <c r="L397" s="27">
        <v>-7.8</v>
      </c>
      <c r="O397" s="27">
        <v>-1</v>
      </c>
      <c r="P397" s="5">
        <v>29</v>
      </c>
      <c r="Q397" s="27">
        <v>-1.804</v>
      </c>
      <c r="S397" s="27">
        <v>0</v>
      </c>
      <c r="V397" s="32" t="s">
        <v>3415</v>
      </c>
      <c r="X397" s="33" t="s">
        <v>3421</v>
      </c>
      <c r="Y397" s="32">
        <v>50000</v>
      </c>
      <c r="AA397" s="32">
        <v>27.87</v>
      </c>
      <c r="AB397" s="32">
        <v>-97.2</v>
      </c>
      <c r="AC397" s="32">
        <v>400000</v>
      </c>
    </row>
    <row r="398" spans="3:29" ht="19">
      <c r="C398" s="22" t="s">
        <v>150</v>
      </c>
      <c r="D398" s="22" t="s">
        <v>151</v>
      </c>
      <c r="E398" s="5">
        <v>30967</v>
      </c>
      <c r="F398" s="5">
        <v>223</v>
      </c>
      <c r="G398" s="28" t="s">
        <v>1723</v>
      </c>
      <c r="H398" s="6" t="s">
        <v>110</v>
      </c>
      <c r="J398" s="5" t="s">
        <v>104</v>
      </c>
      <c r="L398" s="27">
        <v>-7.4</v>
      </c>
      <c r="O398" s="27">
        <v>-0.6</v>
      </c>
      <c r="P398" s="5">
        <v>26.9</v>
      </c>
      <c r="Q398" s="27">
        <v>-3.8410000000000002</v>
      </c>
      <c r="S398" s="27">
        <v>0</v>
      </c>
      <c r="V398" s="32" t="s">
        <v>3415</v>
      </c>
      <c r="X398" s="33" t="s">
        <v>3504</v>
      </c>
      <c r="Y398" s="32">
        <v>50000</v>
      </c>
      <c r="AA398" s="32">
        <v>27.87</v>
      </c>
      <c r="AB398" s="32">
        <v>-97.2</v>
      </c>
      <c r="AC398" s="32">
        <v>400000</v>
      </c>
    </row>
    <row r="399" spans="3:29" ht="19">
      <c r="C399" s="22" t="s">
        <v>150</v>
      </c>
      <c r="D399" s="22" t="s">
        <v>151</v>
      </c>
      <c r="E399" s="5">
        <v>30967</v>
      </c>
      <c r="F399" s="5">
        <v>225</v>
      </c>
      <c r="G399" s="28" t="s">
        <v>1723</v>
      </c>
      <c r="H399" s="6" t="s">
        <v>110</v>
      </c>
      <c r="J399" s="5" t="s">
        <v>104</v>
      </c>
      <c r="L399" s="27">
        <v>-8.1999999999999993</v>
      </c>
      <c r="O399" s="27">
        <v>-1.4</v>
      </c>
      <c r="P399" s="5">
        <v>30.4</v>
      </c>
      <c r="Q399" s="27">
        <v>-0.44600000000000001</v>
      </c>
      <c r="S399" s="27">
        <v>0</v>
      </c>
      <c r="V399" s="32" t="s">
        <v>3415</v>
      </c>
      <c r="X399" s="33" t="s">
        <v>3421</v>
      </c>
      <c r="Y399" s="32">
        <v>50000</v>
      </c>
      <c r="AA399" s="32">
        <v>27.87</v>
      </c>
      <c r="AB399" s="32">
        <v>-97.2</v>
      </c>
      <c r="AC399" s="32">
        <v>400000</v>
      </c>
    </row>
    <row r="400" spans="3:29" ht="19">
      <c r="C400" s="22" t="s">
        <v>150</v>
      </c>
      <c r="D400" s="22" t="s">
        <v>151</v>
      </c>
      <c r="E400" s="5">
        <v>30967</v>
      </c>
      <c r="F400" s="5">
        <v>226</v>
      </c>
      <c r="G400" s="28" t="s">
        <v>1723</v>
      </c>
      <c r="H400" s="6" t="s">
        <v>110</v>
      </c>
      <c r="J400" s="5" t="s">
        <v>104</v>
      </c>
      <c r="L400" s="27">
        <v>-7.6</v>
      </c>
      <c r="O400" s="27">
        <v>-0.8</v>
      </c>
      <c r="P400" s="5">
        <v>27.6</v>
      </c>
      <c r="Q400" s="27">
        <v>-3.1619999999999999</v>
      </c>
      <c r="S400" s="27">
        <v>0</v>
      </c>
      <c r="V400" s="32" t="s">
        <v>3415</v>
      </c>
      <c r="X400" s="33" t="s">
        <v>3421</v>
      </c>
      <c r="Y400" s="32">
        <v>50000</v>
      </c>
      <c r="AA400" s="32">
        <v>27.87</v>
      </c>
      <c r="AB400" s="32">
        <v>-97.2</v>
      </c>
      <c r="AC400" s="32">
        <v>400000</v>
      </c>
    </row>
    <row r="401" spans="1:31" ht="19">
      <c r="C401" s="22" t="s">
        <v>150</v>
      </c>
      <c r="D401" s="22" t="s">
        <v>151</v>
      </c>
      <c r="E401" s="5">
        <v>30967</v>
      </c>
      <c r="F401" s="5">
        <v>229</v>
      </c>
      <c r="G401" s="28" t="s">
        <v>1723</v>
      </c>
      <c r="H401" s="6" t="s">
        <v>110</v>
      </c>
      <c r="J401" s="5" t="s">
        <v>104</v>
      </c>
      <c r="L401" s="27">
        <v>-8.1</v>
      </c>
      <c r="O401" s="27">
        <v>-1.3</v>
      </c>
      <c r="P401" s="5">
        <v>30.4</v>
      </c>
      <c r="Q401" s="27">
        <v>-0.44600000000000001</v>
      </c>
      <c r="S401" s="27">
        <v>0</v>
      </c>
      <c r="V401" s="32" t="s">
        <v>3415</v>
      </c>
      <c r="X401" s="33" t="s">
        <v>3421</v>
      </c>
      <c r="Y401" s="32">
        <v>50000</v>
      </c>
      <c r="AA401" s="32">
        <v>27.87</v>
      </c>
      <c r="AB401" s="32">
        <v>-97.2</v>
      </c>
      <c r="AC401" s="32">
        <v>400000</v>
      </c>
    </row>
    <row r="402" spans="1:31" ht="19">
      <c r="C402" s="22" t="s">
        <v>150</v>
      </c>
      <c r="D402" s="22" t="s">
        <v>151</v>
      </c>
      <c r="E402" s="5">
        <v>30967</v>
      </c>
      <c r="F402" s="5">
        <v>230</v>
      </c>
      <c r="G402" s="28" t="s">
        <v>1723</v>
      </c>
      <c r="H402" s="6" t="s">
        <v>110</v>
      </c>
      <c r="J402" s="5" t="s">
        <v>104</v>
      </c>
      <c r="L402" s="27">
        <v>-8</v>
      </c>
      <c r="O402" s="27">
        <v>-1.2</v>
      </c>
      <c r="P402" s="5">
        <v>31.3</v>
      </c>
      <c r="Q402" s="27">
        <v>0.42699999999999999</v>
      </c>
      <c r="S402" s="27">
        <v>0</v>
      </c>
      <c r="V402" s="32" t="s">
        <v>3415</v>
      </c>
      <c r="X402" s="33" t="s">
        <v>3505</v>
      </c>
      <c r="Y402" s="32">
        <v>50000</v>
      </c>
      <c r="AA402" s="32">
        <v>27.87</v>
      </c>
      <c r="AB402" s="32">
        <v>-97.2</v>
      </c>
      <c r="AC402" s="32">
        <v>400000</v>
      </c>
    </row>
    <row r="403" spans="1:31" ht="19">
      <c r="C403" s="22" t="s">
        <v>150</v>
      </c>
      <c r="D403" s="22" t="s">
        <v>151</v>
      </c>
      <c r="E403" s="5">
        <v>30967</v>
      </c>
      <c r="F403" s="5">
        <v>454</v>
      </c>
      <c r="G403" s="28" t="s">
        <v>1723</v>
      </c>
      <c r="H403" s="6" t="s">
        <v>110</v>
      </c>
      <c r="J403" s="5" t="s">
        <v>104</v>
      </c>
      <c r="L403" s="27">
        <v>-10.3</v>
      </c>
      <c r="O403" s="27">
        <v>-3.5</v>
      </c>
      <c r="P403" s="5">
        <v>31.6</v>
      </c>
      <c r="Q403" s="27">
        <v>0.71799999999999997</v>
      </c>
      <c r="S403" s="27">
        <v>0</v>
      </c>
      <c r="V403" s="32" t="s">
        <v>3415</v>
      </c>
      <c r="X403" s="33" t="s">
        <v>174</v>
      </c>
      <c r="Y403" s="32">
        <v>50000</v>
      </c>
      <c r="AA403" s="32">
        <v>27.87</v>
      </c>
      <c r="AB403" s="32">
        <v>-97.2</v>
      </c>
      <c r="AC403" s="32">
        <v>400000</v>
      </c>
    </row>
    <row r="404" spans="1:31" ht="19">
      <c r="C404" s="22" t="s">
        <v>150</v>
      </c>
      <c r="D404" s="22" t="s">
        <v>151</v>
      </c>
      <c r="E404" s="5">
        <v>30967</v>
      </c>
      <c r="F404" s="5">
        <v>455</v>
      </c>
      <c r="G404" s="28" t="s">
        <v>1723</v>
      </c>
      <c r="H404" s="6" t="s">
        <v>110</v>
      </c>
      <c r="J404" s="5" t="s">
        <v>104</v>
      </c>
      <c r="L404" s="27">
        <v>-7.5</v>
      </c>
      <c r="O404" s="27">
        <v>-0.7</v>
      </c>
      <c r="P404" s="5">
        <v>29.7</v>
      </c>
      <c r="Q404" s="27">
        <v>-1.125</v>
      </c>
      <c r="S404" s="27">
        <v>0</v>
      </c>
      <c r="V404" s="32" t="s">
        <v>3415</v>
      </c>
      <c r="X404" s="33" t="s">
        <v>174</v>
      </c>
      <c r="Y404" s="32">
        <v>50000</v>
      </c>
      <c r="AA404" s="32">
        <v>27.87</v>
      </c>
      <c r="AB404" s="32">
        <v>-97.2</v>
      </c>
      <c r="AC404" s="32">
        <v>400000</v>
      </c>
    </row>
    <row r="405" spans="1:31" ht="19">
      <c r="C405" s="22" t="s">
        <v>150</v>
      </c>
      <c r="D405" s="22" t="s">
        <v>151</v>
      </c>
      <c r="E405" s="5">
        <v>30967</v>
      </c>
      <c r="F405" s="5">
        <v>457</v>
      </c>
      <c r="G405" s="28" t="s">
        <v>1723</v>
      </c>
      <c r="H405" s="6" t="s">
        <v>110</v>
      </c>
      <c r="J405" s="5" t="s">
        <v>104</v>
      </c>
      <c r="L405" s="27">
        <v>-10.8</v>
      </c>
      <c r="O405" s="27">
        <v>-4</v>
      </c>
      <c r="P405" s="5">
        <v>31.7</v>
      </c>
      <c r="Q405" s="27">
        <v>0.81499999999999995</v>
      </c>
      <c r="S405" s="27">
        <v>0</v>
      </c>
      <c r="V405" s="32" t="s">
        <v>3415</v>
      </c>
      <c r="X405" s="33" t="s">
        <v>3506</v>
      </c>
      <c r="Y405" s="32">
        <v>50000</v>
      </c>
      <c r="AA405" s="32">
        <v>27.87</v>
      </c>
      <c r="AB405" s="32">
        <v>-97.2</v>
      </c>
      <c r="AC405" s="32">
        <v>400000</v>
      </c>
    </row>
    <row r="406" spans="1:31" ht="19">
      <c r="C406" s="22" t="s">
        <v>150</v>
      </c>
      <c r="D406" s="22" t="s">
        <v>151</v>
      </c>
      <c r="E406" s="5">
        <v>30967</v>
      </c>
      <c r="F406" s="5">
        <v>487</v>
      </c>
      <c r="G406" s="28" t="s">
        <v>1723</v>
      </c>
      <c r="H406" s="6" t="s">
        <v>110</v>
      </c>
      <c r="J406" s="5" t="s">
        <v>104</v>
      </c>
      <c r="L406" s="27">
        <v>-7.5</v>
      </c>
      <c r="O406" s="27">
        <v>-0.7</v>
      </c>
      <c r="P406" s="5">
        <v>29</v>
      </c>
      <c r="Q406" s="27">
        <v>-1.804</v>
      </c>
      <c r="S406" s="27">
        <v>0</v>
      </c>
      <c r="V406" s="32" t="s">
        <v>3415</v>
      </c>
      <c r="X406" s="33" t="s">
        <v>243</v>
      </c>
      <c r="Y406" s="32">
        <v>50000</v>
      </c>
      <c r="AA406" s="32">
        <v>27.87</v>
      </c>
      <c r="AB406" s="32">
        <v>-97.2</v>
      </c>
      <c r="AC406" s="32">
        <v>400000</v>
      </c>
    </row>
    <row r="407" spans="1:31" ht="19">
      <c r="C407" s="22" t="s">
        <v>150</v>
      </c>
      <c r="D407" s="22" t="s">
        <v>151</v>
      </c>
      <c r="E407" s="5">
        <v>30967</v>
      </c>
      <c r="F407" s="5">
        <v>51</v>
      </c>
      <c r="G407" s="28" t="s">
        <v>1723</v>
      </c>
      <c r="H407" s="6" t="s">
        <v>110</v>
      </c>
      <c r="J407" s="5" t="s">
        <v>104</v>
      </c>
      <c r="L407" s="27">
        <v>-9.9</v>
      </c>
      <c r="O407" s="27">
        <v>-3.1</v>
      </c>
      <c r="P407" s="5">
        <v>26.9</v>
      </c>
      <c r="Q407" s="27">
        <v>-3.8410000000000002</v>
      </c>
      <c r="S407" s="27">
        <v>0</v>
      </c>
      <c r="V407" s="32" t="s">
        <v>3415</v>
      </c>
      <c r="X407" s="33" t="s">
        <v>3421</v>
      </c>
      <c r="Y407" s="32">
        <v>50000</v>
      </c>
      <c r="AA407" s="32">
        <v>27.87</v>
      </c>
      <c r="AB407" s="32">
        <v>-97.2</v>
      </c>
      <c r="AC407" s="32">
        <v>400000</v>
      </c>
    </row>
    <row r="408" spans="1:31" ht="19">
      <c r="C408" s="22" t="s">
        <v>150</v>
      </c>
      <c r="D408" s="22" t="s">
        <v>151</v>
      </c>
      <c r="E408" s="5">
        <v>30967</v>
      </c>
      <c r="F408" s="5">
        <v>518</v>
      </c>
      <c r="G408" s="28" t="s">
        <v>1723</v>
      </c>
      <c r="H408" s="6" t="s">
        <v>110</v>
      </c>
      <c r="J408" s="5" t="s">
        <v>104</v>
      </c>
      <c r="L408" s="27">
        <v>-7.7</v>
      </c>
      <c r="O408" s="27">
        <v>-0.9</v>
      </c>
      <c r="P408" s="5">
        <v>30.3</v>
      </c>
      <c r="Q408" s="27">
        <v>-0.54300000000000004</v>
      </c>
      <c r="S408" s="27">
        <v>0</v>
      </c>
      <c r="V408" s="32" t="s">
        <v>3415</v>
      </c>
      <c r="X408" s="33" t="s">
        <v>3421</v>
      </c>
      <c r="Y408" s="32">
        <v>50000</v>
      </c>
      <c r="AA408" s="32">
        <v>27.87</v>
      </c>
      <c r="AB408" s="32">
        <v>-97.2</v>
      </c>
      <c r="AC408" s="32">
        <v>400000</v>
      </c>
    </row>
    <row r="409" spans="1:31" ht="19">
      <c r="C409" s="22" t="s">
        <v>150</v>
      </c>
      <c r="D409" s="22" t="s">
        <v>151</v>
      </c>
      <c r="E409" s="5">
        <v>30967</v>
      </c>
      <c r="F409" s="5">
        <v>540</v>
      </c>
      <c r="G409" s="28" t="s">
        <v>1723</v>
      </c>
      <c r="H409" s="6" t="s">
        <v>110</v>
      </c>
      <c r="J409" s="5" t="s">
        <v>104</v>
      </c>
      <c r="L409" s="27">
        <v>-10.199999999999999</v>
      </c>
      <c r="O409" s="27">
        <v>-3.4</v>
      </c>
      <c r="P409" s="5">
        <v>31.9</v>
      </c>
      <c r="Q409" s="27">
        <v>1.0089999999999999</v>
      </c>
      <c r="S409" s="27">
        <v>0</v>
      </c>
      <c r="V409" s="32" t="s">
        <v>3415</v>
      </c>
      <c r="X409" s="33" t="s">
        <v>3507</v>
      </c>
      <c r="Y409" s="32">
        <v>50000</v>
      </c>
      <c r="AA409" s="32">
        <v>27.87</v>
      </c>
      <c r="AB409" s="32">
        <v>-97.2</v>
      </c>
      <c r="AC409" s="32">
        <v>400000</v>
      </c>
    </row>
    <row r="410" spans="1:31" ht="19">
      <c r="C410" s="22" t="s">
        <v>150</v>
      </c>
      <c r="D410" s="22" t="s">
        <v>151</v>
      </c>
      <c r="E410" s="5">
        <v>30967</v>
      </c>
      <c r="F410" s="5">
        <v>642</v>
      </c>
      <c r="G410" s="28" t="s">
        <v>1723</v>
      </c>
      <c r="H410" s="6" t="s">
        <v>110</v>
      </c>
      <c r="J410" s="5" t="s">
        <v>104</v>
      </c>
      <c r="L410" s="27">
        <v>-9.6</v>
      </c>
      <c r="O410" s="27">
        <v>-2.8</v>
      </c>
      <c r="P410" s="5">
        <v>28.7</v>
      </c>
      <c r="Q410" s="27">
        <v>-2.0950000000000002</v>
      </c>
      <c r="S410" s="27">
        <v>0</v>
      </c>
      <c r="V410" s="32" t="s">
        <v>3415</v>
      </c>
      <c r="X410" s="33" t="s">
        <v>166</v>
      </c>
      <c r="Y410" s="32">
        <v>50000</v>
      </c>
      <c r="AA410" s="32">
        <v>27.87</v>
      </c>
      <c r="AB410" s="32">
        <v>-97.2</v>
      </c>
      <c r="AC410" s="32">
        <v>400000</v>
      </c>
    </row>
    <row r="411" spans="1:31" ht="19">
      <c r="C411" s="22" t="s">
        <v>150</v>
      </c>
      <c r="D411" s="22" t="s">
        <v>151</v>
      </c>
      <c r="E411" s="5">
        <v>30967</v>
      </c>
      <c r="F411" s="5">
        <v>870</v>
      </c>
      <c r="G411" s="28" t="s">
        <v>1723</v>
      </c>
      <c r="H411" s="6" t="s">
        <v>110</v>
      </c>
      <c r="J411" s="5" t="s">
        <v>104</v>
      </c>
      <c r="L411" s="27">
        <v>-10.199999999999999</v>
      </c>
      <c r="O411" s="27">
        <v>-3.4</v>
      </c>
      <c r="P411" s="5">
        <v>30.9</v>
      </c>
      <c r="Q411" s="27">
        <v>3.9E-2</v>
      </c>
      <c r="S411" s="27">
        <v>0</v>
      </c>
      <c r="V411" s="32" t="s">
        <v>3415</v>
      </c>
      <c r="X411" s="33" t="s">
        <v>3508</v>
      </c>
      <c r="Y411" s="32">
        <v>50000</v>
      </c>
      <c r="AA411" s="32">
        <v>27.87</v>
      </c>
      <c r="AB411" s="32">
        <v>-97.2</v>
      </c>
      <c r="AC411" s="32">
        <v>400000</v>
      </c>
    </row>
    <row r="412" spans="1:31" s="13" customFormat="1" ht="19">
      <c r="A412" s="5"/>
      <c r="B412" s="5"/>
      <c r="C412" s="22" t="s">
        <v>150</v>
      </c>
      <c r="D412" s="22" t="s">
        <v>151</v>
      </c>
      <c r="E412" s="5">
        <v>30967</v>
      </c>
      <c r="F412" s="5">
        <v>937</v>
      </c>
      <c r="G412" s="28" t="s">
        <v>1723</v>
      </c>
      <c r="H412" s="6" t="s">
        <v>110</v>
      </c>
      <c r="I412" s="6"/>
      <c r="J412" s="5" t="s">
        <v>104</v>
      </c>
      <c r="K412" s="27"/>
      <c r="L412" s="27">
        <v>-9.6999999999999993</v>
      </c>
      <c r="M412" s="56"/>
      <c r="N412" s="56"/>
      <c r="O412" s="27">
        <v>-2.9</v>
      </c>
      <c r="P412" s="5">
        <v>30.4</v>
      </c>
      <c r="Q412" s="27">
        <v>-0.44600000000000001</v>
      </c>
      <c r="R412" s="27"/>
      <c r="S412" s="27">
        <v>0</v>
      </c>
      <c r="T412" s="5"/>
      <c r="U412" s="24"/>
      <c r="V412" s="32" t="s">
        <v>3415</v>
      </c>
      <c r="W412" s="32"/>
      <c r="X412" s="33" t="s">
        <v>3416</v>
      </c>
      <c r="Y412" s="32">
        <v>50000</v>
      </c>
      <c r="Z412" s="31"/>
      <c r="AA412" s="32">
        <v>27.87</v>
      </c>
      <c r="AB412" s="32">
        <v>-97.2</v>
      </c>
      <c r="AC412" s="32">
        <v>400000</v>
      </c>
      <c r="AD412" s="44"/>
      <c r="AE412" s="44"/>
    </row>
    <row r="413" spans="1:31">
      <c r="C413" s="22" t="s">
        <v>150</v>
      </c>
      <c r="D413" s="22" t="s">
        <v>151</v>
      </c>
      <c r="E413" s="5">
        <v>908</v>
      </c>
      <c r="F413" s="5">
        <v>2331</v>
      </c>
      <c r="G413" s="28" t="s">
        <v>1723</v>
      </c>
      <c r="H413" s="6" t="s">
        <v>250</v>
      </c>
      <c r="J413" s="5" t="s">
        <v>104</v>
      </c>
      <c r="L413" s="27">
        <v>-11.5</v>
      </c>
      <c r="O413" s="27">
        <v>-4.7</v>
      </c>
      <c r="Q413" s="27">
        <v>-0.6</v>
      </c>
      <c r="S413" s="27">
        <v>0</v>
      </c>
      <c r="V413" s="32" t="e">
        <v>#N/A</v>
      </c>
      <c r="Y413" s="32">
        <v>13000</v>
      </c>
      <c r="AA413" s="32">
        <v>29.37</v>
      </c>
      <c r="AB413" s="32">
        <v>-99.47</v>
      </c>
      <c r="AC413" s="32">
        <v>400000</v>
      </c>
    </row>
    <row r="414" spans="1:31">
      <c r="C414" s="22" t="s">
        <v>1904</v>
      </c>
      <c r="D414" s="22" t="s">
        <v>151</v>
      </c>
      <c r="E414" s="5">
        <v>30967</v>
      </c>
      <c r="F414" s="5">
        <v>2223</v>
      </c>
      <c r="G414" s="28" t="s">
        <v>1723</v>
      </c>
      <c r="H414" s="6" t="s">
        <v>110</v>
      </c>
      <c r="J414" s="5" t="s">
        <v>104</v>
      </c>
      <c r="L414" s="27">
        <v>-8.4600000000000009</v>
      </c>
      <c r="O414" s="27">
        <v>-1.65730076</v>
      </c>
      <c r="P414" s="5">
        <v>28.250342879999998</v>
      </c>
      <c r="Q414" s="27">
        <v>-2.5315339809999999</v>
      </c>
      <c r="V414" s="32">
        <v>43647</v>
      </c>
      <c r="AA414" s="32">
        <v>27.87</v>
      </c>
      <c r="AB414" s="32">
        <v>-97.2</v>
      </c>
      <c r="AC414" s="32">
        <v>400001</v>
      </c>
    </row>
    <row r="415" spans="1:31" ht="19">
      <c r="C415" s="22" t="s">
        <v>1582</v>
      </c>
      <c r="D415" s="22" t="s">
        <v>3509</v>
      </c>
      <c r="E415" s="5">
        <v>41229</v>
      </c>
      <c r="F415" s="5">
        <v>3539</v>
      </c>
      <c r="G415" s="28" t="s">
        <v>1847</v>
      </c>
      <c r="H415" s="6" t="s">
        <v>1137</v>
      </c>
      <c r="J415" s="5" t="s">
        <v>104</v>
      </c>
      <c r="K415" s="27">
        <v>12.7</v>
      </c>
      <c r="L415" s="27">
        <v>-18.8</v>
      </c>
      <c r="R415" s="27">
        <v>14.8</v>
      </c>
      <c r="S415" s="27">
        <v>2.9</v>
      </c>
      <c r="V415" s="32" t="s">
        <v>3353</v>
      </c>
      <c r="W415" s="32">
        <v>5</v>
      </c>
      <c r="X415" s="33" t="s">
        <v>3510</v>
      </c>
      <c r="Y415" s="32">
        <v>11998</v>
      </c>
      <c r="AA415" s="32">
        <v>30.13</v>
      </c>
      <c r="AB415" s="32">
        <v>-99.54</v>
      </c>
      <c r="AC415" s="32">
        <v>3583</v>
      </c>
    </row>
    <row r="416" spans="1:31">
      <c r="C416" s="22" t="s">
        <v>1804</v>
      </c>
      <c r="D416" s="22" t="s">
        <v>151</v>
      </c>
      <c r="E416" s="5">
        <v>40685</v>
      </c>
      <c r="F416" s="5">
        <v>832</v>
      </c>
      <c r="G416" s="28" t="s">
        <v>1723</v>
      </c>
      <c r="H416" s="6" t="s">
        <v>134</v>
      </c>
      <c r="J416" s="5" t="s">
        <v>1744</v>
      </c>
      <c r="K416" s="27" t="s">
        <v>487</v>
      </c>
      <c r="L416" s="27" t="s">
        <v>487</v>
      </c>
      <c r="T416" s="5" t="s">
        <v>3511</v>
      </c>
      <c r="V416" s="32" t="e">
        <v>#N/A</v>
      </c>
      <c r="W416" s="32" t="s">
        <v>487</v>
      </c>
      <c r="AA416" s="32">
        <v>30.75</v>
      </c>
      <c r="AB416" s="32">
        <v>-99.25</v>
      </c>
    </row>
    <row r="417" spans="3:29">
      <c r="C417" s="22" t="s">
        <v>517</v>
      </c>
      <c r="D417" s="22" t="s">
        <v>101</v>
      </c>
      <c r="E417" s="5">
        <v>933</v>
      </c>
      <c r="F417" s="5">
        <v>2084</v>
      </c>
      <c r="G417" s="28" t="s">
        <v>1847</v>
      </c>
      <c r="H417" s="6" t="s">
        <v>249</v>
      </c>
      <c r="J417" s="5" t="s">
        <v>104</v>
      </c>
      <c r="M417" s="56" t="s">
        <v>487</v>
      </c>
      <c r="N417" s="56" t="s">
        <v>487</v>
      </c>
      <c r="R417" s="27" t="s">
        <v>463</v>
      </c>
      <c r="S417" s="27">
        <v>100</v>
      </c>
      <c r="V417" s="32" t="s">
        <v>3353</v>
      </c>
      <c r="W417" s="32">
        <v>4</v>
      </c>
      <c r="Y417" s="32">
        <v>18500</v>
      </c>
      <c r="AA417" s="32">
        <v>29.62</v>
      </c>
      <c r="AB417" s="32">
        <v>-98.37</v>
      </c>
      <c r="AC417" s="32">
        <v>189000</v>
      </c>
    </row>
    <row r="418" spans="3:29" ht="32">
      <c r="C418" s="22" t="s">
        <v>517</v>
      </c>
      <c r="D418" s="22" t="s">
        <v>101</v>
      </c>
      <c r="E418" s="5">
        <v>933</v>
      </c>
      <c r="F418" s="5">
        <v>2110</v>
      </c>
      <c r="G418" s="28" t="s">
        <v>1847</v>
      </c>
      <c r="H418" s="6" t="s">
        <v>249</v>
      </c>
      <c r="J418" s="5" t="s">
        <v>104</v>
      </c>
      <c r="M418" s="56" t="s">
        <v>487</v>
      </c>
      <c r="N418" s="56">
        <v>-28.3</v>
      </c>
      <c r="R418" s="27" t="s">
        <v>463</v>
      </c>
      <c r="S418" s="27">
        <v>100</v>
      </c>
      <c r="V418" s="32" t="s">
        <v>3353</v>
      </c>
      <c r="W418" s="32">
        <v>5</v>
      </c>
      <c r="Y418" s="32">
        <v>18500</v>
      </c>
      <c r="Z418" s="31" t="s">
        <v>3512</v>
      </c>
      <c r="AA418" s="32">
        <v>29.62</v>
      </c>
      <c r="AB418" s="32">
        <v>-98.37</v>
      </c>
      <c r="AC418" s="32">
        <v>189000</v>
      </c>
    </row>
    <row r="419" spans="3:29">
      <c r="C419" s="22" t="s">
        <v>517</v>
      </c>
      <c r="D419" s="22" t="s">
        <v>101</v>
      </c>
      <c r="E419" s="5">
        <v>933</v>
      </c>
      <c r="F419" s="5">
        <v>3934</v>
      </c>
      <c r="G419" s="28" t="s">
        <v>1847</v>
      </c>
      <c r="H419" s="6" t="s">
        <v>249</v>
      </c>
      <c r="J419" s="5" t="s">
        <v>104</v>
      </c>
      <c r="M419" s="56" t="s">
        <v>487</v>
      </c>
      <c r="N419" s="56" t="s">
        <v>487</v>
      </c>
      <c r="R419" s="27" t="s">
        <v>463</v>
      </c>
      <c r="S419" s="27">
        <v>100</v>
      </c>
      <c r="V419" s="32" t="s">
        <v>3353</v>
      </c>
      <c r="W419" s="32">
        <v>5</v>
      </c>
      <c r="Y419" s="32">
        <v>18500</v>
      </c>
      <c r="AA419" s="32">
        <v>29.62</v>
      </c>
      <c r="AB419" s="32">
        <v>-98.37</v>
      </c>
      <c r="AC419" s="32">
        <v>189000</v>
      </c>
    </row>
    <row r="420" spans="3:29" ht="19">
      <c r="C420" s="22" t="s">
        <v>517</v>
      </c>
      <c r="D420" s="22" t="s">
        <v>101</v>
      </c>
      <c r="E420" s="5">
        <v>933</v>
      </c>
      <c r="F420" s="5">
        <v>2899</v>
      </c>
      <c r="G420" s="28" t="s">
        <v>487</v>
      </c>
      <c r="H420" s="6" t="s">
        <v>249</v>
      </c>
      <c r="J420" s="5" t="s">
        <v>1744</v>
      </c>
      <c r="M420" s="56" t="s">
        <v>487</v>
      </c>
      <c r="N420" s="56" t="s">
        <v>487</v>
      </c>
      <c r="R420" s="27" t="s">
        <v>463</v>
      </c>
      <c r="S420" s="27">
        <v>100</v>
      </c>
      <c r="V420" s="32" t="s">
        <v>3353</v>
      </c>
      <c r="W420" s="32">
        <v>4</v>
      </c>
      <c r="X420" s="33" t="s">
        <v>487</v>
      </c>
      <c r="AA420" s="32">
        <v>29.37</v>
      </c>
      <c r="AB420" s="32">
        <v>-99.47</v>
      </c>
    </row>
    <row r="421" spans="3:29">
      <c r="C421" s="22" t="s">
        <v>517</v>
      </c>
      <c r="D421" s="22" t="s">
        <v>101</v>
      </c>
      <c r="E421" s="5">
        <v>933</v>
      </c>
      <c r="F421" s="5">
        <v>2149</v>
      </c>
      <c r="G421" s="28" t="s">
        <v>1847</v>
      </c>
      <c r="H421" s="6" t="s">
        <v>249</v>
      </c>
      <c r="J421" s="5" t="s">
        <v>104</v>
      </c>
      <c r="M421" s="56" t="s">
        <v>487</v>
      </c>
      <c r="N421" s="56" t="s">
        <v>487</v>
      </c>
      <c r="R421" s="27">
        <v>0.3</v>
      </c>
      <c r="S421" s="27">
        <v>10</v>
      </c>
      <c r="V421" s="32" t="s">
        <v>3353</v>
      </c>
      <c r="W421" s="32">
        <v>5</v>
      </c>
      <c r="Y421" s="32">
        <v>18500</v>
      </c>
      <c r="AA421" s="32">
        <v>29.62</v>
      </c>
      <c r="AB421" s="32">
        <v>-98.37</v>
      </c>
      <c r="AC421" s="32">
        <v>189000</v>
      </c>
    </row>
    <row r="422" spans="3:29">
      <c r="C422" s="22" t="s">
        <v>517</v>
      </c>
      <c r="D422" s="22" t="s">
        <v>101</v>
      </c>
      <c r="E422" s="5">
        <v>933</v>
      </c>
      <c r="F422" s="5">
        <v>2297</v>
      </c>
      <c r="G422" s="28" t="s">
        <v>1847</v>
      </c>
      <c r="H422" s="6" t="s">
        <v>249</v>
      </c>
      <c r="J422" s="5" t="s">
        <v>104</v>
      </c>
      <c r="M422" s="56">
        <v>9.8000000000000007</v>
      </c>
      <c r="N422" s="56">
        <v>-22</v>
      </c>
      <c r="R422" s="27">
        <v>4.5999999999999996</v>
      </c>
      <c r="S422" s="27">
        <v>6.2</v>
      </c>
      <c r="V422" s="32" t="s">
        <v>3353</v>
      </c>
      <c r="W422" s="32">
        <v>4</v>
      </c>
      <c r="Y422" s="32">
        <v>18500</v>
      </c>
      <c r="AA422" s="32">
        <v>29.62</v>
      </c>
      <c r="AB422" s="32">
        <v>-98.37</v>
      </c>
      <c r="AC422" s="32">
        <v>189000</v>
      </c>
    </row>
    <row r="423" spans="3:29">
      <c r="C423" s="22" t="s">
        <v>517</v>
      </c>
      <c r="D423" s="22" t="s">
        <v>101</v>
      </c>
      <c r="E423" s="5">
        <v>933</v>
      </c>
      <c r="F423" s="5">
        <v>3387</v>
      </c>
      <c r="G423" s="28" t="s">
        <v>1847</v>
      </c>
      <c r="H423" s="6" t="s">
        <v>249</v>
      </c>
      <c r="J423" s="5" t="s">
        <v>104</v>
      </c>
      <c r="K423" s="27">
        <v>14.3</v>
      </c>
      <c r="L423" s="27">
        <v>-8.5</v>
      </c>
      <c r="R423" s="27">
        <v>11.1</v>
      </c>
      <c r="S423" s="27">
        <v>3.2</v>
      </c>
      <c r="V423" s="32" t="s">
        <v>3353</v>
      </c>
      <c r="W423" s="32">
        <v>6</v>
      </c>
      <c r="Y423" s="32">
        <v>18500</v>
      </c>
      <c r="AA423" s="32">
        <v>29.62</v>
      </c>
      <c r="AB423" s="32">
        <v>-98.37</v>
      </c>
      <c r="AC423" s="32">
        <v>189000</v>
      </c>
    </row>
    <row r="424" spans="3:29" ht="19">
      <c r="C424" s="22" t="s">
        <v>100</v>
      </c>
      <c r="D424" s="22" t="s">
        <v>1854</v>
      </c>
      <c r="E424" s="5">
        <v>933</v>
      </c>
      <c r="F424" s="5">
        <v>29</v>
      </c>
      <c r="G424" s="28" t="s">
        <v>1827</v>
      </c>
      <c r="H424" s="6" t="s">
        <v>249</v>
      </c>
      <c r="J424" s="5" t="s">
        <v>1744</v>
      </c>
      <c r="M424" s="56" t="s">
        <v>487</v>
      </c>
      <c r="N424" s="56" t="s">
        <v>487</v>
      </c>
      <c r="R424" s="27" t="s">
        <v>463</v>
      </c>
      <c r="S424" s="27" t="s">
        <v>487</v>
      </c>
      <c r="V424" s="32" t="s">
        <v>3417</v>
      </c>
      <c r="W424" s="32">
        <v>4</v>
      </c>
      <c r="X424" s="33" t="s">
        <v>3411</v>
      </c>
      <c r="Y424" s="32" t="s">
        <v>3513</v>
      </c>
      <c r="AA424" s="32">
        <v>29.62</v>
      </c>
      <c r="AB424" s="32">
        <v>-98.37</v>
      </c>
      <c r="AC424" s="32">
        <v>189000</v>
      </c>
    </row>
    <row r="425" spans="3:29">
      <c r="C425" s="22" t="s">
        <v>100</v>
      </c>
      <c r="D425" s="22" t="s">
        <v>1854</v>
      </c>
      <c r="E425" s="5">
        <v>933</v>
      </c>
      <c r="F425" s="5">
        <v>2257</v>
      </c>
      <c r="G425" s="28" t="s">
        <v>1827</v>
      </c>
      <c r="H425" s="6" t="s">
        <v>249</v>
      </c>
      <c r="J425" s="5" t="s">
        <v>1744</v>
      </c>
      <c r="M425" s="56">
        <v>13.401279800000001</v>
      </c>
      <c r="N425" s="56" t="s">
        <v>487</v>
      </c>
      <c r="R425" s="27">
        <v>1.4425951868148945</v>
      </c>
      <c r="S425" s="27">
        <v>4.2616059232483456</v>
      </c>
      <c r="V425" s="32" t="s">
        <v>3417</v>
      </c>
      <c r="W425" s="32">
        <v>4</v>
      </c>
      <c r="Y425" s="32" t="s">
        <v>3513</v>
      </c>
      <c r="AA425" s="32">
        <v>29.62</v>
      </c>
      <c r="AB425" s="32">
        <v>-98.37</v>
      </c>
      <c r="AC425" s="32">
        <v>189000</v>
      </c>
    </row>
    <row r="426" spans="3:29">
      <c r="C426" s="22" t="s">
        <v>100</v>
      </c>
      <c r="D426" s="22" t="s">
        <v>1854</v>
      </c>
      <c r="E426" s="5">
        <v>933</v>
      </c>
      <c r="F426" s="5">
        <v>1750</v>
      </c>
      <c r="G426" s="28" t="s">
        <v>1827</v>
      </c>
      <c r="H426" s="6" t="s">
        <v>249</v>
      </c>
      <c r="J426" s="5" t="s">
        <v>1744</v>
      </c>
      <c r="M426" s="56">
        <v>13.381613160000001</v>
      </c>
      <c r="N426" s="56">
        <v>-10.658788800000002</v>
      </c>
      <c r="R426" s="27">
        <v>2.5347442336170314</v>
      </c>
      <c r="S426" s="27">
        <v>3.7358445057892031</v>
      </c>
      <c r="V426" s="32" t="s">
        <v>3417</v>
      </c>
      <c r="W426" s="32">
        <v>4</v>
      </c>
      <c r="Y426" s="32" t="s">
        <v>3513</v>
      </c>
      <c r="AA426" s="32">
        <v>29.62</v>
      </c>
      <c r="AB426" s="32">
        <v>-98.37</v>
      </c>
      <c r="AC426" s="32">
        <v>189000</v>
      </c>
    </row>
    <row r="427" spans="3:29">
      <c r="C427" s="22" t="s">
        <v>100</v>
      </c>
      <c r="D427" s="22" t="s">
        <v>1854</v>
      </c>
      <c r="E427" s="5">
        <v>933</v>
      </c>
      <c r="F427" s="5">
        <v>61</v>
      </c>
      <c r="G427" s="28" t="s">
        <v>1827</v>
      </c>
      <c r="H427" s="6" t="s">
        <v>249</v>
      </c>
      <c r="J427" s="5" t="s">
        <v>1744</v>
      </c>
      <c r="K427" s="27">
        <v>14.292299000000002</v>
      </c>
      <c r="L427" s="27">
        <v>-8.8026523999999995</v>
      </c>
      <c r="R427" s="27">
        <v>13.004249112338803</v>
      </c>
      <c r="S427" s="27">
        <v>3.1781999285147791</v>
      </c>
      <c r="V427" s="32" t="s">
        <v>3417</v>
      </c>
      <c r="W427" s="32">
        <v>4</v>
      </c>
      <c r="Y427" s="32" t="s">
        <v>3513</v>
      </c>
      <c r="AA427" s="32">
        <v>29.62</v>
      </c>
      <c r="AB427" s="32">
        <v>-98.37</v>
      </c>
      <c r="AC427" s="32">
        <v>189000</v>
      </c>
    </row>
    <row r="428" spans="3:29">
      <c r="C428" s="22" t="s">
        <v>100</v>
      </c>
      <c r="D428" s="22" t="s">
        <v>1854</v>
      </c>
      <c r="E428" s="5">
        <v>933</v>
      </c>
      <c r="F428" s="5">
        <v>2927</v>
      </c>
      <c r="G428" s="28" t="s">
        <v>1827</v>
      </c>
      <c r="H428" s="6" t="s">
        <v>249</v>
      </c>
      <c r="J428" s="5" t="s">
        <v>1744</v>
      </c>
      <c r="K428" s="27">
        <v>14.367554000000002</v>
      </c>
      <c r="L428" s="27">
        <v>-8.9959796000000001</v>
      </c>
      <c r="R428" s="27">
        <v>9.4604325820665327</v>
      </c>
      <c r="S428" s="27">
        <v>3.0529663542375896</v>
      </c>
      <c r="V428" s="32" t="s">
        <v>3417</v>
      </c>
      <c r="W428" s="32">
        <v>4</v>
      </c>
      <c r="Y428" s="32" t="s">
        <v>3513</v>
      </c>
      <c r="AA428" s="32">
        <v>29.62</v>
      </c>
      <c r="AB428" s="32">
        <v>-98.37</v>
      </c>
      <c r="AC428" s="32">
        <v>189000</v>
      </c>
    </row>
    <row r="429" spans="3:29">
      <c r="C429" s="22" t="s">
        <v>100</v>
      </c>
      <c r="D429" s="22" t="s">
        <v>1854</v>
      </c>
      <c r="E429" s="5">
        <v>933</v>
      </c>
      <c r="F429" s="5">
        <v>2283</v>
      </c>
      <c r="G429" s="28" t="s">
        <v>1827</v>
      </c>
      <c r="H429" s="6" t="s">
        <v>249</v>
      </c>
      <c r="J429" s="5" t="s">
        <v>1744</v>
      </c>
      <c r="K429" s="27">
        <v>13.786585400000002</v>
      </c>
      <c r="L429" s="27">
        <v>-8.8563544000000007</v>
      </c>
      <c r="R429" s="27">
        <v>11.758657499753113</v>
      </c>
      <c r="S429" s="27">
        <v>3.0374100847895154</v>
      </c>
      <c r="V429" s="32" t="s">
        <v>3417</v>
      </c>
      <c r="W429" s="32">
        <v>4</v>
      </c>
      <c r="Y429" s="32" t="s">
        <v>3513</v>
      </c>
      <c r="AA429" s="32">
        <v>29.62</v>
      </c>
      <c r="AB429" s="32">
        <v>-98.37</v>
      </c>
      <c r="AC429" s="32">
        <v>189000</v>
      </c>
    </row>
    <row r="430" spans="3:29" ht="19">
      <c r="C430" s="22" t="s">
        <v>581</v>
      </c>
      <c r="D430" s="22" t="s">
        <v>151</v>
      </c>
      <c r="E430" s="5">
        <v>41229</v>
      </c>
      <c r="F430" s="5">
        <v>2792</v>
      </c>
      <c r="G430" s="28" t="s">
        <v>1723</v>
      </c>
      <c r="H430" s="6" t="s">
        <v>1137</v>
      </c>
      <c r="J430" s="5" t="s">
        <v>225</v>
      </c>
      <c r="K430" s="27">
        <v>4.5812090909090912</v>
      </c>
      <c r="L430" s="27">
        <v>-19.340272727272719</v>
      </c>
      <c r="R430" s="27">
        <v>12.549050512791144</v>
      </c>
      <c r="S430" s="27">
        <v>3.6799476068514148</v>
      </c>
      <c r="V430" s="32">
        <v>42491</v>
      </c>
      <c r="X430" s="33" t="s">
        <v>3465</v>
      </c>
      <c r="Y430" s="32">
        <v>7057</v>
      </c>
      <c r="AA430" s="32">
        <v>30.13</v>
      </c>
      <c r="AB430" s="32">
        <v>-99.54</v>
      </c>
      <c r="AC430" s="32">
        <v>1710</v>
      </c>
    </row>
    <row r="431" spans="3:29" ht="19">
      <c r="C431" s="22" t="s">
        <v>581</v>
      </c>
      <c r="D431" s="22" t="s">
        <v>151</v>
      </c>
      <c r="E431" s="5">
        <v>41229</v>
      </c>
      <c r="F431" s="5">
        <v>1145</v>
      </c>
      <c r="G431" s="28" t="s">
        <v>1723</v>
      </c>
      <c r="H431" s="6" t="s">
        <v>1137</v>
      </c>
      <c r="J431" s="5" t="s">
        <v>225</v>
      </c>
      <c r="K431" s="27">
        <v>5.4023090909090916</v>
      </c>
      <c r="L431" s="27">
        <v>-19.426272727272721</v>
      </c>
      <c r="R431" s="27">
        <v>29.686870457516076</v>
      </c>
      <c r="S431" s="27">
        <v>3.2982795404481235</v>
      </c>
      <c r="V431" s="32">
        <v>42491</v>
      </c>
      <c r="X431" s="33" t="s">
        <v>3366</v>
      </c>
      <c r="Y431" s="32">
        <v>7716</v>
      </c>
      <c r="AA431" s="32">
        <v>30.13</v>
      </c>
      <c r="AB431" s="32">
        <v>-99.54</v>
      </c>
      <c r="AC431" s="32">
        <v>1710</v>
      </c>
    </row>
    <row r="432" spans="3:29" ht="19">
      <c r="C432" s="22" t="s">
        <v>581</v>
      </c>
      <c r="D432" s="22" t="s">
        <v>151</v>
      </c>
      <c r="E432" s="5">
        <v>41229</v>
      </c>
      <c r="F432" s="5">
        <v>1305</v>
      </c>
      <c r="G432" s="28" t="s">
        <v>1723</v>
      </c>
      <c r="H432" s="6" t="s">
        <v>1137</v>
      </c>
      <c r="J432" s="5" t="s">
        <v>225</v>
      </c>
      <c r="K432" s="27">
        <v>3.8303090909090916</v>
      </c>
      <c r="L432" s="27">
        <v>-19.871272727272721</v>
      </c>
      <c r="R432" s="27">
        <v>32.507256441512872</v>
      </c>
      <c r="S432" s="27">
        <v>3.1046298194847428</v>
      </c>
      <c r="V432" s="32">
        <v>42491</v>
      </c>
      <c r="X432" s="33" t="s">
        <v>3466</v>
      </c>
      <c r="Y432" s="32">
        <v>6069</v>
      </c>
      <c r="AA432" s="32">
        <v>30.13</v>
      </c>
      <c r="AB432" s="32">
        <v>-99.54</v>
      </c>
      <c r="AC432" s="32">
        <v>1710</v>
      </c>
    </row>
    <row r="433" spans="1:31" ht="19">
      <c r="C433" s="22" t="s">
        <v>581</v>
      </c>
      <c r="D433" s="22" t="s">
        <v>151</v>
      </c>
      <c r="E433" s="5">
        <v>41229</v>
      </c>
      <c r="F433" s="5">
        <v>72</v>
      </c>
      <c r="G433" s="28" t="s">
        <v>1723</v>
      </c>
      <c r="H433" s="6" t="s">
        <v>1137</v>
      </c>
      <c r="J433" s="5" t="s">
        <v>225</v>
      </c>
      <c r="K433" s="27">
        <v>3.9493090909090913</v>
      </c>
      <c r="L433" s="27">
        <v>-14.88027272727272</v>
      </c>
      <c r="R433" s="27">
        <v>41.376489609179814</v>
      </c>
      <c r="S433" s="27">
        <v>2.9823169927111159</v>
      </c>
      <c r="V433" s="32">
        <v>42491</v>
      </c>
      <c r="X433" s="33" t="s">
        <v>3514</v>
      </c>
      <c r="Y433" s="32">
        <v>5739</v>
      </c>
      <c r="AA433" s="32">
        <v>30.13</v>
      </c>
      <c r="AB433" s="32">
        <v>-99.54</v>
      </c>
      <c r="AC433" s="32">
        <v>1710</v>
      </c>
    </row>
    <row r="434" spans="1:31" ht="19">
      <c r="C434" s="22" t="s">
        <v>581</v>
      </c>
      <c r="D434" s="22" t="s">
        <v>151</v>
      </c>
      <c r="E434" s="5">
        <v>41229</v>
      </c>
      <c r="F434" s="5">
        <v>2846</v>
      </c>
      <c r="G434" s="28" t="s">
        <v>1723</v>
      </c>
      <c r="H434" s="6" t="s">
        <v>1137</v>
      </c>
      <c r="J434" s="5" t="s">
        <v>1744</v>
      </c>
      <c r="K434" s="27">
        <v>6.6413090909090915</v>
      </c>
      <c r="L434" s="27">
        <v>-18.519272727272721</v>
      </c>
      <c r="R434" s="27">
        <v>44.311932359959897</v>
      </c>
      <c r="S434" s="27">
        <v>2.9713963704734256</v>
      </c>
      <c r="V434" s="32">
        <v>42491</v>
      </c>
      <c r="X434" s="33" t="s">
        <v>3488</v>
      </c>
      <c r="Y434" s="32">
        <v>14387</v>
      </c>
      <c r="AA434" s="32">
        <v>30.13</v>
      </c>
      <c r="AB434" s="32">
        <v>-99.54</v>
      </c>
      <c r="AC434" s="32">
        <v>1710</v>
      </c>
    </row>
    <row r="435" spans="1:31" s="10" customFormat="1" ht="19">
      <c r="A435" s="5"/>
      <c r="B435" s="5"/>
      <c r="C435" s="22" t="s">
        <v>581</v>
      </c>
      <c r="D435" s="22" t="s">
        <v>151</v>
      </c>
      <c r="E435" s="5">
        <v>41229</v>
      </c>
      <c r="F435" s="5">
        <v>710</v>
      </c>
      <c r="G435" s="28" t="s">
        <v>1723</v>
      </c>
      <c r="H435" s="6" t="s">
        <v>1137</v>
      </c>
      <c r="I435" s="6"/>
      <c r="J435" s="5" t="s">
        <v>225</v>
      </c>
      <c r="K435" s="27">
        <v>4.9213090909090917</v>
      </c>
      <c r="L435" s="27">
        <v>-13.802272727272721</v>
      </c>
      <c r="M435" s="56"/>
      <c r="N435" s="56"/>
      <c r="O435" s="27"/>
      <c r="P435" s="5"/>
      <c r="Q435" s="27"/>
      <c r="R435" s="27">
        <v>37.704583584024313</v>
      </c>
      <c r="S435" s="27">
        <v>2.9418225399686064</v>
      </c>
      <c r="T435" s="5"/>
      <c r="U435" s="24"/>
      <c r="V435" s="32">
        <v>42491</v>
      </c>
      <c r="W435" s="32"/>
      <c r="X435" s="33" t="s">
        <v>3466</v>
      </c>
      <c r="Y435" s="32">
        <v>6069</v>
      </c>
      <c r="Z435" s="31"/>
      <c r="AA435" s="32">
        <v>30.13</v>
      </c>
      <c r="AB435" s="32">
        <v>-99.54</v>
      </c>
      <c r="AC435" s="32">
        <v>1710</v>
      </c>
      <c r="AD435" s="30"/>
      <c r="AE435" s="30"/>
    </row>
    <row r="436" spans="1:31" s="10" customFormat="1" ht="19">
      <c r="A436" s="5"/>
      <c r="B436" s="5"/>
      <c r="C436" s="22" t="s">
        <v>581</v>
      </c>
      <c r="D436" s="22" t="s">
        <v>151</v>
      </c>
      <c r="E436" s="5">
        <v>41229</v>
      </c>
      <c r="F436" s="5">
        <v>1148</v>
      </c>
      <c r="G436" s="28" t="s">
        <v>1723</v>
      </c>
      <c r="H436" s="6" t="s">
        <v>1137</v>
      </c>
      <c r="I436" s="6"/>
      <c r="J436" s="5" t="s">
        <v>225</v>
      </c>
      <c r="K436" s="27">
        <v>6.9653090909090913</v>
      </c>
      <c r="L436" s="27">
        <v>-11.51727272727272</v>
      </c>
      <c r="M436" s="56"/>
      <c r="N436" s="56"/>
      <c r="O436" s="27"/>
      <c r="P436" s="5"/>
      <c r="Q436" s="27"/>
      <c r="R436" s="27">
        <v>45.354744153305845</v>
      </c>
      <c r="S436" s="27">
        <v>2.9311719637894216</v>
      </c>
      <c r="T436" s="5"/>
      <c r="U436" s="24"/>
      <c r="V436" s="32">
        <v>42491</v>
      </c>
      <c r="W436" s="32"/>
      <c r="X436" s="33" t="s">
        <v>3366</v>
      </c>
      <c r="Y436" s="32">
        <v>7716</v>
      </c>
      <c r="Z436" s="31"/>
      <c r="AA436" s="32">
        <v>30.13</v>
      </c>
      <c r="AB436" s="32">
        <v>-99.54</v>
      </c>
      <c r="AC436" s="32">
        <v>1710</v>
      </c>
      <c r="AD436" s="30"/>
      <c r="AE436" s="30"/>
    </row>
    <row r="437" spans="1:31" ht="19">
      <c r="C437" s="22" t="s">
        <v>581</v>
      </c>
      <c r="D437" s="22" t="s">
        <v>151</v>
      </c>
      <c r="E437" s="5">
        <v>41229</v>
      </c>
      <c r="F437" s="5">
        <v>15098</v>
      </c>
      <c r="G437" s="28" t="s">
        <v>1723</v>
      </c>
      <c r="H437" s="6" t="s">
        <v>1137</v>
      </c>
      <c r="J437" s="5" t="s">
        <v>225</v>
      </c>
      <c r="K437" s="27">
        <v>6.2983090909090915</v>
      </c>
      <c r="L437" s="27">
        <v>-15.21927272727272</v>
      </c>
      <c r="R437" s="27">
        <v>40.131669739517761</v>
      </c>
      <c r="S437" s="27">
        <v>2.9049403509315042</v>
      </c>
      <c r="V437" s="32">
        <v>42491</v>
      </c>
      <c r="X437" s="33" t="s">
        <v>3478</v>
      </c>
      <c r="Y437" s="32">
        <v>8045</v>
      </c>
      <c r="AA437" s="32">
        <v>30.13</v>
      </c>
      <c r="AB437" s="32">
        <v>-99.54</v>
      </c>
      <c r="AC437" s="32">
        <v>1710</v>
      </c>
    </row>
    <row r="438" spans="1:31" ht="19">
      <c r="C438" s="22" t="s">
        <v>581</v>
      </c>
      <c r="D438" s="22" t="s">
        <v>151</v>
      </c>
      <c r="E438" s="5">
        <v>41229</v>
      </c>
      <c r="F438" s="5">
        <v>15105</v>
      </c>
      <c r="G438" s="28" t="s">
        <v>1723</v>
      </c>
      <c r="H438" s="6" t="s">
        <v>1137</v>
      </c>
      <c r="J438" s="5" t="s">
        <v>225</v>
      </c>
      <c r="K438" s="27">
        <v>6.6523090909090916</v>
      </c>
      <c r="L438" s="27">
        <v>-17.099272727272719</v>
      </c>
      <c r="R438" s="27">
        <v>26.326225179552321</v>
      </c>
      <c r="S438" s="27">
        <v>2.9008084952522846</v>
      </c>
      <c r="V438" s="32">
        <v>42491</v>
      </c>
      <c r="X438" s="33" t="s">
        <v>3478</v>
      </c>
      <c r="Y438" s="32">
        <v>8045</v>
      </c>
      <c r="AA438" s="32">
        <v>30.13</v>
      </c>
      <c r="AB438" s="32">
        <v>-99.54</v>
      </c>
      <c r="AC438" s="32">
        <v>1710</v>
      </c>
    </row>
    <row r="439" spans="1:31" ht="19">
      <c r="C439" s="22" t="s">
        <v>581</v>
      </c>
      <c r="D439" s="22" t="s">
        <v>151</v>
      </c>
      <c r="E439" s="5">
        <v>41229</v>
      </c>
      <c r="F439" s="5">
        <v>986</v>
      </c>
      <c r="G439" s="28" t="s">
        <v>1723</v>
      </c>
      <c r="H439" s="6" t="s">
        <v>1137</v>
      </c>
      <c r="J439" s="5" t="s">
        <v>1744</v>
      </c>
      <c r="K439" s="27">
        <v>7.5238090909090918</v>
      </c>
      <c r="L439" s="27">
        <v>-14.85127272727272</v>
      </c>
      <c r="R439" s="27">
        <v>29.759925880819619</v>
      </c>
      <c r="S439" s="27">
        <v>2.8936259279675181</v>
      </c>
      <c r="V439" s="32">
        <v>42491</v>
      </c>
      <c r="X439" s="33" t="s">
        <v>3515</v>
      </c>
      <c r="Y439" s="32">
        <v>12327</v>
      </c>
      <c r="AA439" s="32">
        <v>30.13</v>
      </c>
      <c r="AB439" s="32">
        <v>-99.54</v>
      </c>
      <c r="AC439" s="32">
        <v>1710</v>
      </c>
    </row>
    <row r="440" spans="1:31" ht="19">
      <c r="C440" s="22" t="s">
        <v>581</v>
      </c>
      <c r="D440" s="22" t="s">
        <v>151</v>
      </c>
      <c r="E440" s="5">
        <v>41229</v>
      </c>
      <c r="F440" s="5">
        <v>2529</v>
      </c>
      <c r="G440" s="28" t="s">
        <v>1723</v>
      </c>
      <c r="H440" s="6" t="s">
        <v>1137</v>
      </c>
      <c r="J440" s="5" t="s">
        <v>1744</v>
      </c>
      <c r="K440" s="27">
        <v>6.4493090909090913</v>
      </c>
      <c r="L440" s="27">
        <v>-18.523272727272719</v>
      </c>
      <c r="R440" s="27">
        <v>40.816789878931168</v>
      </c>
      <c r="S440" s="27">
        <v>2.8857767464157886</v>
      </c>
      <c r="V440" s="32">
        <v>42491</v>
      </c>
      <c r="X440" s="33" t="s">
        <v>3516</v>
      </c>
      <c r="Y440" s="32">
        <v>14623</v>
      </c>
      <c r="AA440" s="32">
        <v>30.13</v>
      </c>
      <c r="AB440" s="32">
        <v>-99.54</v>
      </c>
      <c r="AC440" s="32">
        <v>1710</v>
      </c>
    </row>
    <row r="441" spans="1:31" ht="19">
      <c r="C441" s="22" t="s">
        <v>581</v>
      </c>
      <c r="D441" s="22" t="s">
        <v>151</v>
      </c>
      <c r="E441" s="5">
        <v>41229</v>
      </c>
      <c r="F441" s="5">
        <v>2560</v>
      </c>
      <c r="G441" s="28" t="s">
        <v>1723</v>
      </c>
      <c r="H441" s="6" t="s">
        <v>1137</v>
      </c>
      <c r="J441" s="5" t="s">
        <v>225</v>
      </c>
      <c r="K441" s="27">
        <v>6.5943090909090918</v>
      </c>
      <c r="L441" s="27">
        <v>-11.205272727272721</v>
      </c>
      <c r="R441" s="27">
        <v>33.281601480333627</v>
      </c>
      <c r="S441" s="27">
        <v>2.8770551293779492</v>
      </c>
      <c r="V441" s="32">
        <v>42491</v>
      </c>
      <c r="X441" s="33" t="s">
        <v>3366</v>
      </c>
      <c r="Y441" s="32">
        <v>7716</v>
      </c>
      <c r="AA441" s="32">
        <v>30.13</v>
      </c>
      <c r="AB441" s="32">
        <v>-99.54</v>
      </c>
      <c r="AC441" s="32">
        <v>1710</v>
      </c>
    </row>
    <row r="442" spans="1:31" ht="19">
      <c r="C442" s="22" t="s">
        <v>581</v>
      </c>
      <c r="D442" s="22" t="s">
        <v>151</v>
      </c>
      <c r="E442" s="5">
        <v>41229</v>
      </c>
      <c r="F442" s="5">
        <v>2875</v>
      </c>
      <c r="G442" s="28" t="s">
        <v>1723</v>
      </c>
      <c r="H442" s="6" t="s">
        <v>1137</v>
      </c>
      <c r="J442" s="5" t="s">
        <v>225</v>
      </c>
      <c r="K442" s="27">
        <v>5.5983090909090913</v>
      </c>
      <c r="L442" s="27">
        <v>-11.45727272727272</v>
      </c>
      <c r="R442" s="27">
        <v>44.068556862868313</v>
      </c>
      <c r="S442" s="27">
        <v>2.8754817222084008</v>
      </c>
      <c r="V442" s="32">
        <v>42491</v>
      </c>
      <c r="X442" s="33" t="s">
        <v>3418</v>
      </c>
      <c r="Y442" s="32">
        <v>2775</v>
      </c>
      <c r="AA442" s="32">
        <v>30.13</v>
      </c>
      <c r="AB442" s="32">
        <v>-99.54</v>
      </c>
      <c r="AC442" s="32">
        <v>1710</v>
      </c>
    </row>
    <row r="443" spans="1:31" ht="19">
      <c r="C443" s="22" t="s">
        <v>581</v>
      </c>
      <c r="D443" s="22" t="s">
        <v>151</v>
      </c>
      <c r="E443" s="5">
        <v>41229</v>
      </c>
      <c r="F443" s="5">
        <v>15092</v>
      </c>
      <c r="G443" s="28" t="s">
        <v>1723</v>
      </c>
      <c r="H443" s="6" t="s">
        <v>1137</v>
      </c>
      <c r="J443" s="5" t="s">
        <v>225</v>
      </c>
      <c r="K443" s="27">
        <v>6.1093090909090915</v>
      </c>
      <c r="L443" s="27">
        <v>-12.673272727272721</v>
      </c>
      <c r="R443" s="27">
        <v>43.290068579991406</v>
      </c>
      <c r="S443" s="27">
        <v>2.8660290331132141</v>
      </c>
      <c r="V443" s="32">
        <v>42491</v>
      </c>
      <c r="X443" s="33" t="s">
        <v>3458</v>
      </c>
      <c r="Y443" s="32">
        <v>5410</v>
      </c>
      <c r="AA443" s="32">
        <v>30.13</v>
      </c>
      <c r="AB443" s="32">
        <v>-99.54</v>
      </c>
      <c r="AC443" s="32">
        <v>1710</v>
      </c>
    </row>
    <row r="444" spans="1:31" ht="19">
      <c r="C444" s="22" t="s">
        <v>581</v>
      </c>
      <c r="D444" s="22" t="s">
        <v>151</v>
      </c>
      <c r="E444" s="5">
        <v>41229</v>
      </c>
      <c r="F444" s="5">
        <v>8096</v>
      </c>
      <c r="G444" s="28" t="s">
        <v>1723</v>
      </c>
      <c r="H444" s="6" t="s">
        <v>1137</v>
      </c>
      <c r="J444" s="5" t="s">
        <v>225</v>
      </c>
      <c r="K444" s="27">
        <v>5.1743090909090919</v>
      </c>
      <c r="L444" s="27">
        <v>-16.144272727272721</v>
      </c>
      <c r="R444" s="27">
        <v>45.302249534990267</v>
      </c>
      <c r="S444" s="27">
        <v>2.8610552189549252</v>
      </c>
      <c r="V444" s="32">
        <v>42491</v>
      </c>
      <c r="X444" s="33" t="s">
        <v>3404</v>
      </c>
      <c r="Y444" s="32">
        <v>3763</v>
      </c>
      <c r="AA444" s="32">
        <v>30.13</v>
      </c>
      <c r="AB444" s="32">
        <v>-99.54</v>
      </c>
      <c r="AC444" s="32">
        <v>1710</v>
      </c>
    </row>
    <row r="445" spans="1:31" ht="19">
      <c r="C445" s="22" t="s">
        <v>581</v>
      </c>
      <c r="D445" s="22" t="s">
        <v>151</v>
      </c>
      <c r="E445" s="5">
        <v>41229</v>
      </c>
      <c r="F445" s="5">
        <v>999</v>
      </c>
      <c r="G445" s="28" t="s">
        <v>1723</v>
      </c>
      <c r="H445" s="6" t="s">
        <v>1137</v>
      </c>
      <c r="J445" s="5" t="s">
        <v>225</v>
      </c>
      <c r="K445" s="27">
        <v>4.6723090909090912</v>
      </c>
      <c r="L445" s="27">
        <v>-16.978272727272721</v>
      </c>
      <c r="R445" s="27">
        <v>40.039512588615409</v>
      </c>
      <c r="S445" s="27">
        <v>2.8579823413131873</v>
      </c>
      <c r="V445" s="32">
        <v>42491</v>
      </c>
      <c r="X445" s="33" t="s">
        <v>3479</v>
      </c>
      <c r="Y445" s="32">
        <v>1787</v>
      </c>
      <c r="AA445" s="32">
        <v>30.13</v>
      </c>
      <c r="AB445" s="32">
        <v>-99.54</v>
      </c>
      <c r="AC445" s="32">
        <v>1710</v>
      </c>
    </row>
    <row r="446" spans="1:31" ht="19">
      <c r="C446" s="22" t="s">
        <v>581</v>
      </c>
      <c r="D446" s="22" t="s">
        <v>151</v>
      </c>
      <c r="E446" s="5">
        <v>41229</v>
      </c>
      <c r="F446" s="5">
        <v>3436</v>
      </c>
      <c r="G446" s="28" t="s">
        <v>1723</v>
      </c>
      <c r="H446" s="6" t="s">
        <v>1137</v>
      </c>
      <c r="J446" s="5" t="s">
        <v>1744</v>
      </c>
      <c r="K446" s="27">
        <v>5.4893090909090914</v>
      </c>
      <c r="L446" s="27">
        <v>-17.619272727272719</v>
      </c>
      <c r="R446" s="27">
        <v>41.318349672422293</v>
      </c>
      <c r="S446" s="27">
        <v>2.8553744974551676</v>
      </c>
      <c r="V446" s="32">
        <v>42491</v>
      </c>
      <c r="X446" s="33" t="s">
        <v>3517</v>
      </c>
      <c r="Y446" s="32">
        <v>16038</v>
      </c>
      <c r="AA446" s="32">
        <v>30.13</v>
      </c>
      <c r="AB446" s="32">
        <v>-99.54</v>
      </c>
      <c r="AC446" s="32">
        <v>1710</v>
      </c>
    </row>
    <row r="447" spans="1:31" ht="19">
      <c r="C447" s="22" t="s">
        <v>581</v>
      </c>
      <c r="D447" s="22" t="s">
        <v>151</v>
      </c>
      <c r="E447" s="5">
        <v>41229</v>
      </c>
      <c r="F447" s="5">
        <v>2833</v>
      </c>
      <c r="G447" s="28" t="s">
        <v>1723</v>
      </c>
      <c r="H447" s="6" t="s">
        <v>1137</v>
      </c>
      <c r="J447" s="5" t="s">
        <v>225</v>
      </c>
      <c r="K447" s="27">
        <v>5.6413090909090915</v>
      </c>
      <c r="L447" s="27">
        <v>-14.420272727272721</v>
      </c>
      <c r="R447" s="27">
        <v>38.023719643650807</v>
      </c>
      <c r="S447" s="27">
        <v>2.8500692888038008</v>
      </c>
      <c r="V447" s="32">
        <v>42491</v>
      </c>
      <c r="X447" s="33" t="s">
        <v>3465</v>
      </c>
      <c r="Y447" s="32">
        <v>7057</v>
      </c>
      <c r="AA447" s="32">
        <v>30.13</v>
      </c>
      <c r="AB447" s="32">
        <v>-99.54</v>
      </c>
      <c r="AC447" s="32">
        <v>1710</v>
      </c>
    </row>
    <row r="448" spans="1:31" ht="19">
      <c r="C448" s="22" t="s">
        <v>581</v>
      </c>
      <c r="D448" s="22" t="s">
        <v>151</v>
      </c>
      <c r="E448" s="5">
        <v>41229</v>
      </c>
      <c r="F448" s="5">
        <v>8472</v>
      </c>
      <c r="G448" s="28" t="s">
        <v>1723</v>
      </c>
      <c r="H448" s="6" t="s">
        <v>1137</v>
      </c>
      <c r="J448" s="5" t="s">
        <v>225</v>
      </c>
      <c r="K448" s="27">
        <v>7.1593090909090913</v>
      </c>
      <c r="L448" s="27">
        <v>-9.9692727272727204</v>
      </c>
      <c r="R448" s="27">
        <v>39.965775427191836</v>
      </c>
      <c r="S448" s="27">
        <v>2.8471557441294864</v>
      </c>
      <c r="V448" s="32">
        <v>42491</v>
      </c>
      <c r="X448" s="33" t="s">
        <v>3518</v>
      </c>
      <c r="Y448" s="32">
        <v>10021</v>
      </c>
      <c r="AA448" s="32">
        <v>30.13</v>
      </c>
      <c r="AB448" s="32">
        <v>-99.54</v>
      </c>
      <c r="AC448" s="32">
        <v>1710</v>
      </c>
    </row>
    <row r="449" spans="3:29" ht="19">
      <c r="C449" s="22" t="s">
        <v>581</v>
      </c>
      <c r="D449" s="22" t="s">
        <v>151</v>
      </c>
      <c r="E449" s="5">
        <v>41229</v>
      </c>
      <c r="F449" s="5">
        <v>5011</v>
      </c>
      <c r="G449" s="28" t="s">
        <v>1723</v>
      </c>
      <c r="H449" s="6" t="s">
        <v>1137</v>
      </c>
      <c r="J449" s="5" t="s">
        <v>225</v>
      </c>
      <c r="K449" s="27">
        <v>3.9163090909090914</v>
      </c>
      <c r="L449" s="27">
        <v>-20.792272727272721</v>
      </c>
      <c r="R449" s="27">
        <v>42.611687975825497</v>
      </c>
      <c r="S449" s="27">
        <v>2.8463090583217068</v>
      </c>
      <c r="V449" s="32">
        <v>42491</v>
      </c>
      <c r="X449" s="33" t="s">
        <v>3519</v>
      </c>
      <c r="Y449" s="32">
        <v>9033</v>
      </c>
      <c r="AA449" s="32">
        <v>30.13</v>
      </c>
      <c r="AB449" s="32">
        <v>-99.54</v>
      </c>
      <c r="AC449" s="32">
        <v>1710</v>
      </c>
    </row>
    <row r="450" spans="3:29" ht="19">
      <c r="C450" s="22" t="s">
        <v>581</v>
      </c>
      <c r="D450" s="22" t="s">
        <v>151</v>
      </c>
      <c r="E450" s="5">
        <v>41229</v>
      </c>
      <c r="F450" s="5">
        <v>8242</v>
      </c>
      <c r="G450" s="28" t="s">
        <v>1723</v>
      </c>
      <c r="H450" s="6" t="s">
        <v>1137</v>
      </c>
      <c r="J450" s="5" t="s">
        <v>225</v>
      </c>
      <c r="K450" s="27">
        <v>4.5673090909090917</v>
      </c>
      <c r="L450" s="27">
        <v>-16.883272727272718</v>
      </c>
      <c r="R450" s="27">
        <v>45.241430385283408</v>
      </c>
      <c r="S450" s="27">
        <v>2.8434933445916437</v>
      </c>
      <c r="V450" s="32">
        <v>42491</v>
      </c>
      <c r="X450" s="33" t="s">
        <v>3480</v>
      </c>
      <c r="Y450" s="32">
        <v>1458</v>
      </c>
      <c r="AA450" s="32">
        <v>30.13</v>
      </c>
      <c r="AB450" s="32">
        <v>-99.54</v>
      </c>
      <c r="AC450" s="32">
        <v>1710</v>
      </c>
    </row>
    <row r="451" spans="3:29" ht="19">
      <c r="C451" s="22" t="s">
        <v>581</v>
      </c>
      <c r="D451" s="22" t="s">
        <v>151</v>
      </c>
      <c r="E451" s="5">
        <v>41229</v>
      </c>
      <c r="F451" s="5">
        <v>885</v>
      </c>
      <c r="G451" s="28" t="s">
        <v>1723</v>
      </c>
      <c r="H451" s="6" t="s">
        <v>1137</v>
      </c>
      <c r="J451" s="5" t="s">
        <v>225</v>
      </c>
      <c r="K451" s="27">
        <v>4.9593090909090911</v>
      </c>
      <c r="L451" s="27">
        <v>-18.680272727272719</v>
      </c>
      <c r="R451" s="27">
        <v>43.796339313583488</v>
      </c>
      <c r="S451" s="27">
        <v>2.8333299210123495</v>
      </c>
      <c r="V451" s="32">
        <v>42491</v>
      </c>
      <c r="X451" s="33" t="s">
        <v>3478</v>
      </c>
      <c r="Y451" s="32">
        <v>8045</v>
      </c>
      <c r="AA451" s="32">
        <v>30.13</v>
      </c>
      <c r="AB451" s="32">
        <v>-99.54</v>
      </c>
      <c r="AC451" s="32">
        <v>1710</v>
      </c>
    </row>
    <row r="452" spans="3:29" ht="19">
      <c r="C452" s="22" t="s">
        <v>581</v>
      </c>
      <c r="D452" s="22" t="s">
        <v>151</v>
      </c>
      <c r="E452" s="5">
        <v>41229</v>
      </c>
      <c r="F452" s="5">
        <v>2615</v>
      </c>
      <c r="G452" s="28" t="s">
        <v>1723</v>
      </c>
      <c r="H452" s="6" t="s">
        <v>1137</v>
      </c>
      <c r="J452" s="5" t="s">
        <v>225</v>
      </c>
      <c r="K452" s="27">
        <v>4.3733090909090917</v>
      </c>
      <c r="L452" s="27">
        <v>-17.531272727272722</v>
      </c>
      <c r="R452" s="27">
        <v>40.589875631954726</v>
      </c>
      <c r="S452" s="27">
        <v>2.8329426166033094</v>
      </c>
      <c r="V452" s="32">
        <v>42491</v>
      </c>
      <c r="X452" s="33" t="s">
        <v>3366</v>
      </c>
      <c r="Y452" s="32">
        <v>7716</v>
      </c>
      <c r="AA452" s="32">
        <v>30.13</v>
      </c>
      <c r="AB452" s="32">
        <v>-99.54</v>
      </c>
      <c r="AC452" s="32">
        <v>1710</v>
      </c>
    </row>
    <row r="453" spans="3:29" ht="19">
      <c r="C453" s="22" t="s">
        <v>581</v>
      </c>
      <c r="D453" s="22" t="s">
        <v>151</v>
      </c>
      <c r="E453" s="5">
        <v>41229</v>
      </c>
      <c r="F453" s="5">
        <v>15144</v>
      </c>
      <c r="G453" s="28" t="s">
        <v>1723</v>
      </c>
      <c r="H453" s="6" t="s">
        <v>1137</v>
      </c>
      <c r="J453" s="5" t="s">
        <v>225</v>
      </c>
      <c r="K453" s="27">
        <v>4.9713090909090916</v>
      </c>
      <c r="L453" s="27">
        <v>-18.287272727272722</v>
      </c>
      <c r="R453" s="27">
        <v>43.585160501104859</v>
      </c>
      <c r="S453" s="27">
        <v>2.8323749823395898</v>
      </c>
      <c r="V453" s="32">
        <v>42491</v>
      </c>
      <c r="X453" s="33" t="s">
        <v>3467</v>
      </c>
      <c r="Y453" s="32">
        <v>4751</v>
      </c>
      <c r="AA453" s="32">
        <v>30.13</v>
      </c>
      <c r="AB453" s="32">
        <v>-99.54</v>
      </c>
      <c r="AC453" s="32">
        <v>1710</v>
      </c>
    </row>
    <row r="454" spans="3:29" ht="19">
      <c r="C454" s="22" t="s">
        <v>581</v>
      </c>
      <c r="D454" s="22" t="s">
        <v>151</v>
      </c>
      <c r="E454" s="5">
        <v>41229</v>
      </c>
      <c r="F454" s="5">
        <v>18017</v>
      </c>
      <c r="G454" s="28" t="s">
        <v>1723</v>
      </c>
      <c r="H454" s="6" t="s">
        <v>1742</v>
      </c>
      <c r="J454" s="5" t="s">
        <v>1744</v>
      </c>
      <c r="K454" s="27">
        <v>7.6095716000000007</v>
      </c>
      <c r="L454" s="27">
        <v>-16.060549999999999</v>
      </c>
      <c r="R454" s="27">
        <v>14.940223372755062</v>
      </c>
      <c r="S454" s="27">
        <v>2.8252958266998665</v>
      </c>
      <c r="V454" s="32">
        <v>42491</v>
      </c>
      <c r="W454" s="32">
        <v>6</v>
      </c>
      <c r="X454" s="33" t="s">
        <v>3515</v>
      </c>
      <c r="Y454" s="32">
        <v>12327</v>
      </c>
      <c r="AA454" s="32">
        <v>30.13</v>
      </c>
      <c r="AB454" s="32">
        <v>-99.54</v>
      </c>
      <c r="AC454" s="32">
        <v>1710</v>
      </c>
    </row>
    <row r="455" spans="3:29" ht="19">
      <c r="C455" s="22" t="s">
        <v>581</v>
      </c>
      <c r="D455" s="22" t="s">
        <v>151</v>
      </c>
      <c r="E455" s="5">
        <v>41229</v>
      </c>
      <c r="F455" s="5">
        <v>7431</v>
      </c>
      <c r="G455" s="28" t="s">
        <v>1723</v>
      </c>
      <c r="H455" s="6" t="s">
        <v>1137</v>
      </c>
      <c r="J455" s="5" t="s">
        <v>225</v>
      </c>
      <c r="K455" s="27">
        <v>4.5098090909090915</v>
      </c>
      <c r="L455" s="27">
        <v>-13.99827272727272</v>
      </c>
      <c r="R455" s="27">
        <v>44.213076168659356</v>
      </c>
      <c r="S455" s="27">
        <v>2.8214693795476626</v>
      </c>
      <c r="V455" s="32">
        <v>42491</v>
      </c>
      <c r="X455" s="33" t="s">
        <v>3458</v>
      </c>
      <c r="Y455" s="32">
        <v>5410</v>
      </c>
      <c r="AA455" s="32">
        <v>30.13</v>
      </c>
      <c r="AB455" s="32">
        <v>-99.54</v>
      </c>
      <c r="AC455" s="32">
        <v>1710</v>
      </c>
    </row>
    <row r="456" spans="3:29" ht="19">
      <c r="C456" s="22" t="s">
        <v>581</v>
      </c>
      <c r="D456" s="22" t="s">
        <v>151</v>
      </c>
      <c r="E456" s="5">
        <v>41229</v>
      </c>
      <c r="F456" s="5">
        <v>694</v>
      </c>
      <c r="G456" s="28" t="s">
        <v>1723</v>
      </c>
      <c r="H456" s="6" t="s">
        <v>1137</v>
      </c>
      <c r="J456" s="5" t="s">
        <v>225</v>
      </c>
      <c r="K456" s="27">
        <v>5.387309090909091</v>
      </c>
      <c r="L456" s="27">
        <v>-13.587272727272721</v>
      </c>
      <c r="R456" s="27">
        <v>39.178951235303444</v>
      </c>
      <c r="S456" s="27">
        <v>2.8197605757515989</v>
      </c>
      <c r="V456" s="32">
        <v>42491</v>
      </c>
      <c r="X456" s="33" t="s">
        <v>3403</v>
      </c>
      <c r="Y456" s="32">
        <v>6398</v>
      </c>
      <c r="AA456" s="32">
        <v>30.13</v>
      </c>
      <c r="AB456" s="32">
        <v>-99.54</v>
      </c>
      <c r="AC456" s="32">
        <v>1710</v>
      </c>
    </row>
    <row r="457" spans="3:29" ht="19">
      <c r="C457" s="22" t="s">
        <v>581</v>
      </c>
      <c r="D457" s="22" t="s">
        <v>151</v>
      </c>
      <c r="E457" s="5">
        <v>41229</v>
      </c>
      <c r="F457" s="5">
        <v>15113</v>
      </c>
      <c r="G457" s="28" t="s">
        <v>1723</v>
      </c>
      <c r="H457" s="6" t="s">
        <v>1137</v>
      </c>
      <c r="J457" s="5" t="s">
        <v>225</v>
      </c>
      <c r="K457" s="27">
        <v>5.6883090909090912</v>
      </c>
      <c r="L457" s="27">
        <v>-14.28027272727272</v>
      </c>
      <c r="R457" s="27">
        <v>29.569127453935067</v>
      </c>
      <c r="S457" s="27">
        <v>2.8176533460291608</v>
      </c>
      <c r="V457" s="32">
        <v>42491</v>
      </c>
      <c r="X457" s="33" t="s">
        <v>3520</v>
      </c>
      <c r="Y457" s="32">
        <v>9363</v>
      </c>
      <c r="AA457" s="32">
        <v>30.13</v>
      </c>
      <c r="AB457" s="32">
        <v>-99.54</v>
      </c>
      <c r="AC457" s="32">
        <v>1710</v>
      </c>
    </row>
    <row r="458" spans="3:29" ht="19">
      <c r="C458" s="22" t="s">
        <v>581</v>
      </c>
      <c r="D458" s="22" t="s">
        <v>151</v>
      </c>
      <c r="E458" s="5">
        <v>41229</v>
      </c>
      <c r="F458" s="5">
        <v>970</v>
      </c>
      <c r="G458" s="28" t="s">
        <v>1723</v>
      </c>
      <c r="H458" s="6" t="s">
        <v>1137</v>
      </c>
      <c r="J458" s="5" t="s">
        <v>225</v>
      </c>
      <c r="K458" s="27">
        <v>4.2398090909090911</v>
      </c>
      <c r="L458" s="27">
        <v>-14.670272727272721</v>
      </c>
      <c r="R458" s="27">
        <v>46.263494472164723</v>
      </c>
      <c r="S458" s="27">
        <v>2.8105188989856296</v>
      </c>
      <c r="V458" s="32">
        <v>42491</v>
      </c>
      <c r="X458" s="33" t="s">
        <v>3403</v>
      </c>
      <c r="Y458" s="32">
        <v>6398</v>
      </c>
      <c r="AA458" s="32">
        <v>30.13</v>
      </c>
      <c r="AB458" s="32">
        <v>-99.54</v>
      </c>
      <c r="AC458" s="32">
        <v>1710</v>
      </c>
    </row>
    <row r="459" spans="3:29" ht="19">
      <c r="C459" s="22" t="s">
        <v>581</v>
      </c>
      <c r="D459" s="22" t="s">
        <v>151</v>
      </c>
      <c r="E459" s="5">
        <v>41229</v>
      </c>
      <c r="F459" s="5">
        <v>7459</v>
      </c>
      <c r="G459" s="28" t="s">
        <v>1723</v>
      </c>
      <c r="H459" s="6" t="s">
        <v>1137</v>
      </c>
      <c r="J459" s="5" t="s">
        <v>225</v>
      </c>
      <c r="K459" s="27">
        <v>3.1603090909090912</v>
      </c>
      <c r="L459" s="27">
        <v>-13.27727272727272</v>
      </c>
      <c r="R459" s="27">
        <v>44.336712246713979</v>
      </c>
      <c r="S459" s="27">
        <v>2.8079107532069774</v>
      </c>
      <c r="V459" s="32">
        <v>42491</v>
      </c>
      <c r="X459" s="33" t="s">
        <v>3485</v>
      </c>
      <c r="Y459" s="32">
        <v>5739</v>
      </c>
      <c r="AA459" s="32">
        <v>30.13</v>
      </c>
      <c r="AB459" s="32">
        <v>-99.54</v>
      </c>
      <c r="AC459" s="32">
        <v>1710</v>
      </c>
    </row>
    <row r="460" spans="3:29" ht="19">
      <c r="C460" s="22" t="s">
        <v>581</v>
      </c>
      <c r="D460" s="22" t="s">
        <v>151</v>
      </c>
      <c r="E460" s="5">
        <v>41229</v>
      </c>
      <c r="F460" s="5">
        <v>9514</v>
      </c>
      <c r="G460" s="28" t="s">
        <v>1723</v>
      </c>
      <c r="H460" s="6" t="s">
        <v>1137</v>
      </c>
      <c r="J460" s="5" t="s">
        <v>225</v>
      </c>
      <c r="K460" s="27">
        <v>4.6368090909090913</v>
      </c>
      <c r="L460" s="27">
        <v>-14.260272727272721</v>
      </c>
      <c r="R460" s="27">
        <v>45.188895250942593</v>
      </c>
      <c r="S460" s="27">
        <v>2.8054951599444578</v>
      </c>
      <c r="V460" s="32">
        <v>42491</v>
      </c>
      <c r="X460" s="33" t="s">
        <v>3467</v>
      </c>
      <c r="Y460" s="32">
        <v>4751</v>
      </c>
      <c r="AA460" s="32">
        <v>30.13</v>
      </c>
      <c r="AB460" s="32">
        <v>-99.54</v>
      </c>
      <c r="AC460" s="32">
        <v>1710</v>
      </c>
    </row>
    <row r="461" spans="3:29" ht="19">
      <c r="C461" s="22" t="s">
        <v>581</v>
      </c>
      <c r="D461" s="22" t="s">
        <v>151</v>
      </c>
      <c r="E461" s="5">
        <v>41229</v>
      </c>
      <c r="F461" s="5">
        <v>4219</v>
      </c>
      <c r="G461" s="28" t="s">
        <v>1723</v>
      </c>
      <c r="H461" s="6" t="s">
        <v>1137</v>
      </c>
      <c r="J461" s="5" t="s">
        <v>225</v>
      </c>
      <c r="K461" s="27">
        <v>4.3353090909090914</v>
      </c>
      <c r="L461" s="27">
        <v>-19.307272727272721</v>
      </c>
      <c r="R461" s="27">
        <v>43.522864259169651</v>
      </c>
      <c r="S461" s="27">
        <v>2.7997903571416254</v>
      </c>
      <c r="V461" s="32">
        <v>42491</v>
      </c>
      <c r="X461" s="33" t="s">
        <v>3521</v>
      </c>
      <c r="Y461" s="32">
        <v>8704</v>
      </c>
      <c r="AA461" s="32">
        <v>30.13</v>
      </c>
      <c r="AB461" s="32">
        <v>-99.54</v>
      </c>
      <c r="AC461" s="32">
        <v>1710</v>
      </c>
    </row>
    <row r="462" spans="3:29" ht="19">
      <c r="C462" s="22" t="s">
        <v>581</v>
      </c>
      <c r="D462" s="22" t="s">
        <v>151</v>
      </c>
      <c r="E462" s="5">
        <v>41229</v>
      </c>
      <c r="F462" s="5">
        <v>15142</v>
      </c>
      <c r="G462" s="28" t="s">
        <v>1723</v>
      </c>
      <c r="H462" s="6" t="s">
        <v>1137</v>
      </c>
      <c r="J462" s="5" t="s">
        <v>225</v>
      </c>
      <c r="K462" s="27">
        <v>4.589309090909091</v>
      </c>
      <c r="L462" s="27">
        <v>-12.29427272727272</v>
      </c>
      <c r="R462" s="27">
        <v>45.131801507703884</v>
      </c>
      <c r="S462" s="27">
        <v>2.7966697772883791</v>
      </c>
      <c r="V462" s="32">
        <v>42491</v>
      </c>
      <c r="X462" s="33" t="s">
        <v>3467</v>
      </c>
      <c r="Y462" s="32">
        <v>4751</v>
      </c>
      <c r="AA462" s="32">
        <v>30.13</v>
      </c>
      <c r="AB462" s="32">
        <v>-99.54</v>
      </c>
      <c r="AC462" s="32">
        <v>1710</v>
      </c>
    </row>
    <row r="463" spans="3:29" ht="19">
      <c r="C463" s="22" t="s">
        <v>581</v>
      </c>
      <c r="D463" s="22" t="s">
        <v>151</v>
      </c>
      <c r="E463" s="5">
        <v>41229</v>
      </c>
      <c r="F463" s="5">
        <v>7635</v>
      </c>
      <c r="G463" s="28" t="s">
        <v>1723</v>
      </c>
      <c r="H463" s="6" t="s">
        <v>1137</v>
      </c>
      <c r="J463" s="5" t="s">
        <v>225</v>
      </c>
      <c r="K463" s="27">
        <v>5.8293090909090912</v>
      </c>
      <c r="L463" s="27">
        <v>-18.92827272727272</v>
      </c>
      <c r="R463" s="27">
        <v>43.038586853098352</v>
      </c>
      <c r="S463" s="27">
        <v>2.7902393810979356</v>
      </c>
      <c r="V463" s="32">
        <v>42491</v>
      </c>
      <c r="X463" s="33" t="s">
        <v>3522</v>
      </c>
      <c r="Y463" s="32">
        <v>11010</v>
      </c>
      <c r="AA463" s="32">
        <v>30.13</v>
      </c>
      <c r="AB463" s="32">
        <v>-99.54</v>
      </c>
      <c r="AC463" s="32">
        <v>1710</v>
      </c>
    </row>
    <row r="464" spans="3:29" ht="19">
      <c r="C464" s="22" t="s">
        <v>581</v>
      </c>
      <c r="D464" s="22" t="s">
        <v>151</v>
      </c>
      <c r="E464" s="5">
        <v>41229</v>
      </c>
      <c r="F464" s="5">
        <v>2793</v>
      </c>
      <c r="G464" s="28" t="s">
        <v>1723</v>
      </c>
      <c r="H464" s="6" t="s">
        <v>1137</v>
      </c>
      <c r="J464" s="5" t="s">
        <v>225</v>
      </c>
      <c r="K464" s="27">
        <v>4.9603090909090914</v>
      </c>
      <c r="L464" s="27">
        <v>-17.857272727272722</v>
      </c>
      <c r="R464" s="27">
        <v>40.33491185960488</v>
      </c>
      <c r="S464" s="27">
        <v>2.7889609616790549</v>
      </c>
      <c r="V464" s="32">
        <v>42491</v>
      </c>
      <c r="X464" s="33" t="s">
        <v>3465</v>
      </c>
      <c r="Y464" s="32">
        <v>7057</v>
      </c>
      <c r="AA464" s="32">
        <v>30.13</v>
      </c>
      <c r="AB464" s="32">
        <v>-99.54</v>
      </c>
      <c r="AC464" s="32">
        <v>1710</v>
      </c>
    </row>
    <row r="465" spans="1:29" ht="19">
      <c r="C465" s="22" t="s">
        <v>581</v>
      </c>
      <c r="D465" s="22" t="s">
        <v>151</v>
      </c>
      <c r="E465" s="5">
        <v>41229</v>
      </c>
      <c r="F465" s="5">
        <v>1286</v>
      </c>
      <c r="G465" s="28" t="s">
        <v>1723</v>
      </c>
      <c r="H465" s="6" t="s">
        <v>1137</v>
      </c>
      <c r="J465" s="5" t="s">
        <v>225</v>
      </c>
      <c r="K465" s="27">
        <v>6.0963090909090916</v>
      </c>
      <c r="L465" s="27">
        <v>-15.580272727272721</v>
      </c>
      <c r="R465" s="27">
        <v>45.072898311751473</v>
      </c>
      <c r="S465" s="27">
        <v>2.7794726708827908</v>
      </c>
      <c r="V465" s="32">
        <v>42491</v>
      </c>
      <c r="X465" s="33" t="s">
        <v>3418</v>
      </c>
      <c r="Y465" s="32">
        <v>2775</v>
      </c>
      <c r="AA465" s="32">
        <v>30.13</v>
      </c>
      <c r="AB465" s="32">
        <v>-99.54</v>
      </c>
      <c r="AC465" s="32">
        <v>1710</v>
      </c>
    </row>
    <row r="466" spans="1:29" ht="19">
      <c r="C466" s="22" t="s">
        <v>581</v>
      </c>
      <c r="D466" s="22" t="s">
        <v>151</v>
      </c>
      <c r="E466" s="5">
        <v>41229</v>
      </c>
      <c r="F466" s="5">
        <v>7432</v>
      </c>
      <c r="G466" s="28" t="s">
        <v>1723</v>
      </c>
      <c r="H466" s="6" t="s">
        <v>1137</v>
      </c>
      <c r="J466" s="5" t="s">
        <v>225</v>
      </c>
      <c r="K466" s="27">
        <v>5.5373090909090914</v>
      </c>
      <c r="L466" s="27">
        <v>-15.866272727272721</v>
      </c>
      <c r="R466" s="27">
        <v>44.319566852386245</v>
      </c>
      <c r="S466" s="27">
        <v>2.7744198191777878</v>
      </c>
      <c r="V466" s="32">
        <v>42491</v>
      </c>
      <c r="X466" s="33" t="s">
        <v>3458</v>
      </c>
      <c r="Y466" s="32">
        <v>5410</v>
      </c>
      <c r="AA466" s="32">
        <v>30.13</v>
      </c>
      <c r="AB466" s="32">
        <v>-99.54</v>
      </c>
      <c r="AC466" s="32">
        <v>1710</v>
      </c>
    </row>
    <row r="467" spans="1:29" ht="19">
      <c r="C467" s="22" t="s">
        <v>581</v>
      </c>
      <c r="D467" s="22" t="s">
        <v>151</v>
      </c>
      <c r="E467" s="5">
        <v>41229</v>
      </c>
      <c r="F467" s="5">
        <v>15090</v>
      </c>
      <c r="G467" s="28" t="s">
        <v>1723</v>
      </c>
      <c r="H467" s="6" t="s">
        <v>1137</v>
      </c>
      <c r="J467" s="5" t="s">
        <v>225</v>
      </c>
      <c r="K467" s="27">
        <v>3.0793090909090912</v>
      </c>
      <c r="L467" s="27">
        <v>-16.647272727272721</v>
      </c>
      <c r="R467" s="27">
        <v>44.797133249144004</v>
      </c>
      <c r="S467" s="27">
        <v>2.7696789089139604</v>
      </c>
      <c r="V467" s="32">
        <v>42491</v>
      </c>
      <c r="X467" s="33" t="s">
        <v>3458</v>
      </c>
      <c r="Y467" s="32">
        <v>5410</v>
      </c>
      <c r="AA467" s="32">
        <v>30.13</v>
      </c>
      <c r="AB467" s="32">
        <v>-99.54</v>
      </c>
      <c r="AC467" s="32">
        <v>1710</v>
      </c>
    </row>
    <row r="468" spans="1:29" ht="19">
      <c r="C468" s="22" t="s">
        <v>581</v>
      </c>
      <c r="D468" s="22" t="s">
        <v>151</v>
      </c>
      <c r="E468" s="5">
        <v>41229</v>
      </c>
      <c r="F468" s="5">
        <v>15091</v>
      </c>
      <c r="G468" s="28" t="s">
        <v>1723</v>
      </c>
      <c r="H468" s="6" t="s">
        <v>1137</v>
      </c>
      <c r="J468" s="5" t="s">
        <v>225</v>
      </c>
      <c r="K468" s="27">
        <v>3.9593090909090911</v>
      </c>
      <c r="L468" s="27">
        <v>-15.722272727272721</v>
      </c>
      <c r="R468" s="27">
        <v>40.321994323908854</v>
      </c>
      <c r="S468" s="27">
        <v>2.7693346513564441</v>
      </c>
      <c r="V468" s="32">
        <v>42491</v>
      </c>
      <c r="X468" s="33" t="s">
        <v>3458</v>
      </c>
      <c r="Y468" s="32">
        <v>5410</v>
      </c>
      <c r="AA468" s="32">
        <v>30.13</v>
      </c>
      <c r="AB468" s="32">
        <v>-99.54</v>
      </c>
      <c r="AC468" s="32">
        <v>1710</v>
      </c>
    </row>
    <row r="469" spans="1:29" ht="19">
      <c r="C469" s="22" t="s">
        <v>581</v>
      </c>
      <c r="D469" s="22" t="s">
        <v>151</v>
      </c>
      <c r="E469" s="5">
        <v>41229</v>
      </c>
      <c r="F469" s="5">
        <v>9805</v>
      </c>
      <c r="G469" s="28" t="s">
        <v>1723</v>
      </c>
      <c r="H469" s="6" t="s">
        <v>1137</v>
      </c>
      <c r="J469" s="5" t="s">
        <v>225</v>
      </c>
      <c r="K469" s="27">
        <v>3.7743090909090915</v>
      </c>
      <c r="L469" s="27">
        <v>-18.497272727272719</v>
      </c>
      <c r="R469" s="27">
        <v>44.978924344288068</v>
      </c>
      <c r="S469" s="27">
        <v>2.7672249720559763</v>
      </c>
      <c r="V469" s="32">
        <v>42491</v>
      </c>
      <c r="X469" s="33" t="s">
        <v>3484</v>
      </c>
      <c r="Y469" s="32">
        <v>4422</v>
      </c>
      <c r="AA469" s="32">
        <v>30.13</v>
      </c>
      <c r="AB469" s="32">
        <v>-99.54</v>
      </c>
      <c r="AC469" s="32">
        <v>1710</v>
      </c>
    </row>
    <row r="470" spans="1:29" ht="19">
      <c r="C470" s="22" t="s">
        <v>581</v>
      </c>
      <c r="D470" s="22" t="s">
        <v>151</v>
      </c>
      <c r="E470" s="5">
        <v>41229</v>
      </c>
      <c r="F470" s="5">
        <v>1600</v>
      </c>
      <c r="G470" s="28" t="s">
        <v>1723</v>
      </c>
      <c r="H470" s="6" t="s">
        <v>1137</v>
      </c>
      <c r="J470" s="5" t="s">
        <v>225</v>
      </c>
      <c r="K470" s="27">
        <v>4.2203090909090912</v>
      </c>
      <c r="L470" s="27">
        <v>-14.884272727272721</v>
      </c>
      <c r="R470" s="27">
        <v>43.837600230245982</v>
      </c>
      <c r="S470" s="27">
        <v>2.7661468273968999</v>
      </c>
      <c r="V470" s="32">
        <v>42491</v>
      </c>
      <c r="X470" s="33" t="s">
        <v>3418</v>
      </c>
      <c r="Y470" s="32">
        <v>2775</v>
      </c>
      <c r="AA470" s="32">
        <v>30.13</v>
      </c>
      <c r="AB470" s="32">
        <v>-99.54</v>
      </c>
      <c r="AC470" s="32">
        <v>1710</v>
      </c>
    </row>
    <row r="471" spans="1:29" ht="19">
      <c r="C471" s="22" t="s">
        <v>581</v>
      </c>
      <c r="D471" s="22" t="s">
        <v>151</v>
      </c>
      <c r="E471" s="5">
        <v>41229</v>
      </c>
      <c r="F471" s="5">
        <v>15112</v>
      </c>
      <c r="G471" s="28" t="s">
        <v>1723</v>
      </c>
      <c r="H471" s="6" t="s">
        <v>1137</v>
      </c>
      <c r="J471" s="5" t="s">
        <v>225</v>
      </c>
      <c r="K471" s="27">
        <v>7.199809090909091</v>
      </c>
      <c r="L471" s="27">
        <v>-14.567272727272721</v>
      </c>
      <c r="R471" s="27">
        <v>45.561817578082895</v>
      </c>
      <c r="S471" s="27">
        <v>2.7615078816430825</v>
      </c>
      <c r="V471" s="32">
        <v>42491</v>
      </c>
      <c r="X471" s="33" t="s">
        <v>3519</v>
      </c>
      <c r="Y471" s="32">
        <v>9033</v>
      </c>
      <c r="AA471" s="32">
        <v>30.13</v>
      </c>
      <c r="AB471" s="32">
        <v>-99.54</v>
      </c>
      <c r="AC471" s="32">
        <v>1710</v>
      </c>
    </row>
    <row r="472" spans="1:29" ht="19">
      <c r="C472" s="22" t="s">
        <v>581</v>
      </c>
      <c r="D472" s="22" t="s">
        <v>151</v>
      </c>
      <c r="E472" s="5">
        <v>41229</v>
      </c>
      <c r="F472" s="5">
        <v>2557</v>
      </c>
      <c r="G472" s="28" t="s">
        <v>1723</v>
      </c>
      <c r="H472" s="6" t="s">
        <v>1137</v>
      </c>
      <c r="J472" s="5" t="s">
        <v>225</v>
      </c>
      <c r="K472" s="27">
        <v>5.8523090909090918</v>
      </c>
      <c r="L472" s="27">
        <v>-16.959272727272719</v>
      </c>
      <c r="R472" s="27">
        <v>43.381254275252324</v>
      </c>
      <c r="S472" s="27">
        <v>2.7518684666684239</v>
      </c>
      <c r="V472" s="32">
        <v>42491</v>
      </c>
      <c r="X472" s="33" t="s">
        <v>3366</v>
      </c>
      <c r="Y472" s="32">
        <v>7716</v>
      </c>
      <c r="AA472" s="32">
        <v>30.13</v>
      </c>
      <c r="AB472" s="32">
        <v>-99.54</v>
      </c>
      <c r="AC472" s="32">
        <v>1710</v>
      </c>
    </row>
    <row r="473" spans="1:29" ht="19">
      <c r="C473" s="22" t="s">
        <v>581</v>
      </c>
      <c r="D473" s="22" t="s">
        <v>151</v>
      </c>
      <c r="E473" s="5">
        <v>41229</v>
      </c>
      <c r="F473" s="5">
        <v>1290</v>
      </c>
      <c r="G473" s="28" t="s">
        <v>1723</v>
      </c>
      <c r="H473" s="6" t="s">
        <v>1137</v>
      </c>
      <c r="J473" s="5" t="s">
        <v>225</v>
      </c>
      <c r="K473" s="27">
        <v>4.6223090909090914</v>
      </c>
      <c r="L473" s="27">
        <v>-12.907272727272721</v>
      </c>
      <c r="R473" s="27">
        <v>42.798189868477721</v>
      </c>
      <c r="S473" s="27">
        <v>2.7404793271888441</v>
      </c>
      <c r="V473" s="32">
        <v>42491</v>
      </c>
      <c r="X473" s="33" t="s">
        <v>3484</v>
      </c>
      <c r="Y473" s="32">
        <v>4422</v>
      </c>
      <c r="AA473" s="32">
        <v>30.13</v>
      </c>
      <c r="AB473" s="32">
        <v>-99.54</v>
      </c>
      <c r="AC473" s="32">
        <v>1710</v>
      </c>
    </row>
    <row r="474" spans="1:29" ht="19">
      <c r="C474" s="22" t="s">
        <v>581</v>
      </c>
      <c r="D474" s="22" t="s">
        <v>151</v>
      </c>
      <c r="E474" s="5">
        <v>41229</v>
      </c>
      <c r="F474" s="5">
        <v>2815</v>
      </c>
      <c r="G474" s="28" t="s">
        <v>1723</v>
      </c>
      <c r="H474" s="6" t="s">
        <v>1137</v>
      </c>
      <c r="J474" s="5" t="s">
        <v>225</v>
      </c>
      <c r="K474" s="27">
        <v>5.9313090909090915</v>
      </c>
      <c r="L474" s="27">
        <v>-13.436272727272721</v>
      </c>
      <c r="R474" s="27">
        <v>37.70561459154159</v>
      </c>
      <c r="S474" s="27">
        <v>2.7377344624353044</v>
      </c>
      <c r="V474" s="32">
        <v>42491</v>
      </c>
      <c r="X474" s="33" t="s">
        <v>3465</v>
      </c>
      <c r="Y474" s="32">
        <v>7057</v>
      </c>
      <c r="AA474" s="32">
        <v>30.13</v>
      </c>
      <c r="AB474" s="32">
        <v>-99.54</v>
      </c>
      <c r="AC474" s="32">
        <v>1710</v>
      </c>
    </row>
    <row r="475" spans="1:29" ht="19">
      <c r="C475" s="22" t="s">
        <v>581</v>
      </c>
      <c r="D475" s="22" t="s">
        <v>151</v>
      </c>
      <c r="E475" s="5">
        <v>41229</v>
      </c>
      <c r="F475" s="5">
        <v>15129</v>
      </c>
      <c r="G475" s="28" t="s">
        <v>1723</v>
      </c>
      <c r="H475" s="6" t="s">
        <v>1137</v>
      </c>
      <c r="J475" s="5" t="s">
        <v>225</v>
      </c>
      <c r="K475" s="27">
        <v>5.4833090909090911</v>
      </c>
      <c r="L475" s="27">
        <v>-10.41927272727272</v>
      </c>
      <c r="R475" s="27">
        <v>43.069166982629582</v>
      </c>
      <c r="S475" s="27">
        <v>2.7333547509203009</v>
      </c>
      <c r="V475" s="32">
        <v>42491</v>
      </c>
      <c r="X475" s="33" t="s">
        <v>3365</v>
      </c>
      <c r="Y475" s="32">
        <v>10680</v>
      </c>
      <c r="AA475" s="32">
        <v>30.13</v>
      </c>
      <c r="AB475" s="32">
        <v>-99.54</v>
      </c>
      <c r="AC475" s="32">
        <v>1710</v>
      </c>
    </row>
    <row r="476" spans="1:29" ht="19">
      <c r="C476" s="22" t="s">
        <v>581</v>
      </c>
      <c r="D476" s="22" t="s">
        <v>151</v>
      </c>
      <c r="E476" s="5">
        <v>41229</v>
      </c>
      <c r="F476" s="5">
        <v>2876</v>
      </c>
      <c r="G476" s="28" t="s">
        <v>1723</v>
      </c>
      <c r="H476" s="6" t="s">
        <v>1137</v>
      </c>
      <c r="J476" s="5" t="s">
        <v>225</v>
      </c>
      <c r="K476" s="27">
        <v>4.5453090909090914</v>
      </c>
      <c r="L476" s="27">
        <v>-16.167272727272721</v>
      </c>
      <c r="R476" s="27">
        <v>42.3783974053988</v>
      </c>
      <c r="S476" s="27">
        <v>2.7070908450607019</v>
      </c>
      <c r="V476" s="32">
        <v>42491</v>
      </c>
      <c r="X476" s="33" t="s">
        <v>3418</v>
      </c>
      <c r="Y476" s="32">
        <v>2775</v>
      </c>
      <c r="AA476" s="32">
        <v>30.13</v>
      </c>
      <c r="AB476" s="32">
        <v>-99.54</v>
      </c>
      <c r="AC476" s="32">
        <v>1710</v>
      </c>
    </row>
    <row r="477" spans="1:29" ht="19">
      <c r="C477" s="22" t="s">
        <v>581</v>
      </c>
      <c r="D477" s="22" t="s">
        <v>151</v>
      </c>
      <c r="E477" s="5">
        <v>41229</v>
      </c>
      <c r="F477" s="5">
        <v>2874</v>
      </c>
      <c r="G477" s="28" t="s">
        <v>1723</v>
      </c>
      <c r="H477" s="6" t="s">
        <v>1137</v>
      </c>
      <c r="J477" s="5" t="s">
        <v>225</v>
      </c>
      <c r="K477" s="27">
        <v>4.331309090909091</v>
      </c>
      <c r="L477" s="27">
        <v>-14.00527272727272</v>
      </c>
      <c r="R477" s="27">
        <v>43.549770207261687</v>
      </c>
      <c r="S477" s="27">
        <v>2.6808780432021355</v>
      </c>
      <c r="V477" s="32">
        <v>42491</v>
      </c>
      <c r="X477" s="33" t="s">
        <v>3418</v>
      </c>
      <c r="Y477" s="32">
        <v>2775</v>
      </c>
      <c r="AA477" s="32">
        <v>30.13</v>
      </c>
      <c r="AB477" s="32">
        <v>-99.54</v>
      </c>
      <c r="AC477" s="32">
        <v>1710</v>
      </c>
    </row>
    <row r="478" spans="1:29">
      <c r="A478" s="28"/>
      <c r="B478" s="28"/>
      <c r="C478" s="29" t="s">
        <v>581</v>
      </c>
      <c r="D478" s="29" t="s">
        <v>151</v>
      </c>
      <c r="E478" s="28">
        <v>40449</v>
      </c>
      <c r="F478" s="28">
        <v>28</v>
      </c>
      <c r="G478" s="28" t="s">
        <v>1723</v>
      </c>
      <c r="H478" s="41" t="s">
        <v>1814</v>
      </c>
      <c r="I478" s="41"/>
      <c r="J478" s="28" t="s">
        <v>225</v>
      </c>
      <c r="K478" s="40"/>
      <c r="L478" s="40"/>
      <c r="M478" s="56">
        <v>1.7413704400000001</v>
      </c>
      <c r="N478" s="56">
        <v>-26.536029200000002</v>
      </c>
      <c r="O478" s="42"/>
      <c r="P478" s="28"/>
      <c r="Q478" s="42"/>
      <c r="R478" s="42">
        <v>1.6886241013256285</v>
      </c>
      <c r="S478" s="42">
        <v>12.069173855811126</v>
      </c>
      <c r="T478" s="28"/>
      <c r="U478" s="30"/>
      <c r="V478" s="32" t="s">
        <v>3417</v>
      </c>
      <c r="W478" s="32">
        <v>4</v>
      </c>
      <c r="Y478" s="32" t="s">
        <v>3490</v>
      </c>
      <c r="Z478" s="31" t="s">
        <v>3523</v>
      </c>
      <c r="AA478" s="32">
        <v>30.36</v>
      </c>
      <c r="AB478" s="32">
        <v>-98.1</v>
      </c>
      <c r="AC478" s="32">
        <v>1710</v>
      </c>
    </row>
    <row r="479" spans="1:29" ht="19">
      <c r="C479" s="22" t="s">
        <v>581</v>
      </c>
      <c r="D479" s="22" t="s">
        <v>151</v>
      </c>
      <c r="E479" s="5">
        <v>40450</v>
      </c>
      <c r="F479" s="5">
        <v>245</v>
      </c>
      <c r="G479" s="28" t="s">
        <v>1723</v>
      </c>
      <c r="H479" s="6" t="s">
        <v>1783</v>
      </c>
      <c r="J479" s="5" t="s">
        <v>1744</v>
      </c>
      <c r="M479" s="56">
        <v>4.1947367600000005</v>
      </c>
      <c r="N479" s="56">
        <v>-21.723044899999998</v>
      </c>
      <c r="R479" s="27">
        <v>5.124029463256397</v>
      </c>
      <c r="S479" s="27">
        <v>4.7965100494951693</v>
      </c>
      <c r="V479" s="32" t="s">
        <v>3417</v>
      </c>
      <c r="W479" s="32">
        <v>4</v>
      </c>
      <c r="X479" s="33" t="s">
        <v>3503</v>
      </c>
      <c r="Y479" s="32" t="s">
        <v>3524</v>
      </c>
      <c r="AA479" s="32">
        <v>29.88</v>
      </c>
      <c r="AB479" s="32">
        <v>-98.62</v>
      </c>
      <c r="AC479" s="32">
        <v>1710</v>
      </c>
    </row>
    <row r="480" spans="1:29">
      <c r="C480" s="22" t="s">
        <v>581</v>
      </c>
      <c r="D480" s="22" t="s">
        <v>151</v>
      </c>
      <c r="E480" s="5">
        <v>40450</v>
      </c>
      <c r="F480" s="5">
        <v>274</v>
      </c>
      <c r="G480" s="28" t="s">
        <v>1723</v>
      </c>
      <c r="H480" s="6" t="s">
        <v>1783</v>
      </c>
      <c r="J480" s="5" t="s">
        <v>1744</v>
      </c>
      <c r="K480" s="27">
        <v>3.8502782399999997</v>
      </c>
      <c r="L480" s="27">
        <v>-21.350862299999999</v>
      </c>
      <c r="R480" s="27">
        <v>4.4685388966889867</v>
      </c>
      <c r="S480" s="27">
        <v>3.4571651682424229</v>
      </c>
      <c r="V480" s="32" t="s">
        <v>3417</v>
      </c>
      <c r="W480" s="32">
        <v>4</v>
      </c>
      <c r="Y480" s="32" t="s">
        <v>3525</v>
      </c>
      <c r="AA480" s="32">
        <v>29.88</v>
      </c>
      <c r="AB480" s="32">
        <v>-98.62</v>
      </c>
      <c r="AC480" s="32">
        <v>1710</v>
      </c>
    </row>
    <row r="481" spans="1:29">
      <c r="C481" s="22" t="s">
        <v>581</v>
      </c>
      <c r="D481" s="22" t="s">
        <v>151</v>
      </c>
      <c r="E481" s="5">
        <v>40450</v>
      </c>
      <c r="F481" s="5">
        <v>257</v>
      </c>
      <c r="G481" s="28" t="s">
        <v>1723</v>
      </c>
      <c r="H481" s="6" t="s">
        <v>1783</v>
      </c>
      <c r="J481" s="5" t="s">
        <v>1744</v>
      </c>
      <c r="K481" s="27">
        <v>2.9650742000000001</v>
      </c>
      <c r="L481" s="27">
        <v>-21.037137699999999</v>
      </c>
      <c r="R481" s="27">
        <v>9.5081274397986348</v>
      </c>
      <c r="S481" s="27">
        <v>3.4042456339099343</v>
      </c>
      <c r="V481" s="32" t="s">
        <v>3417</v>
      </c>
      <c r="W481" s="32">
        <v>4</v>
      </c>
      <c r="Y481" s="32" t="s">
        <v>3525</v>
      </c>
      <c r="AA481" s="32">
        <v>29.88</v>
      </c>
      <c r="AB481" s="32">
        <v>-98.62</v>
      </c>
      <c r="AC481" s="32">
        <v>1710</v>
      </c>
    </row>
    <row r="482" spans="1:29">
      <c r="C482" s="22" t="s">
        <v>581</v>
      </c>
      <c r="D482" s="22" t="s">
        <v>151</v>
      </c>
      <c r="E482" s="5">
        <v>40450</v>
      </c>
      <c r="F482" s="5">
        <v>264</v>
      </c>
      <c r="G482" s="28" t="s">
        <v>1723</v>
      </c>
      <c r="H482" s="6" t="s">
        <v>1783</v>
      </c>
      <c r="J482" s="5" t="s">
        <v>1744</v>
      </c>
      <c r="K482" s="27">
        <v>3.3355029999999997</v>
      </c>
      <c r="L482" s="27">
        <v>-19.916692699999999</v>
      </c>
      <c r="R482" s="27">
        <v>8.9777181722755213</v>
      </c>
      <c r="S482" s="27">
        <v>3.264876865551686</v>
      </c>
      <c r="V482" s="32" t="s">
        <v>3417</v>
      </c>
      <c r="W482" s="32">
        <v>4</v>
      </c>
      <c r="Y482" s="32" t="s">
        <v>3525</v>
      </c>
      <c r="AA482" s="32">
        <v>29.88</v>
      </c>
      <c r="AB482" s="32">
        <v>-98.62</v>
      </c>
      <c r="AC482" s="32">
        <v>1710</v>
      </c>
    </row>
    <row r="483" spans="1:29">
      <c r="C483" s="22" t="s">
        <v>581</v>
      </c>
      <c r="D483" s="22" t="s">
        <v>151</v>
      </c>
      <c r="E483" s="5">
        <v>40450</v>
      </c>
      <c r="F483" s="5">
        <v>687</v>
      </c>
      <c r="G483" s="28" t="s">
        <v>1723</v>
      </c>
      <c r="H483" s="6" t="s">
        <v>1783</v>
      </c>
      <c r="J483" s="5" t="s">
        <v>1744</v>
      </c>
      <c r="K483" s="27">
        <v>4.0515982400000006</v>
      </c>
      <c r="L483" s="27">
        <v>-18.7640958</v>
      </c>
      <c r="R483" s="27">
        <v>4.6721403015121474</v>
      </c>
      <c r="S483" s="27">
        <v>3.1802720837969094</v>
      </c>
      <c r="V483" s="32" t="s">
        <v>3417</v>
      </c>
      <c r="W483" s="32">
        <v>4</v>
      </c>
      <c r="Y483" s="32" t="s">
        <v>3525</v>
      </c>
      <c r="AA483" s="32">
        <v>29.88</v>
      </c>
      <c r="AB483" s="32">
        <v>-98.62</v>
      </c>
      <c r="AC483" s="32">
        <v>1710</v>
      </c>
    </row>
    <row r="484" spans="1:29">
      <c r="C484" s="22" t="s">
        <v>581</v>
      </c>
      <c r="D484" s="22" t="s">
        <v>151</v>
      </c>
      <c r="E484" s="5">
        <v>40450</v>
      </c>
      <c r="F484" s="5">
        <v>268</v>
      </c>
      <c r="G484" s="28" t="s">
        <v>1723</v>
      </c>
      <c r="H484" s="6" t="s">
        <v>1783</v>
      </c>
      <c r="J484" s="5" t="s">
        <v>1744</v>
      </c>
      <c r="K484" s="27">
        <v>3.2640343999999994</v>
      </c>
      <c r="L484" s="27">
        <v>-19.368161799999999</v>
      </c>
      <c r="R484" s="27">
        <v>9.4382913793706784</v>
      </c>
      <c r="S484" s="27">
        <v>3.0998032220342595</v>
      </c>
      <c r="V484" s="32" t="s">
        <v>3417</v>
      </c>
      <c r="W484" s="32">
        <v>4</v>
      </c>
      <c r="Y484" s="32" t="s">
        <v>3525</v>
      </c>
      <c r="AA484" s="32">
        <v>29.88</v>
      </c>
      <c r="AB484" s="32">
        <v>-98.62</v>
      </c>
      <c r="AC484" s="32">
        <v>1710</v>
      </c>
    </row>
    <row r="485" spans="1:29">
      <c r="C485" s="22" t="s">
        <v>581</v>
      </c>
      <c r="D485" s="22" t="s">
        <v>151</v>
      </c>
      <c r="E485" s="5">
        <v>40450</v>
      </c>
      <c r="F485" s="5">
        <v>200</v>
      </c>
      <c r="G485" s="28" t="s">
        <v>1723</v>
      </c>
      <c r="H485" s="6" t="s">
        <v>1783</v>
      </c>
      <c r="J485" s="5" t="s">
        <v>1744</v>
      </c>
      <c r="K485" s="27">
        <v>2.7456353999999998</v>
      </c>
      <c r="L485" s="27">
        <v>-19.837774400000001</v>
      </c>
      <c r="R485" s="27">
        <v>8.9494418968968841</v>
      </c>
      <c r="S485" s="27">
        <v>3.0852275837658114</v>
      </c>
      <c r="V485" s="32" t="s">
        <v>3417</v>
      </c>
      <c r="W485" s="32">
        <v>4</v>
      </c>
      <c r="Y485" s="32" t="s">
        <v>3525</v>
      </c>
      <c r="AA485" s="32">
        <v>29.88</v>
      </c>
      <c r="AB485" s="32">
        <v>-98.62</v>
      </c>
      <c r="AC485" s="32">
        <v>1710</v>
      </c>
    </row>
    <row r="486" spans="1:29" ht="19">
      <c r="C486" s="22" t="s">
        <v>581</v>
      </c>
      <c r="D486" s="22" t="s">
        <v>151</v>
      </c>
      <c r="E486" s="5">
        <v>40450</v>
      </c>
      <c r="F486" s="5">
        <v>690</v>
      </c>
      <c r="G486" s="28" t="s">
        <v>1723</v>
      </c>
      <c r="H486" s="6" t="s">
        <v>1783</v>
      </c>
      <c r="J486" s="5" t="s">
        <v>1744</v>
      </c>
      <c r="K486" s="27">
        <v>2.1738865999999999</v>
      </c>
      <c r="L486" s="27">
        <v>-19.665323300000001</v>
      </c>
      <c r="R486" s="27">
        <v>54.067189926672121</v>
      </c>
      <c r="S486" s="27">
        <v>3.0684083004545557</v>
      </c>
      <c r="V486" s="32" t="s">
        <v>3417</v>
      </c>
      <c r="W486" s="32">
        <v>4</v>
      </c>
      <c r="X486" s="33" t="s">
        <v>3467</v>
      </c>
      <c r="Y486" s="32" t="s">
        <v>3525</v>
      </c>
      <c r="AA486" s="32">
        <v>29.88</v>
      </c>
      <c r="AB486" s="32">
        <v>-98.62</v>
      </c>
      <c r="AC486" s="32">
        <v>1710</v>
      </c>
    </row>
    <row r="487" spans="1:29">
      <c r="C487" s="22" t="s">
        <v>581</v>
      </c>
      <c r="D487" s="22" t="s">
        <v>151</v>
      </c>
      <c r="E487" s="5">
        <v>40450</v>
      </c>
      <c r="F487" s="5">
        <v>685</v>
      </c>
      <c r="G487" s="28" t="s">
        <v>1723</v>
      </c>
      <c r="H487" s="6" t="s">
        <v>1783</v>
      </c>
      <c r="J487" s="5" t="s">
        <v>1744</v>
      </c>
      <c r="K487" s="27">
        <v>3.3073181999999997</v>
      </c>
      <c r="L487" s="27">
        <v>-20.007302599999999</v>
      </c>
      <c r="R487" s="27">
        <v>13.178914881279798</v>
      </c>
      <c r="S487" s="27">
        <v>3.0224248245079299</v>
      </c>
      <c r="V487" s="32" t="s">
        <v>3417</v>
      </c>
      <c r="W487" s="32">
        <v>4</v>
      </c>
      <c r="Y487" s="32" t="s">
        <v>3525</v>
      </c>
      <c r="AA487" s="32">
        <v>29.88</v>
      </c>
      <c r="AB487" s="32">
        <v>-98.62</v>
      </c>
      <c r="AC487" s="32">
        <v>1710</v>
      </c>
    </row>
    <row r="488" spans="1:29">
      <c r="C488" s="22" t="s">
        <v>581</v>
      </c>
      <c r="D488" s="22" t="s">
        <v>151</v>
      </c>
      <c r="E488" s="5">
        <v>40450</v>
      </c>
      <c r="F488" s="5">
        <v>1034</v>
      </c>
      <c r="G488" s="28" t="s">
        <v>1723</v>
      </c>
      <c r="H488" s="6" t="s">
        <v>1783</v>
      </c>
      <c r="J488" s="5" t="s">
        <v>1744</v>
      </c>
      <c r="K488" s="27">
        <v>2.7385891999999998</v>
      </c>
      <c r="L488" s="27">
        <v>-20.929964699999999</v>
      </c>
      <c r="R488" s="27">
        <v>8.9471293749912206</v>
      </c>
      <c r="S488" s="27">
        <v>3.0144938183696692</v>
      </c>
      <c r="V488" s="32" t="s">
        <v>3417</v>
      </c>
      <c r="W488" s="32">
        <v>4</v>
      </c>
      <c r="Y488" s="32" t="s">
        <v>3526</v>
      </c>
      <c r="AA488" s="32">
        <v>29.88</v>
      </c>
      <c r="AB488" s="32">
        <v>-98.62</v>
      </c>
      <c r="AC488" s="32">
        <v>1710</v>
      </c>
    </row>
    <row r="489" spans="1:29">
      <c r="C489" s="22" t="s">
        <v>581</v>
      </c>
      <c r="D489" s="22" t="s">
        <v>151</v>
      </c>
      <c r="E489" s="5">
        <v>40450</v>
      </c>
      <c r="F489" s="5">
        <v>115</v>
      </c>
      <c r="G489" s="28" t="s">
        <v>1723</v>
      </c>
      <c r="H489" s="6" t="s">
        <v>1783</v>
      </c>
      <c r="J489" s="5" t="s">
        <v>1744</v>
      </c>
      <c r="K489" s="27">
        <v>4.0461625999999997</v>
      </c>
      <c r="L489" s="27">
        <v>-19.507486699999998</v>
      </c>
      <c r="R489" s="27">
        <v>11.950134685984791</v>
      </c>
      <c r="S489" s="27">
        <v>2.989932032496053</v>
      </c>
      <c r="V489" s="32" t="s">
        <v>3417</v>
      </c>
      <c r="W489" s="32">
        <v>4</v>
      </c>
      <c r="Y489" s="32" t="s">
        <v>3526</v>
      </c>
      <c r="AA489" s="32">
        <v>29.88</v>
      </c>
      <c r="AB489" s="32">
        <v>-98.62</v>
      </c>
      <c r="AC489" s="32">
        <v>1710</v>
      </c>
    </row>
    <row r="490" spans="1:29">
      <c r="C490" s="22" t="s">
        <v>581</v>
      </c>
      <c r="D490" s="22" t="s">
        <v>151</v>
      </c>
      <c r="E490" s="5">
        <v>40450</v>
      </c>
      <c r="F490" s="5">
        <v>1622</v>
      </c>
      <c r="G490" s="28" t="s">
        <v>1723</v>
      </c>
      <c r="H490" s="6" t="s">
        <v>1783</v>
      </c>
      <c r="J490" s="5" t="s">
        <v>1744</v>
      </c>
      <c r="K490" s="27">
        <v>2.9006517999999999</v>
      </c>
      <c r="L490" s="27">
        <v>-18.219462099999998</v>
      </c>
      <c r="R490" s="27">
        <v>7.9780059488527826</v>
      </c>
      <c r="S490" s="27">
        <v>2.9394882217924385</v>
      </c>
      <c r="V490" s="32" t="s">
        <v>3417</v>
      </c>
      <c r="W490" s="32">
        <v>4</v>
      </c>
      <c r="Y490" s="32" t="s">
        <v>3526</v>
      </c>
      <c r="AA490" s="32">
        <v>29.88</v>
      </c>
      <c r="AB490" s="32">
        <v>-98.62</v>
      </c>
      <c r="AC490" s="32">
        <v>1710</v>
      </c>
    </row>
    <row r="491" spans="1:29">
      <c r="C491" s="22" t="s">
        <v>581</v>
      </c>
      <c r="D491" s="22" t="s">
        <v>151</v>
      </c>
      <c r="E491" s="5">
        <v>40450</v>
      </c>
      <c r="F491" s="5">
        <v>684</v>
      </c>
      <c r="G491" s="28" t="s">
        <v>1723</v>
      </c>
      <c r="H491" s="6" t="s">
        <v>1783</v>
      </c>
      <c r="J491" s="5" t="s">
        <v>1744</v>
      </c>
      <c r="K491" s="27">
        <v>3.5861464000000001</v>
      </c>
      <c r="L491" s="27">
        <v>-18.389964599999999</v>
      </c>
      <c r="R491" s="27">
        <v>9.9143497328535091</v>
      </c>
      <c r="S491" s="27">
        <v>2.9336492305764472</v>
      </c>
      <c r="V491" s="32" t="s">
        <v>3417</v>
      </c>
      <c r="W491" s="32">
        <v>4</v>
      </c>
      <c r="Y491" s="32" t="s">
        <v>3525</v>
      </c>
      <c r="AA491" s="32">
        <v>29.88</v>
      </c>
      <c r="AB491" s="32">
        <v>-98.62</v>
      </c>
      <c r="AC491" s="32">
        <v>1710</v>
      </c>
    </row>
    <row r="492" spans="1:29">
      <c r="C492" s="22" t="s">
        <v>581</v>
      </c>
      <c r="D492" s="22" t="s">
        <v>151</v>
      </c>
      <c r="E492" s="5">
        <v>40450</v>
      </c>
      <c r="F492" s="5">
        <v>1025</v>
      </c>
      <c r="G492" s="28" t="s">
        <v>1723</v>
      </c>
      <c r="H492" s="6" t="s">
        <v>1783</v>
      </c>
      <c r="J492" s="5" t="s">
        <v>1744</v>
      </c>
      <c r="K492" s="27">
        <v>3.1553215999999997</v>
      </c>
      <c r="L492" s="27">
        <v>-21.427831999999999</v>
      </c>
      <c r="R492" s="27">
        <v>5.4304755837449363</v>
      </c>
      <c r="S492" s="27">
        <v>2.8964399969077848</v>
      </c>
      <c r="V492" s="32" t="s">
        <v>3417</v>
      </c>
      <c r="W492" s="32">
        <v>4</v>
      </c>
      <c r="Y492" s="32" t="s">
        <v>3526</v>
      </c>
      <c r="AA492" s="32">
        <v>29.88</v>
      </c>
      <c r="AB492" s="32">
        <v>-98.62</v>
      </c>
      <c r="AC492" s="32">
        <v>1710</v>
      </c>
    </row>
    <row r="493" spans="1:29" ht="19">
      <c r="C493" s="22" t="s">
        <v>581</v>
      </c>
      <c r="D493" s="22" t="s">
        <v>151</v>
      </c>
      <c r="E493" s="5">
        <v>41229</v>
      </c>
      <c r="F493" s="5">
        <v>18029</v>
      </c>
      <c r="G493" s="28" t="s">
        <v>1723</v>
      </c>
      <c r="H493" s="6" t="s">
        <v>1742</v>
      </c>
      <c r="J493" s="5" t="s">
        <v>1744</v>
      </c>
      <c r="K493" s="27">
        <v>6.0414044000000002</v>
      </c>
      <c r="L493" s="27">
        <v>-22.250289810000002</v>
      </c>
      <c r="R493" s="27">
        <v>6.6153042955702874</v>
      </c>
      <c r="S493" s="27">
        <v>2.7849661753482065</v>
      </c>
      <c r="V493" s="32" t="s">
        <v>3417</v>
      </c>
      <c r="W493" s="32">
        <v>6</v>
      </c>
      <c r="X493" s="33" t="s">
        <v>3527</v>
      </c>
      <c r="Y493" s="32">
        <v>15448</v>
      </c>
      <c r="AA493" s="32">
        <v>30.13</v>
      </c>
      <c r="AB493" s="32">
        <v>-99.54</v>
      </c>
      <c r="AC493" s="32">
        <v>1710</v>
      </c>
    </row>
    <row r="494" spans="1:29">
      <c r="A494" s="28"/>
      <c r="B494" s="28"/>
      <c r="C494" s="29" t="s">
        <v>581</v>
      </c>
      <c r="D494" s="29" t="s">
        <v>151</v>
      </c>
      <c r="E494" s="28">
        <v>40449</v>
      </c>
      <c r="F494" s="28">
        <v>26</v>
      </c>
      <c r="G494" s="28" t="s">
        <v>1723</v>
      </c>
      <c r="H494" s="41" t="s">
        <v>1814</v>
      </c>
      <c r="I494" s="41"/>
      <c r="J494" s="28" t="s">
        <v>225</v>
      </c>
      <c r="K494" s="42">
        <v>2.4220770000000003</v>
      </c>
      <c r="L494" s="42">
        <v>-23.259230799999997</v>
      </c>
      <c r="O494" s="42"/>
      <c r="P494" s="28"/>
      <c r="Q494" s="42"/>
      <c r="R494" s="42">
        <v>9.3178680811188404</v>
      </c>
      <c r="S494" s="42">
        <v>2.7071894481083292</v>
      </c>
      <c r="T494" s="28"/>
      <c r="U494" s="30"/>
      <c r="V494" s="32" t="s">
        <v>3417</v>
      </c>
      <c r="W494" s="32">
        <v>4</v>
      </c>
      <c r="Y494" s="32" t="s">
        <v>3490</v>
      </c>
      <c r="Z494" s="31" t="s">
        <v>3523</v>
      </c>
      <c r="AA494" s="32">
        <v>30.36</v>
      </c>
      <c r="AB494" s="32">
        <v>-98.1</v>
      </c>
      <c r="AC494" s="32">
        <v>1710</v>
      </c>
    </row>
    <row r="495" spans="1:29" ht="19">
      <c r="C495" s="22" t="s">
        <v>581</v>
      </c>
      <c r="D495" s="22" t="s">
        <v>151</v>
      </c>
      <c r="E495" s="5">
        <v>41229</v>
      </c>
      <c r="F495" s="5">
        <v>305</v>
      </c>
      <c r="G495" s="28" t="s">
        <v>1723</v>
      </c>
      <c r="H495" s="6" t="s">
        <v>1742</v>
      </c>
      <c r="J495" s="5" t="s">
        <v>1728</v>
      </c>
      <c r="K495" s="27">
        <v>6.8685432999999998</v>
      </c>
      <c r="L495" s="27">
        <v>-19.103070780000003</v>
      </c>
      <c r="R495" s="27">
        <v>7.2310635257892582</v>
      </c>
      <c r="S495" s="27">
        <v>3.1822795466818943</v>
      </c>
      <c r="V495" s="32">
        <v>43709</v>
      </c>
      <c r="W495" s="32">
        <v>6</v>
      </c>
      <c r="X495" s="33" t="s">
        <v>3440</v>
      </c>
      <c r="Y495" s="32">
        <v>11668</v>
      </c>
      <c r="AA495" s="32">
        <v>30.13</v>
      </c>
      <c r="AB495" s="32">
        <v>-99.54</v>
      </c>
      <c r="AC495" s="32">
        <v>1710</v>
      </c>
    </row>
    <row r="496" spans="1:29" ht="19">
      <c r="C496" s="22" t="s">
        <v>581</v>
      </c>
      <c r="D496" s="22" t="s">
        <v>151</v>
      </c>
      <c r="E496" s="5">
        <v>41229</v>
      </c>
      <c r="F496" s="5">
        <v>18036</v>
      </c>
      <c r="G496" s="28" t="s">
        <v>1723</v>
      </c>
      <c r="H496" s="6" t="s">
        <v>1742</v>
      </c>
      <c r="J496" s="5" t="s">
        <v>1728</v>
      </c>
      <c r="K496" s="27">
        <v>7.3478963000000004</v>
      </c>
      <c r="L496" s="27">
        <v>-20.799825170000002</v>
      </c>
      <c r="R496" s="27">
        <v>9.63371772131892</v>
      </c>
      <c r="S496" s="27">
        <v>3.1097318550741582</v>
      </c>
      <c r="V496" s="32">
        <v>43709</v>
      </c>
      <c r="W496" s="32">
        <v>6</v>
      </c>
      <c r="X496" s="33" t="s">
        <v>3440</v>
      </c>
      <c r="Y496" s="32">
        <v>11668</v>
      </c>
      <c r="AA496" s="32">
        <v>30.13</v>
      </c>
      <c r="AB496" s="32">
        <v>-99.54</v>
      </c>
      <c r="AC496" s="32">
        <v>1710</v>
      </c>
    </row>
    <row r="497" spans="3:29" ht="19">
      <c r="C497" s="22" t="s">
        <v>581</v>
      </c>
      <c r="D497" s="22" t="s">
        <v>151</v>
      </c>
      <c r="E497" s="5">
        <v>41229</v>
      </c>
      <c r="F497" s="5">
        <v>18033</v>
      </c>
      <c r="G497" s="28" t="s">
        <v>1723</v>
      </c>
      <c r="H497" s="6" t="s">
        <v>1742</v>
      </c>
      <c r="J497" s="5" t="s">
        <v>1728</v>
      </c>
      <c r="K497" s="27">
        <v>5.3325739000000008</v>
      </c>
      <c r="L497" s="27">
        <v>-19.762690540000005</v>
      </c>
      <c r="R497" s="27">
        <v>8.7821702510407107</v>
      </c>
      <c r="S497" s="27">
        <v>3.1028868201643145</v>
      </c>
      <c r="V497" s="32">
        <v>43709</v>
      </c>
      <c r="W497" s="32">
        <v>6</v>
      </c>
      <c r="X497" s="33" t="s">
        <v>3440</v>
      </c>
      <c r="Y497" s="32">
        <v>11668</v>
      </c>
      <c r="AA497" s="32">
        <v>30.13</v>
      </c>
      <c r="AB497" s="32">
        <v>-99.54</v>
      </c>
      <c r="AC497" s="32">
        <v>1710</v>
      </c>
    </row>
    <row r="498" spans="3:29" ht="19">
      <c r="C498" s="22" t="s">
        <v>581</v>
      </c>
      <c r="D498" s="22" t="s">
        <v>151</v>
      </c>
      <c r="E498" s="5">
        <v>41229</v>
      </c>
      <c r="F498" s="5">
        <v>18035</v>
      </c>
      <c r="G498" s="28" t="s">
        <v>1723</v>
      </c>
      <c r="H498" s="6" t="s">
        <v>1742</v>
      </c>
      <c r="J498" s="5" t="s">
        <v>1728</v>
      </c>
      <c r="K498" s="27">
        <v>9.3499600000000012</v>
      </c>
      <c r="L498" s="27">
        <v>-21.994488180000001</v>
      </c>
      <c r="R498" s="27">
        <v>8.1120971483322002</v>
      </c>
      <c r="S498" s="27">
        <v>3.0986892124000422</v>
      </c>
      <c r="V498" s="32">
        <v>43709</v>
      </c>
      <c r="W498" s="32">
        <v>6</v>
      </c>
      <c r="X498" s="33" t="s">
        <v>3440</v>
      </c>
      <c r="Y498" s="32">
        <v>11668</v>
      </c>
      <c r="AA498" s="32">
        <v>30.13</v>
      </c>
      <c r="AB498" s="32">
        <v>-99.54</v>
      </c>
      <c r="AC498" s="32">
        <v>1710</v>
      </c>
    </row>
    <row r="499" spans="3:29" ht="19">
      <c r="C499" s="22" t="s">
        <v>581</v>
      </c>
      <c r="D499" s="22" t="s">
        <v>151</v>
      </c>
      <c r="E499" s="5">
        <v>41229</v>
      </c>
      <c r="F499" s="5">
        <v>18032</v>
      </c>
      <c r="G499" s="28" t="s">
        <v>1723</v>
      </c>
      <c r="H499" s="6" t="s">
        <v>1742</v>
      </c>
      <c r="J499" s="5" t="s">
        <v>1728</v>
      </c>
      <c r="K499" s="27">
        <v>5.3668544000000011</v>
      </c>
      <c r="L499" s="27">
        <v>-15.094299999999999</v>
      </c>
      <c r="R499" s="27">
        <v>9.1718473398058435</v>
      </c>
      <c r="S499" s="27">
        <v>3.0490338030269308</v>
      </c>
      <c r="V499" s="32">
        <v>43709</v>
      </c>
      <c r="W499" s="32">
        <v>6</v>
      </c>
      <c r="X499" s="33" t="s">
        <v>3440</v>
      </c>
      <c r="Y499" s="32">
        <v>11668</v>
      </c>
      <c r="AA499" s="32">
        <v>30.13</v>
      </c>
      <c r="AB499" s="32">
        <v>-99.54</v>
      </c>
      <c r="AC499" s="32">
        <v>1710</v>
      </c>
    </row>
    <row r="500" spans="3:29" ht="19">
      <c r="C500" s="22" t="s">
        <v>581</v>
      </c>
      <c r="D500" s="22" t="s">
        <v>151</v>
      </c>
      <c r="E500" s="5">
        <v>41229</v>
      </c>
      <c r="F500" s="5">
        <v>17968</v>
      </c>
      <c r="G500" s="28" t="s">
        <v>1723</v>
      </c>
      <c r="H500" s="6" t="s">
        <v>1742</v>
      </c>
      <c r="J500" s="5" t="s">
        <v>1728</v>
      </c>
      <c r="K500" s="27">
        <v>5.5226408000000013</v>
      </c>
      <c r="L500" s="27">
        <v>-20.097583659999998</v>
      </c>
      <c r="R500" s="27">
        <v>7.6999133787266363</v>
      </c>
      <c r="S500" s="27">
        <v>3.0442783554129607</v>
      </c>
      <c r="V500" s="32">
        <v>43709</v>
      </c>
      <c r="W500" s="32">
        <v>6</v>
      </c>
      <c r="X500" s="33" t="s">
        <v>3503</v>
      </c>
      <c r="Y500" s="32">
        <v>10680</v>
      </c>
      <c r="AA500" s="32">
        <v>30.13</v>
      </c>
      <c r="AB500" s="32">
        <v>-99.54</v>
      </c>
      <c r="AC500" s="32">
        <v>1710</v>
      </c>
    </row>
    <row r="501" spans="3:29">
      <c r="C501" s="22" t="s">
        <v>581</v>
      </c>
      <c r="D501" s="22" t="s">
        <v>151</v>
      </c>
      <c r="E501" s="5">
        <v>43133</v>
      </c>
      <c r="F501" s="5">
        <v>272</v>
      </c>
      <c r="G501" s="28" t="s">
        <v>1723</v>
      </c>
      <c r="H501" s="6" t="s">
        <v>1821</v>
      </c>
      <c r="J501" s="5" t="s">
        <v>1728</v>
      </c>
      <c r="K501" s="27">
        <v>5.8372484</v>
      </c>
      <c r="L501" s="27">
        <v>-16.044649999999997</v>
      </c>
      <c r="R501" s="27">
        <v>13.250488322793789</v>
      </c>
      <c r="S501" s="27">
        <v>3.010152825024051</v>
      </c>
      <c r="V501" s="32">
        <v>43709</v>
      </c>
      <c r="W501" s="32">
        <v>6</v>
      </c>
      <c r="AA501" s="32">
        <v>29.76</v>
      </c>
      <c r="AB501" s="32">
        <v>-98.77</v>
      </c>
      <c r="AC501" s="32">
        <v>1710</v>
      </c>
    </row>
    <row r="502" spans="3:29" ht="19">
      <c r="C502" s="22" t="s">
        <v>581</v>
      </c>
      <c r="D502" s="22" t="s">
        <v>151</v>
      </c>
      <c r="E502" s="5">
        <v>41229</v>
      </c>
      <c r="F502" s="5">
        <v>306</v>
      </c>
      <c r="G502" s="28" t="s">
        <v>1723</v>
      </c>
      <c r="H502" s="6" t="s">
        <v>1742</v>
      </c>
      <c r="J502" s="5" t="s">
        <v>1728</v>
      </c>
      <c r="K502" s="27">
        <v>4.0750371999999997</v>
      </c>
      <c r="L502" s="27">
        <v>-19.38731099</v>
      </c>
      <c r="R502" s="27">
        <v>8.2136810817179224</v>
      </c>
      <c r="S502" s="27">
        <v>2.9968537496907071</v>
      </c>
      <c r="V502" s="32">
        <v>43709</v>
      </c>
      <c r="W502" s="32">
        <v>6</v>
      </c>
      <c r="X502" s="33" t="s">
        <v>3440</v>
      </c>
      <c r="Y502" s="32">
        <v>11668</v>
      </c>
      <c r="AA502" s="32">
        <v>30.13</v>
      </c>
      <c r="AB502" s="32">
        <v>-99.54</v>
      </c>
      <c r="AC502" s="32">
        <v>1710</v>
      </c>
    </row>
    <row r="503" spans="3:29" ht="19">
      <c r="C503" s="22" t="s">
        <v>581</v>
      </c>
      <c r="D503" s="22" t="s">
        <v>151</v>
      </c>
      <c r="E503" s="5">
        <v>41229</v>
      </c>
      <c r="F503" s="5">
        <v>18034</v>
      </c>
      <c r="G503" s="28" t="s">
        <v>1723</v>
      </c>
      <c r="H503" s="6" t="s">
        <v>1742</v>
      </c>
      <c r="J503" s="5" t="s">
        <v>1728</v>
      </c>
      <c r="K503" s="27">
        <v>7.3978714000000005</v>
      </c>
      <c r="L503" s="27">
        <v>-19.019453590000001</v>
      </c>
      <c r="R503" s="27">
        <v>12.796047984317566</v>
      </c>
      <c r="S503" s="27">
        <v>2.98318055489047</v>
      </c>
      <c r="V503" s="32">
        <v>43709</v>
      </c>
      <c r="W503" s="32">
        <v>6</v>
      </c>
      <c r="X503" s="33" t="s">
        <v>3440</v>
      </c>
      <c r="Y503" s="32">
        <v>11668</v>
      </c>
      <c r="AA503" s="32">
        <v>30.13</v>
      </c>
      <c r="AB503" s="32">
        <v>-99.54</v>
      </c>
      <c r="AC503" s="32">
        <v>1710</v>
      </c>
    </row>
    <row r="504" spans="3:29" ht="19">
      <c r="C504" s="22" t="s">
        <v>581</v>
      </c>
      <c r="D504" s="22" t="s">
        <v>151</v>
      </c>
      <c r="E504" s="5">
        <v>41229</v>
      </c>
      <c r="F504" s="5">
        <v>883</v>
      </c>
      <c r="G504" s="28" t="s">
        <v>1723</v>
      </c>
      <c r="H504" s="6" t="s">
        <v>1742</v>
      </c>
      <c r="J504" s="5" t="s">
        <v>1728</v>
      </c>
      <c r="K504" s="27">
        <v>7.8915030000000002</v>
      </c>
      <c r="L504" s="27">
        <v>-16.312883333333332</v>
      </c>
      <c r="R504" s="27">
        <v>13.783388245998434</v>
      </c>
      <c r="S504" s="27">
        <v>2.9734117002790734</v>
      </c>
      <c r="V504" s="32">
        <v>43709</v>
      </c>
      <c r="W504" s="32">
        <v>6</v>
      </c>
      <c r="X504" s="33" t="s">
        <v>3478</v>
      </c>
      <c r="Y504" s="32">
        <v>8045</v>
      </c>
      <c r="AA504" s="32">
        <v>30.13</v>
      </c>
      <c r="AB504" s="32">
        <v>-99.54</v>
      </c>
      <c r="AC504" s="32">
        <v>1710</v>
      </c>
    </row>
    <row r="505" spans="3:29">
      <c r="C505" s="22" t="s">
        <v>581</v>
      </c>
      <c r="D505" s="22" t="s">
        <v>151</v>
      </c>
      <c r="E505" s="5">
        <v>43133</v>
      </c>
      <c r="F505" s="5">
        <v>333</v>
      </c>
      <c r="G505" s="28" t="s">
        <v>1723</v>
      </c>
      <c r="H505" s="6" t="s">
        <v>1821</v>
      </c>
      <c r="J505" s="5" t="s">
        <v>1728</v>
      </c>
      <c r="K505" s="27">
        <v>5.9808956000000002</v>
      </c>
      <c r="L505" s="27">
        <v>-14.030199999999999</v>
      </c>
      <c r="R505" s="27">
        <v>11.110613133304666</v>
      </c>
      <c r="S505" s="27">
        <v>2.9590904843561705</v>
      </c>
      <c r="V505" s="32">
        <v>43709</v>
      </c>
      <c r="W505" s="32">
        <v>6</v>
      </c>
      <c r="AA505" s="32">
        <v>29.76</v>
      </c>
      <c r="AB505" s="32">
        <v>-98.77</v>
      </c>
      <c r="AC505" s="32">
        <v>1710</v>
      </c>
    </row>
    <row r="506" spans="3:29" ht="19">
      <c r="C506" s="22" t="s">
        <v>581</v>
      </c>
      <c r="D506" s="22" t="s">
        <v>151</v>
      </c>
      <c r="E506" s="5">
        <v>41229</v>
      </c>
      <c r="F506" s="5">
        <v>894</v>
      </c>
      <c r="G506" s="28" t="s">
        <v>1723</v>
      </c>
      <c r="H506" s="6" t="s">
        <v>1742</v>
      </c>
      <c r="J506" s="5" t="s">
        <v>1728</v>
      </c>
      <c r="K506" s="27">
        <v>5.2300739500000004</v>
      </c>
      <c r="L506" s="27">
        <v>-22.089752570000002</v>
      </c>
      <c r="R506" s="27">
        <v>10.302161633744198</v>
      </c>
      <c r="S506" s="27">
        <v>2.9529573288327997</v>
      </c>
      <c r="V506" s="32">
        <v>43709</v>
      </c>
      <c r="W506" s="32">
        <v>6</v>
      </c>
      <c r="X506" s="33" t="s">
        <v>3478</v>
      </c>
      <c r="Y506" s="32">
        <v>8045</v>
      </c>
      <c r="AA506" s="32">
        <v>30.13</v>
      </c>
      <c r="AB506" s="32">
        <v>-99.54</v>
      </c>
      <c r="AC506" s="32">
        <v>1710</v>
      </c>
    </row>
    <row r="507" spans="3:29" ht="19">
      <c r="C507" s="22" t="s">
        <v>581</v>
      </c>
      <c r="D507" s="22" t="s">
        <v>151</v>
      </c>
      <c r="E507" s="5">
        <v>41229</v>
      </c>
      <c r="F507" s="5">
        <v>1728</v>
      </c>
      <c r="G507" s="28" t="s">
        <v>1723</v>
      </c>
      <c r="H507" s="6" t="s">
        <v>1742</v>
      </c>
      <c r="J507" s="5" t="s">
        <v>1728</v>
      </c>
      <c r="K507" s="27">
        <v>4.9531711000000005</v>
      </c>
      <c r="L507" s="27">
        <v>-20.707132870000002</v>
      </c>
      <c r="R507" s="27">
        <v>9.9792910923296301</v>
      </c>
      <c r="S507" s="27">
        <v>2.9468389152240384</v>
      </c>
      <c r="V507" s="32">
        <v>43709</v>
      </c>
      <c r="W507" s="32">
        <v>6</v>
      </c>
      <c r="X507" s="33" t="s">
        <v>3528</v>
      </c>
      <c r="Y507" s="32">
        <v>7386</v>
      </c>
      <c r="AA507" s="32">
        <v>30.13</v>
      </c>
      <c r="AB507" s="32">
        <v>-99.54</v>
      </c>
      <c r="AC507" s="32">
        <v>1710</v>
      </c>
    </row>
    <row r="508" spans="3:29" ht="19">
      <c r="C508" s="22" t="s">
        <v>581</v>
      </c>
      <c r="D508" s="22" t="s">
        <v>151</v>
      </c>
      <c r="E508" s="5">
        <v>41229</v>
      </c>
      <c r="F508" s="5">
        <v>18024</v>
      </c>
      <c r="G508" s="28" t="s">
        <v>1723</v>
      </c>
      <c r="H508" s="6" t="s">
        <v>1742</v>
      </c>
      <c r="J508" s="5" t="s">
        <v>1744</v>
      </c>
      <c r="K508" s="27">
        <v>6.1255544000000004</v>
      </c>
      <c r="L508" s="27">
        <v>-22.081609605000001</v>
      </c>
      <c r="R508" s="27">
        <v>4.9852053970027965</v>
      </c>
      <c r="S508" s="27">
        <v>2.9447578641874625</v>
      </c>
      <c r="V508" s="32">
        <v>43709</v>
      </c>
      <c r="W508" s="32">
        <v>6</v>
      </c>
      <c r="X508" s="33" t="s">
        <v>3510</v>
      </c>
      <c r="Y508" s="32">
        <v>12656</v>
      </c>
      <c r="AA508" s="32">
        <v>30.13</v>
      </c>
      <c r="AB508" s="32">
        <v>-99.54</v>
      </c>
      <c r="AC508" s="32">
        <v>1710</v>
      </c>
    </row>
    <row r="509" spans="3:29" ht="19">
      <c r="C509" s="22" t="s">
        <v>581</v>
      </c>
      <c r="D509" s="22" t="s">
        <v>151</v>
      </c>
      <c r="E509" s="5">
        <v>41229</v>
      </c>
      <c r="F509" s="5">
        <v>18018</v>
      </c>
      <c r="G509" s="28" t="s">
        <v>1723</v>
      </c>
      <c r="H509" s="6" t="s">
        <v>1742</v>
      </c>
      <c r="J509" s="5" t="s">
        <v>1744</v>
      </c>
      <c r="K509" s="27">
        <v>5.6324244999999999</v>
      </c>
      <c r="L509" s="27">
        <v>-18.534008</v>
      </c>
      <c r="R509" s="27">
        <v>10.154938925928915</v>
      </c>
      <c r="S509" s="27">
        <v>2.9445175600558735</v>
      </c>
      <c r="V509" s="32">
        <v>43709</v>
      </c>
      <c r="W509" s="32">
        <v>6</v>
      </c>
      <c r="X509" s="33" t="s">
        <v>3515</v>
      </c>
      <c r="Y509" s="32">
        <v>12327</v>
      </c>
      <c r="AA509" s="32">
        <v>30.13</v>
      </c>
      <c r="AB509" s="32">
        <v>-99.54</v>
      </c>
      <c r="AC509" s="32">
        <v>1710</v>
      </c>
    </row>
    <row r="510" spans="3:29" ht="19">
      <c r="C510" s="22" t="s">
        <v>581</v>
      </c>
      <c r="D510" s="22" t="s">
        <v>151</v>
      </c>
      <c r="E510" s="5">
        <v>41229</v>
      </c>
      <c r="F510" s="5">
        <v>18011</v>
      </c>
      <c r="G510" s="28" t="s">
        <v>1723</v>
      </c>
      <c r="H510" s="6" t="s">
        <v>1742</v>
      </c>
      <c r="J510" s="5" t="s">
        <v>1728</v>
      </c>
      <c r="K510" s="27">
        <v>9.6110544000000004</v>
      </c>
      <c r="L510" s="27">
        <v>-9.61933333333333</v>
      </c>
      <c r="R510" s="27">
        <v>13.949546816337888</v>
      </c>
      <c r="S510" s="27">
        <v>2.9405762021208748</v>
      </c>
      <c r="V510" s="32">
        <v>43709</v>
      </c>
      <c r="W510" s="32">
        <v>6</v>
      </c>
      <c r="X510" s="33" t="s">
        <v>3529</v>
      </c>
      <c r="Y510" s="32">
        <v>11668</v>
      </c>
      <c r="AA510" s="32">
        <v>30.13</v>
      </c>
      <c r="AB510" s="32">
        <v>-99.54</v>
      </c>
      <c r="AC510" s="32">
        <v>1710</v>
      </c>
    </row>
    <row r="511" spans="3:29" ht="19">
      <c r="C511" s="22" t="s">
        <v>581</v>
      </c>
      <c r="D511" s="22" t="s">
        <v>151</v>
      </c>
      <c r="E511" s="5">
        <v>41229</v>
      </c>
      <c r="F511" s="5">
        <v>411</v>
      </c>
      <c r="G511" s="28" t="s">
        <v>1723</v>
      </c>
      <c r="H511" s="6" t="s">
        <v>1742</v>
      </c>
      <c r="J511" s="5" t="s">
        <v>1744</v>
      </c>
      <c r="K511" s="27">
        <v>7.6079708000000004</v>
      </c>
      <c r="L511" s="27">
        <v>-16.89602344</v>
      </c>
      <c r="R511" s="27">
        <v>13.559355197283681</v>
      </c>
      <c r="S511" s="27">
        <v>2.9352404284908986</v>
      </c>
      <c r="V511" s="32">
        <v>43709</v>
      </c>
      <c r="W511" s="32">
        <v>6</v>
      </c>
      <c r="X511" s="33" t="s">
        <v>3530</v>
      </c>
      <c r="Y511" s="32">
        <v>13645</v>
      </c>
      <c r="AA511" s="32">
        <v>30.13</v>
      </c>
      <c r="AB511" s="32">
        <v>-99.54</v>
      </c>
      <c r="AC511" s="32">
        <v>1710</v>
      </c>
    </row>
    <row r="512" spans="3:29" ht="19">
      <c r="C512" s="22" t="s">
        <v>581</v>
      </c>
      <c r="D512" s="22" t="s">
        <v>151</v>
      </c>
      <c r="E512" s="5">
        <v>41229</v>
      </c>
      <c r="F512" s="5">
        <v>931</v>
      </c>
      <c r="G512" s="28" t="s">
        <v>1723</v>
      </c>
      <c r="H512" s="6" t="s">
        <v>1742</v>
      </c>
      <c r="J512" s="5" t="s">
        <v>1728</v>
      </c>
      <c r="K512" s="27">
        <v>7.1316775000000003</v>
      </c>
      <c r="L512" s="27">
        <v>-14.17278333333333</v>
      </c>
      <c r="R512" s="27">
        <v>11.152516352708735</v>
      </c>
      <c r="S512" s="27">
        <v>2.9272292193131837</v>
      </c>
      <c r="V512" s="32">
        <v>43709</v>
      </c>
      <c r="W512" s="32">
        <v>6</v>
      </c>
      <c r="X512" s="33" t="s">
        <v>3531</v>
      </c>
      <c r="Y512" s="32">
        <v>3763</v>
      </c>
      <c r="AA512" s="32">
        <v>30.13</v>
      </c>
      <c r="AB512" s="32">
        <v>-99.54</v>
      </c>
      <c r="AC512" s="32">
        <v>1710</v>
      </c>
    </row>
    <row r="513" spans="3:29" ht="19">
      <c r="C513" s="22" t="s">
        <v>581</v>
      </c>
      <c r="D513" s="22" t="s">
        <v>151</v>
      </c>
      <c r="E513" s="5">
        <v>41229</v>
      </c>
      <c r="F513" s="5">
        <v>1824</v>
      </c>
      <c r="G513" s="28" t="s">
        <v>1723</v>
      </c>
      <c r="H513" s="6" t="s">
        <v>1742</v>
      </c>
      <c r="J513" s="5" t="s">
        <v>1728</v>
      </c>
      <c r="K513" s="27">
        <v>4.2095620100000009</v>
      </c>
      <c r="L513" s="27">
        <v>-20.478313920000005</v>
      </c>
      <c r="R513" s="27">
        <v>8.3704109420003352</v>
      </c>
      <c r="S513" s="27">
        <v>2.9079277345949164</v>
      </c>
      <c r="V513" s="32">
        <v>43709</v>
      </c>
      <c r="W513" s="32">
        <v>6</v>
      </c>
      <c r="X513" s="33" t="s">
        <v>3365</v>
      </c>
      <c r="Y513" s="32">
        <v>10680</v>
      </c>
      <c r="AA513" s="32">
        <v>30.13</v>
      </c>
      <c r="AB513" s="32">
        <v>-99.54</v>
      </c>
      <c r="AC513" s="32">
        <v>1710</v>
      </c>
    </row>
    <row r="514" spans="3:29" ht="19">
      <c r="C514" s="22" t="s">
        <v>581</v>
      </c>
      <c r="D514" s="22" t="s">
        <v>151</v>
      </c>
      <c r="E514" s="5">
        <v>41229</v>
      </c>
      <c r="F514" s="5">
        <v>1831</v>
      </c>
      <c r="G514" s="28" t="s">
        <v>1723</v>
      </c>
      <c r="H514" s="6" t="s">
        <v>1742</v>
      </c>
      <c r="J514" s="5" t="s">
        <v>1728</v>
      </c>
      <c r="K514" s="27">
        <v>6.2856547000000003</v>
      </c>
      <c r="L514" s="27">
        <v>-18.796762935</v>
      </c>
      <c r="R514" s="27">
        <v>8.6919316656913104</v>
      </c>
      <c r="S514" s="27">
        <v>2.8985909408710984</v>
      </c>
      <c r="V514" s="32">
        <v>43709</v>
      </c>
      <c r="W514" s="32">
        <v>6</v>
      </c>
      <c r="X514" s="33" t="s">
        <v>3365</v>
      </c>
      <c r="Y514" s="32">
        <v>10680</v>
      </c>
      <c r="AA514" s="32">
        <v>30.13</v>
      </c>
      <c r="AB514" s="32">
        <v>-99.54</v>
      </c>
      <c r="AC514" s="32">
        <v>1710</v>
      </c>
    </row>
    <row r="515" spans="3:29" ht="19">
      <c r="C515" s="22" t="s">
        <v>581</v>
      </c>
      <c r="D515" s="22" t="s">
        <v>151</v>
      </c>
      <c r="E515" s="5">
        <v>41229</v>
      </c>
      <c r="F515" s="5">
        <v>17969</v>
      </c>
      <c r="G515" s="28" t="s">
        <v>1723</v>
      </c>
      <c r="H515" s="6" t="s">
        <v>1742</v>
      </c>
      <c r="J515" s="5" t="s">
        <v>1728</v>
      </c>
      <c r="K515" s="27">
        <v>7.6156412000000007</v>
      </c>
      <c r="L515" s="27">
        <v>-22.401264435000002</v>
      </c>
      <c r="R515" s="27">
        <v>13.22407723698795</v>
      </c>
      <c r="S515" s="27">
        <v>2.8983481368550419</v>
      </c>
      <c r="V515" s="32">
        <v>43709</v>
      </c>
      <c r="W515" s="32">
        <v>6</v>
      </c>
      <c r="X515" s="33" t="s">
        <v>3503</v>
      </c>
      <c r="Y515" s="32">
        <v>10680</v>
      </c>
      <c r="AA515" s="32">
        <v>30.13</v>
      </c>
      <c r="AB515" s="32">
        <v>-99.54</v>
      </c>
      <c r="AC515" s="32">
        <v>1710</v>
      </c>
    </row>
    <row r="516" spans="3:29" ht="19">
      <c r="C516" s="22" t="s">
        <v>581</v>
      </c>
      <c r="D516" s="22" t="s">
        <v>151</v>
      </c>
      <c r="E516" s="5">
        <v>41229</v>
      </c>
      <c r="F516" s="5">
        <v>57</v>
      </c>
      <c r="G516" s="28" t="s">
        <v>1723</v>
      </c>
      <c r="H516" s="6" t="s">
        <v>1742</v>
      </c>
      <c r="J516" s="5" t="s">
        <v>1728</v>
      </c>
      <c r="K516" s="27">
        <v>5.1826486000000003</v>
      </c>
      <c r="L516" s="27">
        <v>-17.650567880000001</v>
      </c>
      <c r="R516" s="27">
        <v>14.603824933507218</v>
      </c>
      <c r="S516" s="27">
        <v>2.8967666973631312</v>
      </c>
      <c r="V516" s="32">
        <v>43709</v>
      </c>
      <c r="W516" s="32">
        <v>6</v>
      </c>
      <c r="X516" s="33" t="s">
        <v>3532</v>
      </c>
      <c r="Y516" s="32">
        <v>4093</v>
      </c>
      <c r="AA516" s="32">
        <v>30.13</v>
      </c>
      <c r="AB516" s="32">
        <v>-99.54</v>
      </c>
      <c r="AC516" s="32">
        <v>1710</v>
      </c>
    </row>
    <row r="517" spans="3:29" ht="19">
      <c r="C517" s="22" t="s">
        <v>581</v>
      </c>
      <c r="D517" s="22" t="s">
        <v>151</v>
      </c>
      <c r="E517" s="5">
        <v>41229</v>
      </c>
      <c r="F517" s="5">
        <v>224</v>
      </c>
      <c r="G517" s="28" t="s">
        <v>1723</v>
      </c>
      <c r="H517" s="6" t="s">
        <v>1742</v>
      </c>
      <c r="J517" s="5" t="s">
        <v>1728</v>
      </c>
      <c r="K517" s="27">
        <v>5.2214048000000002</v>
      </c>
      <c r="L517" s="27">
        <v>-16.651335180000004</v>
      </c>
      <c r="R517" s="27">
        <v>14.666713177321675</v>
      </c>
      <c r="S517" s="27">
        <v>2.8924787344272409</v>
      </c>
      <c r="V517" s="32">
        <v>43709</v>
      </c>
      <c r="W517" s="32">
        <v>6</v>
      </c>
      <c r="X517" s="33" t="s">
        <v>3503</v>
      </c>
      <c r="Y517" s="32">
        <v>10680</v>
      </c>
      <c r="AA517" s="32">
        <v>30.13</v>
      </c>
      <c r="AB517" s="32">
        <v>-99.54</v>
      </c>
      <c r="AC517" s="32">
        <v>1710</v>
      </c>
    </row>
    <row r="518" spans="3:29" ht="19">
      <c r="C518" s="22" t="s">
        <v>581</v>
      </c>
      <c r="D518" s="22" t="s">
        <v>151</v>
      </c>
      <c r="E518" s="5">
        <v>41229</v>
      </c>
      <c r="F518" s="5">
        <v>17960</v>
      </c>
      <c r="G518" s="28" t="s">
        <v>1723</v>
      </c>
      <c r="H518" s="6" t="s">
        <v>1742</v>
      </c>
      <c r="J518" s="5" t="s">
        <v>1728</v>
      </c>
      <c r="K518" s="27">
        <v>4.4211252999999999</v>
      </c>
      <c r="L518" s="27">
        <v>-20.819980834999999</v>
      </c>
      <c r="R518" s="27">
        <v>13.84815114913304</v>
      </c>
      <c r="S518" s="27">
        <v>2.8899685130667545</v>
      </c>
      <c r="V518" s="32">
        <v>43709</v>
      </c>
      <c r="W518" s="32">
        <v>6</v>
      </c>
      <c r="X518" s="33" t="s">
        <v>3533</v>
      </c>
      <c r="Y518" s="32">
        <v>6069</v>
      </c>
      <c r="AA518" s="32">
        <v>30.13</v>
      </c>
      <c r="AB518" s="32">
        <v>-99.54</v>
      </c>
      <c r="AC518" s="32">
        <v>1710</v>
      </c>
    </row>
    <row r="519" spans="3:29" ht="19">
      <c r="C519" s="22" t="s">
        <v>581</v>
      </c>
      <c r="D519" s="22" t="s">
        <v>151</v>
      </c>
      <c r="E519" s="5">
        <v>41229</v>
      </c>
      <c r="F519" s="5">
        <v>19677</v>
      </c>
      <c r="G519" s="28" t="s">
        <v>1723</v>
      </c>
      <c r="H519" s="6" t="s">
        <v>1742</v>
      </c>
      <c r="J519" s="5" t="s">
        <v>1728</v>
      </c>
      <c r="K519" s="27">
        <v>4.3373145999999991</v>
      </c>
      <c r="L519" s="27">
        <v>-16.414549999999998</v>
      </c>
      <c r="R519" s="27">
        <v>13.523336906276537</v>
      </c>
      <c r="S519" s="27">
        <v>2.8886863826531193</v>
      </c>
      <c r="V519" s="32">
        <v>43709</v>
      </c>
      <c r="W519" s="32">
        <v>6</v>
      </c>
      <c r="X519" s="33" t="s">
        <v>3534</v>
      </c>
      <c r="Y519" s="32">
        <v>2775</v>
      </c>
      <c r="AA519" s="32">
        <v>30.13</v>
      </c>
      <c r="AB519" s="32">
        <v>-99.54</v>
      </c>
      <c r="AC519" s="32">
        <v>1710</v>
      </c>
    </row>
    <row r="520" spans="3:29" ht="19">
      <c r="C520" s="22" t="s">
        <v>581</v>
      </c>
      <c r="D520" s="22" t="s">
        <v>151</v>
      </c>
      <c r="E520" s="5">
        <v>41229</v>
      </c>
      <c r="F520" s="5">
        <v>9240</v>
      </c>
      <c r="G520" s="28" t="s">
        <v>1723</v>
      </c>
      <c r="H520" s="6" t="s">
        <v>1742</v>
      </c>
      <c r="J520" s="5" t="s">
        <v>1728</v>
      </c>
      <c r="K520" s="27">
        <v>2.7776224099999998</v>
      </c>
      <c r="L520" s="27">
        <v>-19.407547999999998</v>
      </c>
      <c r="R520" s="27">
        <v>11.918879676248091</v>
      </c>
      <c r="S520" s="27">
        <v>2.8840955432334527</v>
      </c>
      <c r="V520" s="32">
        <v>43709</v>
      </c>
      <c r="W520" s="32">
        <v>6</v>
      </c>
      <c r="X520" s="33" t="s">
        <v>3534</v>
      </c>
      <c r="Y520" s="32">
        <v>2775</v>
      </c>
      <c r="AA520" s="32">
        <v>30.13</v>
      </c>
      <c r="AB520" s="32">
        <v>-99.54</v>
      </c>
      <c r="AC520" s="32">
        <v>1710</v>
      </c>
    </row>
    <row r="521" spans="3:29" ht="19">
      <c r="C521" s="22" t="s">
        <v>581</v>
      </c>
      <c r="D521" s="22" t="s">
        <v>151</v>
      </c>
      <c r="E521" s="5">
        <v>41229</v>
      </c>
      <c r="F521" s="5">
        <v>744</v>
      </c>
      <c r="G521" s="28" t="s">
        <v>1723</v>
      </c>
      <c r="H521" s="6" t="s">
        <v>1742</v>
      </c>
      <c r="J521" s="5" t="s">
        <v>1744</v>
      </c>
      <c r="K521" s="27">
        <v>6.6625234999999998</v>
      </c>
      <c r="L521" s="27">
        <v>-17.78844161</v>
      </c>
      <c r="R521" s="27">
        <v>12.86039808163906</v>
      </c>
      <c r="S521" s="27">
        <v>2.8821445632766047</v>
      </c>
      <c r="V521" s="32">
        <v>43709</v>
      </c>
      <c r="W521" s="32">
        <v>6</v>
      </c>
      <c r="X521" s="33" t="s">
        <v>3535</v>
      </c>
      <c r="Y521" s="32">
        <v>11998</v>
      </c>
      <c r="AA521" s="32">
        <v>30.13</v>
      </c>
      <c r="AB521" s="32">
        <v>-99.54</v>
      </c>
      <c r="AC521" s="32">
        <v>1710</v>
      </c>
    </row>
    <row r="522" spans="3:29" ht="19">
      <c r="C522" s="22" t="s">
        <v>581</v>
      </c>
      <c r="D522" s="22" t="s">
        <v>151</v>
      </c>
      <c r="E522" s="5">
        <v>41229</v>
      </c>
      <c r="F522" s="5">
        <v>18013</v>
      </c>
      <c r="G522" s="28" t="s">
        <v>1723</v>
      </c>
      <c r="H522" s="6" t="s">
        <v>1742</v>
      </c>
      <c r="J522" s="5" t="s">
        <v>1744</v>
      </c>
      <c r="K522" s="27">
        <v>5.373369900000001</v>
      </c>
      <c r="L522" s="27">
        <v>-16.68462676</v>
      </c>
      <c r="R522" s="27">
        <v>13.872382979268707</v>
      </c>
      <c r="S522" s="27">
        <v>2.8740794870521018</v>
      </c>
      <c r="V522" s="32">
        <v>43709</v>
      </c>
      <c r="W522" s="32">
        <v>6</v>
      </c>
      <c r="X522" s="33" t="s">
        <v>3535</v>
      </c>
      <c r="Y522" s="32">
        <v>11998</v>
      </c>
      <c r="AA522" s="32"/>
      <c r="AB522" s="32"/>
      <c r="AC522" s="32">
        <v>1710</v>
      </c>
    </row>
    <row r="523" spans="3:29" ht="19">
      <c r="C523" s="22" t="s">
        <v>581</v>
      </c>
      <c r="D523" s="22" t="s">
        <v>151</v>
      </c>
      <c r="E523" s="5">
        <v>41229</v>
      </c>
      <c r="F523" s="5">
        <v>1823</v>
      </c>
      <c r="G523" s="28" t="s">
        <v>1723</v>
      </c>
      <c r="H523" s="6" t="s">
        <v>1742</v>
      </c>
      <c r="J523" s="5" t="s">
        <v>1728</v>
      </c>
      <c r="K523" s="27">
        <v>4.2174152399999993</v>
      </c>
      <c r="L523" s="27">
        <v>-16.949746150000003</v>
      </c>
      <c r="R523" s="27">
        <v>9.0138567035666988</v>
      </c>
      <c r="S523" s="27">
        <v>2.8701353540562962</v>
      </c>
      <c r="V523" s="32">
        <v>43709</v>
      </c>
      <c r="W523" s="32">
        <v>6</v>
      </c>
      <c r="X523" s="33" t="s">
        <v>3365</v>
      </c>
      <c r="Y523" s="32">
        <v>10680</v>
      </c>
      <c r="AA523" s="32">
        <v>30.13</v>
      </c>
      <c r="AB523" s="32">
        <v>-99.54</v>
      </c>
      <c r="AC523" s="32">
        <v>1710</v>
      </c>
    </row>
    <row r="524" spans="3:29" ht="19">
      <c r="C524" s="22" t="s">
        <v>581</v>
      </c>
      <c r="D524" s="22" t="s">
        <v>151</v>
      </c>
      <c r="E524" s="5">
        <v>41229</v>
      </c>
      <c r="F524" s="5">
        <v>18031</v>
      </c>
      <c r="G524" s="28" t="s">
        <v>1723</v>
      </c>
      <c r="H524" s="6" t="s">
        <v>1742</v>
      </c>
      <c r="J524" s="5" t="s">
        <v>1744</v>
      </c>
      <c r="K524" s="27">
        <v>5.9628283</v>
      </c>
      <c r="L524" s="27">
        <v>-21.562928205000002</v>
      </c>
      <c r="R524" s="27">
        <v>6.1916986149030331</v>
      </c>
      <c r="S524" s="27">
        <v>2.8658116779033875</v>
      </c>
      <c r="V524" s="32">
        <v>43709</v>
      </c>
      <c r="W524" s="32">
        <v>6</v>
      </c>
      <c r="X524" s="33" t="s">
        <v>3527</v>
      </c>
      <c r="Y524" s="32">
        <v>15448</v>
      </c>
      <c r="AA524" s="32">
        <v>30.13</v>
      </c>
      <c r="AB524" s="32">
        <v>-99.54</v>
      </c>
      <c r="AC524" s="32">
        <v>1710</v>
      </c>
    </row>
    <row r="525" spans="3:29" ht="19">
      <c r="C525" s="22" t="s">
        <v>581</v>
      </c>
      <c r="D525" s="22" t="s">
        <v>151</v>
      </c>
      <c r="E525" s="5">
        <v>41229</v>
      </c>
      <c r="F525" s="5">
        <v>18007</v>
      </c>
      <c r="G525" s="28" t="s">
        <v>1723</v>
      </c>
      <c r="H525" s="6" t="s">
        <v>1742</v>
      </c>
      <c r="J525" s="5" t="s">
        <v>1744</v>
      </c>
      <c r="K525" s="27">
        <v>5.8353846000000003</v>
      </c>
      <c r="L525" s="27">
        <v>-19.984957940000001</v>
      </c>
      <c r="R525" s="27">
        <v>14.882855062782642</v>
      </c>
      <c r="S525" s="27">
        <v>2.8582953446673027</v>
      </c>
      <c r="V525" s="32">
        <v>43709</v>
      </c>
      <c r="W525" s="32">
        <v>6</v>
      </c>
      <c r="X525" s="33" t="s">
        <v>3488</v>
      </c>
      <c r="Y525" s="32">
        <v>14387</v>
      </c>
      <c r="AA525" s="32">
        <v>30.13</v>
      </c>
      <c r="AB525" s="32">
        <v>-99.54</v>
      </c>
      <c r="AC525" s="32">
        <v>1710</v>
      </c>
    </row>
    <row r="526" spans="3:29" ht="19">
      <c r="C526" s="22" t="s">
        <v>581</v>
      </c>
      <c r="D526" s="22" t="s">
        <v>151</v>
      </c>
      <c r="E526" s="5">
        <v>41229</v>
      </c>
      <c r="F526" s="5">
        <v>18016</v>
      </c>
      <c r="G526" s="28" t="s">
        <v>1723</v>
      </c>
      <c r="H526" s="6" t="s">
        <v>1742</v>
      </c>
      <c r="J526" s="5" t="s">
        <v>1744</v>
      </c>
      <c r="K526" s="27">
        <v>5.3917281000000008</v>
      </c>
      <c r="L526" s="27">
        <v>-16.168533333333329</v>
      </c>
      <c r="R526" s="27">
        <v>13.106410584036091</v>
      </c>
      <c r="S526" s="27">
        <v>2.8568549637122502</v>
      </c>
      <c r="V526" s="32">
        <v>43709</v>
      </c>
      <c r="W526" s="32">
        <v>6</v>
      </c>
      <c r="X526" s="33" t="s">
        <v>3515</v>
      </c>
      <c r="Y526" s="32">
        <v>12327</v>
      </c>
      <c r="AA526" s="32">
        <v>30.13</v>
      </c>
      <c r="AB526" s="32">
        <v>-99.54</v>
      </c>
      <c r="AC526" s="32">
        <v>1710</v>
      </c>
    </row>
    <row r="527" spans="3:29">
      <c r="C527" s="22" t="s">
        <v>581</v>
      </c>
      <c r="D527" s="22" t="s">
        <v>151</v>
      </c>
      <c r="E527" s="5">
        <v>43133</v>
      </c>
      <c r="F527" s="5">
        <v>291</v>
      </c>
      <c r="G527" s="28" t="s">
        <v>1723</v>
      </c>
      <c r="H527" s="6" t="s">
        <v>1821</v>
      </c>
      <c r="J527" s="5" t="s">
        <v>1728</v>
      </c>
      <c r="K527" s="27">
        <v>4.0669484000000011</v>
      </c>
      <c r="L527" s="27">
        <v>-17.703960504999998</v>
      </c>
      <c r="R527" s="27">
        <v>13.987317466235076</v>
      </c>
      <c r="S527" s="27">
        <v>2.8566318495787466</v>
      </c>
      <c r="V527" s="32">
        <v>43709</v>
      </c>
      <c r="W527" s="32">
        <v>6</v>
      </c>
      <c r="AA527" s="32">
        <v>29.76</v>
      </c>
      <c r="AB527" s="32">
        <v>-98.77</v>
      </c>
      <c r="AC527" s="32">
        <v>1710</v>
      </c>
    </row>
    <row r="528" spans="3:29" ht="19">
      <c r="C528" s="22" t="s">
        <v>581</v>
      </c>
      <c r="D528" s="22" t="s">
        <v>151</v>
      </c>
      <c r="E528" s="5">
        <v>41229</v>
      </c>
      <c r="F528" s="5">
        <v>11018</v>
      </c>
      <c r="G528" s="28" t="s">
        <v>1723</v>
      </c>
      <c r="H528" s="6" t="s">
        <v>1742</v>
      </c>
      <c r="J528" s="5" t="s">
        <v>1744</v>
      </c>
      <c r="K528" s="27">
        <v>6.8367091999999996</v>
      </c>
      <c r="L528" s="27">
        <v>-21.890554895000001</v>
      </c>
      <c r="R528" s="27">
        <v>14.561181892365486</v>
      </c>
      <c r="S528" s="27">
        <v>2.8464156616884542</v>
      </c>
      <c r="V528" s="32">
        <v>43709</v>
      </c>
      <c r="W528" s="32">
        <v>6</v>
      </c>
      <c r="X528" s="33" t="s">
        <v>3536</v>
      </c>
      <c r="Y528" s="32">
        <v>19574</v>
      </c>
      <c r="AA528" s="32">
        <v>30.13</v>
      </c>
      <c r="AB528" s="32">
        <v>-99.54</v>
      </c>
      <c r="AC528" s="32">
        <v>1710</v>
      </c>
    </row>
    <row r="529" spans="3:29" ht="19">
      <c r="C529" s="22" t="s">
        <v>581</v>
      </c>
      <c r="D529" s="22" t="s">
        <v>151</v>
      </c>
      <c r="E529" s="5">
        <v>41229</v>
      </c>
      <c r="F529" s="5">
        <v>722</v>
      </c>
      <c r="G529" s="28" t="s">
        <v>1723</v>
      </c>
      <c r="H529" s="6" t="s">
        <v>1742</v>
      </c>
      <c r="J529" s="5" t="s">
        <v>1728</v>
      </c>
      <c r="K529" s="27">
        <v>6.1505337000000004</v>
      </c>
      <c r="L529" s="27">
        <v>-14.685983333333331</v>
      </c>
      <c r="R529" s="27">
        <v>14.778624246045617</v>
      </c>
      <c r="S529" s="27">
        <v>2.8459610766438264</v>
      </c>
      <c r="V529" s="32">
        <v>43709</v>
      </c>
      <c r="W529" s="32">
        <v>6</v>
      </c>
      <c r="X529" s="33" t="s">
        <v>3532</v>
      </c>
      <c r="Y529" s="32">
        <v>4093</v>
      </c>
      <c r="AA529" s="32">
        <v>30.13</v>
      </c>
      <c r="AB529" s="32">
        <v>-99.54</v>
      </c>
      <c r="AC529" s="32">
        <v>1710</v>
      </c>
    </row>
    <row r="530" spans="3:29" ht="19">
      <c r="C530" s="22" t="s">
        <v>581</v>
      </c>
      <c r="D530" s="22" t="s">
        <v>151</v>
      </c>
      <c r="E530" s="5">
        <v>41229</v>
      </c>
      <c r="F530" s="5">
        <v>18012</v>
      </c>
      <c r="G530" s="28" t="s">
        <v>1723</v>
      </c>
      <c r="H530" s="6" t="s">
        <v>1742</v>
      </c>
      <c r="J530" s="5" t="s">
        <v>1744</v>
      </c>
      <c r="K530" s="27">
        <v>9.5926962000000007</v>
      </c>
      <c r="L530" s="27">
        <v>-11.925433333333331</v>
      </c>
      <c r="R530" s="27">
        <v>11.443241407123939</v>
      </c>
      <c r="S530" s="27">
        <v>2.8416278305552884</v>
      </c>
      <c r="V530" s="32">
        <v>43709</v>
      </c>
      <c r="W530" s="32">
        <v>6</v>
      </c>
      <c r="X530" s="33" t="s">
        <v>3535</v>
      </c>
      <c r="Y530" s="32">
        <v>11998</v>
      </c>
      <c r="AA530" s="32">
        <v>30.13</v>
      </c>
      <c r="AB530" s="32">
        <v>-99.54</v>
      </c>
      <c r="AC530" s="32">
        <v>1710</v>
      </c>
    </row>
    <row r="531" spans="3:29" ht="19">
      <c r="C531" s="22" t="s">
        <v>581</v>
      </c>
      <c r="D531" s="22" t="s">
        <v>151</v>
      </c>
      <c r="E531" s="5">
        <v>41229</v>
      </c>
      <c r="F531" s="5">
        <v>18019</v>
      </c>
      <c r="G531" s="28" t="s">
        <v>1723</v>
      </c>
      <c r="H531" s="6" t="s">
        <v>1742</v>
      </c>
      <c r="J531" s="5" t="s">
        <v>1744</v>
      </c>
      <c r="K531" s="27">
        <v>8.2545874000000001</v>
      </c>
      <c r="L531" s="27">
        <v>-21.801921140000001</v>
      </c>
      <c r="R531" s="27">
        <v>14.232299774596807</v>
      </c>
      <c r="S531" s="27">
        <v>2.8406246524273708</v>
      </c>
      <c r="V531" s="32">
        <v>43709</v>
      </c>
      <c r="W531" s="32">
        <v>6</v>
      </c>
      <c r="X531" s="33" t="s">
        <v>3515</v>
      </c>
      <c r="Y531" s="32">
        <v>12327</v>
      </c>
      <c r="AA531" s="32">
        <v>30.13</v>
      </c>
      <c r="AB531" s="32">
        <v>-99.54</v>
      </c>
      <c r="AC531" s="32">
        <v>1710</v>
      </c>
    </row>
    <row r="532" spans="3:29" ht="19">
      <c r="C532" s="22" t="s">
        <v>581</v>
      </c>
      <c r="D532" s="22" t="s">
        <v>151</v>
      </c>
      <c r="E532" s="5">
        <v>41229</v>
      </c>
      <c r="F532" s="5">
        <v>17970</v>
      </c>
      <c r="G532" s="28" t="s">
        <v>1723</v>
      </c>
      <c r="H532" s="6" t="s">
        <v>1742</v>
      </c>
      <c r="J532" s="5" t="s">
        <v>1728</v>
      </c>
      <c r="K532" s="27">
        <v>10.070794400000002</v>
      </c>
      <c r="L532" s="27">
        <v>-10.582649999999999</v>
      </c>
      <c r="R532" s="27">
        <v>10.860691359374552</v>
      </c>
      <c r="S532" s="27">
        <v>2.8402507748429211</v>
      </c>
      <c r="V532" s="32">
        <v>43709</v>
      </c>
      <c r="W532" s="32">
        <v>6</v>
      </c>
      <c r="X532" s="33" t="s">
        <v>3537</v>
      </c>
      <c r="Y532" s="32">
        <v>11339</v>
      </c>
      <c r="AA532" s="32">
        <v>30.13</v>
      </c>
      <c r="AB532" s="32">
        <v>-99.54</v>
      </c>
      <c r="AC532" s="32">
        <v>1710</v>
      </c>
    </row>
    <row r="533" spans="3:29" ht="19">
      <c r="C533" s="22" t="s">
        <v>581</v>
      </c>
      <c r="D533" s="22" t="s">
        <v>151</v>
      </c>
      <c r="E533" s="5">
        <v>41229</v>
      </c>
      <c r="F533" s="5">
        <v>225</v>
      </c>
      <c r="G533" s="28" t="s">
        <v>1723</v>
      </c>
      <c r="H533" s="6" t="s">
        <v>1742</v>
      </c>
      <c r="J533" s="5" t="s">
        <v>1728</v>
      </c>
      <c r="K533" s="27">
        <v>7.2856824000000007</v>
      </c>
      <c r="L533" s="27">
        <v>-15.36798333333333</v>
      </c>
      <c r="R533" s="27">
        <v>15.22185395782809</v>
      </c>
      <c r="S533" s="27">
        <v>2.8399921439436611</v>
      </c>
      <c r="V533" s="32">
        <v>43709</v>
      </c>
      <c r="W533" s="32">
        <v>6</v>
      </c>
      <c r="X533" s="33" t="s">
        <v>3503</v>
      </c>
      <c r="Y533" s="32">
        <v>10680</v>
      </c>
      <c r="AA533" s="32">
        <v>30.13</v>
      </c>
      <c r="AB533" s="32">
        <v>-99.54</v>
      </c>
      <c r="AC533" s="32">
        <v>1710</v>
      </c>
    </row>
    <row r="534" spans="3:29">
      <c r="C534" s="22" t="s">
        <v>581</v>
      </c>
      <c r="D534" s="22" t="s">
        <v>151</v>
      </c>
      <c r="E534" s="5">
        <v>43133</v>
      </c>
      <c r="F534" s="5">
        <v>274</v>
      </c>
      <c r="G534" s="28" t="s">
        <v>1723</v>
      </c>
      <c r="H534" s="6" t="s">
        <v>1821</v>
      </c>
      <c r="J534" s="5" t="s">
        <v>1728</v>
      </c>
      <c r="K534" s="27">
        <v>6.6738416000000012</v>
      </c>
      <c r="L534" s="27">
        <v>-17.547046990000002</v>
      </c>
      <c r="R534" s="27">
        <v>14.9268987418204</v>
      </c>
      <c r="S534" s="27">
        <v>2.8382528559388356</v>
      </c>
      <c r="V534" s="32">
        <v>43709</v>
      </c>
      <c r="W534" s="32">
        <v>6</v>
      </c>
      <c r="AA534" s="32">
        <v>29.76</v>
      </c>
      <c r="AB534" s="32">
        <v>-98.77</v>
      </c>
      <c r="AC534" s="32">
        <v>1710</v>
      </c>
    </row>
    <row r="535" spans="3:29">
      <c r="C535" s="22" t="s">
        <v>581</v>
      </c>
      <c r="D535" s="22" t="s">
        <v>151</v>
      </c>
      <c r="E535" s="5">
        <v>43133</v>
      </c>
      <c r="F535" s="5">
        <v>1409</v>
      </c>
      <c r="G535" s="28" t="s">
        <v>1723</v>
      </c>
      <c r="H535" s="6" t="s">
        <v>1821</v>
      </c>
      <c r="J535" s="5" t="s">
        <v>1728</v>
      </c>
      <c r="K535" s="27">
        <v>2.7984020000000003</v>
      </c>
      <c r="L535" s="27">
        <v>-18.076599749999996</v>
      </c>
      <c r="R535" s="27">
        <v>14.697062362556728</v>
      </c>
      <c r="S535" s="27">
        <v>2.8368920070801682</v>
      </c>
      <c r="V535" s="32">
        <v>43709</v>
      </c>
      <c r="W535" s="32">
        <v>6</v>
      </c>
      <c r="AA535" s="32">
        <v>29.76</v>
      </c>
      <c r="AB535" s="32">
        <v>-98.77</v>
      </c>
      <c r="AC535" s="32">
        <v>1710</v>
      </c>
    </row>
    <row r="536" spans="3:29" ht="19">
      <c r="C536" s="22" t="s">
        <v>581</v>
      </c>
      <c r="D536" s="22" t="s">
        <v>151</v>
      </c>
      <c r="E536" s="5">
        <v>41229</v>
      </c>
      <c r="F536" s="5">
        <v>18015</v>
      </c>
      <c r="G536" s="28" t="s">
        <v>1723</v>
      </c>
      <c r="H536" s="6" t="s">
        <v>1742</v>
      </c>
      <c r="J536" s="5" t="s">
        <v>1744</v>
      </c>
      <c r="K536" s="27">
        <v>7.9720750999999996</v>
      </c>
      <c r="L536" s="27">
        <v>-10.829183333333329</v>
      </c>
      <c r="R536" s="27">
        <v>13.665138717864711</v>
      </c>
      <c r="S536" s="27">
        <v>2.8364391809700438</v>
      </c>
      <c r="V536" s="32">
        <v>43709</v>
      </c>
      <c r="W536" s="32">
        <v>6</v>
      </c>
      <c r="X536" s="33" t="s">
        <v>3515</v>
      </c>
      <c r="Y536" s="32">
        <v>12327</v>
      </c>
      <c r="AA536" s="32">
        <v>30.13</v>
      </c>
      <c r="AB536" s="32">
        <v>-99.54</v>
      </c>
      <c r="AC536" s="32">
        <v>1710</v>
      </c>
    </row>
    <row r="537" spans="3:29" ht="19">
      <c r="C537" s="22" t="s">
        <v>581</v>
      </c>
      <c r="D537" s="22" t="s">
        <v>151</v>
      </c>
      <c r="E537" s="5">
        <v>41229</v>
      </c>
      <c r="F537" s="5">
        <v>18026</v>
      </c>
      <c r="G537" s="28" t="s">
        <v>1723</v>
      </c>
      <c r="H537" s="6" t="s">
        <v>1742</v>
      </c>
      <c r="J537" s="5" t="s">
        <v>1744</v>
      </c>
      <c r="K537" s="27">
        <v>6.2351854000000007</v>
      </c>
      <c r="L537" s="27">
        <v>-20.75076134</v>
      </c>
      <c r="R537" s="27">
        <v>11.944572644699576</v>
      </c>
      <c r="S537" s="27">
        <v>2.8356808635466186</v>
      </c>
      <c r="V537" s="32">
        <v>43709</v>
      </c>
      <c r="W537" s="32">
        <v>6</v>
      </c>
      <c r="X537" s="33" t="s">
        <v>3510</v>
      </c>
      <c r="Y537" s="32">
        <v>12656</v>
      </c>
      <c r="AA537" s="32">
        <v>30.13</v>
      </c>
      <c r="AB537" s="32">
        <v>-99.54</v>
      </c>
      <c r="AC537" s="32">
        <v>1710</v>
      </c>
    </row>
    <row r="538" spans="3:29" ht="19">
      <c r="C538" s="22" t="s">
        <v>581</v>
      </c>
      <c r="D538" s="22" t="s">
        <v>151</v>
      </c>
      <c r="E538" s="5">
        <v>41229</v>
      </c>
      <c r="F538" s="5">
        <v>17912</v>
      </c>
      <c r="G538" s="28" t="s">
        <v>1723</v>
      </c>
      <c r="H538" s="6" t="s">
        <v>1742</v>
      </c>
      <c r="J538" s="5" t="s">
        <v>1728</v>
      </c>
      <c r="K538" s="27">
        <v>4.1821095999999987</v>
      </c>
      <c r="L538" s="27">
        <v>-14.887799999999999</v>
      </c>
      <c r="R538" s="27">
        <v>15.128381467157325</v>
      </c>
      <c r="S538" s="27">
        <v>2.8315293867064311</v>
      </c>
      <c r="V538" s="32">
        <v>43709</v>
      </c>
      <c r="W538" s="32">
        <v>6</v>
      </c>
      <c r="X538" s="33" t="s">
        <v>3538</v>
      </c>
      <c r="Y538" s="32">
        <v>5410</v>
      </c>
      <c r="AA538" s="32">
        <v>30.13</v>
      </c>
      <c r="AB538" s="32">
        <v>-99.54</v>
      </c>
      <c r="AC538" s="32">
        <v>1710</v>
      </c>
    </row>
    <row r="539" spans="3:29" ht="19">
      <c r="C539" s="22" t="s">
        <v>581</v>
      </c>
      <c r="D539" s="22" t="s">
        <v>151</v>
      </c>
      <c r="E539" s="5">
        <v>41229</v>
      </c>
      <c r="F539" s="5">
        <v>18021</v>
      </c>
      <c r="G539" s="28" t="s">
        <v>1723</v>
      </c>
      <c r="H539" s="6" t="s">
        <v>1742</v>
      </c>
      <c r="J539" s="5" t="s">
        <v>1744</v>
      </c>
      <c r="K539" s="27">
        <v>11.882346999999999</v>
      </c>
      <c r="L539" s="27">
        <v>-8.7352999999999987</v>
      </c>
      <c r="R539" s="27">
        <v>11.189139705426816</v>
      </c>
      <c r="S539" s="27">
        <v>2.8294219193449619</v>
      </c>
      <c r="V539" s="32">
        <v>43709</v>
      </c>
      <c r="W539" s="32">
        <v>6</v>
      </c>
      <c r="X539" s="33" t="s">
        <v>3396</v>
      </c>
      <c r="Y539" s="32">
        <v>15330</v>
      </c>
      <c r="AA539" s="32">
        <v>30.13</v>
      </c>
      <c r="AB539" s="32">
        <v>-99.54</v>
      </c>
      <c r="AC539" s="32">
        <v>1710</v>
      </c>
    </row>
    <row r="540" spans="3:29" ht="19">
      <c r="C540" s="22" t="s">
        <v>581</v>
      </c>
      <c r="D540" s="22" t="s">
        <v>151</v>
      </c>
      <c r="E540" s="5">
        <v>41229</v>
      </c>
      <c r="F540" s="5">
        <v>17961</v>
      </c>
      <c r="G540" s="28" t="s">
        <v>1723</v>
      </c>
      <c r="H540" s="6" t="s">
        <v>1742</v>
      </c>
      <c r="J540" s="5" t="s">
        <v>1728</v>
      </c>
      <c r="K540" s="27">
        <v>4.1241664</v>
      </c>
      <c r="L540" s="27">
        <v>-17.750332880000002</v>
      </c>
      <c r="R540" s="27">
        <v>15.581269013659501</v>
      </c>
      <c r="S540" s="27">
        <v>2.8229483199838374</v>
      </c>
      <c r="V540" s="32">
        <v>43709</v>
      </c>
      <c r="W540" s="32">
        <v>6</v>
      </c>
      <c r="X540" s="33" t="s">
        <v>3533</v>
      </c>
      <c r="Y540" s="32">
        <v>6069</v>
      </c>
      <c r="AA540" s="32">
        <v>30.13</v>
      </c>
      <c r="AB540" s="32">
        <v>-99.54</v>
      </c>
      <c r="AC540" s="32">
        <v>1710</v>
      </c>
    </row>
    <row r="541" spans="3:29" ht="19">
      <c r="C541" s="22" t="s">
        <v>581</v>
      </c>
      <c r="D541" s="22" t="s">
        <v>151</v>
      </c>
      <c r="E541" s="5">
        <v>41229</v>
      </c>
      <c r="F541" s="5">
        <v>17957</v>
      </c>
      <c r="G541" s="28" t="s">
        <v>1723</v>
      </c>
      <c r="H541" s="6" t="s">
        <v>1742</v>
      </c>
      <c r="J541" s="5" t="s">
        <v>1728</v>
      </c>
      <c r="K541" s="27">
        <v>4.2203935000000001</v>
      </c>
      <c r="L541" s="27">
        <v>-15.126999999999999</v>
      </c>
      <c r="R541" s="27">
        <v>13.772991938751893</v>
      </c>
      <c r="S541" s="27">
        <v>2.8224359080145462</v>
      </c>
      <c r="V541" s="32">
        <v>43709</v>
      </c>
      <c r="W541" s="32">
        <v>6</v>
      </c>
      <c r="X541" s="33" t="s">
        <v>3533</v>
      </c>
      <c r="Y541" s="32">
        <v>6069</v>
      </c>
      <c r="AA541" s="32">
        <v>30.13</v>
      </c>
      <c r="AB541" s="32">
        <v>-99.54</v>
      </c>
      <c r="AC541" s="32">
        <v>1710</v>
      </c>
    </row>
    <row r="542" spans="3:29" ht="19">
      <c r="C542" s="22" t="s">
        <v>581</v>
      </c>
      <c r="D542" s="22" t="s">
        <v>151</v>
      </c>
      <c r="E542" s="5">
        <v>41229</v>
      </c>
      <c r="F542" s="5">
        <v>2893</v>
      </c>
      <c r="G542" s="28" t="s">
        <v>1723</v>
      </c>
      <c r="H542" s="6" t="s">
        <v>1742</v>
      </c>
      <c r="J542" s="5" t="s">
        <v>1728</v>
      </c>
      <c r="K542" s="27">
        <v>4.5300145900000004</v>
      </c>
      <c r="L542" s="27">
        <v>-19.88843177</v>
      </c>
      <c r="R542" s="27">
        <v>13.185042481226432</v>
      </c>
      <c r="S542" s="27">
        <v>2.822340700294788</v>
      </c>
      <c r="V542" s="32">
        <v>43709</v>
      </c>
      <c r="W542" s="32">
        <v>6</v>
      </c>
      <c r="X542" s="33" t="s">
        <v>3539</v>
      </c>
      <c r="Y542" s="32">
        <v>3434</v>
      </c>
      <c r="AA542" s="32">
        <v>30.13</v>
      </c>
      <c r="AB542" s="32">
        <v>-99.54</v>
      </c>
      <c r="AC542" s="32">
        <v>1710</v>
      </c>
    </row>
    <row r="543" spans="3:29" ht="19">
      <c r="C543" s="22" t="s">
        <v>581</v>
      </c>
      <c r="D543" s="22" t="s">
        <v>151</v>
      </c>
      <c r="E543" s="5">
        <v>41229</v>
      </c>
      <c r="F543" s="5">
        <v>17959</v>
      </c>
      <c r="G543" s="28" t="s">
        <v>1723</v>
      </c>
      <c r="H543" s="6" t="s">
        <v>1742</v>
      </c>
      <c r="J543" s="5" t="s">
        <v>1728</v>
      </c>
      <c r="K543" s="27">
        <v>4.7211882999999997</v>
      </c>
      <c r="L543" s="27">
        <v>-11.260999999999999</v>
      </c>
      <c r="R543" s="27">
        <v>15.448396659142372</v>
      </c>
      <c r="S543" s="27">
        <v>2.8196681499111178</v>
      </c>
      <c r="V543" s="32">
        <v>43709</v>
      </c>
      <c r="W543" s="32">
        <v>6</v>
      </c>
      <c r="X543" s="33" t="s">
        <v>3533</v>
      </c>
      <c r="Y543" s="32">
        <v>6069</v>
      </c>
      <c r="AA543" s="32">
        <v>30.13</v>
      </c>
      <c r="AB543" s="32">
        <v>-99.54</v>
      </c>
      <c r="AC543" s="32">
        <v>1710</v>
      </c>
    </row>
    <row r="544" spans="3:29" ht="19">
      <c r="C544" s="22" t="s">
        <v>581</v>
      </c>
      <c r="D544" s="22" t="s">
        <v>151</v>
      </c>
      <c r="E544" s="5">
        <v>41229</v>
      </c>
      <c r="F544" s="5">
        <v>17962</v>
      </c>
      <c r="G544" s="28" t="s">
        <v>1723</v>
      </c>
      <c r="H544" s="6" t="s">
        <v>1742</v>
      </c>
      <c r="J544" s="5" t="s">
        <v>1728</v>
      </c>
      <c r="K544" s="27">
        <v>3.0936051999999998</v>
      </c>
      <c r="L544" s="27">
        <v>-15.63185</v>
      </c>
      <c r="R544" s="27">
        <v>12.678805373778838</v>
      </c>
      <c r="S544" s="27">
        <v>2.8172238052450451</v>
      </c>
      <c r="V544" s="32">
        <v>43709</v>
      </c>
      <c r="W544" s="32">
        <v>6</v>
      </c>
      <c r="X544" s="33" t="s">
        <v>3540</v>
      </c>
      <c r="Y544" s="32">
        <v>6398</v>
      </c>
      <c r="AA544" s="32">
        <v>30.13</v>
      </c>
      <c r="AB544" s="32">
        <v>-99.54</v>
      </c>
      <c r="AC544" s="32">
        <v>1710</v>
      </c>
    </row>
    <row r="545" spans="1:31" ht="19">
      <c r="C545" s="22" t="s">
        <v>581</v>
      </c>
      <c r="D545" s="22" t="s">
        <v>151</v>
      </c>
      <c r="E545" s="5">
        <v>41229</v>
      </c>
      <c r="F545" s="5">
        <v>18030</v>
      </c>
      <c r="G545" s="28" t="s">
        <v>1723</v>
      </c>
      <c r="H545" s="6" t="s">
        <v>1742</v>
      </c>
      <c r="J545" s="5" t="s">
        <v>1744</v>
      </c>
      <c r="K545" s="27">
        <v>5.6979451000000001</v>
      </c>
      <c r="L545" s="27">
        <v>-21.873209990000003</v>
      </c>
      <c r="R545" s="27">
        <v>7.6299817134435273</v>
      </c>
      <c r="S545" s="27">
        <v>2.8117939643356005</v>
      </c>
      <c r="V545" s="32">
        <v>43709</v>
      </c>
      <c r="W545" s="32">
        <v>6</v>
      </c>
      <c r="X545" s="33" t="s">
        <v>3527</v>
      </c>
      <c r="Y545" s="32">
        <v>15448</v>
      </c>
      <c r="AA545" s="32">
        <v>30.13</v>
      </c>
      <c r="AB545" s="32">
        <v>-99.54</v>
      </c>
      <c r="AC545" s="32">
        <v>1710</v>
      </c>
    </row>
    <row r="546" spans="1:31" ht="19">
      <c r="C546" s="22" t="s">
        <v>581</v>
      </c>
      <c r="D546" s="22" t="s">
        <v>151</v>
      </c>
      <c r="E546" s="5">
        <v>41229</v>
      </c>
      <c r="F546" s="5">
        <v>2897</v>
      </c>
      <c r="G546" s="28" t="s">
        <v>1723</v>
      </c>
      <c r="H546" s="6" t="s">
        <v>1742</v>
      </c>
      <c r="J546" s="5" t="s">
        <v>1728</v>
      </c>
      <c r="K546" s="27">
        <v>4.7470558</v>
      </c>
      <c r="L546" s="27">
        <v>-16.350349999999999</v>
      </c>
      <c r="R546" s="27">
        <v>15.075207879654688</v>
      </c>
      <c r="S546" s="27">
        <v>2.8098738939332493</v>
      </c>
      <c r="V546" s="32">
        <v>43709</v>
      </c>
      <c r="W546" s="32">
        <v>6</v>
      </c>
      <c r="X546" s="33" t="s">
        <v>3539</v>
      </c>
      <c r="Y546" s="32">
        <v>3434</v>
      </c>
      <c r="AA546" s="32">
        <v>30.13</v>
      </c>
      <c r="AB546" s="32">
        <v>-99.54</v>
      </c>
      <c r="AC546" s="32">
        <v>1710</v>
      </c>
    </row>
    <row r="547" spans="1:31" ht="19">
      <c r="C547" s="22" t="s">
        <v>581</v>
      </c>
      <c r="D547" s="22" t="s">
        <v>151</v>
      </c>
      <c r="E547" s="5">
        <v>41229</v>
      </c>
      <c r="F547" s="5">
        <v>18028</v>
      </c>
      <c r="G547" s="28" t="s">
        <v>1723</v>
      </c>
      <c r="H547" s="6" t="s">
        <v>1742</v>
      </c>
      <c r="J547" s="5" t="s">
        <v>1744</v>
      </c>
      <c r="K547" s="27">
        <v>6.4765796000000009</v>
      </c>
      <c r="L547" s="27">
        <v>-19.312967520000001</v>
      </c>
      <c r="R547" s="27">
        <v>13.522543397478978</v>
      </c>
      <c r="S547" s="27">
        <v>2.8097000759535344</v>
      </c>
      <c r="V547" s="32">
        <v>43709</v>
      </c>
      <c r="W547" s="32">
        <v>6</v>
      </c>
      <c r="X547" s="33" t="s">
        <v>3370</v>
      </c>
      <c r="Y547" s="32">
        <v>13315</v>
      </c>
      <c r="AA547" s="32">
        <v>30.13</v>
      </c>
      <c r="AB547" s="32">
        <v>-99.54</v>
      </c>
      <c r="AC547" s="32">
        <v>1710</v>
      </c>
    </row>
    <row r="548" spans="1:31" ht="19">
      <c r="C548" s="22" t="s">
        <v>581</v>
      </c>
      <c r="D548" s="22" t="s">
        <v>151</v>
      </c>
      <c r="E548" s="5">
        <v>41229</v>
      </c>
      <c r="F548" s="5">
        <v>19675</v>
      </c>
      <c r="G548" s="28" t="s">
        <v>1723</v>
      </c>
      <c r="H548" s="6" t="s">
        <v>1742</v>
      </c>
      <c r="J548" s="5" t="s">
        <v>1744</v>
      </c>
      <c r="K548" s="27">
        <v>3.3139962999999999</v>
      </c>
      <c r="L548" s="27">
        <v>-20.231567295000001</v>
      </c>
      <c r="R548" s="27">
        <v>14.906182768299722</v>
      </c>
      <c r="S548" s="27">
        <v>2.8070854213262564</v>
      </c>
      <c r="V548" s="32">
        <v>43709</v>
      </c>
      <c r="W548" s="32">
        <v>6</v>
      </c>
      <c r="X548" s="33" t="s">
        <v>3541</v>
      </c>
      <c r="Y548" s="32">
        <v>21224</v>
      </c>
      <c r="AA548" s="32">
        <v>30.13</v>
      </c>
      <c r="AB548" s="32">
        <v>-99.54</v>
      </c>
      <c r="AC548" s="32">
        <v>1710</v>
      </c>
    </row>
    <row r="549" spans="1:31" ht="19">
      <c r="C549" s="22" t="s">
        <v>581</v>
      </c>
      <c r="D549" s="22" t="s">
        <v>151</v>
      </c>
      <c r="E549" s="5">
        <v>41229</v>
      </c>
      <c r="F549" s="5">
        <v>17915</v>
      </c>
      <c r="G549" s="28" t="s">
        <v>1723</v>
      </c>
      <c r="H549" s="6" t="s">
        <v>1742</v>
      </c>
      <c r="J549" s="5" t="s">
        <v>1728</v>
      </c>
      <c r="K549" s="27">
        <v>4.0010370999999996</v>
      </c>
      <c r="L549" s="27">
        <v>-15.171749999999999</v>
      </c>
      <c r="R549" s="27">
        <v>13.563701562410557</v>
      </c>
      <c r="S549" s="27">
        <v>2.8051612980291929</v>
      </c>
      <c r="V549" s="32">
        <v>43709</v>
      </c>
      <c r="W549" s="32">
        <v>6</v>
      </c>
      <c r="X549" s="33" t="s">
        <v>3538</v>
      </c>
      <c r="Y549" s="32">
        <v>5410</v>
      </c>
      <c r="AA549" s="32">
        <v>30.13</v>
      </c>
      <c r="AB549" s="32">
        <v>-99.54</v>
      </c>
      <c r="AC549" s="32">
        <v>1710</v>
      </c>
    </row>
    <row r="550" spans="1:31" ht="19">
      <c r="C550" s="22" t="s">
        <v>581</v>
      </c>
      <c r="D550" s="22" t="s">
        <v>151</v>
      </c>
      <c r="E550" s="5">
        <v>41229</v>
      </c>
      <c r="F550" s="5">
        <v>352</v>
      </c>
      <c r="G550" s="28" t="s">
        <v>1723</v>
      </c>
      <c r="H550" s="6" t="s">
        <v>1742</v>
      </c>
      <c r="J550" s="5" t="s">
        <v>1744</v>
      </c>
      <c r="K550" s="27">
        <v>10.647272800000001</v>
      </c>
      <c r="L550" s="27">
        <v>-11.835283333333331</v>
      </c>
      <c r="R550" s="27">
        <v>14.980073152585012</v>
      </c>
      <c r="S550" s="27">
        <v>2.8048946905085685</v>
      </c>
      <c r="V550" s="32">
        <v>43709</v>
      </c>
      <c r="W550" s="32">
        <v>6</v>
      </c>
      <c r="X550" s="33" t="s">
        <v>3542</v>
      </c>
      <c r="Y550" s="32">
        <v>12656</v>
      </c>
      <c r="AA550" s="32">
        <v>30.13</v>
      </c>
      <c r="AB550" s="32">
        <v>-99.54</v>
      </c>
      <c r="AC550" s="32">
        <v>1710</v>
      </c>
    </row>
    <row r="551" spans="1:31" ht="19">
      <c r="C551" s="22" t="s">
        <v>581</v>
      </c>
      <c r="D551" s="22" t="s">
        <v>151</v>
      </c>
      <c r="E551" s="5">
        <v>41229</v>
      </c>
      <c r="F551" s="5">
        <v>17910</v>
      </c>
      <c r="G551" s="28" t="s">
        <v>1723</v>
      </c>
      <c r="H551" s="6" t="s">
        <v>1742</v>
      </c>
      <c r="J551" s="5" t="s">
        <v>1728</v>
      </c>
      <c r="K551" s="27">
        <v>6.0425001999999992</v>
      </c>
      <c r="L551" s="27">
        <v>-17.023217700000004</v>
      </c>
      <c r="R551" s="27">
        <v>15.682131461892546</v>
      </c>
      <c r="S551" s="27">
        <v>2.8041390601965985</v>
      </c>
      <c r="V551" s="32">
        <v>43709</v>
      </c>
      <c r="W551" s="32">
        <v>6</v>
      </c>
      <c r="X551" s="33" t="s">
        <v>3543</v>
      </c>
      <c r="Y551" s="32">
        <v>5081</v>
      </c>
      <c r="AA551" s="32">
        <v>30.13</v>
      </c>
      <c r="AB551" s="32">
        <v>-99.54</v>
      </c>
      <c r="AC551" s="32">
        <v>1710</v>
      </c>
    </row>
    <row r="552" spans="1:31" ht="19">
      <c r="C552" s="22" t="s">
        <v>581</v>
      </c>
      <c r="D552" s="22" t="s">
        <v>151</v>
      </c>
      <c r="E552" s="5">
        <v>41229</v>
      </c>
      <c r="F552" s="5">
        <v>1822</v>
      </c>
      <c r="G552" s="28" t="s">
        <v>1723</v>
      </c>
      <c r="H552" s="6" t="s">
        <v>1742</v>
      </c>
      <c r="J552" s="5" t="s">
        <v>1728</v>
      </c>
      <c r="K552" s="27">
        <v>4.3177734000000001</v>
      </c>
      <c r="L552" s="27">
        <v>-21.991527850000001</v>
      </c>
      <c r="R552" s="27">
        <v>11.014666096277528</v>
      </c>
      <c r="S552" s="27">
        <v>2.8022667273616482</v>
      </c>
      <c r="V552" s="32">
        <v>43709</v>
      </c>
      <c r="W552" s="32">
        <v>6</v>
      </c>
      <c r="X552" s="33" t="s">
        <v>3365</v>
      </c>
      <c r="Y552" s="32">
        <v>10680</v>
      </c>
      <c r="AA552" s="32">
        <v>30.13</v>
      </c>
      <c r="AB552" s="32">
        <v>-99.54</v>
      </c>
      <c r="AC552" s="32">
        <v>1710</v>
      </c>
    </row>
    <row r="553" spans="1:31" ht="19">
      <c r="C553" s="22" t="s">
        <v>581</v>
      </c>
      <c r="D553" s="22" t="s">
        <v>151</v>
      </c>
      <c r="E553" s="5">
        <v>41229</v>
      </c>
      <c r="F553" s="5">
        <v>17965</v>
      </c>
      <c r="G553" s="28" t="s">
        <v>1723</v>
      </c>
      <c r="H553" s="6" t="s">
        <v>1742</v>
      </c>
      <c r="J553" s="5" t="s">
        <v>1728</v>
      </c>
      <c r="K553" s="27">
        <v>4.9798632999999999</v>
      </c>
      <c r="L553" s="27">
        <v>-8.9997999999999987</v>
      </c>
      <c r="R553" s="27">
        <v>15.695962338903296</v>
      </c>
      <c r="S553" s="27">
        <v>2.8008090642977841</v>
      </c>
      <c r="V553" s="32">
        <v>43709</v>
      </c>
      <c r="W553" s="32">
        <v>6</v>
      </c>
      <c r="X553" s="33" t="s">
        <v>3366</v>
      </c>
      <c r="Y553" s="32">
        <v>7716</v>
      </c>
      <c r="AA553" s="32">
        <v>30.13</v>
      </c>
      <c r="AB553" s="32">
        <v>-99.54</v>
      </c>
      <c r="AC553" s="32">
        <v>1710</v>
      </c>
    </row>
    <row r="554" spans="1:31" s="14" customFormat="1" ht="19">
      <c r="A554" s="5"/>
      <c r="B554" s="5"/>
      <c r="C554" s="22" t="s">
        <v>581</v>
      </c>
      <c r="D554" s="22" t="s">
        <v>151</v>
      </c>
      <c r="E554" s="5">
        <v>41229</v>
      </c>
      <c r="F554" s="5">
        <v>17964</v>
      </c>
      <c r="G554" s="28" t="s">
        <v>1723</v>
      </c>
      <c r="H554" s="6" t="s">
        <v>1742</v>
      </c>
      <c r="I554" s="6"/>
      <c r="J554" s="5" t="s">
        <v>1728</v>
      </c>
      <c r="K554" s="27">
        <v>5.1785256999999998</v>
      </c>
      <c r="L554" s="27">
        <v>-10.832849999999999</v>
      </c>
      <c r="M554" s="56"/>
      <c r="N554" s="56"/>
      <c r="O554" s="27"/>
      <c r="P554" s="5"/>
      <c r="Q554" s="27"/>
      <c r="R554" s="27">
        <v>15.731393184048269</v>
      </c>
      <c r="S554" s="27">
        <v>2.7967665327538063</v>
      </c>
      <c r="T554" s="5"/>
      <c r="U554" s="24"/>
      <c r="V554" s="32">
        <v>43709</v>
      </c>
      <c r="W554" s="32">
        <v>6</v>
      </c>
      <c r="X554" s="33" t="s">
        <v>3366</v>
      </c>
      <c r="Y554" s="32">
        <v>7716</v>
      </c>
      <c r="Z554" s="31"/>
      <c r="AA554" s="32">
        <v>30.13</v>
      </c>
      <c r="AB554" s="32">
        <v>-99.54</v>
      </c>
      <c r="AC554" s="32">
        <v>1710</v>
      </c>
      <c r="AD554" s="45"/>
      <c r="AE554" s="45"/>
    </row>
    <row r="555" spans="1:31" ht="19">
      <c r="C555" s="22" t="s">
        <v>581</v>
      </c>
      <c r="D555" s="22" t="s">
        <v>151</v>
      </c>
      <c r="E555" s="5">
        <v>41229</v>
      </c>
      <c r="F555" s="5">
        <v>2563</v>
      </c>
      <c r="G555" s="28" t="s">
        <v>1723</v>
      </c>
      <c r="H555" s="6" t="s">
        <v>1742</v>
      </c>
      <c r="J555" s="5" t="s">
        <v>1728</v>
      </c>
      <c r="K555" s="27">
        <v>6.7160899000000001</v>
      </c>
      <c r="L555" s="27">
        <v>-15.69145</v>
      </c>
      <c r="R555" s="27">
        <v>14.986416835697723</v>
      </c>
      <c r="S555" s="27">
        <v>2.7933701309713475</v>
      </c>
      <c r="V555" s="32">
        <v>43709</v>
      </c>
      <c r="W555" s="32">
        <v>6</v>
      </c>
      <c r="X555" s="33" t="s">
        <v>3366</v>
      </c>
      <c r="Y555" s="32">
        <v>7716</v>
      </c>
      <c r="AA555" s="32">
        <v>30.13</v>
      </c>
      <c r="AB555" s="32">
        <v>-99.54</v>
      </c>
      <c r="AC555" s="32">
        <v>1710</v>
      </c>
    </row>
    <row r="556" spans="1:31" ht="19">
      <c r="C556" s="22" t="s">
        <v>581</v>
      </c>
      <c r="D556" s="22" t="s">
        <v>151</v>
      </c>
      <c r="E556" s="5">
        <v>41229</v>
      </c>
      <c r="F556" s="5">
        <v>18025</v>
      </c>
      <c r="G556" s="28" t="s">
        <v>1723</v>
      </c>
      <c r="H556" s="6" t="s">
        <v>1742</v>
      </c>
      <c r="J556" s="5" t="s">
        <v>1744</v>
      </c>
      <c r="K556" s="27">
        <v>7.552127500000001</v>
      </c>
      <c r="L556" s="27">
        <v>-18.977084780000002</v>
      </c>
      <c r="R556" s="27">
        <v>14.467552488759781</v>
      </c>
      <c r="S556" s="27">
        <v>2.7928610720416711</v>
      </c>
      <c r="V556" s="32">
        <v>43709</v>
      </c>
      <c r="W556" s="32">
        <v>6</v>
      </c>
      <c r="X556" s="33" t="s">
        <v>3510</v>
      </c>
      <c r="Y556" s="32">
        <v>12656</v>
      </c>
      <c r="AA556" s="32">
        <v>30.13</v>
      </c>
      <c r="AB556" s="32">
        <v>-99.54</v>
      </c>
      <c r="AC556" s="32">
        <v>1710</v>
      </c>
    </row>
    <row r="557" spans="1:31" ht="19">
      <c r="C557" s="22" t="s">
        <v>581</v>
      </c>
      <c r="D557" s="22" t="s">
        <v>151</v>
      </c>
      <c r="E557" s="5">
        <v>41229</v>
      </c>
      <c r="F557" s="5">
        <v>743</v>
      </c>
      <c r="G557" s="28" t="s">
        <v>1723</v>
      </c>
      <c r="H557" s="6" t="s">
        <v>1742</v>
      </c>
      <c r="J557" s="5" t="s">
        <v>1744</v>
      </c>
      <c r="K557" s="27">
        <v>7.9690154</v>
      </c>
      <c r="L557" s="27">
        <v>-14.661333333333332</v>
      </c>
      <c r="R557" s="27">
        <v>14.599699006556902</v>
      </c>
      <c r="S557" s="27">
        <v>2.7924659056860475</v>
      </c>
      <c r="V557" s="32">
        <v>43709</v>
      </c>
      <c r="W557" s="32">
        <v>6</v>
      </c>
      <c r="X557" s="33" t="s">
        <v>3535</v>
      </c>
      <c r="Y557" s="32">
        <v>11998</v>
      </c>
      <c r="AA557" s="32">
        <v>30.13</v>
      </c>
      <c r="AB557" s="32">
        <v>-99.54</v>
      </c>
      <c r="AC557" s="32">
        <v>1710</v>
      </c>
    </row>
    <row r="558" spans="1:31" ht="19">
      <c r="C558" s="22" t="s">
        <v>581</v>
      </c>
      <c r="D558" s="22" t="s">
        <v>151</v>
      </c>
      <c r="E558" s="5">
        <v>41229</v>
      </c>
      <c r="F558" s="5">
        <v>15088</v>
      </c>
      <c r="G558" s="28" t="s">
        <v>1723</v>
      </c>
      <c r="H558" s="6" t="s">
        <v>1742</v>
      </c>
      <c r="J558" s="5" t="s">
        <v>1728</v>
      </c>
      <c r="K558" s="27">
        <v>4.2028035999999993</v>
      </c>
      <c r="L558" s="27">
        <v>-15.4504</v>
      </c>
      <c r="R558" s="27">
        <v>15.703706740600285</v>
      </c>
      <c r="S558" s="27">
        <v>2.7879219105088606</v>
      </c>
      <c r="V558" s="32">
        <v>43709</v>
      </c>
      <c r="W558" s="32">
        <v>6</v>
      </c>
      <c r="X558" s="33" t="s">
        <v>3534</v>
      </c>
      <c r="Y558" s="32">
        <v>2775</v>
      </c>
      <c r="AA558" s="32">
        <v>30.13</v>
      </c>
      <c r="AB558" s="32">
        <v>-99.54</v>
      </c>
      <c r="AC558" s="32">
        <v>1710</v>
      </c>
    </row>
    <row r="559" spans="1:31" ht="19">
      <c r="C559" s="22" t="s">
        <v>581</v>
      </c>
      <c r="D559" s="22" t="s">
        <v>151</v>
      </c>
      <c r="E559" s="5">
        <v>41229</v>
      </c>
      <c r="F559" s="5">
        <v>2558</v>
      </c>
      <c r="G559" s="28" t="s">
        <v>1723</v>
      </c>
      <c r="H559" s="6" t="s">
        <v>1742</v>
      </c>
      <c r="J559" s="5" t="s">
        <v>1728</v>
      </c>
      <c r="K559" s="27">
        <v>4.8560766199999996</v>
      </c>
      <c r="L559" s="27">
        <v>-18.817811440000003</v>
      </c>
      <c r="R559" s="27">
        <v>11.813017896166709</v>
      </c>
      <c r="S559" s="27">
        <v>2.7858821123795088</v>
      </c>
      <c r="V559" s="32">
        <v>43709</v>
      </c>
      <c r="W559" s="32">
        <v>6</v>
      </c>
      <c r="X559" s="33" t="s">
        <v>3366</v>
      </c>
      <c r="Y559" s="32">
        <v>7716</v>
      </c>
      <c r="AA559" s="32">
        <v>30.13</v>
      </c>
      <c r="AB559" s="32">
        <v>-99.54</v>
      </c>
      <c r="AC559" s="32">
        <v>1710</v>
      </c>
    </row>
    <row r="560" spans="1:31" ht="19">
      <c r="C560" s="22" t="s">
        <v>581</v>
      </c>
      <c r="D560" s="22" t="s">
        <v>151</v>
      </c>
      <c r="E560" s="5">
        <v>41229</v>
      </c>
      <c r="F560" s="5">
        <v>17916</v>
      </c>
      <c r="G560" s="28" t="s">
        <v>1723</v>
      </c>
      <c r="H560" s="6" t="s">
        <v>1742</v>
      </c>
      <c r="J560" s="5" t="s">
        <v>1728</v>
      </c>
      <c r="K560" s="27">
        <v>4.9291629999999991</v>
      </c>
      <c r="L560" s="27">
        <v>-15.636899999999999</v>
      </c>
      <c r="R560" s="27">
        <v>15.594794221047358</v>
      </c>
      <c r="S560" s="27">
        <v>2.7814787526347953</v>
      </c>
      <c r="V560" s="32">
        <v>43709</v>
      </c>
      <c r="W560" s="32">
        <v>6</v>
      </c>
      <c r="X560" s="33" t="s">
        <v>3538</v>
      </c>
      <c r="Y560" s="32">
        <v>5410</v>
      </c>
      <c r="AA560" s="32">
        <v>30.13</v>
      </c>
      <c r="AB560" s="32">
        <v>-99.54</v>
      </c>
      <c r="AC560" s="32">
        <v>1710</v>
      </c>
    </row>
    <row r="561" spans="1:31" ht="19">
      <c r="C561" s="22" t="s">
        <v>581</v>
      </c>
      <c r="D561" s="22" t="s">
        <v>151</v>
      </c>
      <c r="E561" s="5">
        <v>41229</v>
      </c>
      <c r="F561" s="5">
        <v>17914</v>
      </c>
      <c r="G561" s="28" t="s">
        <v>1723</v>
      </c>
      <c r="H561" s="6" t="s">
        <v>1742</v>
      </c>
      <c r="J561" s="5" t="s">
        <v>1728</v>
      </c>
      <c r="K561" s="27">
        <v>6.3974022999999995</v>
      </c>
      <c r="L561" s="27">
        <v>-13.11825</v>
      </c>
      <c r="R561" s="27">
        <v>15.676798568645857</v>
      </c>
      <c r="S561" s="27">
        <v>2.7763558477093206</v>
      </c>
      <c r="V561" s="32">
        <v>43709</v>
      </c>
      <c r="W561" s="32">
        <v>6</v>
      </c>
      <c r="X561" s="33" t="s">
        <v>3538</v>
      </c>
      <c r="Y561" s="32">
        <v>5410</v>
      </c>
      <c r="AA561" s="32">
        <v>30.13</v>
      </c>
      <c r="AB561" s="32">
        <v>-99.54</v>
      </c>
      <c r="AC561" s="32">
        <v>1710</v>
      </c>
    </row>
    <row r="562" spans="1:31" ht="19">
      <c r="C562" s="22" t="s">
        <v>581</v>
      </c>
      <c r="D562" s="22" t="s">
        <v>151</v>
      </c>
      <c r="E562" s="5">
        <v>41229</v>
      </c>
      <c r="F562" s="5">
        <v>17909</v>
      </c>
      <c r="G562" s="28" t="s">
        <v>1723</v>
      </c>
      <c r="H562" s="6" t="s">
        <v>1742</v>
      </c>
      <c r="J562" s="5" t="s">
        <v>1728</v>
      </c>
      <c r="K562" s="27">
        <v>5.9586895000000002</v>
      </c>
      <c r="L562" s="27">
        <v>-17.279835160000001</v>
      </c>
      <c r="R562" s="27">
        <v>15.568060085296578</v>
      </c>
      <c r="S562" s="27">
        <v>2.7687481729910566</v>
      </c>
      <c r="V562" s="32">
        <v>43709</v>
      </c>
      <c r="W562" s="32">
        <v>6</v>
      </c>
      <c r="X562" s="33" t="s">
        <v>3543</v>
      </c>
      <c r="Y562" s="32">
        <v>5081</v>
      </c>
      <c r="AA562" s="32">
        <v>30.13</v>
      </c>
      <c r="AB562" s="32">
        <v>-99.54</v>
      </c>
      <c r="AC562" s="32">
        <v>1710</v>
      </c>
    </row>
    <row r="563" spans="1:31" ht="19">
      <c r="C563" s="22" t="s">
        <v>581</v>
      </c>
      <c r="D563" s="22" t="s">
        <v>151</v>
      </c>
      <c r="E563" s="5">
        <v>41229</v>
      </c>
      <c r="F563" s="5">
        <v>17971</v>
      </c>
      <c r="G563" s="28" t="s">
        <v>1723</v>
      </c>
      <c r="H563" s="6" t="s">
        <v>1742</v>
      </c>
      <c r="J563" s="5" t="s">
        <v>1728</v>
      </c>
      <c r="K563" s="27">
        <v>5.9545940000000002</v>
      </c>
      <c r="L563" s="27">
        <v>-17.593572260000002</v>
      </c>
      <c r="R563" s="27">
        <v>15.881406150182041</v>
      </c>
      <c r="S563" s="27">
        <v>2.7671651211264074</v>
      </c>
      <c r="V563" s="32">
        <v>43709</v>
      </c>
      <c r="W563" s="32">
        <v>6</v>
      </c>
      <c r="X563" s="33" t="s">
        <v>3537</v>
      </c>
      <c r="Y563" s="32">
        <v>11339</v>
      </c>
      <c r="AA563" s="32">
        <v>30.13</v>
      </c>
      <c r="AB563" s="32">
        <v>-99.54</v>
      </c>
      <c r="AC563" s="32">
        <v>1710</v>
      </c>
    </row>
    <row r="564" spans="1:31" ht="19">
      <c r="C564" s="22" t="s">
        <v>581</v>
      </c>
      <c r="D564" s="22" t="s">
        <v>151</v>
      </c>
      <c r="E564" s="5">
        <v>41229</v>
      </c>
      <c r="F564" s="5">
        <v>4097</v>
      </c>
      <c r="G564" s="28" t="s">
        <v>1723</v>
      </c>
      <c r="H564" s="6" t="s">
        <v>1742</v>
      </c>
      <c r="J564" s="5" t="s">
        <v>1728</v>
      </c>
      <c r="K564" s="27">
        <v>4.2735097400000006</v>
      </c>
      <c r="L564" s="27">
        <v>-19.578373600000003</v>
      </c>
      <c r="R564" s="27">
        <v>14.743653984214481</v>
      </c>
      <c r="S564" s="27">
        <v>2.7661100287605858</v>
      </c>
      <c r="V564" s="32">
        <v>43709</v>
      </c>
      <c r="W564" s="32">
        <v>6</v>
      </c>
      <c r="X564" s="33" t="s">
        <v>3531</v>
      </c>
      <c r="Y564" s="32">
        <v>3763</v>
      </c>
      <c r="AA564" s="32">
        <v>30.13</v>
      </c>
      <c r="AB564" s="32">
        <v>-99.54</v>
      </c>
      <c r="AC564" s="32">
        <v>1710</v>
      </c>
    </row>
    <row r="565" spans="1:31" ht="19">
      <c r="C565" s="22" t="s">
        <v>581</v>
      </c>
      <c r="D565" s="22" t="s">
        <v>151</v>
      </c>
      <c r="E565" s="5">
        <v>41229</v>
      </c>
      <c r="F565" s="5">
        <v>1727</v>
      </c>
      <c r="G565" s="28" t="s">
        <v>1723</v>
      </c>
      <c r="H565" s="6" t="s">
        <v>1742</v>
      </c>
      <c r="J565" s="5" t="s">
        <v>1728</v>
      </c>
      <c r="K565" s="27">
        <v>4.6642334300000003</v>
      </c>
      <c r="L565" s="27">
        <v>-11.025583333333332</v>
      </c>
      <c r="R565" s="27">
        <v>15.326936142111228</v>
      </c>
      <c r="S565" s="27">
        <v>2.7496729205373764</v>
      </c>
      <c r="V565" s="32">
        <v>43709</v>
      </c>
      <c r="W565" s="32">
        <v>6</v>
      </c>
      <c r="X565" s="33" t="s">
        <v>3528</v>
      </c>
      <c r="Y565" s="32">
        <v>7386</v>
      </c>
      <c r="AA565" s="32">
        <v>30.13</v>
      </c>
      <c r="AB565" s="32">
        <v>-99.54</v>
      </c>
      <c r="AC565" s="32">
        <v>1710</v>
      </c>
    </row>
    <row r="566" spans="1:31" ht="19">
      <c r="C566" s="22" t="s">
        <v>581</v>
      </c>
      <c r="D566" s="22" t="s">
        <v>151</v>
      </c>
      <c r="E566" s="5">
        <v>41229</v>
      </c>
      <c r="F566" s="5">
        <v>5009</v>
      </c>
      <c r="G566" s="28" t="s">
        <v>1723</v>
      </c>
      <c r="H566" s="6" t="s">
        <v>1742</v>
      </c>
      <c r="J566" s="5" t="s">
        <v>1728</v>
      </c>
      <c r="K566" s="27">
        <v>4.5046190800000003</v>
      </c>
      <c r="L566" s="27">
        <v>-19.37328582</v>
      </c>
      <c r="R566" s="27">
        <v>15.296061059240934</v>
      </c>
      <c r="S566" s="27">
        <v>2.7399380790247183</v>
      </c>
      <c r="V566" s="32">
        <v>43709</v>
      </c>
      <c r="W566" s="32">
        <v>6</v>
      </c>
      <c r="X566" s="33" t="s">
        <v>3519</v>
      </c>
      <c r="Y566" s="32">
        <v>9033</v>
      </c>
      <c r="AA566" s="32">
        <v>30.13</v>
      </c>
      <c r="AB566" s="32">
        <v>-99.54</v>
      </c>
      <c r="AC566" s="32">
        <v>1710</v>
      </c>
    </row>
    <row r="567" spans="1:31" ht="19">
      <c r="C567" s="22" t="s">
        <v>581</v>
      </c>
      <c r="D567" s="22" t="s">
        <v>151</v>
      </c>
      <c r="E567" s="5">
        <v>41229</v>
      </c>
      <c r="F567" s="5">
        <v>17958</v>
      </c>
      <c r="G567" s="28" t="s">
        <v>1723</v>
      </c>
      <c r="H567" s="6" t="s">
        <v>1742</v>
      </c>
      <c r="J567" s="5" t="s">
        <v>1728</v>
      </c>
      <c r="K567" s="27">
        <v>4.2095840000000013</v>
      </c>
      <c r="L567" s="27">
        <v>-16.855335695000001</v>
      </c>
      <c r="R567" s="27">
        <v>15.243484769016439</v>
      </c>
      <c r="S567" s="27">
        <v>2.7388804676933121</v>
      </c>
      <c r="V567" s="32">
        <v>43709</v>
      </c>
      <c r="W567" s="32">
        <v>6</v>
      </c>
      <c r="X567" s="33" t="s">
        <v>3533</v>
      </c>
      <c r="Y567" s="32">
        <v>6069</v>
      </c>
      <c r="AA567" s="32">
        <v>30.13</v>
      </c>
      <c r="AB567" s="32">
        <v>-99.54</v>
      </c>
      <c r="AC567" s="32">
        <v>1710</v>
      </c>
    </row>
    <row r="568" spans="1:31" ht="19">
      <c r="C568" s="22" t="s">
        <v>581</v>
      </c>
      <c r="D568" s="22" t="s">
        <v>151</v>
      </c>
      <c r="E568" s="5">
        <v>41229</v>
      </c>
      <c r="F568" s="5">
        <v>2894</v>
      </c>
      <c r="G568" s="28" t="s">
        <v>1723</v>
      </c>
      <c r="H568" s="6" t="s">
        <v>1742</v>
      </c>
      <c r="J568" s="5" t="s">
        <v>1728</v>
      </c>
      <c r="K568" s="27">
        <v>3.25034606</v>
      </c>
      <c r="L568" s="27">
        <v>-18.844066170000001</v>
      </c>
      <c r="R568" s="27">
        <v>15.571507446451736</v>
      </c>
      <c r="S568" s="27">
        <v>2.7388020985587795</v>
      </c>
      <c r="V568" s="32">
        <v>43709</v>
      </c>
      <c r="W568" s="32">
        <v>6</v>
      </c>
      <c r="X568" s="33" t="s">
        <v>3539</v>
      </c>
      <c r="Y568" s="32">
        <v>3434</v>
      </c>
      <c r="AA568" s="32">
        <v>30.13</v>
      </c>
      <c r="AB568" s="32">
        <v>-99.54</v>
      </c>
      <c r="AC568" s="32">
        <v>1710</v>
      </c>
    </row>
    <row r="569" spans="1:31" ht="19">
      <c r="C569" s="22" t="s">
        <v>581</v>
      </c>
      <c r="D569" s="22" t="s">
        <v>151</v>
      </c>
      <c r="E569" s="5">
        <v>41229</v>
      </c>
      <c r="F569" s="5">
        <v>2559</v>
      </c>
      <c r="G569" s="28" t="s">
        <v>1723</v>
      </c>
      <c r="H569" s="6" t="s">
        <v>1742</v>
      </c>
      <c r="J569" s="5" t="s">
        <v>1728</v>
      </c>
      <c r="K569" s="27">
        <v>5.1593948799999998</v>
      </c>
      <c r="L569" s="27">
        <v>-12.088533333333331</v>
      </c>
      <c r="R569" s="27">
        <v>15.458433264954554</v>
      </c>
      <c r="S569" s="27">
        <v>2.7261355191804699</v>
      </c>
      <c r="V569" s="32">
        <v>43709</v>
      </c>
      <c r="W569" s="32">
        <v>6</v>
      </c>
      <c r="X569" s="33" t="s">
        <v>3366</v>
      </c>
      <c r="Y569" s="32">
        <v>7716</v>
      </c>
      <c r="AA569" s="32">
        <v>30.13</v>
      </c>
      <c r="AB569" s="32">
        <v>-99.54</v>
      </c>
      <c r="AC569" s="32">
        <v>1710</v>
      </c>
    </row>
    <row r="570" spans="1:31" ht="19">
      <c r="C570" s="22" t="s">
        <v>581</v>
      </c>
      <c r="D570" s="22" t="s">
        <v>151</v>
      </c>
      <c r="E570" s="5">
        <v>41229</v>
      </c>
      <c r="F570" s="5">
        <v>18014</v>
      </c>
      <c r="G570" s="28" t="s">
        <v>1723</v>
      </c>
      <c r="H570" s="6" t="s">
        <v>1742</v>
      </c>
      <c r="J570" s="5" t="s">
        <v>1744</v>
      </c>
      <c r="K570" s="27">
        <v>5.2375036000000001</v>
      </c>
      <c r="L570" s="27">
        <v>-18.351324755</v>
      </c>
      <c r="R570" s="27">
        <v>14.808652033926135</v>
      </c>
      <c r="S570" s="27">
        <v>2.7154383184652877</v>
      </c>
      <c r="V570" s="32">
        <v>43709</v>
      </c>
      <c r="W570" s="32">
        <v>6</v>
      </c>
      <c r="X570" s="33" t="s">
        <v>3515</v>
      </c>
      <c r="Y570" s="32">
        <v>12327</v>
      </c>
      <c r="AA570" s="32">
        <v>30.13</v>
      </c>
      <c r="AB570" s="32">
        <v>-99.54</v>
      </c>
      <c r="AC570" s="32">
        <v>1710</v>
      </c>
    </row>
    <row r="571" spans="1:31" s="10" customFormat="1" ht="57">
      <c r="A571" s="5"/>
      <c r="B571" s="5"/>
      <c r="C571" s="22" t="s">
        <v>344</v>
      </c>
      <c r="D571" s="22" t="s">
        <v>345</v>
      </c>
      <c r="E571" s="5">
        <v>908</v>
      </c>
      <c r="F571" s="5">
        <v>3476</v>
      </c>
      <c r="G571" s="28" t="s">
        <v>1847</v>
      </c>
      <c r="H571" s="6" t="s">
        <v>250</v>
      </c>
      <c r="I571" s="6"/>
      <c r="J571" s="5" t="s">
        <v>225</v>
      </c>
      <c r="K571" s="27"/>
      <c r="L571" s="27"/>
      <c r="M571" s="56">
        <v>10</v>
      </c>
      <c r="N571" s="56">
        <v>-17.399999999999999</v>
      </c>
      <c r="O571" s="27"/>
      <c r="P571" s="5"/>
      <c r="Q571" s="27"/>
      <c r="R571" s="27">
        <v>3.5</v>
      </c>
      <c r="S571" s="27">
        <v>4.8</v>
      </c>
      <c r="T571" s="5"/>
      <c r="U571" s="24"/>
      <c r="V571" s="32" t="s">
        <v>3353</v>
      </c>
      <c r="W571" s="32">
        <v>4</v>
      </c>
      <c r="X571" s="33" t="s">
        <v>3544</v>
      </c>
      <c r="Y571" s="32">
        <v>3500</v>
      </c>
      <c r="Z571" s="31"/>
      <c r="AA571" s="32">
        <v>29.37</v>
      </c>
      <c r="AB571" s="32">
        <v>-99.47</v>
      </c>
      <c r="AC571" s="32">
        <v>17950</v>
      </c>
      <c r="AD571" s="30"/>
      <c r="AE571" s="30"/>
    </row>
    <row r="572" spans="1:31" ht="38">
      <c r="C572" s="22" t="s">
        <v>344</v>
      </c>
      <c r="D572" s="22" t="s">
        <v>345</v>
      </c>
      <c r="E572" s="5">
        <v>908</v>
      </c>
      <c r="F572" s="5">
        <v>1643</v>
      </c>
      <c r="G572" s="28" t="s">
        <v>1847</v>
      </c>
      <c r="H572" s="6" t="s">
        <v>250</v>
      </c>
      <c r="J572" s="5" t="s">
        <v>225</v>
      </c>
      <c r="K572" s="27">
        <v>9.9</v>
      </c>
      <c r="L572" s="27">
        <v>-14.5</v>
      </c>
      <c r="R572" s="27">
        <v>12</v>
      </c>
      <c r="S572" s="27">
        <v>3.2</v>
      </c>
      <c r="V572" s="32" t="s">
        <v>3353</v>
      </c>
      <c r="W572" s="32">
        <v>5</v>
      </c>
      <c r="X572" s="33" t="s">
        <v>3545</v>
      </c>
      <c r="Y572" s="32">
        <v>1000</v>
      </c>
      <c r="AA572" s="32">
        <v>29.37</v>
      </c>
      <c r="AB572" s="32">
        <v>-99.47</v>
      </c>
      <c r="AC572" s="32">
        <v>17950</v>
      </c>
    </row>
    <row r="573" spans="1:31" ht="48">
      <c r="C573" s="22" t="s">
        <v>344</v>
      </c>
      <c r="D573" s="22" t="s">
        <v>345</v>
      </c>
      <c r="E573" s="5">
        <v>908</v>
      </c>
      <c r="F573" s="5">
        <v>4181</v>
      </c>
      <c r="G573" s="28" t="s">
        <v>1847</v>
      </c>
      <c r="H573" s="6" t="s">
        <v>250</v>
      </c>
      <c r="J573" s="5" t="s">
        <v>225</v>
      </c>
      <c r="K573" s="27">
        <v>10.6</v>
      </c>
      <c r="L573" s="27">
        <v>-15.3</v>
      </c>
      <c r="R573" s="27">
        <v>13.7</v>
      </c>
      <c r="S573" s="27">
        <v>3.2</v>
      </c>
      <c r="V573" s="32" t="s">
        <v>3353</v>
      </c>
      <c r="W573" s="32">
        <v>4</v>
      </c>
      <c r="X573" s="33" t="s">
        <v>3546</v>
      </c>
      <c r="Y573" s="32">
        <v>2000</v>
      </c>
      <c r="Z573" s="31" t="s">
        <v>3547</v>
      </c>
      <c r="AA573" s="32">
        <v>29.37</v>
      </c>
      <c r="AB573" s="32">
        <v>-99.47</v>
      </c>
      <c r="AC573" s="32">
        <v>17950</v>
      </c>
    </row>
    <row r="574" spans="1:31" ht="48">
      <c r="C574" s="22" t="s">
        <v>344</v>
      </c>
      <c r="D574" s="22" t="s">
        <v>345</v>
      </c>
      <c r="E574" s="5">
        <v>908</v>
      </c>
      <c r="F574" s="5">
        <v>4182</v>
      </c>
      <c r="G574" s="28" t="s">
        <v>1847</v>
      </c>
      <c r="H574" s="6" t="s">
        <v>250</v>
      </c>
      <c r="J574" s="5" t="s">
        <v>225</v>
      </c>
      <c r="K574" s="27">
        <v>10.1</v>
      </c>
      <c r="L574" s="27">
        <v>-15.1</v>
      </c>
      <c r="R574" s="27">
        <v>12.2</v>
      </c>
      <c r="S574" s="27">
        <v>3.2</v>
      </c>
      <c r="V574" s="32" t="s">
        <v>3353</v>
      </c>
      <c r="W574" s="32">
        <v>4</v>
      </c>
      <c r="X574" s="33" t="s">
        <v>3548</v>
      </c>
      <c r="Y574" s="32">
        <v>2000</v>
      </c>
      <c r="Z574" s="31" t="s">
        <v>3547</v>
      </c>
      <c r="AA574" s="32">
        <v>29.37</v>
      </c>
      <c r="AB574" s="32">
        <v>-99.47</v>
      </c>
      <c r="AC574" s="32">
        <v>17950</v>
      </c>
    </row>
    <row r="575" spans="1:31" ht="38">
      <c r="C575" s="22" t="s">
        <v>344</v>
      </c>
      <c r="D575" s="22" t="s">
        <v>345</v>
      </c>
      <c r="E575" s="5">
        <v>908</v>
      </c>
      <c r="F575" s="5">
        <v>3310</v>
      </c>
      <c r="G575" s="28" t="s">
        <v>1847</v>
      </c>
      <c r="H575" s="6" t="s">
        <v>250</v>
      </c>
      <c r="J575" s="5" t="s">
        <v>225</v>
      </c>
      <c r="K575" s="27">
        <v>8.6</v>
      </c>
      <c r="L575" s="27">
        <v>-15.9</v>
      </c>
      <c r="R575" s="27">
        <v>10.9</v>
      </c>
      <c r="S575" s="27">
        <v>3</v>
      </c>
      <c r="V575" s="32" t="s">
        <v>3353</v>
      </c>
      <c r="W575" s="32">
        <v>4</v>
      </c>
      <c r="X575" s="33" t="s">
        <v>3549</v>
      </c>
      <c r="Y575" s="32">
        <v>3500</v>
      </c>
      <c r="AA575" s="32">
        <v>29.37</v>
      </c>
      <c r="AB575" s="32">
        <v>-99.47</v>
      </c>
      <c r="AC575" s="32">
        <v>17950</v>
      </c>
    </row>
    <row r="576" spans="1:31" ht="19">
      <c r="C576" s="22" t="s">
        <v>344</v>
      </c>
      <c r="D576" s="22" t="s">
        <v>345</v>
      </c>
      <c r="E576" s="5">
        <v>40450</v>
      </c>
      <c r="F576" s="5">
        <v>1607</v>
      </c>
      <c r="G576" s="28" t="s">
        <v>1847</v>
      </c>
      <c r="H576" s="6" t="s">
        <v>1783</v>
      </c>
      <c r="J576" s="5" t="s">
        <v>104</v>
      </c>
      <c r="K576" s="27">
        <v>6.3</v>
      </c>
      <c r="L576" s="27">
        <v>-18.2</v>
      </c>
      <c r="R576" s="27">
        <v>13.1</v>
      </c>
      <c r="S576" s="27">
        <v>3</v>
      </c>
      <c r="V576" s="32" t="s">
        <v>3353</v>
      </c>
      <c r="W576" s="32">
        <v>6</v>
      </c>
      <c r="X576" s="33" t="s">
        <v>104</v>
      </c>
      <c r="Y576" s="32">
        <v>13000</v>
      </c>
      <c r="AA576" s="32">
        <v>29.88</v>
      </c>
      <c r="AB576" s="32">
        <v>-98.62</v>
      </c>
      <c r="AC576" s="32">
        <v>17950</v>
      </c>
    </row>
    <row r="577" spans="1:29" ht="48">
      <c r="C577" s="22" t="s">
        <v>344</v>
      </c>
      <c r="D577" s="22" t="s">
        <v>345</v>
      </c>
      <c r="E577" s="5">
        <v>908</v>
      </c>
      <c r="F577" s="5">
        <v>3931</v>
      </c>
      <c r="G577" s="28" t="s">
        <v>1847</v>
      </c>
      <c r="H577" s="6" t="s">
        <v>250</v>
      </c>
      <c r="J577" s="5" t="s">
        <v>225</v>
      </c>
      <c r="K577" s="27">
        <v>10.1</v>
      </c>
      <c r="L577" s="27">
        <v>-12.8</v>
      </c>
      <c r="R577" s="27">
        <v>14.8</v>
      </c>
      <c r="S577" s="27">
        <v>2.9</v>
      </c>
      <c r="V577" s="32" t="s">
        <v>3353</v>
      </c>
      <c r="W577" s="32">
        <v>6</v>
      </c>
      <c r="X577" s="33" t="s">
        <v>3550</v>
      </c>
      <c r="Y577" s="32">
        <v>2000</v>
      </c>
      <c r="Z577" s="31" t="s">
        <v>3547</v>
      </c>
      <c r="AA577" s="32">
        <v>29.37</v>
      </c>
      <c r="AB577" s="32">
        <v>-99.47</v>
      </c>
      <c r="AC577" s="32">
        <v>17950</v>
      </c>
    </row>
    <row r="578" spans="1:29" ht="48">
      <c r="C578" s="22" t="s">
        <v>344</v>
      </c>
      <c r="D578" s="22" t="s">
        <v>345</v>
      </c>
      <c r="E578" s="5">
        <v>908</v>
      </c>
      <c r="F578" s="5">
        <v>4180</v>
      </c>
      <c r="G578" s="28" t="s">
        <v>1847</v>
      </c>
      <c r="H578" s="6" t="s">
        <v>250</v>
      </c>
      <c r="J578" s="5" t="s">
        <v>225</v>
      </c>
      <c r="K578" s="27">
        <v>8</v>
      </c>
      <c r="L578" s="27">
        <v>-16.8</v>
      </c>
      <c r="R578" s="27">
        <v>15.4</v>
      </c>
      <c r="S578" s="27">
        <v>2.9</v>
      </c>
      <c r="V578" s="32" t="s">
        <v>3353</v>
      </c>
      <c r="W578" s="32">
        <v>4</v>
      </c>
      <c r="X578" s="33" t="s">
        <v>3551</v>
      </c>
      <c r="Y578" s="32">
        <v>2000</v>
      </c>
      <c r="Z578" s="31" t="s">
        <v>3547</v>
      </c>
      <c r="AA578" s="32">
        <v>29.37</v>
      </c>
      <c r="AB578" s="32">
        <v>-99.47</v>
      </c>
      <c r="AC578" s="32">
        <v>17950</v>
      </c>
    </row>
    <row r="579" spans="1:29" ht="48">
      <c r="C579" s="22" t="s">
        <v>344</v>
      </c>
      <c r="D579" s="22" t="s">
        <v>345</v>
      </c>
      <c r="E579" s="5">
        <v>908</v>
      </c>
      <c r="F579" s="5">
        <v>4184</v>
      </c>
      <c r="G579" s="28" t="s">
        <v>1847</v>
      </c>
      <c r="H579" s="6" t="s">
        <v>250</v>
      </c>
      <c r="J579" s="5" t="s">
        <v>225</v>
      </c>
      <c r="K579" s="27">
        <v>8.3000000000000007</v>
      </c>
      <c r="L579" s="27">
        <v>-16.399999999999999</v>
      </c>
      <c r="R579" s="27">
        <v>15.2</v>
      </c>
      <c r="S579" s="27">
        <v>2.9</v>
      </c>
      <c r="V579" s="32" t="s">
        <v>3353</v>
      </c>
      <c r="W579" s="32">
        <v>6</v>
      </c>
      <c r="X579" s="33" t="s">
        <v>3552</v>
      </c>
      <c r="Y579" s="32">
        <v>2000</v>
      </c>
      <c r="Z579" s="31" t="s">
        <v>3547</v>
      </c>
      <c r="AA579" s="32">
        <v>29.37</v>
      </c>
      <c r="AB579" s="32">
        <v>-99.47</v>
      </c>
      <c r="AC579" s="32">
        <v>17950</v>
      </c>
    </row>
    <row r="580" spans="1:29" ht="38">
      <c r="C580" s="22" t="s">
        <v>344</v>
      </c>
      <c r="D580" s="22" t="s">
        <v>345</v>
      </c>
      <c r="E580" s="5">
        <v>40450</v>
      </c>
      <c r="F580" s="5">
        <v>1604</v>
      </c>
      <c r="G580" s="28" t="s">
        <v>1847</v>
      </c>
      <c r="H580" s="6" t="s">
        <v>1783</v>
      </c>
      <c r="J580" s="5" t="s">
        <v>104</v>
      </c>
      <c r="K580" s="27">
        <v>6.2</v>
      </c>
      <c r="L580" s="27">
        <v>-18.100000000000001</v>
      </c>
      <c r="R580" s="27">
        <v>15.8</v>
      </c>
      <c r="S580" s="27">
        <v>2.9</v>
      </c>
      <c r="V580" s="32" t="s">
        <v>3353</v>
      </c>
      <c r="W580" s="32">
        <v>4</v>
      </c>
      <c r="X580" s="33" t="s">
        <v>3553</v>
      </c>
      <c r="Y580" s="32">
        <v>13000</v>
      </c>
      <c r="AA580" s="32">
        <v>29.88</v>
      </c>
      <c r="AB580" s="32">
        <v>-98.62</v>
      </c>
      <c r="AC580" s="32">
        <v>17950</v>
      </c>
    </row>
    <row r="581" spans="1:29" ht="19">
      <c r="C581" s="22" t="s">
        <v>344</v>
      </c>
      <c r="D581" s="22" t="s">
        <v>345</v>
      </c>
      <c r="E581" s="5">
        <v>40450</v>
      </c>
      <c r="F581" s="5">
        <v>584</v>
      </c>
      <c r="G581" s="28" t="s">
        <v>1847</v>
      </c>
      <c r="H581" s="6" t="s">
        <v>1783</v>
      </c>
      <c r="J581" s="5" t="s">
        <v>104</v>
      </c>
      <c r="K581" s="27">
        <v>7.4</v>
      </c>
      <c r="L581" s="27">
        <v>-19.5</v>
      </c>
      <c r="R581" s="27">
        <v>14</v>
      </c>
      <c r="S581" s="27">
        <v>2.9</v>
      </c>
      <c r="V581" s="32" t="s">
        <v>3353</v>
      </c>
      <c r="W581" s="32">
        <v>4</v>
      </c>
      <c r="X581" s="33" t="s">
        <v>104</v>
      </c>
      <c r="Y581" s="32">
        <v>13000</v>
      </c>
      <c r="AA581" s="32">
        <v>29.88</v>
      </c>
      <c r="AB581" s="32">
        <v>-98.62</v>
      </c>
      <c r="AC581" s="32">
        <v>17950</v>
      </c>
    </row>
    <row r="582" spans="1:29">
      <c r="C582" s="22" t="s">
        <v>344</v>
      </c>
      <c r="D582" s="22" t="s">
        <v>345</v>
      </c>
      <c r="E582" s="5">
        <v>40450</v>
      </c>
      <c r="F582" s="5">
        <v>617</v>
      </c>
      <c r="G582" s="28" t="s">
        <v>1847</v>
      </c>
      <c r="H582" s="6" t="s">
        <v>1783</v>
      </c>
      <c r="J582" s="5" t="s">
        <v>104</v>
      </c>
      <c r="K582" s="27">
        <v>5.7</v>
      </c>
      <c r="L582" s="27">
        <v>-17.8</v>
      </c>
      <c r="R582" s="27">
        <v>12.7</v>
      </c>
      <c r="S582" s="27">
        <v>2.9</v>
      </c>
      <c r="V582" s="32" t="s">
        <v>3353</v>
      </c>
      <c r="W582" s="32">
        <v>5</v>
      </c>
      <c r="Y582" s="32">
        <v>13000</v>
      </c>
      <c r="AA582" s="32">
        <v>29.88</v>
      </c>
      <c r="AB582" s="32">
        <v>-98.62</v>
      </c>
      <c r="AC582" s="32">
        <v>17950</v>
      </c>
    </row>
    <row r="583" spans="1:29">
      <c r="C583" s="22" t="s">
        <v>344</v>
      </c>
      <c r="D583" s="22" t="s">
        <v>345</v>
      </c>
      <c r="E583" s="5">
        <v>933</v>
      </c>
      <c r="F583" s="5">
        <v>3916</v>
      </c>
      <c r="G583" s="28" t="s">
        <v>1847</v>
      </c>
      <c r="H583" s="6" t="s">
        <v>249</v>
      </c>
      <c r="J583" s="5" t="s">
        <v>104</v>
      </c>
      <c r="K583" s="27">
        <v>8.5</v>
      </c>
      <c r="L583" s="27">
        <v>-15</v>
      </c>
      <c r="R583" s="27">
        <v>9.6999999999999993</v>
      </c>
      <c r="S583" s="27">
        <v>2.9</v>
      </c>
      <c r="V583" s="32" t="s">
        <v>3353</v>
      </c>
      <c r="W583" s="32">
        <v>4</v>
      </c>
      <c r="Y583" s="32">
        <v>18500</v>
      </c>
      <c r="AA583" s="32">
        <v>29.62</v>
      </c>
      <c r="AB583" s="32">
        <v>-98.37</v>
      </c>
      <c r="AC583" s="32">
        <v>17950</v>
      </c>
    </row>
    <row r="584" spans="1:29" ht="48">
      <c r="C584" s="22" t="s">
        <v>344</v>
      </c>
      <c r="D584" s="22" t="s">
        <v>345</v>
      </c>
      <c r="E584" s="5">
        <v>908</v>
      </c>
      <c r="F584" s="5">
        <v>4179</v>
      </c>
      <c r="G584" s="28" t="s">
        <v>1847</v>
      </c>
      <c r="H584" s="6" t="s">
        <v>250</v>
      </c>
      <c r="J584" s="5" t="s">
        <v>225</v>
      </c>
      <c r="K584" s="27">
        <v>7.9</v>
      </c>
      <c r="L584" s="27">
        <v>-17.600000000000001</v>
      </c>
      <c r="R584" s="27">
        <v>15.8</v>
      </c>
      <c r="S584" s="27">
        <v>2.8</v>
      </c>
      <c r="V584" s="32" t="s">
        <v>3353</v>
      </c>
      <c r="W584" s="32">
        <v>5</v>
      </c>
      <c r="X584" s="33" t="s">
        <v>3554</v>
      </c>
      <c r="Y584" s="32">
        <v>2000</v>
      </c>
      <c r="Z584" s="31" t="s">
        <v>3547</v>
      </c>
      <c r="AA584" s="32">
        <v>29.37</v>
      </c>
      <c r="AB584" s="32">
        <v>-99.47</v>
      </c>
      <c r="AC584" s="32">
        <v>17950</v>
      </c>
    </row>
    <row r="585" spans="1:29">
      <c r="A585" s="28"/>
      <c r="B585" s="28"/>
      <c r="C585" s="29" t="s">
        <v>344</v>
      </c>
      <c r="D585" s="29" t="s">
        <v>345</v>
      </c>
      <c r="E585" s="28">
        <v>40449</v>
      </c>
      <c r="F585" s="28">
        <v>101</v>
      </c>
      <c r="G585" s="28" t="s">
        <v>1827</v>
      </c>
      <c r="H585" s="41" t="s">
        <v>1814</v>
      </c>
      <c r="I585" s="41"/>
      <c r="J585" s="28" t="s">
        <v>225</v>
      </c>
      <c r="M585" s="56" t="s">
        <v>487</v>
      </c>
      <c r="N585" s="56" t="s">
        <v>487</v>
      </c>
      <c r="O585" s="42"/>
      <c r="P585" s="28"/>
      <c r="Q585" s="42"/>
      <c r="R585" s="42">
        <v>0.22331412355668212</v>
      </c>
      <c r="S585" s="42" t="s">
        <v>487</v>
      </c>
      <c r="T585" s="28"/>
      <c r="U585" s="30"/>
      <c r="V585" s="32" t="s">
        <v>3417</v>
      </c>
      <c r="W585" s="32">
        <v>4</v>
      </c>
      <c r="Y585" s="32" t="s">
        <v>3490</v>
      </c>
      <c r="Z585" s="31" t="s">
        <v>3555</v>
      </c>
      <c r="AA585" s="32">
        <v>30.36</v>
      </c>
      <c r="AB585" s="32">
        <v>-98.1</v>
      </c>
      <c r="AC585" s="32">
        <v>17950</v>
      </c>
    </row>
    <row r="586" spans="1:29">
      <c r="C586" s="22" t="s">
        <v>344</v>
      </c>
      <c r="D586" s="22" t="s">
        <v>345</v>
      </c>
      <c r="E586" s="5">
        <v>41229</v>
      </c>
      <c r="F586" s="5">
        <v>6356</v>
      </c>
      <c r="G586" s="28" t="s">
        <v>1847</v>
      </c>
      <c r="H586" s="6" t="s">
        <v>1137</v>
      </c>
      <c r="J586" s="5" t="s">
        <v>1728</v>
      </c>
      <c r="K586" s="27">
        <v>9.2047191999999995</v>
      </c>
      <c r="L586" s="27">
        <v>-15.668307199999999</v>
      </c>
      <c r="R586" s="27">
        <v>14.736570176887948</v>
      </c>
      <c r="S586" s="27">
        <v>2.8395678761657925</v>
      </c>
      <c r="V586" s="32" t="s">
        <v>3417</v>
      </c>
      <c r="W586" s="32">
        <v>5</v>
      </c>
      <c r="X586" s="33">
        <v>7386</v>
      </c>
      <c r="Y586" s="32">
        <v>7386</v>
      </c>
      <c r="AA586" s="32">
        <v>30.13</v>
      </c>
      <c r="AB586" s="32">
        <v>-99.54</v>
      </c>
      <c r="AC586" s="32">
        <v>17949</v>
      </c>
    </row>
    <row r="587" spans="1:29">
      <c r="C587" s="22" t="s">
        <v>344</v>
      </c>
      <c r="D587" s="22" t="s">
        <v>345</v>
      </c>
      <c r="E587" s="5">
        <v>41229</v>
      </c>
      <c r="F587" s="5">
        <v>2788</v>
      </c>
      <c r="G587" s="28" t="s">
        <v>1847</v>
      </c>
      <c r="H587" s="6" t="s">
        <v>1137</v>
      </c>
      <c r="J587" s="5" t="s">
        <v>1728</v>
      </c>
      <c r="K587" s="27">
        <v>8.5409385999999987</v>
      </c>
      <c r="L587" s="27">
        <v>-15.4360015</v>
      </c>
      <c r="R587" s="27">
        <v>15.09861675464813</v>
      </c>
      <c r="S587" s="27">
        <v>2.8301139045380199</v>
      </c>
      <c r="V587" s="32" t="s">
        <v>3417</v>
      </c>
      <c r="W587" s="32">
        <v>5</v>
      </c>
      <c r="X587" s="33">
        <v>7057</v>
      </c>
      <c r="Y587" s="32">
        <v>7057</v>
      </c>
      <c r="AA587" s="32">
        <v>30.13</v>
      </c>
      <c r="AB587" s="32">
        <v>-99.54</v>
      </c>
      <c r="AC587" s="32">
        <v>17948</v>
      </c>
    </row>
    <row r="588" spans="1:29">
      <c r="C588" s="22" t="s">
        <v>609</v>
      </c>
      <c r="D588" s="22" t="s">
        <v>610</v>
      </c>
      <c r="E588" s="5">
        <v>30967</v>
      </c>
      <c r="F588" s="5">
        <v>156</v>
      </c>
      <c r="G588" s="28" t="s">
        <v>1723</v>
      </c>
      <c r="H588" s="6" t="s">
        <v>110</v>
      </c>
      <c r="J588" s="5" t="s">
        <v>1744</v>
      </c>
      <c r="L588" s="27">
        <v>-17.100000000000001</v>
      </c>
      <c r="O588" s="27">
        <v>-10.270999999999999</v>
      </c>
      <c r="Q588" s="27">
        <v>-1.8531479778174571</v>
      </c>
      <c r="V588" s="32">
        <v>43405</v>
      </c>
      <c r="AA588" s="32">
        <v>27.87</v>
      </c>
      <c r="AB588" s="32">
        <v>-97.2</v>
      </c>
      <c r="AC588" s="32">
        <v>7800000</v>
      </c>
    </row>
    <row r="589" spans="1:29">
      <c r="C589" s="22" t="s">
        <v>609</v>
      </c>
      <c r="D589" s="22" t="s">
        <v>610</v>
      </c>
      <c r="E589" s="5">
        <v>30967</v>
      </c>
      <c r="F589" s="5">
        <v>1922</v>
      </c>
      <c r="G589" s="28" t="s">
        <v>1723</v>
      </c>
      <c r="H589" s="6" t="s">
        <v>110</v>
      </c>
      <c r="J589" s="5" t="s">
        <v>1744</v>
      </c>
      <c r="O589" s="27">
        <v>-7.2020000000000017</v>
      </c>
      <c r="Q589" s="27">
        <v>1.7234765634839277E-3</v>
      </c>
      <c r="V589" s="32">
        <v>43405</v>
      </c>
      <c r="AA589" s="32">
        <v>27.87</v>
      </c>
      <c r="AB589" s="32">
        <v>-97.2</v>
      </c>
      <c r="AC589" s="32">
        <v>7800000</v>
      </c>
    </row>
    <row r="590" spans="1:29">
      <c r="C590" s="22" t="s">
        <v>609</v>
      </c>
      <c r="D590" s="22" t="s">
        <v>610</v>
      </c>
      <c r="E590" s="5">
        <v>30967</v>
      </c>
      <c r="F590" s="5">
        <v>205</v>
      </c>
      <c r="G590" s="28" t="s">
        <v>1723</v>
      </c>
      <c r="H590" s="6" t="s">
        <v>110</v>
      </c>
      <c r="J590" s="5" t="s">
        <v>1744</v>
      </c>
      <c r="L590" s="27">
        <v>-16.2</v>
      </c>
      <c r="O590" s="27">
        <v>-9.420399999999999</v>
      </c>
      <c r="Q590" s="27">
        <v>-3.7684303282140945</v>
      </c>
      <c r="V590" s="32">
        <v>43405</v>
      </c>
      <c r="W590" s="32">
        <v>4</v>
      </c>
      <c r="AA590" s="32">
        <v>27.87</v>
      </c>
      <c r="AB590" s="32">
        <v>-97.2</v>
      </c>
      <c r="AC590" s="32">
        <v>7800000</v>
      </c>
    </row>
    <row r="591" spans="1:29">
      <c r="C591" s="22" t="s">
        <v>609</v>
      </c>
      <c r="D591" s="22" t="s">
        <v>610</v>
      </c>
      <c r="E591" s="5">
        <v>30967</v>
      </c>
      <c r="F591" s="5">
        <v>321</v>
      </c>
      <c r="G591" s="28" t="s">
        <v>1723</v>
      </c>
      <c r="H591" s="6" t="s">
        <v>110</v>
      </c>
      <c r="J591" s="5" t="s">
        <v>1744</v>
      </c>
      <c r="L591" s="27">
        <v>-16.8</v>
      </c>
      <c r="O591" s="27">
        <v>-9.9656666666666656</v>
      </c>
      <c r="Q591" s="27">
        <v>-1.6201689545619047</v>
      </c>
      <c r="V591" s="32">
        <v>43405</v>
      </c>
      <c r="AA591" s="32">
        <v>27.87</v>
      </c>
      <c r="AB591" s="32">
        <v>-97.2</v>
      </c>
      <c r="AC591" s="32">
        <v>7800000</v>
      </c>
    </row>
    <row r="592" spans="1:29">
      <c r="C592" s="22" t="s">
        <v>609</v>
      </c>
      <c r="D592" s="22" t="s">
        <v>610</v>
      </c>
      <c r="E592" s="5">
        <v>30967</v>
      </c>
      <c r="F592" s="5">
        <v>341</v>
      </c>
      <c r="G592" s="28" t="s">
        <v>1723</v>
      </c>
      <c r="H592" s="6" t="s">
        <v>110</v>
      </c>
      <c r="J592" s="5" t="s">
        <v>1744</v>
      </c>
      <c r="L592" s="27">
        <v>-16.3</v>
      </c>
      <c r="O592" s="27">
        <v>-9.4643333333333324</v>
      </c>
      <c r="Q592" s="27">
        <v>-1.729689008229002</v>
      </c>
      <c r="V592" s="32">
        <v>43405</v>
      </c>
      <c r="AA592" s="32">
        <v>27.87</v>
      </c>
      <c r="AB592" s="32">
        <v>-97.2</v>
      </c>
      <c r="AC592" s="32">
        <v>7800000</v>
      </c>
    </row>
    <row r="593" spans="3:29">
      <c r="C593" s="22" t="s">
        <v>609</v>
      </c>
      <c r="D593" s="22" t="s">
        <v>610</v>
      </c>
      <c r="E593" s="5">
        <v>30967</v>
      </c>
      <c r="F593" s="5">
        <v>773</v>
      </c>
      <c r="G593" s="28" t="s">
        <v>1723</v>
      </c>
      <c r="H593" s="6" t="s">
        <v>110</v>
      </c>
      <c r="J593" s="5" t="s">
        <v>1744</v>
      </c>
      <c r="L593" s="27">
        <v>-16.899999999999999</v>
      </c>
      <c r="O593" s="27">
        <v>-10.093</v>
      </c>
      <c r="Q593" s="27">
        <v>-2.6387054536663754</v>
      </c>
      <c r="V593" s="32">
        <v>43405</v>
      </c>
      <c r="AA593" s="32">
        <v>27.87</v>
      </c>
      <c r="AB593" s="32">
        <v>-97.2</v>
      </c>
      <c r="AC593" s="32">
        <v>7800000</v>
      </c>
    </row>
    <row r="594" spans="3:29">
      <c r="C594" s="22" t="s">
        <v>609</v>
      </c>
      <c r="D594" s="22" t="s">
        <v>610</v>
      </c>
      <c r="E594" s="5">
        <v>30967</v>
      </c>
      <c r="F594" s="5">
        <v>591</v>
      </c>
      <c r="G594" s="28" t="s">
        <v>1723</v>
      </c>
      <c r="H594" s="6" t="s">
        <v>110</v>
      </c>
      <c r="J594" s="5" t="s">
        <v>1744</v>
      </c>
      <c r="L594" s="27">
        <v>-15.8</v>
      </c>
      <c r="O594" s="27">
        <v>-9.0033333333333339</v>
      </c>
      <c r="Q594" s="27">
        <v>-1.3048839515806776</v>
      </c>
      <c r="V594" s="32">
        <v>43405</v>
      </c>
      <c r="AA594" s="32">
        <v>27.87</v>
      </c>
      <c r="AB594" s="32">
        <v>-97.2</v>
      </c>
      <c r="AC594" s="32">
        <v>7800000</v>
      </c>
    </row>
    <row r="595" spans="3:29">
      <c r="C595" s="22" t="s">
        <v>609</v>
      </c>
      <c r="D595" s="22" t="s">
        <v>610</v>
      </c>
      <c r="E595" s="5">
        <v>43067</v>
      </c>
      <c r="F595" s="5">
        <v>103</v>
      </c>
      <c r="G595" s="28" t="s">
        <v>1723</v>
      </c>
      <c r="H595" s="6" t="s">
        <v>1893</v>
      </c>
      <c r="J595" s="5" t="s">
        <v>1744</v>
      </c>
      <c r="L595" s="27">
        <v>-17</v>
      </c>
      <c r="O595" s="27">
        <v>-10.154333333333334</v>
      </c>
      <c r="Q595" s="27">
        <v>-4.9867490284998439</v>
      </c>
      <c r="V595" s="32">
        <v>43405</v>
      </c>
      <c r="AA595" s="32">
        <v>30.25</v>
      </c>
      <c r="AB595" s="32">
        <v>-97.75</v>
      </c>
      <c r="AC595" s="32">
        <v>7800000</v>
      </c>
    </row>
    <row r="596" spans="3:29">
      <c r="C596" s="22" t="s">
        <v>609</v>
      </c>
      <c r="D596" s="22" t="s">
        <v>610</v>
      </c>
      <c r="E596" s="5">
        <v>43067</v>
      </c>
      <c r="F596" s="5">
        <v>104</v>
      </c>
      <c r="G596" s="28" t="s">
        <v>1723</v>
      </c>
      <c r="H596" s="6" t="s">
        <v>1893</v>
      </c>
      <c r="J596" s="5" t="s">
        <v>1744</v>
      </c>
      <c r="L596" s="27">
        <v>-16.7</v>
      </c>
      <c r="O596" s="27">
        <v>-9.9009999999999998</v>
      </c>
      <c r="Q596" s="27">
        <v>-4.5131577661270512</v>
      </c>
      <c r="V596" s="32">
        <v>43405</v>
      </c>
      <c r="AA596" s="32">
        <v>30.25</v>
      </c>
      <c r="AB596" s="32">
        <v>-97.75</v>
      </c>
      <c r="AC596" s="32">
        <v>7800000</v>
      </c>
    </row>
    <row r="597" spans="3:29" ht="19">
      <c r="C597" s="22" t="s">
        <v>609</v>
      </c>
      <c r="D597" s="22" t="s">
        <v>610</v>
      </c>
      <c r="E597" s="5">
        <v>43067</v>
      </c>
      <c r="F597" s="5">
        <v>39</v>
      </c>
      <c r="G597" s="28" t="s">
        <v>1723</v>
      </c>
      <c r="H597" s="6" t="s">
        <v>1893</v>
      </c>
      <c r="J597" s="5" t="s">
        <v>1744</v>
      </c>
      <c r="L597" s="27">
        <v>-17.399999999999999</v>
      </c>
      <c r="O597" s="27">
        <v>-10.58375</v>
      </c>
      <c r="Q597" s="27">
        <v>-6.0758352435864253</v>
      </c>
      <c r="V597" s="32">
        <v>43405</v>
      </c>
      <c r="W597" s="32">
        <v>3</v>
      </c>
      <c r="X597" s="33" t="s">
        <v>3400</v>
      </c>
      <c r="AA597" s="32">
        <v>30.25</v>
      </c>
      <c r="AB597" s="32">
        <v>-97.75</v>
      </c>
      <c r="AC597" s="32">
        <v>7800000</v>
      </c>
    </row>
    <row r="598" spans="3:29">
      <c r="C598" s="22" t="s">
        <v>609</v>
      </c>
      <c r="D598" s="22" t="s">
        <v>610</v>
      </c>
      <c r="E598" s="5">
        <v>40450</v>
      </c>
      <c r="F598" s="5">
        <v>1</v>
      </c>
      <c r="G598" s="28" t="s">
        <v>1723</v>
      </c>
      <c r="H598" s="6" t="s">
        <v>1783</v>
      </c>
      <c r="J598" s="5" t="s">
        <v>1744</v>
      </c>
      <c r="K598" s="27">
        <v>4.4586672800000002</v>
      </c>
      <c r="L598" s="27">
        <v>-20.038480199999999</v>
      </c>
      <c r="R598" s="27">
        <v>5.2282660694547651</v>
      </c>
      <c r="S598" s="27">
        <v>3.027030434093037</v>
      </c>
      <c r="V598" s="32" t="s">
        <v>3417</v>
      </c>
      <c r="W598" s="32">
        <v>4</v>
      </c>
      <c r="Y598" s="32" t="s">
        <v>3525</v>
      </c>
      <c r="AA598" s="32">
        <v>29.88</v>
      </c>
      <c r="AB598" s="32">
        <v>-98.62</v>
      </c>
      <c r="AC598" s="32">
        <v>7800000</v>
      </c>
    </row>
    <row r="599" spans="3:29">
      <c r="C599" s="22" t="s">
        <v>609</v>
      </c>
      <c r="D599" s="22" t="s">
        <v>610</v>
      </c>
      <c r="E599" s="5">
        <v>30967</v>
      </c>
      <c r="F599" s="5">
        <v>321</v>
      </c>
      <c r="G599" s="28" t="s">
        <v>1723</v>
      </c>
      <c r="H599" s="6" t="s">
        <v>110</v>
      </c>
      <c r="J599" s="5" t="s">
        <v>1744</v>
      </c>
      <c r="L599" s="27">
        <v>-16.98</v>
      </c>
      <c r="O599" s="27">
        <v>-10.18</v>
      </c>
      <c r="P599" s="5">
        <v>28.39</v>
      </c>
      <c r="Q599" s="27">
        <v>-2.3960576609999999</v>
      </c>
      <c r="V599" s="32">
        <v>43647</v>
      </c>
      <c r="AA599" s="32">
        <v>27.87</v>
      </c>
      <c r="AB599" s="32">
        <v>-97.2</v>
      </c>
      <c r="AC599" s="32">
        <v>7800000</v>
      </c>
    </row>
    <row r="600" spans="3:29">
      <c r="C600" s="22" t="s">
        <v>609</v>
      </c>
      <c r="D600" s="22" t="s">
        <v>610</v>
      </c>
      <c r="E600" s="5">
        <v>30967</v>
      </c>
      <c r="F600" s="5">
        <v>395</v>
      </c>
      <c r="G600" s="28" t="s">
        <v>1723</v>
      </c>
      <c r="H600" s="6" t="s">
        <v>110</v>
      </c>
      <c r="J600" s="5" t="s">
        <v>104</v>
      </c>
      <c r="N600" s="56">
        <v>-17.399999999999999</v>
      </c>
      <c r="O600" s="27">
        <v>-10.6</v>
      </c>
      <c r="S600" s="27">
        <v>100</v>
      </c>
      <c r="V600" s="32" t="s">
        <v>3502</v>
      </c>
      <c r="Y600" s="32">
        <v>50000</v>
      </c>
      <c r="AA600" s="32">
        <v>27.87</v>
      </c>
      <c r="AB600" s="32">
        <v>-97.2</v>
      </c>
      <c r="AC600" s="32">
        <v>7800000</v>
      </c>
    </row>
    <row r="601" spans="3:29" ht="19">
      <c r="C601" s="22" t="s">
        <v>609</v>
      </c>
      <c r="D601" s="22" t="s">
        <v>610</v>
      </c>
      <c r="E601" s="5">
        <v>30967</v>
      </c>
      <c r="F601" s="5">
        <v>247</v>
      </c>
      <c r="G601" s="28" t="s">
        <v>1723</v>
      </c>
      <c r="H601" s="6" t="s">
        <v>110</v>
      </c>
      <c r="J601" s="5" t="s">
        <v>104</v>
      </c>
      <c r="L601" s="27">
        <v>-18</v>
      </c>
      <c r="O601" s="27">
        <v>-11.2</v>
      </c>
      <c r="P601" s="5">
        <v>31.7</v>
      </c>
      <c r="Q601" s="27">
        <v>0.81499999999999995</v>
      </c>
      <c r="S601" s="27">
        <v>0</v>
      </c>
      <c r="V601" s="32" t="s">
        <v>3415</v>
      </c>
      <c r="X601" s="33" t="s">
        <v>186</v>
      </c>
      <c r="Y601" s="32">
        <v>50000</v>
      </c>
      <c r="AA601" s="32">
        <v>27.87</v>
      </c>
      <c r="AB601" s="32">
        <v>-97.2</v>
      </c>
      <c r="AC601" s="32">
        <v>7800000</v>
      </c>
    </row>
    <row r="602" spans="3:29" ht="19">
      <c r="C602" s="22" t="s">
        <v>609</v>
      </c>
      <c r="D602" s="22" t="s">
        <v>610</v>
      </c>
      <c r="E602" s="5">
        <v>30967</v>
      </c>
      <c r="F602" s="5">
        <v>257</v>
      </c>
      <c r="G602" s="28" t="s">
        <v>1723</v>
      </c>
      <c r="H602" s="6" t="s">
        <v>110</v>
      </c>
      <c r="J602" s="5" t="s">
        <v>104</v>
      </c>
      <c r="L602" s="27">
        <v>-17.8</v>
      </c>
      <c r="O602" s="27">
        <v>-11</v>
      </c>
      <c r="P602" s="5">
        <v>30.2</v>
      </c>
      <c r="Q602" s="27">
        <v>-0.64</v>
      </c>
      <c r="S602" s="27">
        <v>0</v>
      </c>
      <c r="V602" s="32" t="s">
        <v>3415</v>
      </c>
      <c r="X602" s="33" t="s">
        <v>3506</v>
      </c>
      <c r="Y602" s="32">
        <v>50000</v>
      </c>
      <c r="AA602" s="32">
        <v>27.87</v>
      </c>
      <c r="AB602" s="32">
        <v>-97.2</v>
      </c>
      <c r="AC602" s="32">
        <v>7800000</v>
      </c>
    </row>
    <row r="603" spans="3:29" ht="19">
      <c r="C603" s="22" t="s">
        <v>609</v>
      </c>
      <c r="D603" s="22" t="s">
        <v>610</v>
      </c>
      <c r="E603" s="5">
        <v>30967</v>
      </c>
      <c r="F603" s="5">
        <v>339</v>
      </c>
      <c r="G603" s="28" t="s">
        <v>1723</v>
      </c>
      <c r="H603" s="6" t="s">
        <v>110</v>
      </c>
      <c r="J603" s="5" t="s">
        <v>104</v>
      </c>
      <c r="L603" s="27">
        <v>-17.5</v>
      </c>
      <c r="O603" s="27">
        <v>-10.7</v>
      </c>
      <c r="P603" s="5">
        <v>29.8</v>
      </c>
      <c r="Q603" s="27">
        <v>-1.028</v>
      </c>
      <c r="S603" s="27">
        <v>0</v>
      </c>
      <c r="V603" s="32" t="s">
        <v>3415</v>
      </c>
      <c r="X603" s="33" t="s">
        <v>3506</v>
      </c>
      <c r="Y603" s="32">
        <v>50000</v>
      </c>
      <c r="AA603" s="32">
        <v>27.87</v>
      </c>
      <c r="AB603" s="32">
        <v>-97.2</v>
      </c>
      <c r="AC603" s="32">
        <v>7800000</v>
      </c>
    </row>
    <row r="604" spans="3:29" ht="19">
      <c r="C604" s="22" t="s">
        <v>609</v>
      </c>
      <c r="D604" s="22" t="s">
        <v>610</v>
      </c>
      <c r="E604" s="5">
        <v>30967</v>
      </c>
      <c r="F604" s="5">
        <v>351</v>
      </c>
      <c r="G604" s="28" t="s">
        <v>1723</v>
      </c>
      <c r="H604" s="6" t="s">
        <v>110</v>
      </c>
      <c r="J604" s="5" t="s">
        <v>104</v>
      </c>
      <c r="L604" s="27">
        <v>-16.3</v>
      </c>
      <c r="O604" s="27">
        <v>-9.5</v>
      </c>
      <c r="P604" s="5">
        <v>29.6</v>
      </c>
      <c r="Q604" s="27">
        <v>-1.222</v>
      </c>
      <c r="S604" s="27">
        <v>0</v>
      </c>
      <c r="V604" s="32" t="s">
        <v>3415</v>
      </c>
      <c r="X604" s="33" t="s">
        <v>3421</v>
      </c>
      <c r="Y604" s="32">
        <v>50000</v>
      </c>
      <c r="AA604" s="32">
        <v>27.87</v>
      </c>
      <c r="AB604" s="32">
        <v>-97.2</v>
      </c>
      <c r="AC604" s="32">
        <v>7800000</v>
      </c>
    </row>
    <row r="605" spans="3:29" ht="19">
      <c r="C605" s="22" t="s">
        <v>609</v>
      </c>
      <c r="D605" s="22" t="s">
        <v>610</v>
      </c>
      <c r="E605" s="5">
        <v>30967</v>
      </c>
      <c r="F605" s="5">
        <v>352</v>
      </c>
      <c r="G605" s="28" t="s">
        <v>1723</v>
      </c>
      <c r="H605" s="6" t="s">
        <v>110</v>
      </c>
      <c r="J605" s="5" t="s">
        <v>104</v>
      </c>
      <c r="L605" s="27">
        <v>-16.899999999999999</v>
      </c>
      <c r="O605" s="27">
        <v>-10.1</v>
      </c>
      <c r="P605" s="5">
        <v>30.7</v>
      </c>
      <c r="Q605" s="27">
        <v>-0.155</v>
      </c>
      <c r="S605" s="27">
        <v>0</v>
      </c>
      <c r="V605" s="32" t="s">
        <v>3415</v>
      </c>
      <c r="X605" s="33" t="s">
        <v>3506</v>
      </c>
      <c r="Y605" s="32">
        <v>50000</v>
      </c>
      <c r="AA605" s="32">
        <v>27.87</v>
      </c>
      <c r="AB605" s="32">
        <v>-97.2</v>
      </c>
      <c r="AC605" s="32">
        <v>7800000</v>
      </c>
    </row>
    <row r="606" spans="3:29" ht="19">
      <c r="C606" s="22" t="s">
        <v>609</v>
      </c>
      <c r="D606" s="22" t="s">
        <v>610</v>
      </c>
      <c r="E606" s="5">
        <v>30967</v>
      </c>
      <c r="F606" s="5">
        <v>470</v>
      </c>
      <c r="G606" s="28" t="s">
        <v>1723</v>
      </c>
      <c r="H606" s="6" t="s">
        <v>110</v>
      </c>
      <c r="J606" s="5" t="s">
        <v>104</v>
      </c>
      <c r="L606" s="27">
        <v>-18.8</v>
      </c>
      <c r="O606" s="27">
        <v>-12</v>
      </c>
      <c r="P606" s="5">
        <v>31.2</v>
      </c>
      <c r="Q606" s="27">
        <v>0.33</v>
      </c>
      <c r="S606" s="27">
        <v>0</v>
      </c>
      <c r="V606" s="32" t="s">
        <v>3415</v>
      </c>
      <c r="X606" s="33" t="s">
        <v>186</v>
      </c>
      <c r="Y606" s="32">
        <v>50000</v>
      </c>
      <c r="AA606" s="32">
        <v>27.87</v>
      </c>
      <c r="AB606" s="32">
        <v>-97.2</v>
      </c>
      <c r="AC606" s="32">
        <v>7800000</v>
      </c>
    </row>
    <row r="607" spans="3:29" ht="19">
      <c r="C607" s="22" t="s">
        <v>609</v>
      </c>
      <c r="D607" s="22" t="s">
        <v>610</v>
      </c>
      <c r="E607" s="5">
        <v>30967</v>
      </c>
      <c r="F607" s="5">
        <v>50</v>
      </c>
      <c r="G607" s="28" t="s">
        <v>1723</v>
      </c>
      <c r="H607" s="6" t="s">
        <v>110</v>
      </c>
      <c r="J607" s="5" t="s">
        <v>104</v>
      </c>
      <c r="L607" s="27">
        <v>-17.2</v>
      </c>
      <c r="O607" s="27">
        <v>-10.4</v>
      </c>
      <c r="P607" s="5">
        <v>30.1</v>
      </c>
      <c r="Q607" s="27">
        <v>-0.73699999999999999</v>
      </c>
      <c r="S607" s="27">
        <v>0</v>
      </c>
      <c r="V607" s="32" t="s">
        <v>3415</v>
      </c>
      <c r="X607" s="33" t="s">
        <v>3506</v>
      </c>
      <c r="Y607" s="32">
        <v>50000</v>
      </c>
      <c r="AA607" s="32">
        <v>27.87</v>
      </c>
      <c r="AB607" s="32">
        <v>-97.2</v>
      </c>
      <c r="AC607" s="32">
        <v>7800000</v>
      </c>
    </row>
    <row r="608" spans="3:29" ht="19">
      <c r="C608" s="22" t="s">
        <v>609</v>
      </c>
      <c r="D608" s="22" t="s">
        <v>610</v>
      </c>
      <c r="E608" s="5">
        <v>30967</v>
      </c>
      <c r="F608" s="5">
        <v>525</v>
      </c>
      <c r="G608" s="28" t="s">
        <v>1723</v>
      </c>
      <c r="H608" s="6" t="s">
        <v>110</v>
      </c>
      <c r="J608" s="5" t="s">
        <v>104</v>
      </c>
      <c r="L608" s="27">
        <v>-18.7</v>
      </c>
      <c r="O608" s="27">
        <v>-11.9</v>
      </c>
      <c r="P608" s="5">
        <v>30.8</v>
      </c>
      <c r="Q608" s="27">
        <v>-5.8000000000000003E-2</v>
      </c>
      <c r="S608" s="27">
        <v>0</v>
      </c>
      <c r="V608" s="32" t="s">
        <v>3415</v>
      </c>
      <c r="X608" s="33" t="s">
        <v>186</v>
      </c>
      <c r="Y608" s="32">
        <v>50000</v>
      </c>
      <c r="AA608" s="32">
        <v>27.87</v>
      </c>
      <c r="AB608" s="32">
        <v>-97.2</v>
      </c>
      <c r="AC608" s="32">
        <v>7800000</v>
      </c>
    </row>
    <row r="609" spans="3:29" ht="19">
      <c r="C609" s="22" t="s">
        <v>609</v>
      </c>
      <c r="D609" s="22" t="s">
        <v>610</v>
      </c>
      <c r="E609" s="5">
        <v>30967</v>
      </c>
      <c r="F609" s="5">
        <v>593</v>
      </c>
      <c r="G609" s="28" t="s">
        <v>1723</v>
      </c>
      <c r="H609" s="6" t="s">
        <v>110</v>
      </c>
      <c r="J609" s="5" t="s">
        <v>104</v>
      </c>
      <c r="L609" s="27">
        <v>-17.899999999999999</v>
      </c>
      <c r="O609" s="27">
        <v>-11.1</v>
      </c>
      <c r="P609" s="5">
        <v>31.7</v>
      </c>
      <c r="Q609" s="27">
        <v>0.81499999999999995</v>
      </c>
      <c r="S609" s="27">
        <v>0</v>
      </c>
      <c r="V609" s="32" t="s">
        <v>3415</v>
      </c>
      <c r="X609" s="33" t="s">
        <v>186</v>
      </c>
      <c r="Y609" s="32">
        <v>50000</v>
      </c>
      <c r="AA609" s="32">
        <v>27.87</v>
      </c>
      <c r="AB609" s="32">
        <v>-97.2</v>
      </c>
      <c r="AC609" s="32">
        <v>7800000</v>
      </c>
    </row>
    <row r="610" spans="3:29" ht="19">
      <c r="C610" s="22" t="s">
        <v>609</v>
      </c>
      <c r="D610" s="22" t="s">
        <v>610</v>
      </c>
      <c r="E610" s="5">
        <v>30967</v>
      </c>
      <c r="F610" s="5">
        <v>606</v>
      </c>
      <c r="G610" s="28" t="s">
        <v>1723</v>
      </c>
      <c r="H610" s="6" t="s">
        <v>110</v>
      </c>
      <c r="J610" s="5" t="s">
        <v>104</v>
      </c>
      <c r="L610" s="27">
        <v>-19.3</v>
      </c>
      <c r="O610" s="27">
        <v>-12.5</v>
      </c>
      <c r="P610" s="5">
        <v>30.6</v>
      </c>
      <c r="Q610" s="27">
        <v>-0.252</v>
      </c>
      <c r="S610" s="27">
        <v>0</v>
      </c>
      <c r="V610" s="32" t="s">
        <v>3415</v>
      </c>
      <c r="X610" s="33" t="s">
        <v>186</v>
      </c>
      <c r="Y610" s="32">
        <v>50000</v>
      </c>
      <c r="AA610" s="32">
        <v>27.87</v>
      </c>
      <c r="AB610" s="32">
        <v>-97.2</v>
      </c>
      <c r="AC610" s="32">
        <v>7800000</v>
      </c>
    </row>
    <row r="611" spans="3:29" ht="19">
      <c r="C611" s="22" t="s">
        <v>609</v>
      </c>
      <c r="D611" s="22" t="s">
        <v>610</v>
      </c>
      <c r="E611" s="5">
        <v>30967</v>
      </c>
      <c r="F611" s="5">
        <v>650</v>
      </c>
      <c r="G611" s="28" t="s">
        <v>1723</v>
      </c>
      <c r="H611" s="6" t="s">
        <v>110</v>
      </c>
      <c r="J611" s="5" t="s">
        <v>104</v>
      </c>
      <c r="L611" s="27">
        <v>-17.5</v>
      </c>
      <c r="O611" s="27">
        <v>-10.7</v>
      </c>
      <c r="P611" s="5">
        <v>29.6</v>
      </c>
      <c r="Q611" s="27">
        <v>-1.222</v>
      </c>
      <c r="S611" s="27">
        <v>0</v>
      </c>
      <c r="V611" s="32" t="s">
        <v>3415</v>
      </c>
      <c r="X611" s="33" t="s">
        <v>3506</v>
      </c>
      <c r="Y611" s="32">
        <v>50000</v>
      </c>
      <c r="AA611" s="32">
        <v>27.87</v>
      </c>
      <c r="AB611" s="32">
        <v>-97.2</v>
      </c>
      <c r="AC611" s="32">
        <v>7800000</v>
      </c>
    </row>
    <row r="612" spans="3:29" ht="19">
      <c r="C612" s="22" t="s">
        <v>609</v>
      </c>
      <c r="D612" s="22" t="s">
        <v>610</v>
      </c>
      <c r="E612" s="5">
        <v>30967</v>
      </c>
      <c r="F612" s="5">
        <v>672</v>
      </c>
      <c r="G612" s="28" t="s">
        <v>1723</v>
      </c>
      <c r="H612" s="6" t="s">
        <v>110</v>
      </c>
      <c r="J612" s="5" t="s">
        <v>104</v>
      </c>
      <c r="L612" s="27">
        <v>-19.399999999999999</v>
      </c>
      <c r="O612" s="27">
        <v>-12.6</v>
      </c>
      <c r="P612" s="5">
        <v>30.6</v>
      </c>
      <c r="Q612" s="27">
        <v>-0.252</v>
      </c>
      <c r="S612" s="27">
        <v>0</v>
      </c>
      <c r="V612" s="32" t="s">
        <v>3415</v>
      </c>
      <c r="X612" s="33" t="s">
        <v>186</v>
      </c>
      <c r="Y612" s="32">
        <v>50000</v>
      </c>
      <c r="AA612" s="32">
        <v>27.87</v>
      </c>
      <c r="AB612" s="32">
        <v>-97.2</v>
      </c>
      <c r="AC612" s="32">
        <v>7800000</v>
      </c>
    </row>
    <row r="613" spans="3:29" ht="19">
      <c r="C613" s="22" t="s">
        <v>609</v>
      </c>
      <c r="D613" s="22" t="s">
        <v>610</v>
      </c>
      <c r="E613" s="5">
        <v>30967</v>
      </c>
      <c r="F613" s="5">
        <v>727</v>
      </c>
      <c r="G613" s="28" t="s">
        <v>1723</v>
      </c>
      <c r="H613" s="6" t="s">
        <v>110</v>
      </c>
      <c r="J613" s="5" t="s">
        <v>104</v>
      </c>
      <c r="L613" s="27">
        <v>-18.5</v>
      </c>
      <c r="O613" s="27">
        <v>-11.7</v>
      </c>
      <c r="P613" s="5">
        <v>30.4</v>
      </c>
      <c r="Q613" s="27">
        <v>-0.44600000000000001</v>
      </c>
      <c r="S613" s="27">
        <v>0</v>
      </c>
      <c r="V613" s="32" t="s">
        <v>3415</v>
      </c>
      <c r="X613" s="33" t="s">
        <v>186</v>
      </c>
      <c r="Y613" s="32">
        <v>50000</v>
      </c>
      <c r="AA613" s="32">
        <v>27.87</v>
      </c>
      <c r="AB613" s="32">
        <v>-97.2</v>
      </c>
      <c r="AC613" s="32">
        <v>7800000</v>
      </c>
    </row>
    <row r="614" spans="3:29" ht="19">
      <c r="C614" s="22" t="s">
        <v>609</v>
      </c>
      <c r="D614" s="22" t="s">
        <v>610</v>
      </c>
      <c r="E614" s="5">
        <v>30967</v>
      </c>
      <c r="F614" s="5">
        <v>766</v>
      </c>
      <c r="G614" s="28" t="s">
        <v>1723</v>
      </c>
      <c r="H614" s="6" t="s">
        <v>110</v>
      </c>
      <c r="J614" s="5" t="s">
        <v>104</v>
      </c>
      <c r="L614" s="27">
        <v>-17.600000000000001</v>
      </c>
      <c r="O614" s="27">
        <v>-10.8</v>
      </c>
      <c r="P614" s="5">
        <v>29.2</v>
      </c>
      <c r="Q614" s="27">
        <v>-1.61</v>
      </c>
      <c r="S614" s="27">
        <v>0</v>
      </c>
      <c r="V614" s="32" t="s">
        <v>3415</v>
      </c>
      <c r="X614" s="33" t="s">
        <v>3556</v>
      </c>
      <c r="Y614" s="32">
        <v>50000</v>
      </c>
      <c r="AA614" s="32">
        <v>27.87</v>
      </c>
      <c r="AB614" s="32">
        <v>-97.2</v>
      </c>
      <c r="AC614" s="32">
        <v>7800000</v>
      </c>
    </row>
    <row r="615" spans="3:29" ht="19">
      <c r="C615" s="22" t="s">
        <v>609</v>
      </c>
      <c r="D615" s="22" t="s">
        <v>610</v>
      </c>
      <c r="E615" s="5">
        <v>30967</v>
      </c>
      <c r="F615" s="5">
        <v>899</v>
      </c>
      <c r="G615" s="28" t="s">
        <v>1723</v>
      </c>
      <c r="H615" s="6" t="s">
        <v>110</v>
      </c>
      <c r="J615" s="5" t="s">
        <v>104</v>
      </c>
      <c r="L615" s="27">
        <v>-19.2</v>
      </c>
      <c r="O615" s="27">
        <v>-12.4</v>
      </c>
      <c r="P615" s="5">
        <v>28.6</v>
      </c>
      <c r="Q615" s="27">
        <v>-2.1920000000000002</v>
      </c>
      <c r="S615" s="27">
        <v>0</v>
      </c>
      <c r="V615" s="32" t="s">
        <v>3415</v>
      </c>
      <c r="X615" s="33" t="s">
        <v>186</v>
      </c>
      <c r="Y615" s="32">
        <v>50000</v>
      </c>
      <c r="AA615" s="32">
        <v>27.87</v>
      </c>
      <c r="AB615" s="32">
        <v>-97.2</v>
      </c>
      <c r="AC615" s="32">
        <v>7800000</v>
      </c>
    </row>
    <row r="616" spans="3:29" ht="19">
      <c r="C616" s="22" t="s">
        <v>609</v>
      </c>
      <c r="D616" s="22" t="s">
        <v>610</v>
      </c>
      <c r="E616" s="5">
        <v>30967</v>
      </c>
      <c r="F616" s="5">
        <v>906</v>
      </c>
      <c r="G616" s="28" t="s">
        <v>1723</v>
      </c>
      <c r="H616" s="6" t="s">
        <v>110</v>
      </c>
      <c r="J616" s="5" t="s">
        <v>104</v>
      </c>
      <c r="L616" s="27">
        <v>-17.399999999999999</v>
      </c>
      <c r="O616" s="27">
        <v>-10.6</v>
      </c>
      <c r="P616" s="5">
        <v>28.5</v>
      </c>
      <c r="Q616" s="27">
        <v>-2.2890000000000001</v>
      </c>
      <c r="S616" s="27">
        <v>0</v>
      </c>
      <c r="V616" s="32" t="s">
        <v>3415</v>
      </c>
      <c r="X616" s="33" t="s">
        <v>3506</v>
      </c>
      <c r="Y616" s="32">
        <v>50000</v>
      </c>
      <c r="AA616" s="32">
        <v>27.87</v>
      </c>
      <c r="AB616" s="32">
        <v>-97.2</v>
      </c>
      <c r="AC616" s="32">
        <v>7800000</v>
      </c>
    </row>
    <row r="617" spans="3:29" ht="19">
      <c r="C617" s="22" t="s">
        <v>609</v>
      </c>
      <c r="D617" s="22" t="s">
        <v>610</v>
      </c>
      <c r="E617" s="5">
        <v>30967</v>
      </c>
      <c r="F617" s="5">
        <v>980</v>
      </c>
      <c r="G617" s="28" t="s">
        <v>1723</v>
      </c>
      <c r="H617" s="6" t="s">
        <v>110</v>
      </c>
      <c r="J617" s="5" t="s">
        <v>104</v>
      </c>
      <c r="L617" s="27">
        <v>-18.2</v>
      </c>
      <c r="O617" s="27">
        <v>-11.4</v>
      </c>
      <c r="P617" s="5">
        <v>29</v>
      </c>
      <c r="Q617" s="27">
        <v>-1.804</v>
      </c>
      <c r="S617" s="27">
        <v>0</v>
      </c>
      <c r="V617" s="32" t="s">
        <v>3415</v>
      </c>
      <c r="X617" s="33" t="s">
        <v>3557</v>
      </c>
      <c r="Y617" s="32">
        <v>50000</v>
      </c>
      <c r="AA617" s="32">
        <v>27.87</v>
      </c>
      <c r="AB617" s="32">
        <v>-97.2</v>
      </c>
      <c r="AC617" s="32">
        <v>7800000</v>
      </c>
    </row>
    <row r="618" spans="3:29" ht="19">
      <c r="C618" s="22" t="s">
        <v>609</v>
      </c>
      <c r="D618" s="22" t="s">
        <v>610</v>
      </c>
      <c r="E618" s="5">
        <v>30967</v>
      </c>
      <c r="F618" s="5">
        <v>591</v>
      </c>
      <c r="G618" s="28" t="s">
        <v>1723</v>
      </c>
      <c r="H618" s="6" t="s">
        <v>110</v>
      </c>
      <c r="J618" s="5" t="s">
        <v>104</v>
      </c>
      <c r="L618" s="27">
        <v>-16.7</v>
      </c>
      <c r="O618" s="27">
        <v>-9.9</v>
      </c>
      <c r="P618" s="5">
        <v>30.3</v>
      </c>
      <c r="Q618" s="27">
        <v>-0.54300000000000004</v>
      </c>
      <c r="S618" s="27">
        <v>0</v>
      </c>
      <c r="V618" s="32" t="s">
        <v>3415</v>
      </c>
      <c r="X618" s="33" t="s">
        <v>3506</v>
      </c>
      <c r="Y618" s="32">
        <v>50000</v>
      </c>
      <c r="AA618" s="32">
        <v>27.87</v>
      </c>
      <c r="AB618" s="32">
        <v>-97.2</v>
      </c>
      <c r="AC618" s="32">
        <v>7800000</v>
      </c>
    </row>
    <row r="619" spans="3:29" ht="19">
      <c r="C619" s="22" t="s">
        <v>609</v>
      </c>
      <c r="D619" s="22" t="s">
        <v>610</v>
      </c>
      <c r="E619" s="5">
        <v>30967</v>
      </c>
      <c r="F619" s="5">
        <v>728</v>
      </c>
      <c r="G619" s="28" t="s">
        <v>1723</v>
      </c>
      <c r="H619" s="6" t="s">
        <v>110</v>
      </c>
      <c r="J619" s="5" t="s">
        <v>104</v>
      </c>
      <c r="L619" s="27">
        <v>-17.3</v>
      </c>
      <c r="O619" s="27">
        <v>-10.5</v>
      </c>
      <c r="P619" s="5">
        <v>30.9</v>
      </c>
      <c r="Q619" s="27">
        <v>3.9E-2</v>
      </c>
      <c r="S619" s="27">
        <v>0</v>
      </c>
      <c r="V619" s="32" t="s">
        <v>3415</v>
      </c>
      <c r="X619" s="33" t="s">
        <v>3506</v>
      </c>
      <c r="Y619" s="32">
        <v>50000</v>
      </c>
      <c r="AA619" s="32">
        <v>27.87</v>
      </c>
      <c r="AB619" s="32">
        <v>-97.2</v>
      </c>
      <c r="AC619" s="32">
        <v>7800000</v>
      </c>
    </row>
    <row r="620" spans="3:29">
      <c r="C620" s="22" t="s">
        <v>603</v>
      </c>
      <c r="D620" s="22" t="s">
        <v>151</v>
      </c>
      <c r="E620" s="5">
        <v>43067</v>
      </c>
      <c r="F620" s="5">
        <v>101</v>
      </c>
      <c r="G620" s="28" t="s">
        <v>1723</v>
      </c>
      <c r="H620" s="6" t="s">
        <v>1893</v>
      </c>
      <c r="J620" s="5" t="s">
        <v>104</v>
      </c>
      <c r="M620" s="56" t="s">
        <v>487</v>
      </c>
      <c r="N620" s="56" t="s">
        <v>487</v>
      </c>
      <c r="R620" s="27" t="s">
        <v>463</v>
      </c>
      <c r="S620" s="27">
        <v>100</v>
      </c>
      <c r="V620" s="32" t="s">
        <v>3353</v>
      </c>
      <c r="W620" s="32">
        <v>5</v>
      </c>
      <c r="Y620" s="32">
        <v>15000</v>
      </c>
      <c r="AA620" s="32">
        <v>30.25</v>
      </c>
      <c r="AB620" s="32">
        <v>-97.75</v>
      </c>
      <c r="AC620" s="32">
        <v>10800000</v>
      </c>
    </row>
    <row r="621" spans="3:29" ht="19">
      <c r="C621" s="22" t="s">
        <v>603</v>
      </c>
      <c r="D621" s="22" t="s">
        <v>151</v>
      </c>
      <c r="E621" s="5">
        <v>43067</v>
      </c>
      <c r="F621" s="5">
        <v>37</v>
      </c>
      <c r="G621" s="28" t="s">
        <v>1723</v>
      </c>
      <c r="H621" s="6" t="s">
        <v>1893</v>
      </c>
      <c r="J621" s="5" t="s">
        <v>104</v>
      </c>
      <c r="M621" s="56" t="s">
        <v>487</v>
      </c>
      <c r="N621" s="56" t="s">
        <v>487</v>
      </c>
      <c r="R621" s="27" t="s">
        <v>463</v>
      </c>
      <c r="S621" s="27">
        <v>100</v>
      </c>
      <c r="V621" s="32" t="s">
        <v>3353</v>
      </c>
      <c r="W621" s="32">
        <v>5</v>
      </c>
      <c r="X621" s="33" t="s">
        <v>3558</v>
      </c>
      <c r="Y621" s="32">
        <v>15000</v>
      </c>
      <c r="AA621" s="32">
        <v>30.25</v>
      </c>
      <c r="AB621" s="32">
        <v>-97.75</v>
      </c>
      <c r="AC621" s="32">
        <v>10800000</v>
      </c>
    </row>
    <row r="622" spans="3:29" ht="38">
      <c r="C622" s="22" t="s">
        <v>603</v>
      </c>
      <c r="D622" s="22" t="s">
        <v>151</v>
      </c>
      <c r="E622" s="5">
        <v>908</v>
      </c>
      <c r="F622" s="5">
        <v>2305</v>
      </c>
      <c r="G622" s="28" t="s">
        <v>1723</v>
      </c>
      <c r="H622" s="6" t="s">
        <v>250</v>
      </c>
      <c r="J622" s="5" t="s">
        <v>104</v>
      </c>
      <c r="M622" s="56">
        <v>2.2999999999999998</v>
      </c>
      <c r="N622" s="56">
        <v>-25</v>
      </c>
      <c r="R622" s="27">
        <v>7.1</v>
      </c>
      <c r="S622" s="27">
        <v>4.2</v>
      </c>
      <c r="V622" s="32" t="s">
        <v>3353</v>
      </c>
      <c r="W622" s="32">
        <v>5</v>
      </c>
      <c r="X622" s="33" t="s">
        <v>3559</v>
      </c>
      <c r="Y622" s="32">
        <v>11000</v>
      </c>
      <c r="AA622" s="32">
        <v>29.37</v>
      </c>
      <c r="AB622" s="32">
        <v>-99.47</v>
      </c>
      <c r="AC622" s="32">
        <v>10800000</v>
      </c>
    </row>
    <row r="623" spans="3:29" ht="19">
      <c r="C623" s="22" t="s">
        <v>603</v>
      </c>
      <c r="D623" s="22" t="s">
        <v>151</v>
      </c>
      <c r="E623" s="5">
        <v>933</v>
      </c>
      <c r="F623" s="5">
        <v>3532</v>
      </c>
      <c r="G623" s="28" t="s">
        <v>1723</v>
      </c>
      <c r="H623" s="6" t="s">
        <v>250</v>
      </c>
      <c r="J623" s="5" t="s">
        <v>1744</v>
      </c>
      <c r="K623" s="27">
        <v>6.9</v>
      </c>
      <c r="L623" s="27">
        <v>-17</v>
      </c>
      <c r="R623" s="27">
        <v>15.2</v>
      </c>
      <c r="S623" s="27">
        <v>3</v>
      </c>
      <c r="V623" s="32" t="s">
        <v>3353</v>
      </c>
      <c r="W623" s="32">
        <v>4</v>
      </c>
      <c r="X623" s="33" t="s">
        <v>487</v>
      </c>
      <c r="AA623" s="32">
        <v>29.37</v>
      </c>
      <c r="AB623" s="32">
        <v>-99.47</v>
      </c>
      <c r="AC623" s="32">
        <v>10800001</v>
      </c>
    </row>
    <row r="624" spans="3:29">
      <c r="C624" s="22" t="s">
        <v>603</v>
      </c>
      <c r="D624" s="22" t="s">
        <v>151</v>
      </c>
      <c r="E624" s="5">
        <v>43067</v>
      </c>
      <c r="F624" s="5">
        <v>37</v>
      </c>
      <c r="G624" s="28" t="s">
        <v>1723</v>
      </c>
      <c r="H624" s="6" t="s">
        <v>1893</v>
      </c>
      <c r="J624" s="5" t="s">
        <v>104</v>
      </c>
      <c r="L624" s="27">
        <v>-7.78</v>
      </c>
      <c r="O624" s="27">
        <v>-0.98</v>
      </c>
      <c r="P624" s="5">
        <v>28.72</v>
      </c>
      <c r="Q624" s="27">
        <v>-2.08</v>
      </c>
      <c r="S624" s="27">
        <v>0</v>
      </c>
      <c r="V624" s="32" t="s">
        <v>3353</v>
      </c>
      <c r="Y624" s="32">
        <v>17220</v>
      </c>
      <c r="Z624" s="31" t="s">
        <v>3412</v>
      </c>
      <c r="AA624" s="32">
        <v>30.25</v>
      </c>
      <c r="AB624" s="32">
        <v>-97.75</v>
      </c>
      <c r="AC624" s="32">
        <v>10800000</v>
      </c>
    </row>
    <row r="625" spans="3:29">
      <c r="C625" s="22" t="s">
        <v>603</v>
      </c>
      <c r="D625" s="22" t="s">
        <v>151</v>
      </c>
      <c r="E625" s="5">
        <v>30967</v>
      </c>
      <c r="F625" s="5">
        <v>165</v>
      </c>
      <c r="G625" s="28" t="s">
        <v>1723</v>
      </c>
      <c r="H625" s="6" t="s">
        <v>110</v>
      </c>
      <c r="J625" s="5" t="s">
        <v>104</v>
      </c>
      <c r="L625" s="27">
        <v>-8.6999999999999993</v>
      </c>
      <c r="O625" s="27">
        <v>-1.9357333333333342</v>
      </c>
      <c r="Q625" s="27">
        <v>-1.4326254612759612</v>
      </c>
      <c r="V625" s="32">
        <v>43405</v>
      </c>
      <c r="W625" s="32">
        <v>4</v>
      </c>
      <c r="AA625" s="32">
        <v>27.87</v>
      </c>
      <c r="AB625" s="32">
        <v>-97.2</v>
      </c>
      <c r="AC625" s="32">
        <v>10800000</v>
      </c>
    </row>
    <row r="626" spans="3:29">
      <c r="C626" s="22" t="s">
        <v>603</v>
      </c>
      <c r="D626" s="22" t="s">
        <v>151</v>
      </c>
      <c r="E626" s="5" t="s">
        <v>1932</v>
      </c>
      <c r="G626" s="28" t="s">
        <v>1723</v>
      </c>
      <c r="J626" s="5" t="s">
        <v>1744</v>
      </c>
      <c r="L626" s="27">
        <v>-7.5</v>
      </c>
      <c r="O626" s="27">
        <v>-0.68406666666666738</v>
      </c>
      <c r="Q626" s="27">
        <v>-2.1669443238952226</v>
      </c>
      <c r="V626" s="32">
        <v>43405</v>
      </c>
      <c r="W626" s="32">
        <v>4</v>
      </c>
      <c r="AA626" s="32"/>
      <c r="AB626" s="32"/>
      <c r="AC626" s="32">
        <v>10800001</v>
      </c>
    </row>
    <row r="627" spans="3:29">
      <c r="C627" s="22" t="s">
        <v>603</v>
      </c>
      <c r="D627" s="22" t="s">
        <v>151</v>
      </c>
      <c r="E627" s="5">
        <v>30967</v>
      </c>
      <c r="F627" s="5">
        <v>1273</v>
      </c>
      <c r="G627" s="28" t="s">
        <v>1723</v>
      </c>
      <c r="H627" s="6" t="s">
        <v>110</v>
      </c>
      <c r="J627" s="5" t="s">
        <v>1744</v>
      </c>
      <c r="L627" s="27">
        <v>-8.6999999999999993</v>
      </c>
      <c r="O627" s="27">
        <v>-1.9063333333333334</v>
      </c>
      <c r="Q627" s="27">
        <v>-0.66933576136068496</v>
      </c>
      <c r="V627" s="32">
        <v>43405</v>
      </c>
      <c r="AA627" s="32">
        <v>27.87</v>
      </c>
      <c r="AB627" s="32">
        <v>-97.2</v>
      </c>
      <c r="AC627" s="32">
        <v>10800000</v>
      </c>
    </row>
    <row r="628" spans="3:29">
      <c r="C628" s="22" t="s">
        <v>603</v>
      </c>
      <c r="D628" s="22" t="s">
        <v>151</v>
      </c>
      <c r="E628" s="5">
        <v>43442</v>
      </c>
      <c r="F628" s="5">
        <v>1</v>
      </c>
      <c r="G628" s="28" t="s">
        <v>1723</v>
      </c>
      <c r="H628" s="6" t="s">
        <v>1914</v>
      </c>
      <c r="J628" s="5" t="s">
        <v>1744</v>
      </c>
      <c r="L628" s="27">
        <v>-8.4</v>
      </c>
      <c r="O628" s="27">
        <v>-1.5910833333333336</v>
      </c>
      <c r="Q628" s="27">
        <v>-3.5278269527000248</v>
      </c>
      <c r="V628" s="32">
        <v>43405</v>
      </c>
      <c r="W628" s="32">
        <v>3</v>
      </c>
      <c r="AA628" s="32"/>
      <c r="AB628" s="32"/>
      <c r="AC628" s="32">
        <v>10800000</v>
      </c>
    </row>
    <row r="629" spans="3:29">
      <c r="C629" s="22" t="s">
        <v>603</v>
      </c>
      <c r="D629" s="22" t="s">
        <v>151</v>
      </c>
      <c r="E629" s="5">
        <v>30967</v>
      </c>
      <c r="F629" s="5">
        <v>1214</v>
      </c>
      <c r="G629" s="28" t="s">
        <v>1723</v>
      </c>
      <c r="H629" s="6" t="s">
        <v>110</v>
      </c>
      <c r="J629" s="5" t="s">
        <v>1744</v>
      </c>
      <c r="L629" s="27">
        <v>-8.3000000000000007</v>
      </c>
      <c r="O629" s="27">
        <v>-1.5494000000000008</v>
      </c>
      <c r="Q629" s="27">
        <v>-2.1523310131962035</v>
      </c>
      <c r="V629" s="32">
        <v>43405</v>
      </c>
      <c r="W629" s="32">
        <v>4</v>
      </c>
      <c r="AA629" s="32">
        <v>27.87</v>
      </c>
      <c r="AB629" s="32">
        <v>-97.2</v>
      </c>
      <c r="AC629" s="32">
        <v>10800000</v>
      </c>
    </row>
    <row r="630" spans="3:29">
      <c r="C630" s="22" t="s">
        <v>603</v>
      </c>
      <c r="D630" s="22" t="s">
        <v>151</v>
      </c>
      <c r="E630" s="5">
        <v>30967</v>
      </c>
      <c r="F630" s="5">
        <v>227</v>
      </c>
      <c r="G630" s="28" t="s">
        <v>1723</v>
      </c>
      <c r="H630" s="6" t="s">
        <v>110</v>
      </c>
      <c r="J630" s="5" t="s">
        <v>1744</v>
      </c>
      <c r="L630" s="27">
        <v>-7.6</v>
      </c>
      <c r="O630" s="27">
        <v>-0.81166666666666676</v>
      </c>
      <c r="Q630" s="27">
        <v>0.45507012295536242</v>
      </c>
      <c r="V630" s="32">
        <v>43405</v>
      </c>
      <c r="AA630" s="32">
        <v>27.87</v>
      </c>
      <c r="AB630" s="32">
        <v>-97.2</v>
      </c>
      <c r="AC630" s="32">
        <v>10800000</v>
      </c>
    </row>
    <row r="631" spans="3:29" ht="19">
      <c r="C631" s="22" t="s">
        <v>603</v>
      </c>
      <c r="D631" s="22" t="s">
        <v>151</v>
      </c>
      <c r="E631" s="5">
        <v>40529</v>
      </c>
      <c r="F631" s="5">
        <v>9</v>
      </c>
      <c r="G631" s="28" t="s">
        <v>1723</v>
      </c>
      <c r="H631" s="6" t="s">
        <v>1512</v>
      </c>
      <c r="J631" s="5" t="s">
        <v>1744</v>
      </c>
      <c r="L631" s="27">
        <v>-8</v>
      </c>
      <c r="O631" s="27">
        <v>-1.1507333333333341</v>
      </c>
      <c r="Q631" s="27">
        <v>-3.333020093526784</v>
      </c>
      <c r="V631" s="32">
        <v>43405</v>
      </c>
      <c r="W631" s="32">
        <v>4</v>
      </c>
      <c r="X631" s="33" t="s">
        <v>3560</v>
      </c>
      <c r="AA631" s="32"/>
      <c r="AB631" s="32"/>
      <c r="AC631" s="32">
        <v>10800000</v>
      </c>
    </row>
    <row r="632" spans="3:29" ht="19">
      <c r="C632" s="22" t="s">
        <v>603</v>
      </c>
      <c r="D632" s="22" t="s">
        <v>151</v>
      </c>
      <c r="E632" s="5">
        <v>40545</v>
      </c>
      <c r="F632" s="5">
        <v>17</v>
      </c>
      <c r="G632" s="28" t="s">
        <v>1723</v>
      </c>
      <c r="H632" s="6" t="s">
        <v>1912</v>
      </c>
      <c r="J632" s="5" t="s">
        <v>1744</v>
      </c>
      <c r="L632" s="27">
        <v>-8.1999999999999993</v>
      </c>
      <c r="O632" s="27">
        <v>-1.4433333333333336</v>
      </c>
      <c r="Q632" s="27">
        <v>-0.11941234037146842</v>
      </c>
      <c r="V632" s="32">
        <v>43405</v>
      </c>
      <c r="X632" s="33" t="s">
        <v>3560</v>
      </c>
      <c r="AA632" s="32"/>
      <c r="AB632" s="32"/>
      <c r="AC632" s="32">
        <v>10800000</v>
      </c>
    </row>
    <row r="633" spans="3:29">
      <c r="C633" s="22" t="s">
        <v>603</v>
      </c>
      <c r="D633" s="22" t="s">
        <v>151</v>
      </c>
      <c r="E633" s="5">
        <v>40613</v>
      </c>
      <c r="F633" s="5">
        <v>1.1100000000000001</v>
      </c>
      <c r="G633" s="28" t="s">
        <v>1723</v>
      </c>
      <c r="H633" s="6" t="s">
        <v>1935</v>
      </c>
      <c r="J633" s="5" t="s">
        <v>1744</v>
      </c>
      <c r="M633" s="56" t="s">
        <v>487</v>
      </c>
      <c r="N633" s="56" t="s">
        <v>487</v>
      </c>
      <c r="R633" s="27" t="s">
        <v>463</v>
      </c>
      <c r="S633" s="27" t="s">
        <v>487</v>
      </c>
      <c r="V633" s="32" t="s">
        <v>3417</v>
      </c>
      <c r="W633" s="32">
        <v>4</v>
      </c>
      <c r="AA633" s="32"/>
      <c r="AB633" s="32"/>
      <c r="AC633" s="32">
        <v>10800000</v>
      </c>
    </row>
    <row r="634" spans="3:29" ht="38">
      <c r="C634" s="22" t="s">
        <v>603</v>
      </c>
      <c r="D634" s="22" t="s">
        <v>151</v>
      </c>
      <c r="E634" s="5">
        <v>41465</v>
      </c>
      <c r="F634" s="5">
        <v>172</v>
      </c>
      <c r="G634" s="28" t="s">
        <v>1723</v>
      </c>
      <c r="H634" s="6" t="s">
        <v>1933</v>
      </c>
      <c r="J634" s="5" t="s">
        <v>1744</v>
      </c>
      <c r="M634" s="56" t="s">
        <v>487</v>
      </c>
      <c r="N634" s="56" t="s">
        <v>487</v>
      </c>
      <c r="R634" s="27" t="s">
        <v>463</v>
      </c>
      <c r="S634" s="27" t="s">
        <v>487</v>
      </c>
      <c r="V634" s="32" t="s">
        <v>3417</v>
      </c>
      <c r="W634" s="32">
        <v>4</v>
      </c>
      <c r="X634" s="33" t="s">
        <v>3561</v>
      </c>
      <c r="AA634" s="32">
        <v>30.62</v>
      </c>
      <c r="AB634" s="32">
        <v>-97.62</v>
      </c>
      <c r="AC634" s="32">
        <v>10800000</v>
      </c>
    </row>
    <row r="635" spans="3:29" ht="19">
      <c r="C635" s="22" t="s">
        <v>603</v>
      </c>
      <c r="D635" s="22" t="s">
        <v>151</v>
      </c>
      <c r="E635" s="5">
        <v>933</v>
      </c>
      <c r="F635" s="5">
        <v>748</v>
      </c>
      <c r="G635" s="28" t="s">
        <v>1723</v>
      </c>
      <c r="H635" s="6" t="s">
        <v>249</v>
      </c>
      <c r="J635" s="5" t="s">
        <v>1744</v>
      </c>
      <c r="M635" s="56" t="s">
        <v>487</v>
      </c>
      <c r="N635" s="56" t="s">
        <v>487</v>
      </c>
      <c r="R635" s="27" t="s">
        <v>463</v>
      </c>
      <c r="S635" s="27" t="s">
        <v>487</v>
      </c>
      <c r="V635" s="32" t="s">
        <v>3417</v>
      </c>
      <c r="W635" s="32">
        <v>4</v>
      </c>
      <c r="X635" s="33" t="s">
        <v>3522</v>
      </c>
      <c r="Y635" s="32" t="s">
        <v>3562</v>
      </c>
      <c r="AA635" s="32">
        <v>29.62</v>
      </c>
      <c r="AB635" s="32">
        <v>-98.37</v>
      </c>
      <c r="AC635" s="32">
        <v>10800000</v>
      </c>
    </row>
    <row r="636" spans="3:29">
      <c r="C636" s="22" t="s">
        <v>603</v>
      </c>
      <c r="D636" s="22" t="s">
        <v>151</v>
      </c>
      <c r="E636" s="5">
        <v>933</v>
      </c>
      <c r="F636" s="5">
        <v>674</v>
      </c>
      <c r="G636" s="28" t="s">
        <v>1723</v>
      </c>
      <c r="H636" s="6" t="s">
        <v>249</v>
      </c>
      <c r="J636" s="5" t="s">
        <v>1744</v>
      </c>
      <c r="K636" s="27">
        <v>2.7486551999999995</v>
      </c>
      <c r="L636" s="27">
        <v>-24.743374899999999</v>
      </c>
      <c r="R636" s="27">
        <v>7.2381333931807648</v>
      </c>
      <c r="S636" s="27">
        <v>2.6749556640441159</v>
      </c>
      <c r="V636" s="32" t="s">
        <v>3417</v>
      </c>
      <c r="W636" s="32">
        <v>4</v>
      </c>
      <c r="Y636" s="32" t="s">
        <v>3563</v>
      </c>
      <c r="AA636" s="32">
        <v>29.62</v>
      </c>
      <c r="AB636" s="32">
        <v>-98.37</v>
      </c>
      <c r="AC636" s="32">
        <v>10800000</v>
      </c>
    </row>
    <row r="637" spans="3:29">
      <c r="C637" s="22" t="s">
        <v>603</v>
      </c>
      <c r="D637" s="22" t="s">
        <v>151</v>
      </c>
      <c r="E637" s="5">
        <v>30967</v>
      </c>
      <c r="F637" s="5">
        <v>1273</v>
      </c>
      <c r="G637" s="28" t="s">
        <v>1723</v>
      </c>
      <c r="H637" s="6" t="s">
        <v>110</v>
      </c>
      <c r="J637" s="5" t="s">
        <v>1744</v>
      </c>
      <c r="L637" s="27">
        <v>-8.5299999999999994</v>
      </c>
      <c r="O637" s="27">
        <v>-1.73</v>
      </c>
      <c r="P637" s="5">
        <v>29.37</v>
      </c>
      <c r="Q637" s="27">
        <v>-1.445395107</v>
      </c>
      <c r="V637" s="32">
        <v>43647</v>
      </c>
      <c r="AA637" s="32">
        <v>27.87</v>
      </c>
      <c r="AB637" s="32">
        <v>-97.2</v>
      </c>
      <c r="AC637" s="32">
        <v>10800000</v>
      </c>
    </row>
    <row r="638" spans="3:29">
      <c r="C638" s="22" t="s">
        <v>603</v>
      </c>
      <c r="D638" s="22" t="s">
        <v>151</v>
      </c>
      <c r="E638" s="5">
        <v>908</v>
      </c>
      <c r="F638" s="5">
        <v>2377</v>
      </c>
      <c r="G638" s="28" t="s">
        <v>1723</v>
      </c>
      <c r="H638" s="6" t="s">
        <v>250</v>
      </c>
      <c r="J638" s="5" t="s">
        <v>1744</v>
      </c>
      <c r="L638" s="27">
        <v>-8.58</v>
      </c>
      <c r="O638" s="27">
        <v>-1.78</v>
      </c>
      <c r="P638" s="5">
        <v>29.04</v>
      </c>
      <c r="Q638" s="27">
        <v>-1.765516171</v>
      </c>
      <c r="V638" s="32">
        <v>43647</v>
      </c>
      <c r="AA638" s="32">
        <v>29.37</v>
      </c>
      <c r="AB638" s="32">
        <v>-99.47</v>
      </c>
      <c r="AC638" s="32">
        <v>10800000</v>
      </c>
    </row>
    <row r="639" spans="3:29">
      <c r="C639" s="22" t="s">
        <v>603</v>
      </c>
      <c r="D639" s="22" t="s">
        <v>151</v>
      </c>
      <c r="E639" s="5">
        <v>30967</v>
      </c>
      <c r="F639" s="5">
        <v>808</v>
      </c>
      <c r="G639" s="28" t="s">
        <v>1723</v>
      </c>
      <c r="H639" s="6" t="s">
        <v>110</v>
      </c>
      <c r="J639" s="5" t="s">
        <v>104</v>
      </c>
      <c r="N639" s="56">
        <v>-7.7</v>
      </c>
      <c r="O639" s="27">
        <v>-0.9</v>
      </c>
      <c r="S639" s="27">
        <v>100</v>
      </c>
      <c r="V639" s="32" t="s">
        <v>3502</v>
      </c>
      <c r="Y639" s="32">
        <v>50000</v>
      </c>
      <c r="AA639" s="32">
        <v>27.87</v>
      </c>
      <c r="AB639" s="32">
        <v>-97.2</v>
      </c>
      <c r="AC639" s="32">
        <v>10800000</v>
      </c>
    </row>
    <row r="640" spans="3:29">
      <c r="C640" s="22" t="s">
        <v>603</v>
      </c>
      <c r="D640" s="22" t="s">
        <v>151</v>
      </c>
      <c r="E640" s="5">
        <v>30967</v>
      </c>
      <c r="F640" s="5">
        <v>148</v>
      </c>
      <c r="G640" s="28" t="s">
        <v>1723</v>
      </c>
      <c r="H640" s="6" t="s">
        <v>110</v>
      </c>
      <c r="J640" s="5" t="s">
        <v>104</v>
      </c>
      <c r="L640" s="27">
        <v>-9.39</v>
      </c>
      <c r="O640" s="27">
        <v>-2.59</v>
      </c>
      <c r="P640" s="5">
        <v>29.97</v>
      </c>
      <c r="Q640" s="27">
        <v>-0.86</v>
      </c>
      <c r="S640" s="27">
        <v>0</v>
      </c>
      <c r="V640" s="32" t="s">
        <v>3402</v>
      </c>
      <c r="Y640" s="32">
        <v>50000</v>
      </c>
      <c r="AA640" s="32">
        <v>27.87</v>
      </c>
      <c r="AB640" s="32">
        <v>-97.2</v>
      </c>
      <c r="AC640" s="32">
        <v>10800000</v>
      </c>
    </row>
    <row r="641" spans="3:29" ht="19">
      <c r="C641" s="22" t="s">
        <v>603</v>
      </c>
      <c r="D641" s="22" t="s">
        <v>151</v>
      </c>
      <c r="E641" s="5">
        <v>30967</v>
      </c>
      <c r="F641" s="5">
        <v>679</v>
      </c>
      <c r="G641" s="28" t="s">
        <v>1723</v>
      </c>
      <c r="H641" s="6" t="s">
        <v>110</v>
      </c>
      <c r="J641" s="5" t="s">
        <v>104</v>
      </c>
      <c r="L641" s="27">
        <v>-7.63</v>
      </c>
      <c r="O641" s="27">
        <v>-0.83</v>
      </c>
      <c r="P641" s="5">
        <v>30.11</v>
      </c>
      <c r="Q641" s="27">
        <v>-0.73</v>
      </c>
      <c r="S641" s="27">
        <v>0</v>
      </c>
      <c r="V641" s="32" t="s">
        <v>3402</v>
      </c>
      <c r="X641" s="33" t="s">
        <v>3483</v>
      </c>
      <c r="Y641" s="32">
        <v>50000</v>
      </c>
      <c r="AA641" s="32">
        <v>27.87</v>
      </c>
      <c r="AB641" s="32">
        <v>-97.2</v>
      </c>
      <c r="AC641" s="32">
        <v>10800000</v>
      </c>
    </row>
    <row r="642" spans="3:29">
      <c r="C642" s="22" t="s">
        <v>603</v>
      </c>
      <c r="D642" s="22" t="s">
        <v>151</v>
      </c>
      <c r="E642" s="5">
        <v>30967</v>
      </c>
      <c r="F642" s="5">
        <v>165</v>
      </c>
      <c r="G642" s="28" t="s">
        <v>1723</v>
      </c>
      <c r="H642" s="6" t="s">
        <v>110</v>
      </c>
      <c r="J642" s="5" t="s">
        <v>104</v>
      </c>
      <c r="L642" s="27">
        <v>-8.44</v>
      </c>
      <c r="O642" s="27">
        <v>-1.64</v>
      </c>
      <c r="P642" s="5">
        <v>30.09</v>
      </c>
      <c r="Q642" s="27">
        <v>-0.75</v>
      </c>
      <c r="S642" s="27">
        <v>0</v>
      </c>
      <c r="V642" s="32" t="s">
        <v>3402</v>
      </c>
      <c r="Y642" s="32">
        <v>50000</v>
      </c>
      <c r="AA642" s="32">
        <v>27.87</v>
      </c>
      <c r="AB642" s="32">
        <v>-97.2</v>
      </c>
      <c r="AC642" s="32">
        <v>10800000</v>
      </c>
    </row>
    <row r="643" spans="3:29">
      <c r="C643" s="22" t="s">
        <v>603</v>
      </c>
      <c r="D643" s="22" t="s">
        <v>151</v>
      </c>
      <c r="E643" s="5">
        <v>30967</v>
      </c>
      <c r="F643" s="5">
        <v>500</v>
      </c>
      <c r="G643" s="28" t="s">
        <v>1723</v>
      </c>
      <c r="H643" s="6" t="s">
        <v>110</v>
      </c>
      <c r="J643" s="5" t="s">
        <v>104</v>
      </c>
      <c r="L643" s="27">
        <v>-8.15</v>
      </c>
      <c r="O643" s="27">
        <v>-1.35</v>
      </c>
      <c r="P643" s="5">
        <v>30.39</v>
      </c>
      <c r="Q643" s="27">
        <v>-0.46</v>
      </c>
      <c r="S643" s="27">
        <v>0</v>
      </c>
      <c r="V643" s="32" t="s">
        <v>3402</v>
      </c>
      <c r="Y643" s="32">
        <v>50000</v>
      </c>
      <c r="AA643" s="32">
        <v>27.87</v>
      </c>
      <c r="AB643" s="32">
        <v>-97.2</v>
      </c>
      <c r="AC643" s="32">
        <v>10800000</v>
      </c>
    </row>
    <row r="644" spans="3:29">
      <c r="C644" s="22" t="s">
        <v>603</v>
      </c>
      <c r="D644" s="22" t="s">
        <v>151</v>
      </c>
      <c r="E644" s="5">
        <v>40806</v>
      </c>
      <c r="F644" s="5">
        <v>433</v>
      </c>
      <c r="G644" s="28" t="s">
        <v>1723</v>
      </c>
      <c r="H644" s="6" t="s">
        <v>1767</v>
      </c>
      <c r="J644" s="5" t="s">
        <v>104</v>
      </c>
      <c r="L644" s="27">
        <v>-9.64</v>
      </c>
      <c r="O644" s="27">
        <v>-2.84</v>
      </c>
      <c r="P644" s="5">
        <v>29.5</v>
      </c>
      <c r="Q644" s="27">
        <v>-1.32</v>
      </c>
      <c r="S644" s="27">
        <v>0</v>
      </c>
      <c r="V644" s="32" t="s">
        <v>3402</v>
      </c>
      <c r="Y644" s="32">
        <v>10100</v>
      </c>
      <c r="Z644" s="31" t="s">
        <v>3564</v>
      </c>
      <c r="AA644" s="32">
        <v>29.82</v>
      </c>
      <c r="AB644" s="32">
        <v>-101.55</v>
      </c>
      <c r="AC644" s="32">
        <v>10800000</v>
      </c>
    </row>
    <row r="645" spans="3:29" ht="19">
      <c r="C645" s="22" t="s">
        <v>603</v>
      </c>
      <c r="D645" s="22" t="s">
        <v>151</v>
      </c>
      <c r="E645" s="5" t="s">
        <v>1773</v>
      </c>
      <c r="F645" s="5">
        <v>7391</v>
      </c>
      <c r="G645" s="28" t="s">
        <v>1723</v>
      </c>
      <c r="H645" s="6" t="s">
        <v>1774</v>
      </c>
      <c r="J645" s="5" t="s">
        <v>104</v>
      </c>
      <c r="L645" s="27">
        <v>-10.99</v>
      </c>
      <c r="O645" s="27">
        <v>-4.1900000000000004</v>
      </c>
      <c r="P645" s="5">
        <v>29.08</v>
      </c>
      <c r="Q645" s="27">
        <v>-1.73</v>
      </c>
      <c r="S645" s="27">
        <v>0</v>
      </c>
      <c r="V645" s="32" t="s">
        <v>3402</v>
      </c>
      <c r="X645" s="33" t="s">
        <v>3565</v>
      </c>
      <c r="Y645" s="32">
        <v>9310</v>
      </c>
      <c r="Z645" s="31" t="s">
        <v>3564</v>
      </c>
      <c r="AA645" s="32">
        <v>30.25</v>
      </c>
      <c r="AB645" s="32">
        <v>-99.87</v>
      </c>
      <c r="AC645" s="32">
        <v>10800000</v>
      </c>
    </row>
    <row r="646" spans="3:29">
      <c r="C646" s="22" t="s">
        <v>603</v>
      </c>
      <c r="D646" s="22" t="s">
        <v>151</v>
      </c>
      <c r="E646" s="5" t="s">
        <v>1776</v>
      </c>
      <c r="F646" s="5">
        <v>61233</v>
      </c>
      <c r="G646" s="28" t="s">
        <v>1723</v>
      </c>
      <c r="H646" s="6" t="s">
        <v>1902</v>
      </c>
      <c r="J646" s="5" t="s">
        <v>104</v>
      </c>
      <c r="L646" s="27">
        <v>-10.34</v>
      </c>
      <c r="O646" s="27">
        <v>-3.54</v>
      </c>
      <c r="P646" s="5">
        <v>29.96</v>
      </c>
      <c r="Q646" s="27">
        <v>-0.87</v>
      </c>
      <c r="S646" s="27">
        <v>0</v>
      </c>
      <c r="V646" s="32" t="s">
        <v>3402</v>
      </c>
      <c r="Y646" s="32">
        <v>10317.5</v>
      </c>
      <c r="Z646" s="31" t="s">
        <v>3564</v>
      </c>
      <c r="AA646" s="32">
        <v>33.369999999999997</v>
      </c>
      <c r="AB646" s="32">
        <v>-95.75</v>
      </c>
      <c r="AC646" s="32">
        <v>10800000</v>
      </c>
    </row>
    <row r="647" spans="3:29">
      <c r="C647" s="22" t="s">
        <v>603</v>
      </c>
      <c r="D647" s="22" t="s">
        <v>151</v>
      </c>
      <c r="E647" s="5" t="s">
        <v>1776</v>
      </c>
      <c r="F647" s="5">
        <v>61244</v>
      </c>
      <c r="G647" s="28" t="s">
        <v>1723</v>
      </c>
      <c r="H647" s="6" t="s">
        <v>1902</v>
      </c>
      <c r="J647" s="5" t="s">
        <v>104</v>
      </c>
      <c r="L647" s="27">
        <v>-8.14</v>
      </c>
      <c r="O647" s="27">
        <v>-1.34</v>
      </c>
      <c r="P647" s="5">
        <v>29.41</v>
      </c>
      <c r="Q647" s="27">
        <v>-1.41</v>
      </c>
      <c r="S647" s="27">
        <v>0</v>
      </c>
      <c r="V647" s="32" t="s">
        <v>3402</v>
      </c>
      <c r="Y647" s="32">
        <v>10317.5</v>
      </c>
      <c r="Z647" s="31" t="s">
        <v>3564</v>
      </c>
      <c r="AA647" s="32">
        <v>33.369999999999997</v>
      </c>
      <c r="AB647" s="32">
        <v>-95.75</v>
      </c>
      <c r="AC647" s="32">
        <v>10800000</v>
      </c>
    </row>
    <row r="648" spans="3:29">
      <c r="C648" s="22" t="s">
        <v>603</v>
      </c>
      <c r="D648" s="22" t="s">
        <v>151</v>
      </c>
      <c r="E648" s="5" t="s">
        <v>1776</v>
      </c>
      <c r="F648" s="5">
        <v>61245</v>
      </c>
      <c r="G648" s="28" t="s">
        <v>1723</v>
      </c>
      <c r="H648" s="6" t="s">
        <v>1902</v>
      </c>
      <c r="J648" s="5" t="s">
        <v>104</v>
      </c>
      <c r="L648" s="27">
        <v>-8.07</v>
      </c>
      <c r="O648" s="27">
        <v>-1.27</v>
      </c>
      <c r="P648" s="5">
        <v>29.49</v>
      </c>
      <c r="Q648" s="27">
        <v>-1.33</v>
      </c>
      <c r="S648" s="27">
        <v>0</v>
      </c>
      <c r="V648" s="32" t="s">
        <v>3402</v>
      </c>
      <c r="Y648" s="32">
        <v>10317.5</v>
      </c>
      <c r="Z648" s="31" t="s">
        <v>3564</v>
      </c>
      <c r="AA648" s="32">
        <v>33.369999999999997</v>
      </c>
      <c r="AB648" s="32">
        <v>-95.75</v>
      </c>
      <c r="AC648" s="32">
        <v>10800000</v>
      </c>
    </row>
    <row r="649" spans="3:29" ht="19">
      <c r="C649" s="22" t="s">
        <v>603</v>
      </c>
      <c r="D649" s="22" t="s">
        <v>151</v>
      </c>
      <c r="E649" s="5">
        <v>30907</v>
      </c>
      <c r="F649" s="5">
        <v>10</v>
      </c>
      <c r="G649" s="28" t="s">
        <v>1723</v>
      </c>
      <c r="H649" s="6" t="s">
        <v>1780</v>
      </c>
      <c r="J649" s="5" t="s">
        <v>104</v>
      </c>
      <c r="L649" s="27">
        <v>-9.57</v>
      </c>
      <c r="O649" s="27">
        <v>-2.77</v>
      </c>
      <c r="P649" s="5">
        <v>28.68</v>
      </c>
      <c r="Q649" s="27">
        <v>-2.11</v>
      </c>
      <c r="S649" s="27">
        <v>0</v>
      </c>
      <c r="V649" s="32" t="s">
        <v>3402</v>
      </c>
      <c r="X649" s="33" t="s">
        <v>3560</v>
      </c>
      <c r="Y649" s="32">
        <v>30000</v>
      </c>
      <c r="AA649" s="32">
        <v>32.119999999999997</v>
      </c>
      <c r="AB649" s="32">
        <v>-96</v>
      </c>
      <c r="AC649" s="32">
        <v>10800000</v>
      </c>
    </row>
    <row r="650" spans="3:29" ht="19">
      <c r="C650" s="22" t="s">
        <v>603</v>
      </c>
      <c r="D650" s="22" t="s">
        <v>151</v>
      </c>
      <c r="E650" s="5">
        <v>30907</v>
      </c>
      <c r="F650" s="5">
        <v>29</v>
      </c>
      <c r="G650" s="28" t="s">
        <v>1723</v>
      </c>
      <c r="H650" s="6" t="s">
        <v>1780</v>
      </c>
      <c r="J650" s="5" t="s">
        <v>104</v>
      </c>
      <c r="L650" s="27">
        <v>-9.81</v>
      </c>
      <c r="O650" s="27">
        <v>-3.01</v>
      </c>
      <c r="P650" s="5">
        <v>30.35</v>
      </c>
      <c r="Q650" s="27">
        <v>-0.49</v>
      </c>
      <c r="S650" s="27">
        <v>0</v>
      </c>
      <c r="V650" s="32" t="s">
        <v>3402</v>
      </c>
      <c r="X650" s="33" t="s">
        <v>3411</v>
      </c>
      <c r="Y650" s="32">
        <v>30000</v>
      </c>
      <c r="AA650" s="32">
        <v>32.119999999999997</v>
      </c>
      <c r="AB650" s="32">
        <v>-96</v>
      </c>
      <c r="AC650" s="32">
        <v>10800000</v>
      </c>
    </row>
    <row r="651" spans="3:29" ht="19">
      <c r="C651" s="22" t="s">
        <v>603</v>
      </c>
      <c r="D651" s="22" t="s">
        <v>151</v>
      </c>
      <c r="E651" s="5">
        <v>30907</v>
      </c>
      <c r="F651" s="5">
        <v>40</v>
      </c>
      <c r="G651" s="28" t="s">
        <v>1723</v>
      </c>
      <c r="H651" s="6" t="s">
        <v>1780</v>
      </c>
      <c r="J651" s="5" t="s">
        <v>104</v>
      </c>
      <c r="L651" s="27">
        <v>-9.1199999999999992</v>
      </c>
      <c r="O651" s="27">
        <v>-2.3199999999999998</v>
      </c>
      <c r="P651" s="5">
        <v>28.58</v>
      </c>
      <c r="Q651" s="27">
        <v>-2.21</v>
      </c>
      <c r="S651" s="27">
        <v>0</v>
      </c>
      <c r="V651" s="32" t="s">
        <v>3402</v>
      </c>
      <c r="X651" s="33" t="s">
        <v>3400</v>
      </c>
      <c r="Y651" s="32">
        <v>30000</v>
      </c>
      <c r="AA651" s="32">
        <v>32.119999999999997</v>
      </c>
      <c r="AB651" s="32">
        <v>-96</v>
      </c>
      <c r="AC651" s="32">
        <v>10800000</v>
      </c>
    </row>
    <row r="652" spans="3:29">
      <c r="C652" s="22" t="s">
        <v>603</v>
      </c>
      <c r="D652" s="22" t="s">
        <v>151</v>
      </c>
      <c r="E652" s="5">
        <v>30907</v>
      </c>
      <c r="F652" s="5">
        <v>79</v>
      </c>
      <c r="G652" s="28" t="s">
        <v>1723</v>
      </c>
      <c r="H652" s="6" t="s">
        <v>1780</v>
      </c>
      <c r="J652" s="5" t="s">
        <v>104</v>
      </c>
      <c r="L652" s="27">
        <v>-13.81</v>
      </c>
      <c r="O652" s="27">
        <v>-7.01</v>
      </c>
      <c r="P652" s="5">
        <v>26.73</v>
      </c>
      <c r="Q652" s="27">
        <v>-4.01</v>
      </c>
      <c r="S652" s="27">
        <v>0</v>
      </c>
      <c r="V652" s="32" t="s">
        <v>3402</v>
      </c>
      <c r="Y652" s="32">
        <v>30000</v>
      </c>
      <c r="AA652" s="32">
        <v>32.119999999999997</v>
      </c>
      <c r="AB652" s="32">
        <v>-96</v>
      </c>
      <c r="AC652" s="32">
        <v>10800000</v>
      </c>
    </row>
    <row r="653" spans="3:29">
      <c r="C653" s="22" t="s">
        <v>603</v>
      </c>
      <c r="D653" s="22" t="s">
        <v>151</v>
      </c>
      <c r="E653" s="5">
        <v>30967</v>
      </c>
      <c r="F653" s="5">
        <v>1724</v>
      </c>
      <c r="G653" s="28" t="s">
        <v>1723</v>
      </c>
      <c r="H653" s="6" t="s">
        <v>110</v>
      </c>
      <c r="J653" s="5" t="s">
        <v>104</v>
      </c>
      <c r="L653" s="27">
        <v>-7.9</v>
      </c>
      <c r="O653" s="27">
        <v>-1.1000000000000001</v>
      </c>
      <c r="P653" s="5">
        <v>29.93</v>
      </c>
      <c r="Q653" s="27">
        <v>-0.9</v>
      </c>
      <c r="S653" s="27">
        <v>0</v>
      </c>
      <c r="V653" s="32" t="s">
        <v>3402</v>
      </c>
      <c r="Y653" s="32">
        <v>50000</v>
      </c>
      <c r="AA653" s="32">
        <v>27.87</v>
      </c>
      <c r="AB653" s="32">
        <v>-97.2</v>
      </c>
      <c r="AC653" s="32">
        <v>10800000</v>
      </c>
    </row>
    <row r="654" spans="3:29">
      <c r="C654" s="22" t="s">
        <v>603</v>
      </c>
      <c r="D654" s="22" t="s">
        <v>151</v>
      </c>
      <c r="E654" s="5">
        <v>30967</v>
      </c>
      <c r="F654" s="5">
        <v>1787</v>
      </c>
      <c r="G654" s="28" t="s">
        <v>1723</v>
      </c>
      <c r="H654" s="6" t="s">
        <v>110</v>
      </c>
      <c r="J654" s="5" t="s">
        <v>104</v>
      </c>
      <c r="L654" s="27">
        <v>-7.9</v>
      </c>
      <c r="O654" s="27">
        <v>-1.1000000000000001</v>
      </c>
      <c r="P654" s="5">
        <v>28.03</v>
      </c>
      <c r="Q654" s="27">
        <v>-2.75</v>
      </c>
      <c r="S654" s="27">
        <v>0</v>
      </c>
      <c r="V654" s="32" t="s">
        <v>3402</v>
      </c>
      <c r="Y654" s="32">
        <v>50000</v>
      </c>
      <c r="AA654" s="32">
        <v>27.87</v>
      </c>
      <c r="AB654" s="32">
        <v>-97.2</v>
      </c>
      <c r="AC654" s="32">
        <v>10800000</v>
      </c>
    </row>
    <row r="655" spans="3:29">
      <c r="C655" s="22" t="s">
        <v>603</v>
      </c>
      <c r="D655" s="22" t="s">
        <v>151</v>
      </c>
      <c r="E655" s="5">
        <v>30967</v>
      </c>
      <c r="F655" s="5">
        <v>1818</v>
      </c>
      <c r="G655" s="28" t="s">
        <v>1723</v>
      </c>
      <c r="H655" s="6" t="s">
        <v>110</v>
      </c>
      <c r="J655" s="5" t="s">
        <v>104</v>
      </c>
      <c r="L655" s="27">
        <v>-9.0500000000000007</v>
      </c>
      <c r="O655" s="27">
        <v>-2.25</v>
      </c>
      <c r="P655" s="5">
        <v>28.55</v>
      </c>
      <c r="Q655" s="27">
        <v>-2.2400000000000002</v>
      </c>
      <c r="S655" s="27">
        <v>0</v>
      </c>
      <c r="V655" s="32" t="s">
        <v>3402</v>
      </c>
      <c r="Y655" s="32">
        <v>50000</v>
      </c>
      <c r="AA655" s="32">
        <v>27.87</v>
      </c>
      <c r="AB655" s="32">
        <v>-97.2</v>
      </c>
      <c r="AC655" s="32">
        <v>10800000</v>
      </c>
    </row>
    <row r="656" spans="3:29">
      <c r="C656" s="22" t="s">
        <v>603</v>
      </c>
      <c r="D656" s="22" t="s">
        <v>151</v>
      </c>
      <c r="E656" s="5">
        <v>31030</v>
      </c>
      <c r="F656" s="5">
        <v>3</v>
      </c>
      <c r="G656" s="28" t="s">
        <v>1723</v>
      </c>
      <c r="H656" s="6" t="s">
        <v>1782</v>
      </c>
      <c r="J656" s="5" t="s">
        <v>104</v>
      </c>
      <c r="L656" s="27">
        <v>-14.36</v>
      </c>
      <c r="O656" s="27">
        <v>-7.56</v>
      </c>
      <c r="P656" s="5">
        <v>26.19</v>
      </c>
      <c r="Q656" s="27">
        <v>-4.53</v>
      </c>
      <c r="S656" s="27">
        <v>0</v>
      </c>
      <c r="V656" s="32" t="s">
        <v>3402</v>
      </c>
      <c r="Y656" s="32">
        <v>30000</v>
      </c>
      <c r="AA656" s="32">
        <v>32.25</v>
      </c>
      <c r="AB656" s="32">
        <v>-96.25</v>
      </c>
      <c r="AC656" s="32">
        <v>10800000</v>
      </c>
    </row>
    <row r="657" spans="3:29" ht="19">
      <c r="C657" s="22" t="s">
        <v>603</v>
      </c>
      <c r="D657" s="22" t="s">
        <v>151</v>
      </c>
      <c r="E657" s="5">
        <v>31030</v>
      </c>
      <c r="F657" s="5">
        <v>8</v>
      </c>
      <c r="G657" s="28" t="s">
        <v>1723</v>
      </c>
      <c r="H657" s="6" t="s">
        <v>1782</v>
      </c>
      <c r="J657" s="5" t="s">
        <v>104</v>
      </c>
      <c r="L657" s="27">
        <v>-9.9</v>
      </c>
      <c r="O657" s="27">
        <v>-3.1</v>
      </c>
      <c r="P657" s="5">
        <v>28.04</v>
      </c>
      <c r="Q657" s="27">
        <v>-2.74</v>
      </c>
      <c r="S657" s="27">
        <v>0</v>
      </c>
      <c r="V657" s="32" t="s">
        <v>3402</v>
      </c>
      <c r="X657" s="33" t="s">
        <v>3560</v>
      </c>
      <c r="Y657" s="32">
        <v>30000</v>
      </c>
      <c r="AA657" s="32">
        <v>32.25</v>
      </c>
      <c r="AB657" s="32">
        <v>-96.25</v>
      </c>
      <c r="AC657" s="32">
        <v>10800000</v>
      </c>
    </row>
    <row r="658" spans="3:29">
      <c r="C658" s="22" t="s">
        <v>603</v>
      </c>
      <c r="D658" s="22" t="s">
        <v>151</v>
      </c>
      <c r="E658" s="5">
        <v>40722</v>
      </c>
      <c r="F658" s="5">
        <v>1</v>
      </c>
      <c r="G658" s="28" t="s">
        <v>1723</v>
      </c>
      <c r="H658" s="6" t="s">
        <v>1913</v>
      </c>
      <c r="J658" s="5" t="s">
        <v>104</v>
      </c>
      <c r="L658" s="27">
        <v>-9.84</v>
      </c>
      <c r="O658" s="27">
        <v>-3.04</v>
      </c>
      <c r="P658" s="5">
        <v>30.22</v>
      </c>
      <c r="Q658" s="27">
        <v>-0.62</v>
      </c>
      <c r="S658" s="27">
        <v>0</v>
      </c>
      <c r="V658" s="32" t="s">
        <v>3402</v>
      </c>
      <c r="Y658" s="32">
        <v>19540</v>
      </c>
      <c r="Z658" s="31" t="s">
        <v>3412</v>
      </c>
      <c r="AA658" s="32">
        <v>30.616599999999998</v>
      </c>
      <c r="AB658" s="32">
        <v>-97.616600000000005</v>
      </c>
      <c r="AC658" s="32">
        <v>10800000</v>
      </c>
    </row>
    <row r="659" spans="3:29">
      <c r="C659" s="22" t="s">
        <v>603</v>
      </c>
      <c r="D659" s="22" t="s">
        <v>151</v>
      </c>
      <c r="E659" s="5">
        <v>908</v>
      </c>
      <c r="F659" s="5">
        <v>2408</v>
      </c>
      <c r="G659" s="28" t="s">
        <v>1723</v>
      </c>
      <c r="H659" s="6" t="s">
        <v>250</v>
      </c>
      <c r="J659" s="5" t="s">
        <v>104</v>
      </c>
      <c r="L659" s="27">
        <v>-8.64</v>
      </c>
      <c r="O659" s="27">
        <v>-1.84</v>
      </c>
      <c r="P659" s="5">
        <v>30.07</v>
      </c>
      <c r="Q659" s="27">
        <v>-0.77</v>
      </c>
      <c r="S659" s="27">
        <v>0</v>
      </c>
      <c r="V659" s="32" t="s">
        <v>3402</v>
      </c>
      <c r="Y659" s="32">
        <v>13000</v>
      </c>
      <c r="AA659" s="32">
        <v>29.37</v>
      </c>
      <c r="AB659" s="32">
        <v>-99.47</v>
      </c>
      <c r="AC659" s="32">
        <v>10800000</v>
      </c>
    </row>
    <row r="660" spans="3:29">
      <c r="C660" s="22" t="s">
        <v>603</v>
      </c>
      <c r="D660" s="22" t="s">
        <v>151</v>
      </c>
      <c r="E660" s="5">
        <v>933</v>
      </c>
      <c r="F660" s="5">
        <v>1006</v>
      </c>
      <c r="G660" s="28" t="s">
        <v>1723</v>
      </c>
      <c r="H660" s="6" t="s">
        <v>249</v>
      </c>
      <c r="J660" s="5" t="s">
        <v>104</v>
      </c>
      <c r="L660" s="27">
        <v>-6.86</v>
      </c>
      <c r="O660" s="27">
        <v>-0.06</v>
      </c>
      <c r="P660" s="5">
        <v>29.87</v>
      </c>
      <c r="Q660" s="27">
        <v>-0.96</v>
      </c>
      <c r="S660" s="27">
        <v>0</v>
      </c>
      <c r="V660" s="32" t="s">
        <v>3402</v>
      </c>
      <c r="Y660" s="32">
        <v>18500</v>
      </c>
      <c r="Z660" s="31" t="s">
        <v>3412</v>
      </c>
      <c r="AA660" s="32">
        <v>29.62</v>
      </c>
      <c r="AB660" s="32">
        <v>-98.37</v>
      </c>
      <c r="AC660" s="32">
        <v>10800000</v>
      </c>
    </row>
    <row r="661" spans="3:29">
      <c r="C661" s="22" t="s">
        <v>603</v>
      </c>
      <c r="D661" s="22" t="s">
        <v>151</v>
      </c>
      <c r="E661" s="5">
        <v>933</v>
      </c>
      <c r="F661" s="5">
        <v>1013</v>
      </c>
      <c r="G661" s="28" t="s">
        <v>1723</v>
      </c>
      <c r="H661" s="6" t="s">
        <v>249</v>
      </c>
      <c r="J661" s="5" t="s">
        <v>104</v>
      </c>
      <c r="L661" s="27">
        <v>-7.99</v>
      </c>
      <c r="O661" s="27">
        <v>-1.19</v>
      </c>
      <c r="P661" s="5">
        <v>30.4</v>
      </c>
      <c r="Q661" s="27">
        <v>-0.45</v>
      </c>
      <c r="S661" s="27">
        <v>0</v>
      </c>
      <c r="V661" s="32" t="s">
        <v>3402</v>
      </c>
      <c r="Y661" s="32">
        <v>18500</v>
      </c>
      <c r="Z661" s="31" t="s">
        <v>3412</v>
      </c>
      <c r="AA661" s="32">
        <v>29.62</v>
      </c>
      <c r="AB661" s="32">
        <v>-98.37</v>
      </c>
      <c r="AC661" s="32">
        <v>10800000</v>
      </c>
    </row>
    <row r="662" spans="3:29">
      <c r="C662" s="22" t="s">
        <v>603</v>
      </c>
      <c r="D662" s="22" t="s">
        <v>151</v>
      </c>
      <c r="E662" s="5">
        <v>933</v>
      </c>
      <c r="F662" s="5">
        <v>1309</v>
      </c>
      <c r="G662" s="28" t="s">
        <v>1723</v>
      </c>
      <c r="H662" s="6" t="s">
        <v>249</v>
      </c>
      <c r="J662" s="5" t="s">
        <v>104</v>
      </c>
      <c r="L662" s="27">
        <v>-8.5</v>
      </c>
      <c r="O662" s="27">
        <v>-1.7</v>
      </c>
      <c r="P662" s="5">
        <v>28.14</v>
      </c>
      <c r="Q662" s="27">
        <v>-2.64</v>
      </c>
      <c r="S662" s="27">
        <v>0</v>
      </c>
      <c r="V662" s="32" t="s">
        <v>3402</v>
      </c>
      <c r="Y662" s="32">
        <v>18500</v>
      </c>
      <c r="Z662" s="31" t="s">
        <v>3412</v>
      </c>
      <c r="AA662" s="32">
        <v>29.62</v>
      </c>
      <c r="AB662" s="32">
        <v>-98.37</v>
      </c>
      <c r="AC662" s="32">
        <v>10800000</v>
      </c>
    </row>
    <row r="663" spans="3:29">
      <c r="C663" s="22" t="s">
        <v>603</v>
      </c>
      <c r="D663" s="22" t="s">
        <v>151</v>
      </c>
      <c r="E663" s="5">
        <v>933</v>
      </c>
      <c r="F663" s="5">
        <v>133</v>
      </c>
      <c r="G663" s="28" t="s">
        <v>1723</v>
      </c>
      <c r="H663" s="6" t="s">
        <v>249</v>
      </c>
      <c r="J663" s="5" t="s">
        <v>104</v>
      </c>
      <c r="L663" s="27">
        <v>-11.89</v>
      </c>
      <c r="O663" s="27">
        <v>-5.09</v>
      </c>
      <c r="P663" s="5">
        <v>29.93</v>
      </c>
      <c r="Q663" s="27">
        <v>-0.9</v>
      </c>
      <c r="S663" s="27">
        <v>0</v>
      </c>
      <c r="V663" s="32" t="s">
        <v>3402</v>
      </c>
      <c r="Y663" s="32">
        <v>18500</v>
      </c>
      <c r="Z663" s="31" t="s">
        <v>3412</v>
      </c>
      <c r="AA663" s="32">
        <v>29.62</v>
      </c>
      <c r="AB663" s="32">
        <v>-98.37</v>
      </c>
      <c r="AC663" s="32">
        <v>10800000</v>
      </c>
    </row>
    <row r="664" spans="3:29">
      <c r="C664" s="22" t="s">
        <v>603</v>
      </c>
      <c r="D664" s="22" t="s">
        <v>151</v>
      </c>
      <c r="E664" s="5">
        <v>933</v>
      </c>
      <c r="F664" s="5">
        <v>1505</v>
      </c>
      <c r="G664" s="28" t="s">
        <v>1723</v>
      </c>
      <c r="H664" s="6" t="s">
        <v>249</v>
      </c>
      <c r="J664" s="5" t="s">
        <v>104</v>
      </c>
      <c r="L664" s="27">
        <v>-6.94</v>
      </c>
      <c r="O664" s="27">
        <v>-0.14000000000000001</v>
      </c>
      <c r="P664" s="5">
        <v>30.12</v>
      </c>
      <c r="Q664" s="27">
        <v>-0.72</v>
      </c>
      <c r="S664" s="27">
        <v>0</v>
      </c>
      <c r="V664" s="32" t="s">
        <v>3402</v>
      </c>
      <c r="Y664" s="32">
        <v>18500</v>
      </c>
      <c r="Z664" s="31" t="s">
        <v>3412</v>
      </c>
      <c r="AA664" s="32">
        <v>29.62</v>
      </c>
      <c r="AB664" s="32">
        <v>-98.37</v>
      </c>
      <c r="AC664" s="32">
        <v>10800000</v>
      </c>
    </row>
    <row r="665" spans="3:29">
      <c r="C665" s="22" t="s">
        <v>603</v>
      </c>
      <c r="D665" s="22" t="s">
        <v>151</v>
      </c>
      <c r="E665" s="5">
        <v>933</v>
      </c>
      <c r="F665" s="5">
        <v>1506</v>
      </c>
      <c r="G665" s="28" t="s">
        <v>1723</v>
      </c>
      <c r="H665" s="6" t="s">
        <v>249</v>
      </c>
      <c r="J665" s="5" t="s">
        <v>104</v>
      </c>
      <c r="L665" s="27">
        <v>-8.01</v>
      </c>
      <c r="O665" s="27">
        <v>-1.21</v>
      </c>
      <c r="P665" s="5">
        <v>29.17</v>
      </c>
      <c r="Q665" s="27">
        <v>-1.64</v>
      </c>
      <c r="S665" s="27">
        <v>0</v>
      </c>
      <c r="V665" s="32" t="s">
        <v>3402</v>
      </c>
      <c r="Y665" s="32">
        <v>18500</v>
      </c>
      <c r="Z665" s="31" t="s">
        <v>3412</v>
      </c>
      <c r="AA665" s="32">
        <v>29.62</v>
      </c>
      <c r="AB665" s="32">
        <v>-98.37</v>
      </c>
      <c r="AC665" s="32">
        <v>10800000</v>
      </c>
    </row>
    <row r="666" spans="3:29">
      <c r="C666" s="22" t="s">
        <v>603</v>
      </c>
      <c r="D666" s="22" t="s">
        <v>151</v>
      </c>
      <c r="E666" s="5">
        <v>933</v>
      </c>
      <c r="F666" s="5">
        <v>1507</v>
      </c>
      <c r="G666" s="28" t="s">
        <v>1723</v>
      </c>
      <c r="H666" s="6" t="s">
        <v>249</v>
      </c>
      <c r="J666" s="5" t="s">
        <v>104</v>
      </c>
      <c r="L666" s="27">
        <v>-10.15</v>
      </c>
      <c r="O666" s="27">
        <v>-3.35</v>
      </c>
      <c r="P666" s="5">
        <v>29.32</v>
      </c>
      <c r="Q666" s="27">
        <v>-1.49</v>
      </c>
      <c r="S666" s="27">
        <v>0</v>
      </c>
      <c r="V666" s="32" t="s">
        <v>3402</v>
      </c>
      <c r="Y666" s="32">
        <v>18500</v>
      </c>
      <c r="Z666" s="31" t="s">
        <v>3412</v>
      </c>
      <c r="AA666" s="32">
        <v>29.62</v>
      </c>
      <c r="AB666" s="32">
        <v>-98.37</v>
      </c>
      <c r="AC666" s="32">
        <v>10800000</v>
      </c>
    </row>
    <row r="667" spans="3:29">
      <c r="C667" s="22" t="s">
        <v>603</v>
      </c>
      <c r="D667" s="22" t="s">
        <v>151</v>
      </c>
      <c r="E667" s="5">
        <v>933</v>
      </c>
      <c r="F667" s="5">
        <v>2014</v>
      </c>
      <c r="G667" s="28" t="s">
        <v>1723</v>
      </c>
      <c r="H667" s="6" t="s">
        <v>249</v>
      </c>
      <c r="J667" s="5" t="s">
        <v>104</v>
      </c>
      <c r="L667" s="27">
        <v>-6.82</v>
      </c>
      <c r="O667" s="27">
        <v>-0.02</v>
      </c>
      <c r="P667" s="5">
        <v>30.01</v>
      </c>
      <c r="Q667" s="27">
        <v>-0.82</v>
      </c>
      <c r="S667" s="27">
        <v>0</v>
      </c>
      <c r="V667" s="32" t="s">
        <v>3402</v>
      </c>
      <c r="Y667" s="32">
        <v>18500</v>
      </c>
      <c r="Z667" s="31" t="s">
        <v>3412</v>
      </c>
      <c r="AA667" s="32">
        <v>29.62</v>
      </c>
      <c r="AB667" s="32">
        <v>-98.37</v>
      </c>
      <c r="AC667" s="32">
        <v>10800000</v>
      </c>
    </row>
    <row r="668" spans="3:29">
      <c r="C668" s="22" t="s">
        <v>603</v>
      </c>
      <c r="D668" s="22" t="s">
        <v>151</v>
      </c>
      <c r="E668" s="5">
        <v>933</v>
      </c>
      <c r="F668" s="5">
        <v>2015</v>
      </c>
      <c r="G668" s="28" t="s">
        <v>1723</v>
      </c>
      <c r="H668" s="6" t="s">
        <v>249</v>
      </c>
      <c r="J668" s="5" t="s">
        <v>104</v>
      </c>
      <c r="L668" s="27">
        <v>-8.19</v>
      </c>
      <c r="O668" s="27">
        <v>-1.39</v>
      </c>
      <c r="P668" s="5">
        <v>28.91</v>
      </c>
      <c r="Q668" s="27">
        <v>-1.89</v>
      </c>
      <c r="S668" s="27">
        <v>0</v>
      </c>
      <c r="V668" s="32" t="s">
        <v>3402</v>
      </c>
      <c r="Y668" s="32">
        <v>18500</v>
      </c>
      <c r="Z668" s="31" t="s">
        <v>3412</v>
      </c>
      <c r="AA668" s="32">
        <v>29.62</v>
      </c>
      <c r="AB668" s="32">
        <v>-98.37</v>
      </c>
      <c r="AC668" s="32">
        <v>10800000</v>
      </c>
    </row>
    <row r="669" spans="3:29">
      <c r="C669" s="22" t="s">
        <v>603</v>
      </c>
      <c r="D669" s="22" t="s">
        <v>151</v>
      </c>
      <c r="E669" s="5">
        <v>933</v>
      </c>
      <c r="F669" s="5">
        <v>2022</v>
      </c>
      <c r="G669" s="28" t="s">
        <v>1723</v>
      </c>
      <c r="H669" s="6" t="s">
        <v>249</v>
      </c>
      <c r="J669" s="5" t="s">
        <v>104</v>
      </c>
      <c r="L669" s="27">
        <v>-10.67</v>
      </c>
      <c r="O669" s="27">
        <v>-3.87</v>
      </c>
      <c r="P669" s="5">
        <v>30.21</v>
      </c>
      <c r="Q669" s="27">
        <v>-0.63</v>
      </c>
      <c r="S669" s="27">
        <v>0</v>
      </c>
      <c r="V669" s="32" t="s">
        <v>3402</v>
      </c>
      <c r="Y669" s="32">
        <v>18500</v>
      </c>
      <c r="Z669" s="31" t="s">
        <v>3412</v>
      </c>
      <c r="AA669" s="32">
        <v>29.62</v>
      </c>
      <c r="AB669" s="32">
        <v>-98.37</v>
      </c>
      <c r="AC669" s="32">
        <v>10800000</v>
      </c>
    </row>
    <row r="670" spans="3:29">
      <c r="C670" s="22" t="s">
        <v>603</v>
      </c>
      <c r="D670" s="22" t="s">
        <v>151</v>
      </c>
      <c r="E670" s="5">
        <v>933</v>
      </c>
      <c r="F670" s="5">
        <v>2243</v>
      </c>
      <c r="G670" s="28" t="s">
        <v>1723</v>
      </c>
      <c r="H670" s="6" t="s">
        <v>249</v>
      </c>
      <c r="J670" s="5" t="s">
        <v>104</v>
      </c>
      <c r="L670" s="27">
        <v>-7.85</v>
      </c>
      <c r="O670" s="27">
        <v>-1.05</v>
      </c>
      <c r="P670" s="5">
        <v>29.19</v>
      </c>
      <c r="Q670" s="27">
        <v>-1.62</v>
      </c>
      <c r="S670" s="27">
        <v>0</v>
      </c>
      <c r="V670" s="32" t="s">
        <v>3402</v>
      </c>
      <c r="Y670" s="32">
        <v>18500</v>
      </c>
      <c r="Z670" s="31" t="s">
        <v>3412</v>
      </c>
      <c r="AA670" s="32">
        <v>29.62</v>
      </c>
      <c r="AB670" s="32">
        <v>-98.37</v>
      </c>
      <c r="AC670" s="32">
        <v>10800000</v>
      </c>
    </row>
    <row r="671" spans="3:29">
      <c r="C671" s="22" t="s">
        <v>603</v>
      </c>
      <c r="D671" s="22" t="s">
        <v>151</v>
      </c>
      <c r="E671" s="5">
        <v>933</v>
      </c>
      <c r="F671" s="5">
        <v>2676</v>
      </c>
      <c r="G671" s="28" t="s">
        <v>1723</v>
      </c>
      <c r="H671" s="6" t="s">
        <v>249</v>
      </c>
      <c r="J671" s="5" t="s">
        <v>104</v>
      </c>
      <c r="L671" s="27">
        <v>-8.6999999999999993</v>
      </c>
      <c r="O671" s="27">
        <v>-1.9</v>
      </c>
      <c r="P671" s="5">
        <v>30.11</v>
      </c>
      <c r="Q671" s="27">
        <v>-0.73</v>
      </c>
      <c r="S671" s="27">
        <v>0</v>
      </c>
      <c r="V671" s="32" t="s">
        <v>3402</v>
      </c>
      <c r="Y671" s="32">
        <v>18500</v>
      </c>
      <c r="Z671" s="31" t="s">
        <v>3412</v>
      </c>
      <c r="AA671" s="32">
        <v>29.62</v>
      </c>
      <c r="AB671" s="32">
        <v>-98.37</v>
      </c>
      <c r="AC671" s="32">
        <v>10800000</v>
      </c>
    </row>
    <row r="672" spans="3:29">
      <c r="C672" s="22" t="s">
        <v>603</v>
      </c>
      <c r="D672" s="22" t="s">
        <v>151</v>
      </c>
      <c r="E672" s="5">
        <v>933</v>
      </c>
      <c r="F672" s="5">
        <v>296</v>
      </c>
      <c r="G672" s="28" t="s">
        <v>1723</v>
      </c>
      <c r="H672" s="6" t="s">
        <v>249</v>
      </c>
      <c r="J672" s="5" t="s">
        <v>104</v>
      </c>
      <c r="L672" s="27">
        <v>-8.2899999999999991</v>
      </c>
      <c r="O672" s="27">
        <v>-1.49</v>
      </c>
      <c r="P672" s="5">
        <v>30.03</v>
      </c>
      <c r="Q672" s="27">
        <v>-0.81</v>
      </c>
      <c r="S672" s="27">
        <v>0</v>
      </c>
      <c r="V672" s="32" t="s">
        <v>3402</v>
      </c>
      <c r="Y672" s="32">
        <v>18500</v>
      </c>
      <c r="Z672" s="31" t="s">
        <v>3412</v>
      </c>
      <c r="AA672" s="32">
        <v>29.62</v>
      </c>
      <c r="AB672" s="32">
        <v>-98.37</v>
      </c>
      <c r="AC672" s="32">
        <v>10800000</v>
      </c>
    </row>
    <row r="673" spans="3:29">
      <c r="C673" s="22" t="s">
        <v>603</v>
      </c>
      <c r="D673" s="22" t="s">
        <v>151</v>
      </c>
      <c r="E673" s="5">
        <v>933</v>
      </c>
      <c r="F673" s="5">
        <v>3407</v>
      </c>
      <c r="G673" s="28" t="s">
        <v>1723</v>
      </c>
      <c r="H673" s="6" t="s">
        <v>249</v>
      </c>
      <c r="J673" s="5" t="s">
        <v>104</v>
      </c>
      <c r="L673" s="27">
        <v>-10.33</v>
      </c>
      <c r="O673" s="27">
        <v>-3.53</v>
      </c>
      <c r="P673" s="5">
        <v>31.05</v>
      </c>
      <c r="Q673" s="27">
        <v>0.18</v>
      </c>
      <c r="S673" s="27">
        <v>0</v>
      </c>
      <c r="V673" s="32" t="s">
        <v>3402</v>
      </c>
      <c r="Y673" s="32">
        <v>18500</v>
      </c>
      <c r="Z673" s="31" t="s">
        <v>3412</v>
      </c>
      <c r="AA673" s="32">
        <v>29.62</v>
      </c>
      <c r="AB673" s="32">
        <v>-98.37</v>
      </c>
      <c r="AC673" s="32">
        <v>10800000</v>
      </c>
    </row>
    <row r="674" spans="3:29" ht="19">
      <c r="C674" s="22" t="s">
        <v>603</v>
      </c>
      <c r="D674" s="22" t="s">
        <v>151</v>
      </c>
      <c r="E674" s="5">
        <v>933</v>
      </c>
      <c r="F674" s="5">
        <v>358</v>
      </c>
      <c r="G674" s="28" t="s">
        <v>1723</v>
      </c>
      <c r="H674" s="6" t="s">
        <v>249</v>
      </c>
      <c r="J674" s="5" t="s">
        <v>104</v>
      </c>
      <c r="L674" s="27">
        <v>-8.16</v>
      </c>
      <c r="O674" s="27">
        <v>-1.36</v>
      </c>
      <c r="P674" s="5">
        <v>29.05</v>
      </c>
      <c r="Q674" s="27">
        <v>-1.76</v>
      </c>
      <c r="S674" s="27">
        <v>0</v>
      </c>
      <c r="V674" s="32" t="s">
        <v>3402</v>
      </c>
      <c r="X674" s="33" t="s">
        <v>3542</v>
      </c>
      <c r="Y674" s="32">
        <v>18500</v>
      </c>
      <c r="Z674" s="31" t="s">
        <v>3412</v>
      </c>
      <c r="AA674" s="32">
        <v>29.62</v>
      </c>
      <c r="AB674" s="32">
        <v>-98.37</v>
      </c>
      <c r="AC674" s="32">
        <v>10800000</v>
      </c>
    </row>
    <row r="675" spans="3:29" ht="19">
      <c r="C675" s="22" t="s">
        <v>603</v>
      </c>
      <c r="D675" s="22" t="s">
        <v>151</v>
      </c>
      <c r="E675" s="5">
        <v>933</v>
      </c>
      <c r="F675" s="5">
        <v>928</v>
      </c>
      <c r="G675" s="28" t="s">
        <v>1723</v>
      </c>
      <c r="H675" s="6" t="s">
        <v>249</v>
      </c>
      <c r="J675" s="5" t="s">
        <v>104</v>
      </c>
      <c r="L675" s="27">
        <v>-8.89</v>
      </c>
      <c r="O675" s="27">
        <v>-2.09</v>
      </c>
      <c r="P675" s="5">
        <v>29.29</v>
      </c>
      <c r="Q675" s="27">
        <v>-1.52</v>
      </c>
      <c r="S675" s="27">
        <v>0</v>
      </c>
      <c r="V675" s="32" t="s">
        <v>3402</v>
      </c>
      <c r="X675" s="33" t="s">
        <v>3403</v>
      </c>
      <c r="Y675" s="32">
        <v>18500</v>
      </c>
      <c r="Z675" s="31" t="s">
        <v>3412</v>
      </c>
      <c r="AA675" s="32">
        <v>29.62</v>
      </c>
      <c r="AB675" s="32">
        <v>-98.37</v>
      </c>
      <c r="AC675" s="32">
        <v>10800000</v>
      </c>
    </row>
    <row r="676" spans="3:29" ht="48">
      <c r="C676" s="22" t="s">
        <v>603</v>
      </c>
      <c r="D676" s="22" t="s">
        <v>151</v>
      </c>
      <c r="E676" s="5">
        <v>937</v>
      </c>
      <c r="F676" s="5" t="s">
        <v>1908</v>
      </c>
      <c r="G676" s="28" t="s">
        <v>1723</v>
      </c>
      <c r="H676" s="6" t="s">
        <v>706</v>
      </c>
      <c r="J676" s="5" t="s">
        <v>104</v>
      </c>
      <c r="L676" s="27">
        <v>-15.44</v>
      </c>
      <c r="O676" s="27">
        <v>-8.64</v>
      </c>
      <c r="P676" s="5">
        <v>22.16</v>
      </c>
      <c r="Q676" s="27">
        <v>-8.44</v>
      </c>
      <c r="S676" s="27">
        <v>0</v>
      </c>
      <c r="V676" s="32" t="s">
        <v>3402</v>
      </c>
      <c r="Y676" s="32">
        <v>15000</v>
      </c>
      <c r="Z676" s="31" t="s">
        <v>3377</v>
      </c>
      <c r="AA676" s="32">
        <v>34.229999999999997</v>
      </c>
      <c r="AB676" s="32">
        <v>-103.42</v>
      </c>
      <c r="AC676" s="32">
        <v>10800000</v>
      </c>
    </row>
    <row r="677" spans="3:29" ht="48">
      <c r="C677" s="22" t="s">
        <v>603</v>
      </c>
      <c r="D677" s="22" t="s">
        <v>151</v>
      </c>
      <c r="E677" s="5">
        <v>937</v>
      </c>
      <c r="F677" s="5" t="s">
        <v>1909</v>
      </c>
      <c r="G677" s="28" t="s">
        <v>1723</v>
      </c>
      <c r="H677" s="6" t="s">
        <v>706</v>
      </c>
      <c r="J677" s="5" t="s">
        <v>104</v>
      </c>
      <c r="L677" s="27">
        <v>-15.47</v>
      </c>
      <c r="O677" s="27">
        <v>-8.67</v>
      </c>
      <c r="P677" s="5">
        <v>23.78</v>
      </c>
      <c r="Q677" s="27">
        <v>-6.87</v>
      </c>
      <c r="S677" s="27">
        <v>0</v>
      </c>
      <c r="V677" s="32" t="s">
        <v>3402</v>
      </c>
      <c r="Y677" s="32">
        <v>15000</v>
      </c>
      <c r="Z677" s="31" t="s">
        <v>3377</v>
      </c>
      <c r="AA677" s="32">
        <v>34.229999999999997</v>
      </c>
      <c r="AB677" s="32">
        <v>-103.42</v>
      </c>
      <c r="AC677" s="32">
        <v>10800000</v>
      </c>
    </row>
    <row r="678" spans="3:29" ht="48">
      <c r="C678" s="22" t="s">
        <v>603</v>
      </c>
      <c r="D678" s="22" t="s">
        <v>151</v>
      </c>
      <c r="E678" s="5">
        <v>937</v>
      </c>
      <c r="F678" s="5">
        <v>818</v>
      </c>
      <c r="G678" s="28" t="s">
        <v>1723</v>
      </c>
      <c r="H678" s="6" t="s">
        <v>706</v>
      </c>
      <c r="J678" s="5" t="s">
        <v>104</v>
      </c>
      <c r="L678" s="27">
        <v>-7.72</v>
      </c>
      <c r="O678" s="27">
        <v>-0.92</v>
      </c>
      <c r="P678" s="5">
        <v>27.83</v>
      </c>
      <c r="Q678" s="27">
        <v>-2.94</v>
      </c>
      <c r="S678" s="27">
        <v>0</v>
      </c>
      <c r="V678" s="32" t="s">
        <v>3402</v>
      </c>
      <c r="Y678" s="32">
        <v>15000</v>
      </c>
      <c r="Z678" s="31" t="s">
        <v>3377</v>
      </c>
      <c r="AA678" s="32">
        <v>34.229999999999997</v>
      </c>
      <c r="AB678" s="32">
        <v>-103.42</v>
      </c>
      <c r="AC678" s="32">
        <v>10800000</v>
      </c>
    </row>
    <row r="679" spans="3:29" ht="48">
      <c r="C679" s="22" t="s">
        <v>603</v>
      </c>
      <c r="D679" s="22" t="s">
        <v>151</v>
      </c>
      <c r="E679" s="5">
        <v>937</v>
      </c>
      <c r="F679" s="5" t="s">
        <v>1910</v>
      </c>
      <c r="G679" s="28" t="s">
        <v>1723</v>
      </c>
      <c r="H679" s="6" t="s">
        <v>706</v>
      </c>
      <c r="J679" s="5" t="s">
        <v>104</v>
      </c>
      <c r="L679" s="27">
        <v>-7.06</v>
      </c>
      <c r="O679" s="27">
        <v>-0.26</v>
      </c>
      <c r="P679" s="5">
        <v>29.29</v>
      </c>
      <c r="Q679" s="27">
        <v>-1.52</v>
      </c>
      <c r="S679" s="27">
        <v>0</v>
      </c>
      <c r="V679" s="32" t="s">
        <v>3402</v>
      </c>
      <c r="Y679" s="32">
        <v>15000</v>
      </c>
      <c r="Z679" s="31" t="s">
        <v>3377</v>
      </c>
      <c r="AA679" s="32">
        <v>34.229999999999997</v>
      </c>
      <c r="AB679" s="32">
        <v>-103.42</v>
      </c>
      <c r="AC679" s="32">
        <v>10800000</v>
      </c>
    </row>
    <row r="680" spans="3:29" ht="48">
      <c r="C680" s="22" t="s">
        <v>603</v>
      </c>
      <c r="D680" s="22" t="s">
        <v>151</v>
      </c>
      <c r="E680" s="5" t="s">
        <v>1771</v>
      </c>
      <c r="F680" s="5" t="s">
        <v>3566</v>
      </c>
      <c r="G680" s="28" t="s">
        <v>1723</v>
      </c>
      <c r="H680" s="6" t="s">
        <v>706</v>
      </c>
      <c r="J680" s="5" t="s">
        <v>104</v>
      </c>
      <c r="L680" s="27">
        <v>-6.5</v>
      </c>
      <c r="O680" s="27">
        <v>0.3</v>
      </c>
      <c r="P680" s="5">
        <v>24.2</v>
      </c>
      <c r="Q680" s="27">
        <v>-6.46</v>
      </c>
      <c r="S680" s="27">
        <v>0</v>
      </c>
      <c r="V680" s="32" t="s">
        <v>3402</v>
      </c>
      <c r="Y680" s="32">
        <v>15000</v>
      </c>
      <c r="Z680" s="31" t="s">
        <v>3377</v>
      </c>
      <c r="AA680" s="32">
        <v>34.229999999999997</v>
      </c>
      <c r="AB680" s="32">
        <v>-103.42</v>
      </c>
      <c r="AC680" s="32">
        <v>10800000</v>
      </c>
    </row>
    <row r="681" spans="3:29" ht="48">
      <c r="C681" s="22" t="s">
        <v>603</v>
      </c>
      <c r="D681" s="22" t="s">
        <v>151</v>
      </c>
      <c r="E681" s="5" t="s">
        <v>1771</v>
      </c>
      <c r="F681" s="5" t="s">
        <v>3407</v>
      </c>
      <c r="G681" s="28" t="s">
        <v>1723</v>
      </c>
      <c r="H681" s="6" t="s">
        <v>706</v>
      </c>
      <c r="J681" s="5" t="s">
        <v>104</v>
      </c>
      <c r="L681" s="27">
        <v>-8.6999999999999993</v>
      </c>
      <c r="O681" s="27">
        <v>-1.9</v>
      </c>
      <c r="P681" s="5">
        <v>29.9</v>
      </c>
      <c r="Q681" s="27">
        <v>-0.93</v>
      </c>
      <c r="S681" s="27">
        <v>0</v>
      </c>
      <c r="V681" s="32" t="s">
        <v>3402</v>
      </c>
      <c r="Y681" s="32">
        <v>15000</v>
      </c>
      <c r="Z681" s="31" t="s">
        <v>3377</v>
      </c>
      <c r="AA681" s="32">
        <v>34.229999999999997</v>
      </c>
      <c r="AB681" s="32">
        <v>-103.42</v>
      </c>
      <c r="AC681" s="32">
        <v>10800000</v>
      </c>
    </row>
    <row r="682" spans="3:29" ht="48">
      <c r="C682" s="22" t="s">
        <v>603</v>
      </c>
      <c r="D682" s="22" t="s">
        <v>151</v>
      </c>
      <c r="E682" s="5" t="s">
        <v>1771</v>
      </c>
      <c r="F682" s="5" t="s">
        <v>3407</v>
      </c>
      <c r="G682" s="28" t="s">
        <v>1723</v>
      </c>
      <c r="H682" s="6" t="s">
        <v>706</v>
      </c>
      <c r="J682" s="5" t="s">
        <v>104</v>
      </c>
      <c r="L682" s="27">
        <v>-8.4</v>
      </c>
      <c r="O682" s="27">
        <v>-1.6</v>
      </c>
      <c r="P682" s="5">
        <v>29.8</v>
      </c>
      <c r="Q682" s="27">
        <v>-1.03</v>
      </c>
      <c r="S682" s="27">
        <v>0</v>
      </c>
      <c r="V682" s="32" t="s">
        <v>3402</v>
      </c>
      <c r="Y682" s="32">
        <v>15000</v>
      </c>
      <c r="Z682" s="31" t="s">
        <v>3377</v>
      </c>
      <c r="AA682" s="32">
        <v>34.229999999999997</v>
      </c>
      <c r="AB682" s="32">
        <v>-103.42</v>
      </c>
      <c r="AC682" s="32">
        <v>10800000</v>
      </c>
    </row>
    <row r="683" spans="3:29" ht="48">
      <c r="C683" s="22" t="s">
        <v>603</v>
      </c>
      <c r="D683" s="22" t="s">
        <v>151</v>
      </c>
      <c r="E683" s="5" t="s">
        <v>1771</v>
      </c>
      <c r="F683" s="5" t="s">
        <v>3407</v>
      </c>
      <c r="G683" s="28" t="s">
        <v>1723</v>
      </c>
      <c r="H683" s="6" t="s">
        <v>706</v>
      </c>
      <c r="J683" s="5" t="s">
        <v>104</v>
      </c>
      <c r="L683" s="27">
        <v>-7.6</v>
      </c>
      <c r="O683" s="27">
        <v>-0.8</v>
      </c>
      <c r="P683" s="5">
        <v>27.6</v>
      </c>
      <c r="Q683" s="27">
        <v>-3.16</v>
      </c>
      <c r="S683" s="27">
        <v>0</v>
      </c>
      <c r="V683" s="32" t="s">
        <v>3402</v>
      </c>
      <c r="Y683" s="32">
        <v>15000</v>
      </c>
      <c r="Z683" s="31" t="s">
        <v>3377</v>
      </c>
      <c r="AA683" s="32">
        <v>34.229999999999997</v>
      </c>
      <c r="AB683" s="32">
        <v>-103.42</v>
      </c>
      <c r="AC683" s="32">
        <v>10800000</v>
      </c>
    </row>
    <row r="684" spans="3:29">
      <c r="C684" s="22" t="s">
        <v>603</v>
      </c>
      <c r="D684" s="22" t="s">
        <v>151</v>
      </c>
      <c r="E684" s="5" t="s">
        <v>1773</v>
      </c>
      <c r="F684" s="5" t="s">
        <v>1916</v>
      </c>
      <c r="G684" s="28" t="s">
        <v>1723</v>
      </c>
      <c r="H684" s="6" t="s">
        <v>1896</v>
      </c>
      <c r="J684" s="5" t="s">
        <v>104</v>
      </c>
      <c r="L684" s="27">
        <v>-7.58</v>
      </c>
      <c r="O684" s="27">
        <v>-0.78</v>
      </c>
      <c r="P684" s="5">
        <v>30.18</v>
      </c>
      <c r="Q684" s="27">
        <v>-0.66</v>
      </c>
      <c r="S684" s="27">
        <v>0</v>
      </c>
      <c r="V684" s="32" t="s">
        <v>3402</v>
      </c>
      <c r="Y684" s="32">
        <v>30000</v>
      </c>
      <c r="AA684" s="32">
        <v>33.979999999999997</v>
      </c>
      <c r="AB684" s="32">
        <v>-99.85</v>
      </c>
      <c r="AC684" s="32">
        <v>10800000</v>
      </c>
    </row>
    <row r="685" spans="3:29">
      <c r="C685" s="22" t="s">
        <v>603</v>
      </c>
      <c r="D685" s="22" t="s">
        <v>151</v>
      </c>
      <c r="E685" s="5" t="s">
        <v>1917</v>
      </c>
      <c r="F685" s="5" t="s">
        <v>1918</v>
      </c>
      <c r="G685" s="28" t="s">
        <v>1723</v>
      </c>
      <c r="H685" s="6" t="s">
        <v>1899</v>
      </c>
      <c r="J685" s="5" t="s">
        <v>104</v>
      </c>
      <c r="L685" s="27">
        <v>-9.58</v>
      </c>
      <c r="O685" s="27">
        <v>-2.78</v>
      </c>
      <c r="P685" s="5">
        <v>30.57</v>
      </c>
      <c r="Q685" s="27">
        <v>-0.28000000000000003</v>
      </c>
      <c r="S685" s="27">
        <v>0</v>
      </c>
      <c r="V685" s="32" t="s">
        <v>3402</v>
      </c>
      <c r="Y685" s="32">
        <v>28000</v>
      </c>
      <c r="AA685" s="32">
        <v>31.6</v>
      </c>
      <c r="AB685" s="32">
        <v>-97.183333000000005</v>
      </c>
      <c r="AC685" s="32">
        <v>10800000</v>
      </c>
    </row>
    <row r="686" spans="3:29">
      <c r="C686" s="22" t="s">
        <v>603</v>
      </c>
      <c r="D686" s="22" t="s">
        <v>151</v>
      </c>
      <c r="E686" s="5" t="s">
        <v>1917</v>
      </c>
      <c r="F686" s="5" t="s">
        <v>1919</v>
      </c>
      <c r="G686" s="28" t="s">
        <v>1723</v>
      </c>
      <c r="H686" s="6" t="s">
        <v>1899</v>
      </c>
      <c r="J686" s="5" t="s">
        <v>104</v>
      </c>
      <c r="L686" s="27">
        <v>-9.1300000000000008</v>
      </c>
      <c r="O686" s="27">
        <v>-2.33</v>
      </c>
      <c r="P686" s="5">
        <v>30.13</v>
      </c>
      <c r="Q686" s="27">
        <v>-0.71</v>
      </c>
      <c r="S686" s="27">
        <v>0</v>
      </c>
      <c r="V686" s="32" t="s">
        <v>3402</v>
      </c>
      <c r="Y686" s="32">
        <v>28000</v>
      </c>
      <c r="AA686" s="32">
        <v>31.6</v>
      </c>
      <c r="AB686" s="32">
        <v>-97.183333000000005</v>
      </c>
      <c r="AC686" s="32">
        <v>10800000</v>
      </c>
    </row>
    <row r="687" spans="3:29">
      <c r="C687" s="22" t="s">
        <v>603</v>
      </c>
      <c r="D687" s="22" t="s">
        <v>151</v>
      </c>
      <c r="E687" s="5" t="s">
        <v>1917</v>
      </c>
      <c r="F687" s="5" t="s">
        <v>1920</v>
      </c>
      <c r="G687" s="28" t="s">
        <v>1723</v>
      </c>
      <c r="H687" s="6" t="s">
        <v>1899</v>
      </c>
      <c r="J687" s="5" t="s">
        <v>104</v>
      </c>
      <c r="L687" s="27">
        <v>-8.9700000000000006</v>
      </c>
      <c r="O687" s="27">
        <v>-2.17</v>
      </c>
      <c r="P687" s="5">
        <v>30.65</v>
      </c>
      <c r="Q687" s="27">
        <v>-0.2</v>
      </c>
      <c r="S687" s="27">
        <v>0</v>
      </c>
      <c r="V687" s="32" t="s">
        <v>3402</v>
      </c>
      <c r="Y687" s="32">
        <v>28000</v>
      </c>
      <c r="AA687" s="32">
        <v>31.6</v>
      </c>
      <c r="AB687" s="32">
        <v>-97.183333000000005</v>
      </c>
      <c r="AC687" s="32">
        <v>10800000</v>
      </c>
    </row>
    <row r="688" spans="3:29">
      <c r="C688" s="22" t="s">
        <v>603</v>
      </c>
      <c r="D688" s="22" t="s">
        <v>151</v>
      </c>
      <c r="E688" s="5" t="s">
        <v>1917</v>
      </c>
      <c r="F688" s="5" t="s">
        <v>1921</v>
      </c>
      <c r="G688" s="28" t="s">
        <v>1723</v>
      </c>
      <c r="H688" s="6" t="s">
        <v>1899</v>
      </c>
      <c r="J688" s="5" t="s">
        <v>104</v>
      </c>
      <c r="L688" s="27">
        <v>-11.38</v>
      </c>
      <c r="O688" s="27">
        <v>-4.58</v>
      </c>
      <c r="P688" s="5">
        <v>29.82</v>
      </c>
      <c r="Q688" s="27">
        <v>-1.01</v>
      </c>
      <c r="S688" s="27">
        <v>0</v>
      </c>
      <c r="V688" s="32" t="s">
        <v>3402</v>
      </c>
      <c r="Y688" s="32">
        <v>28000</v>
      </c>
      <c r="AA688" s="32">
        <v>31.6</v>
      </c>
      <c r="AB688" s="32">
        <v>-97.183333000000005</v>
      </c>
      <c r="AC688" s="32">
        <v>10800000</v>
      </c>
    </row>
    <row r="689" spans="3:29">
      <c r="C689" s="22" t="s">
        <v>603</v>
      </c>
      <c r="D689" s="22" t="s">
        <v>151</v>
      </c>
      <c r="E689" s="5" t="s">
        <v>1917</v>
      </c>
      <c r="F689" s="5" t="s">
        <v>1922</v>
      </c>
      <c r="G689" s="28" t="s">
        <v>1723</v>
      </c>
      <c r="H689" s="6" t="s">
        <v>1899</v>
      </c>
      <c r="J689" s="5" t="s">
        <v>104</v>
      </c>
      <c r="L689" s="27">
        <v>-8.5500000000000007</v>
      </c>
      <c r="O689" s="27">
        <v>-1.75</v>
      </c>
      <c r="P689" s="5">
        <v>30.43</v>
      </c>
      <c r="Q689" s="27">
        <v>-0.42</v>
      </c>
      <c r="S689" s="27">
        <v>0</v>
      </c>
      <c r="V689" s="32" t="s">
        <v>3402</v>
      </c>
      <c r="Y689" s="32">
        <v>28000</v>
      </c>
      <c r="AA689" s="32">
        <v>31.6</v>
      </c>
      <c r="AB689" s="32">
        <v>-97.183333000000005</v>
      </c>
      <c r="AC689" s="32">
        <v>10800000</v>
      </c>
    </row>
    <row r="690" spans="3:29">
      <c r="C690" s="22" t="s">
        <v>603</v>
      </c>
      <c r="D690" s="22" t="s">
        <v>151</v>
      </c>
      <c r="E690" s="5" t="s">
        <v>1917</v>
      </c>
      <c r="F690" s="5" t="s">
        <v>1923</v>
      </c>
      <c r="G690" s="28" t="s">
        <v>1723</v>
      </c>
      <c r="H690" s="6" t="s">
        <v>1899</v>
      </c>
      <c r="J690" s="5" t="s">
        <v>104</v>
      </c>
      <c r="L690" s="27">
        <v>-9.25</v>
      </c>
      <c r="O690" s="27">
        <v>-2.4500000000000002</v>
      </c>
      <c r="P690" s="5">
        <v>29.96</v>
      </c>
      <c r="Q690" s="27">
        <v>-0.87</v>
      </c>
      <c r="S690" s="27">
        <v>0</v>
      </c>
      <c r="V690" s="32" t="s">
        <v>3402</v>
      </c>
      <c r="Y690" s="32">
        <v>28000</v>
      </c>
      <c r="AA690" s="32">
        <v>31.6</v>
      </c>
      <c r="AB690" s="32">
        <v>-97.183333000000005</v>
      </c>
      <c r="AC690" s="32">
        <v>10800000</v>
      </c>
    </row>
    <row r="691" spans="3:29">
      <c r="C691" s="22" t="s">
        <v>603</v>
      </c>
      <c r="D691" s="22" t="s">
        <v>151</v>
      </c>
      <c r="E691" s="5" t="s">
        <v>1917</v>
      </c>
      <c r="F691" s="5" t="s">
        <v>1924</v>
      </c>
      <c r="G691" s="28" t="s">
        <v>1723</v>
      </c>
      <c r="H691" s="6" t="s">
        <v>1899</v>
      </c>
      <c r="J691" s="5" t="s">
        <v>104</v>
      </c>
      <c r="L691" s="27">
        <v>-8.9</v>
      </c>
      <c r="O691" s="27">
        <v>-2.1</v>
      </c>
      <c r="P691" s="5">
        <v>29.88</v>
      </c>
      <c r="Q691" s="27">
        <v>-0.95</v>
      </c>
      <c r="S691" s="27">
        <v>0</v>
      </c>
      <c r="V691" s="32" t="s">
        <v>3402</v>
      </c>
      <c r="Y691" s="32">
        <v>28000</v>
      </c>
      <c r="AA691" s="32">
        <v>31.6</v>
      </c>
      <c r="AB691" s="32">
        <v>-97.183333000000005</v>
      </c>
      <c r="AC691" s="32">
        <v>10800000</v>
      </c>
    </row>
    <row r="692" spans="3:29">
      <c r="C692" s="22" t="s">
        <v>603</v>
      </c>
      <c r="D692" s="22" t="s">
        <v>151</v>
      </c>
      <c r="E692" s="5" t="s">
        <v>1917</v>
      </c>
      <c r="F692" s="5" t="s">
        <v>1925</v>
      </c>
      <c r="G692" s="28" t="s">
        <v>1723</v>
      </c>
      <c r="H692" s="6" t="s">
        <v>1899</v>
      </c>
      <c r="J692" s="5" t="s">
        <v>104</v>
      </c>
      <c r="L692" s="27">
        <v>-9.8800000000000008</v>
      </c>
      <c r="O692" s="27">
        <v>-3.08</v>
      </c>
      <c r="P692" s="5">
        <v>29.11</v>
      </c>
      <c r="Q692" s="27">
        <v>-1.7</v>
      </c>
      <c r="S692" s="27">
        <v>0</v>
      </c>
      <c r="V692" s="32" t="s">
        <v>3402</v>
      </c>
      <c r="Y692" s="32">
        <v>28000</v>
      </c>
      <c r="AA692" s="32">
        <v>31.6</v>
      </c>
      <c r="AB692" s="32">
        <v>-97.183333000000005</v>
      </c>
      <c r="AC692" s="32">
        <v>10800000</v>
      </c>
    </row>
    <row r="693" spans="3:29">
      <c r="C693" s="22" t="s">
        <v>603</v>
      </c>
      <c r="D693" s="22" t="s">
        <v>151</v>
      </c>
      <c r="E693" s="5" t="s">
        <v>1917</v>
      </c>
      <c r="F693" s="5" t="s">
        <v>1926</v>
      </c>
      <c r="G693" s="28" t="s">
        <v>1723</v>
      </c>
      <c r="H693" s="6" t="s">
        <v>1899</v>
      </c>
      <c r="J693" s="5" t="s">
        <v>104</v>
      </c>
      <c r="L693" s="27">
        <v>-10.08</v>
      </c>
      <c r="O693" s="27">
        <v>-3.28</v>
      </c>
      <c r="P693" s="5">
        <v>29.1</v>
      </c>
      <c r="Q693" s="27">
        <v>-1.71</v>
      </c>
      <c r="S693" s="27">
        <v>0</v>
      </c>
      <c r="V693" s="32" t="s">
        <v>3402</v>
      </c>
      <c r="Y693" s="32">
        <v>28000</v>
      </c>
      <c r="AA693" s="32">
        <v>31.6</v>
      </c>
      <c r="AB693" s="32">
        <v>-97.183333000000005</v>
      </c>
      <c r="AC693" s="32">
        <v>10800000</v>
      </c>
    </row>
    <row r="694" spans="3:29">
      <c r="C694" s="22" t="s">
        <v>603</v>
      </c>
      <c r="D694" s="22" t="s">
        <v>151</v>
      </c>
      <c r="E694" s="5" t="s">
        <v>1917</v>
      </c>
      <c r="F694" s="5" t="s">
        <v>1927</v>
      </c>
      <c r="G694" s="28" t="s">
        <v>1723</v>
      </c>
      <c r="H694" s="6" t="s">
        <v>1899</v>
      </c>
      <c r="J694" s="5" t="s">
        <v>104</v>
      </c>
      <c r="L694" s="27">
        <v>-9.06</v>
      </c>
      <c r="O694" s="27">
        <v>-2.2599999999999998</v>
      </c>
      <c r="P694" s="5">
        <v>30.44</v>
      </c>
      <c r="Q694" s="27">
        <v>-0.41</v>
      </c>
      <c r="S694" s="27">
        <v>0</v>
      </c>
      <c r="V694" s="32" t="s">
        <v>3402</v>
      </c>
      <c r="Y694" s="32">
        <v>28000</v>
      </c>
      <c r="AA694" s="32">
        <v>31.6</v>
      </c>
      <c r="AB694" s="32">
        <v>-97.183333000000005</v>
      </c>
      <c r="AC694" s="32">
        <v>10800000</v>
      </c>
    </row>
    <row r="695" spans="3:29">
      <c r="C695" s="22" t="s">
        <v>603</v>
      </c>
      <c r="D695" s="22" t="s">
        <v>151</v>
      </c>
      <c r="E695" s="5" t="s">
        <v>1917</v>
      </c>
      <c r="F695" s="5" t="s">
        <v>1928</v>
      </c>
      <c r="G695" s="28" t="s">
        <v>1723</v>
      </c>
      <c r="H695" s="6" t="s">
        <v>1899</v>
      </c>
      <c r="J695" s="5" t="s">
        <v>104</v>
      </c>
      <c r="L695" s="27">
        <v>-9.4700000000000006</v>
      </c>
      <c r="O695" s="27">
        <v>-2.67</v>
      </c>
      <c r="P695" s="5">
        <v>27.98</v>
      </c>
      <c r="Q695" s="27">
        <v>-2.79</v>
      </c>
      <c r="S695" s="27">
        <v>0</v>
      </c>
      <c r="V695" s="32" t="s">
        <v>3402</v>
      </c>
      <c r="Y695" s="32">
        <v>28000</v>
      </c>
      <c r="AA695" s="32">
        <v>31.6</v>
      </c>
      <c r="AB695" s="32">
        <v>-97.183333000000005</v>
      </c>
      <c r="AC695" s="32">
        <v>10800000</v>
      </c>
    </row>
    <row r="696" spans="3:29">
      <c r="C696" s="22" t="s">
        <v>603</v>
      </c>
      <c r="D696" s="22" t="s">
        <v>151</v>
      </c>
      <c r="E696" s="5" t="s">
        <v>1917</v>
      </c>
      <c r="F696" s="5" t="s">
        <v>1929</v>
      </c>
      <c r="G696" s="28" t="s">
        <v>1723</v>
      </c>
      <c r="H696" s="6" t="s">
        <v>1899</v>
      </c>
      <c r="J696" s="5" t="s">
        <v>104</v>
      </c>
      <c r="L696" s="27">
        <v>-10.3</v>
      </c>
      <c r="O696" s="27">
        <v>-3.5</v>
      </c>
      <c r="P696" s="5">
        <v>30</v>
      </c>
      <c r="Q696" s="27">
        <v>-0.83</v>
      </c>
      <c r="S696" s="27">
        <v>0</v>
      </c>
      <c r="V696" s="32" t="s">
        <v>3402</v>
      </c>
      <c r="Y696" s="32">
        <v>28000</v>
      </c>
      <c r="AA696" s="32">
        <v>31.6</v>
      </c>
      <c r="AB696" s="32">
        <v>-97.183333000000005</v>
      </c>
      <c r="AC696" s="32">
        <v>10800000</v>
      </c>
    </row>
    <row r="697" spans="3:29">
      <c r="C697" s="22" t="s">
        <v>603</v>
      </c>
      <c r="D697" s="22" t="s">
        <v>151</v>
      </c>
      <c r="E697" s="5" t="s">
        <v>1917</v>
      </c>
      <c r="F697" s="5" t="s">
        <v>1930</v>
      </c>
      <c r="G697" s="28" t="s">
        <v>1723</v>
      </c>
      <c r="H697" s="6" t="s">
        <v>1899</v>
      </c>
      <c r="J697" s="5" t="s">
        <v>104</v>
      </c>
      <c r="L697" s="27">
        <v>-8.81</v>
      </c>
      <c r="O697" s="27">
        <v>-2.0099999999999998</v>
      </c>
      <c r="P697" s="5">
        <v>30.66</v>
      </c>
      <c r="Q697" s="27">
        <v>-0.19</v>
      </c>
      <c r="S697" s="27">
        <v>0</v>
      </c>
      <c r="V697" s="32" t="s">
        <v>3402</v>
      </c>
      <c r="Y697" s="32">
        <v>28000</v>
      </c>
      <c r="AA697" s="32">
        <v>31.6</v>
      </c>
      <c r="AB697" s="32">
        <v>-97.183333000000005</v>
      </c>
      <c r="AC697" s="32">
        <v>10800000</v>
      </c>
    </row>
    <row r="698" spans="3:29">
      <c r="C698" s="22" t="s">
        <v>603</v>
      </c>
      <c r="D698" s="22" t="s">
        <v>151</v>
      </c>
      <c r="E698" s="5" t="s">
        <v>1917</v>
      </c>
      <c r="F698" s="5" t="s">
        <v>1931</v>
      </c>
      <c r="G698" s="28" t="s">
        <v>1723</v>
      </c>
      <c r="H698" s="6" t="s">
        <v>1899</v>
      </c>
      <c r="J698" s="5" t="s">
        <v>104</v>
      </c>
      <c r="L698" s="27">
        <v>-10.09</v>
      </c>
      <c r="O698" s="27">
        <v>-3.29</v>
      </c>
      <c r="P698" s="5">
        <v>29.25</v>
      </c>
      <c r="Q698" s="27">
        <v>-1.56</v>
      </c>
      <c r="S698" s="27">
        <v>0</v>
      </c>
      <c r="V698" s="32" t="s">
        <v>3402</v>
      </c>
      <c r="Y698" s="32">
        <v>28000</v>
      </c>
      <c r="AA698" s="32">
        <v>31.6</v>
      </c>
      <c r="AB698" s="32">
        <v>-97.183333000000005</v>
      </c>
      <c r="AC698" s="32">
        <v>10800000</v>
      </c>
    </row>
    <row r="699" spans="3:29">
      <c r="C699" s="22" t="s">
        <v>603</v>
      </c>
      <c r="D699" s="22" t="s">
        <v>151</v>
      </c>
      <c r="E699" s="5" t="s">
        <v>1776</v>
      </c>
      <c r="F699" s="5">
        <v>60345</v>
      </c>
      <c r="G699" s="28" t="s">
        <v>1723</v>
      </c>
      <c r="H699" s="6" t="s">
        <v>1788</v>
      </c>
      <c r="J699" s="5" t="s">
        <v>104</v>
      </c>
      <c r="L699" s="27">
        <v>-9</v>
      </c>
      <c r="O699" s="27">
        <v>-2.2000000000000002</v>
      </c>
      <c r="P699" s="5">
        <v>29.12</v>
      </c>
      <c r="Q699" s="27">
        <v>-1.69</v>
      </c>
      <c r="S699" s="27">
        <v>0</v>
      </c>
      <c r="V699" s="32" t="s">
        <v>3402</v>
      </c>
      <c r="Y699" s="32">
        <v>30000</v>
      </c>
      <c r="AA699" s="32">
        <v>32.733333000000002</v>
      </c>
      <c r="AB699" s="32">
        <v>-96.733333000000002</v>
      </c>
      <c r="AC699" s="32">
        <v>10800000</v>
      </c>
    </row>
    <row r="700" spans="3:29">
      <c r="C700" s="22" t="s">
        <v>603</v>
      </c>
      <c r="D700" s="22" t="s">
        <v>151</v>
      </c>
      <c r="E700" s="5" t="s">
        <v>1776</v>
      </c>
      <c r="F700" s="5">
        <v>60351</v>
      </c>
      <c r="G700" s="28" t="s">
        <v>1723</v>
      </c>
      <c r="H700" s="6" t="s">
        <v>1788</v>
      </c>
      <c r="J700" s="5" t="s">
        <v>104</v>
      </c>
      <c r="L700" s="27">
        <v>-8.09</v>
      </c>
      <c r="O700" s="27">
        <v>-1.29</v>
      </c>
      <c r="P700" s="5">
        <v>29.67</v>
      </c>
      <c r="Q700" s="27">
        <v>-1.1499999999999999</v>
      </c>
      <c r="S700" s="27">
        <v>0</v>
      </c>
      <c r="V700" s="32" t="s">
        <v>3402</v>
      </c>
      <c r="Y700" s="32">
        <v>30000</v>
      </c>
      <c r="AA700" s="32">
        <v>32.733333000000002</v>
      </c>
      <c r="AB700" s="32">
        <v>-96.733333000000002</v>
      </c>
      <c r="AC700" s="32">
        <v>10800000</v>
      </c>
    </row>
    <row r="701" spans="3:29">
      <c r="C701" s="22" t="s">
        <v>603</v>
      </c>
      <c r="D701" s="22" t="s">
        <v>151</v>
      </c>
      <c r="E701" s="5" t="s">
        <v>1776</v>
      </c>
      <c r="F701" s="5">
        <v>60670</v>
      </c>
      <c r="G701" s="28" t="s">
        <v>1723</v>
      </c>
      <c r="H701" s="6" t="s">
        <v>1901</v>
      </c>
      <c r="J701" s="5" t="s">
        <v>104</v>
      </c>
      <c r="L701" s="27">
        <v>-9.1999999999999993</v>
      </c>
      <c r="O701" s="27">
        <v>-2.4</v>
      </c>
      <c r="P701" s="5">
        <v>27.18</v>
      </c>
      <c r="Q701" s="27">
        <v>-3.57</v>
      </c>
      <c r="S701" s="27">
        <v>0</v>
      </c>
      <c r="V701" s="32" t="s">
        <v>3402</v>
      </c>
      <c r="Y701" s="32">
        <v>28840</v>
      </c>
      <c r="AA701" s="32">
        <v>33.25</v>
      </c>
      <c r="AB701" s="32">
        <v>-97</v>
      </c>
      <c r="AC701" s="32">
        <v>10800000</v>
      </c>
    </row>
    <row r="702" spans="3:29">
      <c r="C702" s="22" t="s">
        <v>603</v>
      </c>
      <c r="D702" s="22" t="s">
        <v>151</v>
      </c>
      <c r="E702" s="5" t="s">
        <v>1776</v>
      </c>
      <c r="F702" s="5">
        <v>60670</v>
      </c>
      <c r="G702" s="28" t="s">
        <v>1723</v>
      </c>
      <c r="H702" s="6" t="s">
        <v>1901</v>
      </c>
      <c r="J702" s="5" t="s">
        <v>104</v>
      </c>
      <c r="L702" s="27">
        <v>-7.92</v>
      </c>
      <c r="O702" s="27">
        <v>-1.1200000000000001</v>
      </c>
      <c r="P702" s="5">
        <v>27.81</v>
      </c>
      <c r="Q702" s="27">
        <v>-2.96</v>
      </c>
      <c r="S702" s="27">
        <v>0</v>
      </c>
      <c r="V702" s="32" t="s">
        <v>3402</v>
      </c>
      <c r="Y702" s="32">
        <v>28840</v>
      </c>
      <c r="AA702" s="32">
        <v>33.25</v>
      </c>
      <c r="AB702" s="32">
        <v>-97</v>
      </c>
      <c r="AC702" s="32">
        <v>10800000</v>
      </c>
    </row>
    <row r="703" spans="3:29">
      <c r="C703" s="22" t="s">
        <v>603</v>
      </c>
      <c r="D703" s="22" t="s">
        <v>151</v>
      </c>
      <c r="E703" s="5" t="s">
        <v>1776</v>
      </c>
      <c r="F703" s="5">
        <v>60844</v>
      </c>
      <c r="G703" s="28" t="s">
        <v>1723</v>
      </c>
      <c r="H703" s="6" t="s">
        <v>1788</v>
      </c>
      <c r="J703" s="5" t="s">
        <v>104</v>
      </c>
      <c r="L703" s="27">
        <v>-10.02</v>
      </c>
      <c r="O703" s="27">
        <v>-3.22</v>
      </c>
      <c r="P703" s="5">
        <v>28.33</v>
      </c>
      <c r="Q703" s="27">
        <v>-2.4500000000000002</v>
      </c>
      <c r="S703" s="27">
        <v>0</v>
      </c>
      <c r="V703" s="32" t="s">
        <v>3402</v>
      </c>
      <c r="Y703" s="32">
        <v>30000</v>
      </c>
      <c r="AA703" s="32">
        <v>32.733333000000002</v>
      </c>
      <c r="AB703" s="32">
        <v>-96.733333000000002</v>
      </c>
      <c r="AC703" s="32">
        <v>10800000</v>
      </c>
    </row>
    <row r="704" spans="3:29">
      <c r="C704" s="22" t="s">
        <v>603</v>
      </c>
      <c r="D704" s="22" t="s">
        <v>151</v>
      </c>
      <c r="E704" s="5" t="s">
        <v>1776</v>
      </c>
      <c r="F704" s="5">
        <v>62287</v>
      </c>
      <c r="G704" s="28" t="s">
        <v>1723</v>
      </c>
      <c r="H704" s="6" t="s">
        <v>1788</v>
      </c>
      <c r="J704" s="5" t="s">
        <v>104</v>
      </c>
      <c r="L704" s="27">
        <v>-8.5</v>
      </c>
      <c r="O704" s="27">
        <v>-1.7</v>
      </c>
      <c r="P704" s="5">
        <v>29.71</v>
      </c>
      <c r="Q704" s="27">
        <v>-1.1200000000000001</v>
      </c>
      <c r="S704" s="27">
        <v>0</v>
      </c>
      <c r="V704" s="32" t="s">
        <v>3402</v>
      </c>
      <c r="Y704" s="32">
        <v>30000</v>
      </c>
      <c r="AA704" s="32">
        <v>32.733333000000002</v>
      </c>
      <c r="AB704" s="32">
        <v>-96.733333000000002</v>
      </c>
      <c r="AC704" s="32">
        <v>10800000</v>
      </c>
    </row>
    <row r="705" spans="3:29">
      <c r="C705" s="22" t="s">
        <v>603</v>
      </c>
      <c r="D705" s="22" t="s">
        <v>151</v>
      </c>
      <c r="E705" s="5" t="s">
        <v>1776</v>
      </c>
      <c r="F705" s="5">
        <v>62357</v>
      </c>
      <c r="G705" s="28" t="s">
        <v>1723</v>
      </c>
      <c r="H705" s="6" t="s">
        <v>1788</v>
      </c>
      <c r="J705" s="5" t="s">
        <v>104</v>
      </c>
      <c r="L705" s="27">
        <v>-9.5</v>
      </c>
      <c r="O705" s="27">
        <v>-2.7</v>
      </c>
      <c r="P705" s="5">
        <v>28.22</v>
      </c>
      <c r="Q705" s="27">
        <v>-2.56</v>
      </c>
      <c r="S705" s="27">
        <v>0</v>
      </c>
      <c r="V705" s="32" t="s">
        <v>3402</v>
      </c>
      <c r="Y705" s="32">
        <v>30000</v>
      </c>
      <c r="AA705" s="32">
        <v>32.733333000000002</v>
      </c>
      <c r="AB705" s="32">
        <v>-96.733333000000002</v>
      </c>
      <c r="AC705" s="32">
        <v>10800000</v>
      </c>
    </row>
    <row r="706" spans="3:29">
      <c r="C706" s="22" t="s">
        <v>603</v>
      </c>
      <c r="D706" s="22" t="s">
        <v>151</v>
      </c>
      <c r="E706" s="5" t="s">
        <v>1776</v>
      </c>
      <c r="F706" s="5">
        <v>62358</v>
      </c>
      <c r="G706" s="28" t="s">
        <v>1723</v>
      </c>
      <c r="H706" s="6" t="s">
        <v>1788</v>
      </c>
      <c r="J706" s="5" t="s">
        <v>104</v>
      </c>
      <c r="L706" s="27">
        <v>-10.71</v>
      </c>
      <c r="O706" s="27">
        <v>-3.91</v>
      </c>
      <c r="P706" s="5">
        <v>28.52</v>
      </c>
      <c r="Q706" s="27">
        <v>-2.27</v>
      </c>
      <c r="S706" s="27">
        <v>0</v>
      </c>
      <c r="V706" s="32" t="s">
        <v>3402</v>
      </c>
      <c r="Y706" s="32">
        <v>30000</v>
      </c>
      <c r="AA706" s="32">
        <v>32.733333000000002</v>
      </c>
      <c r="AB706" s="32">
        <v>-96.733333000000002</v>
      </c>
      <c r="AC706" s="32">
        <v>10800000</v>
      </c>
    </row>
    <row r="707" spans="3:29">
      <c r="C707" s="22" t="s">
        <v>603</v>
      </c>
      <c r="D707" s="22" t="s">
        <v>151</v>
      </c>
      <c r="E707" s="5" t="s">
        <v>1776</v>
      </c>
      <c r="F707" s="5">
        <v>62359</v>
      </c>
      <c r="G707" s="28" t="s">
        <v>1723</v>
      </c>
      <c r="H707" s="6" t="s">
        <v>1788</v>
      </c>
      <c r="J707" s="5" t="s">
        <v>104</v>
      </c>
      <c r="L707" s="27">
        <v>-10.39</v>
      </c>
      <c r="O707" s="27">
        <v>-3.59</v>
      </c>
      <c r="P707" s="5">
        <v>28.52</v>
      </c>
      <c r="Q707" s="27">
        <v>-2.27</v>
      </c>
      <c r="S707" s="27">
        <v>0</v>
      </c>
      <c r="V707" s="32" t="s">
        <v>3402</v>
      </c>
      <c r="Y707" s="32">
        <v>30000</v>
      </c>
      <c r="AA707" s="32">
        <v>32.733333000000002</v>
      </c>
      <c r="AB707" s="32">
        <v>-96.733333000000002</v>
      </c>
      <c r="AC707" s="32">
        <v>10800000</v>
      </c>
    </row>
    <row r="708" spans="3:29">
      <c r="C708" s="22" t="s">
        <v>603</v>
      </c>
      <c r="D708" s="22" t="s">
        <v>151</v>
      </c>
      <c r="E708" s="5" t="s">
        <v>1776</v>
      </c>
      <c r="F708" s="5">
        <v>70153</v>
      </c>
      <c r="G708" s="28" t="s">
        <v>1723</v>
      </c>
      <c r="H708" s="6" t="s">
        <v>1788</v>
      </c>
      <c r="J708" s="5" t="s">
        <v>104</v>
      </c>
      <c r="L708" s="27">
        <v>-9.1300000000000008</v>
      </c>
      <c r="O708" s="27">
        <v>-2.33</v>
      </c>
      <c r="P708" s="5">
        <v>29.06</v>
      </c>
      <c r="Q708" s="27">
        <v>-1.75</v>
      </c>
      <c r="S708" s="27">
        <v>0</v>
      </c>
      <c r="V708" s="32" t="s">
        <v>3402</v>
      </c>
      <c r="Y708" s="32">
        <v>30000</v>
      </c>
      <c r="AA708" s="32">
        <v>32.733333000000002</v>
      </c>
      <c r="AB708" s="32">
        <v>-96.733333000000002</v>
      </c>
      <c r="AC708" s="32">
        <v>10800000</v>
      </c>
    </row>
    <row r="709" spans="3:29">
      <c r="C709" s="22" t="s">
        <v>603</v>
      </c>
      <c r="D709" s="22" t="s">
        <v>151</v>
      </c>
      <c r="E709" s="5" t="s">
        <v>1776</v>
      </c>
      <c r="F709" s="5">
        <v>70161</v>
      </c>
      <c r="G709" s="28" t="s">
        <v>1723</v>
      </c>
      <c r="H709" s="6" t="s">
        <v>1788</v>
      </c>
      <c r="J709" s="5" t="s">
        <v>104</v>
      </c>
      <c r="L709" s="27">
        <v>-10.18</v>
      </c>
      <c r="O709" s="27">
        <v>-3.38</v>
      </c>
      <c r="P709" s="5">
        <v>27.6</v>
      </c>
      <c r="Q709" s="27">
        <v>-3.16</v>
      </c>
      <c r="S709" s="27">
        <v>0</v>
      </c>
      <c r="V709" s="32" t="s">
        <v>3402</v>
      </c>
      <c r="Y709" s="32">
        <v>30000</v>
      </c>
      <c r="AA709" s="32">
        <v>32.733333000000002</v>
      </c>
      <c r="AB709" s="32">
        <v>-96.733333000000002</v>
      </c>
      <c r="AC709" s="32">
        <v>10800000</v>
      </c>
    </row>
    <row r="710" spans="3:29" ht="48">
      <c r="C710" s="22" t="s">
        <v>603</v>
      </c>
      <c r="D710" s="22" t="s">
        <v>151</v>
      </c>
      <c r="E710" s="5" t="s">
        <v>1776</v>
      </c>
      <c r="F710" s="5" t="s">
        <v>3567</v>
      </c>
      <c r="G710" s="28" t="s">
        <v>1723</v>
      </c>
      <c r="H710" s="6" t="s">
        <v>706</v>
      </c>
      <c r="J710" s="5" t="s">
        <v>104</v>
      </c>
      <c r="L710" s="27">
        <v>-14</v>
      </c>
      <c r="O710" s="27">
        <v>-7.2</v>
      </c>
      <c r="P710" s="5">
        <v>23.92</v>
      </c>
      <c r="Q710" s="27">
        <v>-6.73</v>
      </c>
      <c r="S710" s="27">
        <v>0</v>
      </c>
      <c r="V710" s="32" t="s">
        <v>3402</v>
      </c>
      <c r="Y710" s="32">
        <v>15000</v>
      </c>
      <c r="Z710" s="31" t="s">
        <v>3377</v>
      </c>
      <c r="AA710" s="32">
        <v>34.229999999999997</v>
      </c>
      <c r="AB710" s="32">
        <v>-103.42</v>
      </c>
      <c r="AC710" s="32">
        <v>10800000</v>
      </c>
    </row>
    <row r="711" spans="3:29">
      <c r="C711" s="22" t="s">
        <v>603</v>
      </c>
      <c r="D711" s="22" t="s">
        <v>151</v>
      </c>
      <c r="E711" s="5">
        <v>30967</v>
      </c>
      <c r="F711" s="5">
        <v>1214</v>
      </c>
      <c r="G711" s="28" t="s">
        <v>1723</v>
      </c>
      <c r="H711" s="6" t="s">
        <v>110</v>
      </c>
      <c r="J711" s="5" t="s">
        <v>104</v>
      </c>
      <c r="L711" s="27">
        <v>-7.75</v>
      </c>
      <c r="O711" s="27">
        <v>-0.95</v>
      </c>
      <c r="P711" s="5">
        <v>29.87</v>
      </c>
      <c r="Q711" s="27">
        <v>-0.96</v>
      </c>
      <c r="S711" s="27">
        <v>0</v>
      </c>
      <c r="V711" s="32" t="s">
        <v>3402</v>
      </c>
      <c r="Y711" s="32">
        <v>50000</v>
      </c>
      <c r="AA711" s="32">
        <v>27.87</v>
      </c>
      <c r="AB711" s="32">
        <v>-97.2</v>
      </c>
      <c r="AC711" s="32">
        <v>10800000</v>
      </c>
    </row>
    <row r="712" spans="3:29" ht="19">
      <c r="C712" s="22" t="s">
        <v>603</v>
      </c>
      <c r="D712" s="22" t="s">
        <v>151</v>
      </c>
      <c r="E712" s="5">
        <v>30967</v>
      </c>
      <c r="F712" s="5">
        <v>214</v>
      </c>
      <c r="G712" s="28" t="s">
        <v>1723</v>
      </c>
      <c r="H712" s="6" t="s">
        <v>110</v>
      </c>
      <c r="J712" s="5" t="s">
        <v>104</v>
      </c>
      <c r="L712" s="27">
        <v>-7.8</v>
      </c>
      <c r="O712" s="27">
        <v>-1</v>
      </c>
      <c r="P712" s="5">
        <v>29.9</v>
      </c>
      <c r="Q712" s="27">
        <v>-0.93100000000000005</v>
      </c>
      <c r="S712" s="27">
        <v>0</v>
      </c>
      <c r="V712" s="32" t="s">
        <v>3415</v>
      </c>
      <c r="X712" s="33" t="s">
        <v>3568</v>
      </c>
      <c r="Y712" s="32">
        <v>50000</v>
      </c>
      <c r="AA712" s="32">
        <v>27.87</v>
      </c>
      <c r="AB712" s="32">
        <v>-97.2</v>
      </c>
      <c r="AC712" s="32">
        <v>10800000</v>
      </c>
    </row>
    <row r="713" spans="3:29" ht="19">
      <c r="C713" s="22" t="s">
        <v>603</v>
      </c>
      <c r="D713" s="22" t="s">
        <v>151</v>
      </c>
      <c r="E713" s="5">
        <v>30967</v>
      </c>
      <c r="F713" s="5">
        <v>322</v>
      </c>
      <c r="G713" s="28" t="s">
        <v>1723</v>
      </c>
      <c r="H713" s="6" t="s">
        <v>110</v>
      </c>
      <c r="J713" s="5" t="s">
        <v>104</v>
      </c>
      <c r="L713" s="27">
        <v>-6.6</v>
      </c>
      <c r="O713" s="27">
        <v>0.2</v>
      </c>
      <c r="P713" s="5">
        <v>31.4</v>
      </c>
      <c r="Q713" s="27">
        <v>0.52400000000000002</v>
      </c>
      <c r="S713" s="27">
        <v>0</v>
      </c>
      <c r="V713" s="32" t="s">
        <v>3415</v>
      </c>
      <c r="X713" s="33" t="s">
        <v>3569</v>
      </c>
      <c r="Y713" s="32">
        <v>50000</v>
      </c>
      <c r="AA713" s="32">
        <v>27.87</v>
      </c>
      <c r="AB713" s="32">
        <v>-97.2</v>
      </c>
      <c r="AC713" s="32">
        <v>10800000</v>
      </c>
    </row>
    <row r="714" spans="3:29" ht="19">
      <c r="C714" s="22" t="s">
        <v>603</v>
      </c>
      <c r="D714" s="22" t="s">
        <v>151</v>
      </c>
      <c r="E714" s="5">
        <v>30967</v>
      </c>
      <c r="F714" s="5">
        <v>711</v>
      </c>
      <c r="G714" s="28" t="s">
        <v>1723</v>
      </c>
      <c r="H714" s="6" t="s">
        <v>110</v>
      </c>
      <c r="J714" s="5" t="s">
        <v>104</v>
      </c>
      <c r="L714" s="27">
        <v>-8</v>
      </c>
      <c r="O714" s="27">
        <v>-1.2</v>
      </c>
      <c r="P714" s="5">
        <v>31.2</v>
      </c>
      <c r="Q714" s="27">
        <v>0.33</v>
      </c>
      <c r="S714" s="27">
        <v>0</v>
      </c>
      <c r="V714" s="32" t="s">
        <v>3415</v>
      </c>
      <c r="X714" s="33" t="s">
        <v>3421</v>
      </c>
      <c r="Y714" s="32">
        <v>50000</v>
      </c>
      <c r="AA714" s="32">
        <v>27.87</v>
      </c>
      <c r="AB714" s="32">
        <v>-97.2</v>
      </c>
      <c r="AC714" s="32">
        <v>10800000</v>
      </c>
    </row>
    <row r="715" spans="3:29" ht="19">
      <c r="C715" s="22" t="s">
        <v>603</v>
      </c>
      <c r="D715" s="22" t="s">
        <v>151</v>
      </c>
      <c r="E715" s="5">
        <v>30967</v>
      </c>
      <c r="F715" s="5">
        <v>724</v>
      </c>
      <c r="G715" s="28" t="s">
        <v>1723</v>
      </c>
      <c r="H715" s="6" t="s">
        <v>110</v>
      </c>
      <c r="J715" s="5" t="s">
        <v>104</v>
      </c>
      <c r="L715" s="27">
        <v>-7.9</v>
      </c>
      <c r="O715" s="27">
        <v>-1.1000000000000001</v>
      </c>
      <c r="P715" s="5">
        <v>29.9</v>
      </c>
      <c r="Q715" s="27">
        <v>-0.93100000000000005</v>
      </c>
      <c r="S715" s="27">
        <v>0</v>
      </c>
      <c r="V715" s="32" t="s">
        <v>3415</v>
      </c>
      <c r="X715" s="33" t="s">
        <v>3568</v>
      </c>
      <c r="Y715" s="32">
        <v>50000</v>
      </c>
      <c r="AA715" s="32">
        <v>27.87</v>
      </c>
      <c r="AB715" s="32">
        <v>-97.2</v>
      </c>
      <c r="AC715" s="32">
        <v>10800000</v>
      </c>
    </row>
    <row r="716" spans="3:29" ht="19">
      <c r="C716" s="22" t="s">
        <v>603</v>
      </c>
      <c r="D716" s="22" t="s">
        <v>151</v>
      </c>
      <c r="E716" s="5">
        <v>30967</v>
      </c>
      <c r="F716" s="5">
        <v>787</v>
      </c>
      <c r="G716" s="28" t="s">
        <v>1723</v>
      </c>
      <c r="H716" s="6" t="s">
        <v>110</v>
      </c>
      <c r="J716" s="5" t="s">
        <v>104</v>
      </c>
      <c r="L716" s="27">
        <v>-7.9</v>
      </c>
      <c r="O716" s="27">
        <v>-1.1000000000000001</v>
      </c>
      <c r="P716" s="5">
        <v>28</v>
      </c>
      <c r="Q716" s="27">
        <v>-2.774</v>
      </c>
      <c r="S716" s="27">
        <v>0</v>
      </c>
      <c r="V716" s="32" t="s">
        <v>3415</v>
      </c>
      <c r="X716" s="33" t="s">
        <v>3506</v>
      </c>
      <c r="Y716" s="32">
        <v>50000</v>
      </c>
      <c r="AA716" s="32">
        <v>27.87</v>
      </c>
      <c r="AB716" s="32">
        <v>-97.2</v>
      </c>
      <c r="AC716" s="32">
        <v>10800000</v>
      </c>
    </row>
    <row r="717" spans="3:29" ht="19">
      <c r="C717" s="22" t="s">
        <v>603</v>
      </c>
      <c r="D717" s="22" t="s">
        <v>151</v>
      </c>
      <c r="E717" s="5">
        <v>30967</v>
      </c>
      <c r="F717" s="5">
        <v>818</v>
      </c>
      <c r="G717" s="28" t="s">
        <v>1723</v>
      </c>
      <c r="H717" s="6" t="s">
        <v>110</v>
      </c>
      <c r="J717" s="5" t="s">
        <v>104</v>
      </c>
      <c r="L717" s="27">
        <v>-9.1</v>
      </c>
      <c r="O717" s="27">
        <v>-2.2999999999999998</v>
      </c>
      <c r="P717" s="5">
        <v>28.5</v>
      </c>
      <c r="Q717" s="27">
        <v>-2.2890000000000001</v>
      </c>
      <c r="S717" s="27">
        <v>0</v>
      </c>
      <c r="V717" s="32" t="s">
        <v>3415</v>
      </c>
      <c r="X717" s="33" t="s">
        <v>174</v>
      </c>
      <c r="Y717" s="32">
        <v>50000</v>
      </c>
      <c r="AA717" s="32">
        <v>27.87</v>
      </c>
      <c r="AB717" s="32">
        <v>-97.2</v>
      </c>
      <c r="AC717" s="32">
        <v>10800000</v>
      </c>
    </row>
    <row r="718" spans="3:29">
      <c r="C718" s="22" t="s">
        <v>539</v>
      </c>
      <c r="D718" s="22" t="s">
        <v>540</v>
      </c>
      <c r="E718" s="5">
        <v>933</v>
      </c>
      <c r="F718" s="5">
        <v>4494</v>
      </c>
      <c r="G718" s="28" t="s">
        <v>1847</v>
      </c>
      <c r="H718" s="6" t="s">
        <v>249</v>
      </c>
      <c r="J718" s="5" t="s">
        <v>104</v>
      </c>
      <c r="K718" s="27">
        <v>7.5</v>
      </c>
      <c r="L718" s="27">
        <v>-15.6</v>
      </c>
      <c r="R718" s="27">
        <v>13.9</v>
      </c>
      <c r="S718" s="27">
        <v>3.2</v>
      </c>
      <c r="V718" s="32" t="s">
        <v>3353</v>
      </c>
      <c r="W718" s="32">
        <v>4</v>
      </c>
      <c r="Y718" s="32">
        <v>18500</v>
      </c>
      <c r="AA718" s="32">
        <v>29.62</v>
      </c>
      <c r="AB718" s="32">
        <v>-98.37</v>
      </c>
      <c r="AC718" s="32">
        <v>2085</v>
      </c>
    </row>
    <row r="719" spans="3:29" ht="38">
      <c r="C719" s="22" t="s">
        <v>539</v>
      </c>
      <c r="D719" s="22" t="s">
        <v>540</v>
      </c>
      <c r="E719" s="5">
        <v>908</v>
      </c>
      <c r="F719" s="5">
        <v>858</v>
      </c>
      <c r="G719" s="28" t="s">
        <v>1847</v>
      </c>
      <c r="H719" s="6" t="s">
        <v>250</v>
      </c>
      <c r="J719" s="5" t="s">
        <v>225</v>
      </c>
      <c r="K719" s="27">
        <v>11</v>
      </c>
      <c r="L719" s="27">
        <v>-17.2</v>
      </c>
      <c r="R719" s="27">
        <v>13.9</v>
      </c>
      <c r="S719" s="27">
        <v>3</v>
      </c>
      <c r="V719" s="32" t="s">
        <v>3353</v>
      </c>
      <c r="W719" s="32">
        <v>4</v>
      </c>
      <c r="X719" s="33" t="s">
        <v>3570</v>
      </c>
      <c r="Y719" s="32">
        <v>1000</v>
      </c>
      <c r="AA719" s="32">
        <v>29.37</v>
      </c>
      <c r="AB719" s="32">
        <v>-99.47</v>
      </c>
      <c r="AC719" s="32">
        <v>2085</v>
      </c>
    </row>
    <row r="720" spans="3:29" ht="38">
      <c r="C720" s="22" t="s">
        <v>539</v>
      </c>
      <c r="D720" s="22" t="s">
        <v>540</v>
      </c>
      <c r="E720" s="5">
        <v>908</v>
      </c>
      <c r="F720" s="5">
        <v>1204</v>
      </c>
      <c r="G720" s="28" t="s">
        <v>1847</v>
      </c>
      <c r="H720" s="6" t="s">
        <v>250</v>
      </c>
      <c r="J720" s="5" t="s">
        <v>225</v>
      </c>
      <c r="K720" s="27">
        <v>10</v>
      </c>
      <c r="L720" s="27">
        <v>-15.7</v>
      </c>
      <c r="R720" s="27">
        <v>15.2</v>
      </c>
      <c r="S720" s="27">
        <v>2.9</v>
      </c>
      <c r="V720" s="32" t="s">
        <v>3353</v>
      </c>
      <c r="W720" s="32">
        <v>4</v>
      </c>
      <c r="X720" s="33" t="s">
        <v>3571</v>
      </c>
      <c r="Y720" s="32">
        <v>1000</v>
      </c>
      <c r="AA720" s="32">
        <v>29.37</v>
      </c>
      <c r="AB720" s="32">
        <v>-99.47</v>
      </c>
      <c r="AC720" s="32">
        <v>2085</v>
      </c>
    </row>
    <row r="721" spans="3:29" ht="38">
      <c r="C721" s="22" t="s">
        <v>539</v>
      </c>
      <c r="D721" s="22" t="s">
        <v>540</v>
      </c>
      <c r="E721" s="5">
        <v>908</v>
      </c>
      <c r="F721" s="5">
        <v>3264</v>
      </c>
      <c r="G721" s="28" t="s">
        <v>1847</v>
      </c>
      <c r="H721" s="6" t="s">
        <v>250</v>
      </c>
      <c r="J721" s="5" t="s">
        <v>225</v>
      </c>
      <c r="K721" s="27">
        <v>9.3000000000000007</v>
      </c>
      <c r="L721" s="27">
        <v>-15.2</v>
      </c>
      <c r="R721" s="27">
        <v>14.6</v>
      </c>
      <c r="S721" s="27">
        <v>2.9</v>
      </c>
      <c r="V721" s="32" t="s">
        <v>3353</v>
      </c>
      <c r="W721" s="32">
        <v>6</v>
      </c>
      <c r="X721" s="33" t="s">
        <v>3572</v>
      </c>
      <c r="Y721" s="32">
        <v>1000</v>
      </c>
      <c r="AA721" s="32">
        <v>29.37</v>
      </c>
      <c r="AB721" s="32">
        <v>-99.47</v>
      </c>
      <c r="AC721" s="32">
        <v>2085</v>
      </c>
    </row>
    <row r="722" spans="3:29" ht="48">
      <c r="C722" s="22" t="s">
        <v>539</v>
      </c>
      <c r="D722" s="22" t="s">
        <v>540</v>
      </c>
      <c r="E722" s="5">
        <v>908</v>
      </c>
      <c r="F722" s="5">
        <v>4253</v>
      </c>
      <c r="G722" s="28" t="s">
        <v>1847</v>
      </c>
      <c r="H722" s="6" t="s">
        <v>250</v>
      </c>
      <c r="J722" s="5" t="s">
        <v>225</v>
      </c>
      <c r="K722" s="27">
        <v>7.5</v>
      </c>
      <c r="L722" s="27">
        <v>-16.5</v>
      </c>
      <c r="R722" s="27">
        <v>14.4</v>
      </c>
      <c r="S722" s="27">
        <v>2.9</v>
      </c>
      <c r="V722" s="32" t="s">
        <v>3353</v>
      </c>
      <c r="W722" s="32">
        <v>4</v>
      </c>
      <c r="X722" s="33" t="s">
        <v>3573</v>
      </c>
      <c r="Y722" s="32">
        <v>2000</v>
      </c>
      <c r="Z722" s="31" t="s">
        <v>3547</v>
      </c>
      <c r="AA722" s="32">
        <v>29.37</v>
      </c>
      <c r="AB722" s="32">
        <v>-99.47</v>
      </c>
      <c r="AC722" s="32">
        <v>2085</v>
      </c>
    </row>
    <row r="723" spans="3:29" ht="48">
      <c r="C723" s="22" t="s">
        <v>539</v>
      </c>
      <c r="D723" s="22" t="s">
        <v>540</v>
      </c>
      <c r="E723" s="5">
        <v>908</v>
      </c>
      <c r="F723" s="5">
        <v>4257</v>
      </c>
      <c r="G723" s="28" t="s">
        <v>1847</v>
      </c>
      <c r="H723" s="6" t="s">
        <v>250</v>
      </c>
      <c r="J723" s="5" t="s">
        <v>225</v>
      </c>
      <c r="K723" s="27">
        <v>7.1</v>
      </c>
      <c r="L723" s="27">
        <v>-13.9</v>
      </c>
      <c r="R723" s="27">
        <v>15.5</v>
      </c>
      <c r="S723" s="27">
        <v>2.9</v>
      </c>
      <c r="V723" s="32" t="s">
        <v>3353</v>
      </c>
      <c r="W723" s="32">
        <v>4</v>
      </c>
      <c r="X723" s="33" t="s">
        <v>3574</v>
      </c>
      <c r="Y723" s="32">
        <v>2000</v>
      </c>
      <c r="Z723" s="31" t="s">
        <v>3547</v>
      </c>
      <c r="AA723" s="32">
        <v>29.37</v>
      </c>
      <c r="AB723" s="32">
        <v>-99.47</v>
      </c>
      <c r="AC723" s="32">
        <v>2085</v>
      </c>
    </row>
    <row r="724" spans="3:29" ht="38">
      <c r="C724" s="22" t="s">
        <v>539</v>
      </c>
      <c r="D724" s="22" t="s">
        <v>540</v>
      </c>
      <c r="E724" s="5">
        <v>908</v>
      </c>
      <c r="F724" s="5">
        <v>989</v>
      </c>
      <c r="G724" s="28" t="s">
        <v>1847</v>
      </c>
      <c r="H724" s="6" t="s">
        <v>250</v>
      </c>
      <c r="J724" s="5" t="s">
        <v>225</v>
      </c>
      <c r="K724" s="27">
        <v>9.3000000000000007</v>
      </c>
      <c r="L724" s="27">
        <v>-12.6</v>
      </c>
      <c r="R724" s="27">
        <v>15.3</v>
      </c>
      <c r="S724" s="27">
        <v>2.9</v>
      </c>
      <c r="V724" s="32" t="s">
        <v>3353</v>
      </c>
      <c r="W724" s="32">
        <v>4</v>
      </c>
      <c r="X724" s="33" t="s">
        <v>3575</v>
      </c>
      <c r="Y724" s="32">
        <v>3500</v>
      </c>
      <c r="AA724" s="32">
        <v>29.37</v>
      </c>
      <c r="AB724" s="32">
        <v>-99.47</v>
      </c>
      <c r="AC724" s="32">
        <v>2085</v>
      </c>
    </row>
    <row r="725" spans="3:29" ht="19">
      <c r="C725" s="22" t="s">
        <v>1605</v>
      </c>
      <c r="D725" s="22" t="s">
        <v>589</v>
      </c>
      <c r="E725" s="5">
        <v>41229</v>
      </c>
      <c r="F725" s="5">
        <v>10262</v>
      </c>
      <c r="G725" s="28" t="s">
        <v>1847</v>
      </c>
      <c r="H725" s="6" t="s">
        <v>1137</v>
      </c>
      <c r="J725" s="5" t="s">
        <v>104</v>
      </c>
      <c r="K725" s="27">
        <v>12.6</v>
      </c>
      <c r="L725" s="27">
        <v>-16.100000000000001</v>
      </c>
      <c r="R725" s="27">
        <v>15.8</v>
      </c>
      <c r="S725" s="27">
        <v>2.8</v>
      </c>
      <c r="V725" s="32" t="s">
        <v>3353</v>
      </c>
      <c r="W725" s="32">
        <v>5</v>
      </c>
      <c r="X725" s="33" t="s">
        <v>3576</v>
      </c>
      <c r="Y725" s="32">
        <v>16273</v>
      </c>
      <c r="AA725" s="32">
        <v>30.13</v>
      </c>
      <c r="AB725" s="32">
        <v>-99.54</v>
      </c>
      <c r="AC725" s="32">
        <v>2085</v>
      </c>
    </row>
    <row r="726" spans="3:29" ht="19">
      <c r="C726" s="22" t="s">
        <v>77</v>
      </c>
      <c r="D726" s="22" t="s">
        <v>151</v>
      </c>
      <c r="E726" s="5">
        <v>41229</v>
      </c>
      <c r="F726" s="5">
        <v>15778</v>
      </c>
      <c r="G726" s="28" t="s">
        <v>1847</v>
      </c>
      <c r="H726" s="6" t="s">
        <v>1137</v>
      </c>
      <c r="J726" s="5" t="s">
        <v>225</v>
      </c>
      <c r="K726" s="27">
        <v>11.9</v>
      </c>
      <c r="L726" s="27">
        <v>-17</v>
      </c>
      <c r="R726" s="27">
        <v>10.4</v>
      </c>
      <c r="S726" s="27">
        <v>3.1</v>
      </c>
      <c r="V726" s="32" t="s">
        <v>3346</v>
      </c>
      <c r="W726" s="32">
        <v>1</v>
      </c>
      <c r="X726" s="33" t="s">
        <v>487</v>
      </c>
      <c r="Y726" s="32">
        <v>11174.5</v>
      </c>
      <c r="AA726" s="32">
        <v>30.13</v>
      </c>
      <c r="AB726" s="32">
        <v>-99.54</v>
      </c>
      <c r="AC726" s="32">
        <v>2.1673200000000001</v>
      </c>
    </row>
    <row r="727" spans="3:29" ht="19">
      <c r="C727" s="22" t="s">
        <v>77</v>
      </c>
      <c r="D727" s="22" t="s">
        <v>151</v>
      </c>
      <c r="E727" s="5">
        <v>41229</v>
      </c>
      <c r="F727" s="5">
        <v>15779</v>
      </c>
      <c r="G727" s="28" t="s">
        <v>1847</v>
      </c>
      <c r="H727" s="6" t="s">
        <v>1137</v>
      </c>
      <c r="J727" s="5" t="s">
        <v>225</v>
      </c>
      <c r="K727" s="27">
        <v>10.3</v>
      </c>
      <c r="L727" s="27">
        <v>-17.600000000000001</v>
      </c>
      <c r="R727" s="27">
        <v>15.4</v>
      </c>
      <c r="S727" s="27">
        <v>2.7</v>
      </c>
      <c r="V727" s="32" t="s">
        <v>3346</v>
      </c>
      <c r="W727" s="32">
        <v>1</v>
      </c>
      <c r="X727" s="33" t="s">
        <v>487</v>
      </c>
      <c r="Y727" s="32">
        <v>11174.5</v>
      </c>
      <c r="AA727" s="32">
        <v>30.13</v>
      </c>
      <c r="AB727" s="32">
        <v>-99.54</v>
      </c>
      <c r="AC727" s="32">
        <v>2.1673200000000001</v>
      </c>
    </row>
    <row r="728" spans="3:29" ht="19">
      <c r="C728" s="22" t="s">
        <v>1025</v>
      </c>
      <c r="D728" s="22" t="s">
        <v>1806</v>
      </c>
      <c r="E728" s="5">
        <v>804</v>
      </c>
      <c r="F728" s="5">
        <v>85</v>
      </c>
      <c r="G728" s="28" t="s">
        <v>1723</v>
      </c>
      <c r="H728" s="6" t="s">
        <v>1209</v>
      </c>
      <c r="J728" s="5" t="s">
        <v>104</v>
      </c>
      <c r="L728" s="27">
        <v>-16.3</v>
      </c>
      <c r="O728" s="27">
        <v>-9.4927500000000009</v>
      </c>
      <c r="Q728" s="27">
        <v>-5.3524825249274954</v>
      </c>
      <c r="V728" s="32">
        <v>43405</v>
      </c>
      <c r="W728" s="32">
        <v>3</v>
      </c>
      <c r="X728" s="33" t="s">
        <v>3577</v>
      </c>
      <c r="AA728" s="32">
        <v>29.5</v>
      </c>
      <c r="AB728" s="32">
        <v>-100</v>
      </c>
    </row>
    <row r="729" spans="3:29" ht="19">
      <c r="C729" s="22" t="s">
        <v>222</v>
      </c>
      <c r="D729" s="22" t="s">
        <v>151</v>
      </c>
      <c r="E729" s="5">
        <v>908</v>
      </c>
      <c r="F729" s="5">
        <v>1080</v>
      </c>
      <c r="G729" s="28" t="s">
        <v>1723</v>
      </c>
      <c r="H729" s="6" t="s">
        <v>250</v>
      </c>
      <c r="J729" s="5" t="s">
        <v>225</v>
      </c>
      <c r="M729" s="56" t="s">
        <v>487</v>
      </c>
      <c r="N729" s="56" t="s">
        <v>487</v>
      </c>
      <c r="R729" s="27" t="s">
        <v>463</v>
      </c>
      <c r="S729" s="27">
        <v>100</v>
      </c>
      <c r="V729" s="32" t="s">
        <v>3346</v>
      </c>
      <c r="W729" s="32">
        <v>2</v>
      </c>
      <c r="X729" s="33" t="s">
        <v>3578</v>
      </c>
      <c r="Y729" s="32">
        <v>3500</v>
      </c>
      <c r="AA729" s="32">
        <v>29.37</v>
      </c>
      <c r="AB729" s="32">
        <v>-99.47</v>
      </c>
      <c r="AC729" s="32">
        <v>55509</v>
      </c>
    </row>
    <row r="730" spans="3:29">
      <c r="C730" s="22" t="s">
        <v>222</v>
      </c>
      <c r="D730" s="22" t="s">
        <v>151</v>
      </c>
      <c r="E730" s="5">
        <v>908</v>
      </c>
      <c r="F730" s="5">
        <v>1080</v>
      </c>
      <c r="G730" s="28" t="s">
        <v>1723</v>
      </c>
      <c r="H730" s="6" t="s">
        <v>250</v>
      </c>
      <c r="J730" s="5" t="s">
        <v>225</v>
      </c>
      <c r="M730" s="56">
        <v>5.9171648000000001</v>
      </c>
      <c r="N730" s="56">
        <v>-18.739900520000003</v>
      </c>
      <c r="R730" s="27">
        <v>0.69076536489835882</v>
      </c>
      <c r="S730" s="27">
        <v>7.311624700178128</v>
      </c>
      <c r="V730" s="32" t="s">
        <v>3346</v>
      </c>
      <c r="W730" s="32">
        <v>6</v>
      </c>
      <c r="Z730" s="31" t="s">
        <v>3579</v>
      </c>
      <c r="AA730" s="32">
        <v>29.37</v>
      </c>
      <c r="AB730" s="32">
        <v>-99.47</v>
      </c>
      <c r="AC730" s="32">
        <v>55509</v>
      </c>
    </row>
    <row r="731" spans="3:29" ht="19">
      <c r="C731" s="22" t="s">
        <v>222</v>
      </c>
      <c r="D731" s="22" t="s">
        <v>151</v>
      </c>
      <c r="E731" s="5">
        <v>933</v>
      </c>
      <c r="F731" s="5">
        <v>3013</v>
      </c>
      <c r="G731" s="28" t="s">
        <v>1723</v>
      </c>
      <c r="H731" s="6" t="s">
        <v>249</v>
      </c>
      <c r="J731" s="5" t="s">
        <v>104</v>
      </c>
      <c r="M731" s="56">
        <v>8</v>
      </c>
      <c r="N731" s="56">
        <v>-20.8</v>
      </c>
      <c r="R731" s="27">
        <v>6.6</v>
      </c>
      <c r="S731" s="27">
        <v>3.9</v>
      </c>
      <c r="V731" s="32" t="s">
        <v>3346</v>
      </c>
      <c r="W731" s="32">
        <v>1</v>
      </c>
      <c r="X731" s="33" t="s">
        <v>487</v>
      </c>
      <c r="Y731" s="32">
        <v>18500</v>
      </c>
      <c r="Z731" s="31" t="s">
        <v>3367</v>
      </c>
      <c r="AA731" s="32">
        <v>29.62</v>
      </c>
      <c r="AB731" s="32">
        <v>-98.37</v>
      </c>
      <c r="AC731" s="32">
        <v>55509</v>
      </c>
    </row>
    <row r="732" spans="3:29">
      <c r="C732" s="22" t="s">
        <v>222</v>
      </c>
      <c r="D732" s="22" t="s">
        <v>151</v>
      </c>
      <c r="E732" s="5">
        <v>43133</v>
      </c>
      <c r="F732" s="5">
        <v>1112</v>
      </c>
      <c r="G732" s="28" t="s">
        <v>1723</v>
      </c>
      <c r="H732" s="6" t="s">
        <v>1183</v>
      </c>
      <c r="J732" s="5" t="s">
        <v>225</v>
      </c>
      <c r="K732" s="27">
        <v>6.9</v>
      </c>
      <c r="L732" s="27">
        <v>-19.8</v>
      </c>
      <c r="R732" s="27">
        <v>11.4</v>
      </c>
      <c r="S732" s="27">
        <v>3.1</v>
      </c>
      <c r="V732" s="32" t="s">
        <v>3346</v>
      </c>
      <c r="W732" s="32">
        <v>2</v>
      </c>
      <c r="Y732" s="32">
        <v>4950</v>
      </c>
      <c r="Z732" s="31" t="s">
        <v>3580</v>
      </c>
      <c r="AA732" s="32">
        <v>29.76</v>
      </c>
      <c r="AB732" s="32">
        <v>-98.77</v>
      </c>
      <c r="AC732" s="32">
        <v>55509</v>
      </c>
    </row>
    <row r="733" spans="3:29" ht="19">
      <c r="C733" s="22" t="s">
        <v>222</v>
      </c>
      <c r="D733" s="22" t="s">
        <v>151</v>
      </c>
      <c r="E733" s="5">
        <v>41229</v>
      </c>
      <c r="F733" s="5">
        <v>675</v>
      </c>
      <c r="G733" s="28" t="s">
        <v>1723</v>
      </c>
      <c r="H733" s="6" t="s">
        <v>1137</v>
      </c>
      <c r="J733" s="5" t="s">
        <v>225</v>
      </c>
      <c r="K733" s="27">
        <v>5.7</v>
      </c>
      <c r="L733" s="27">
        <v>-18.3</v>
      </c>
      <c r="R733" s="27">
        <v>15.2</v>
      </c>
      <c r="S733" s="27">
        <v>2.9</v>
      </c>
      <c r="V733" s="32" t="s">
        <v>3346</v>
      </c>
      <c r="W733" s="32">
        <v>2</v>
      </c>
      <c r="X733" s="33" t="s">
        <v>3581</v>
      </c>
      <c r="Y733" s="32">
        <v>7880.5</v>
      </c>
      <c r="AA733" s="32">
        <v>30.13</v>
      </c>
      <c r="AB733" s="32">
        <v>-99.54</v>
      </c>
      <c r="AC733" s="32">
        <v>55509</v>
      </c>
    </row>
    <row r="734" spans="3:29" ht="19">
      <c r="C734" s="22" t="s">
        <v>222</v>
      </c>
      <c r="D734" s="22" t="s">
        <v>151</v>
      </c>
      <c r="E734" s="5">
        <v>41229</v>
      </c>
      <c r="F734" s="5">
        <v>676</v>
      </c>
      <c r="G734" s="28" t="s">
        <v>1723</v>
      </c>
      <c r="H734" s="6" t="s">
        <v>1137</v>
      </c>
      <c r="J734" s="5" t="s">
        <v>225</v>
      </c>
      <c r="K734" s="27">
        <v>5.8</v>
      </c>
      <c r="L734" s="27">
        <v>-18.3</v>
      </c>
      <c r="R734" s="27">
        <v>16</v>
      </c>
      <c r="S734" s="27">
        <v>2.9</v>
      </c>
      <c r="V734" s="32" t="s">
        <v>3346</v>
      </c>
      <c r="W734" s="32">
        <v>2</v>
      </c>
      <c r="X734" s="33" t="s">
        <v>3581</v>
      </c>
      <c r="Y734" s="32">
        <v>7880.5</v>
      </c>
      <c r="AA734" s="32">
        <v>30.13</v>
      </c>
      <c r="AB734" s="32">
        <v>-99.54</v>
      </c>
      <c r="AC734" s="32">
        <v>55509</v>
      </c>
    </row>
    <row r="735" spans="3:29" ht="19">
      <c r="C735" s="22" t="s">
        <v>222</v>
      </c>
      <c r="D735" s="22" t="s">
        <v>151</v>
      </c>
      <c r="E735" s="5">
        <v>41229</v>
      </c>
      <c r="F735" s="5">
        <v>9333</v>
      </c>
      <c r="G735" s="28" t="s">
        <v>1723</v>
      </c>
      <c r="H735" s="6" t="s">
        <v>1137</v>
      </c>
      <c r="J735" s="5" t="s">
        <v>225</v>
      </c>
      <c r="K735" s="27">
        <v>5.8</v>
      </c>
      <c r="L735" s="27">
        <v>-19.600000000000001</v>
      </c>
      <c r="R735" s="27">
        <v>15.1</v>
      </c>
      <c r="S735" s="27">
        <v>2.9</v>
      </c>
      <c r="V735" s="32" t="s">
        <v>3346</v>
      </c>
      <c r="W735" s="32">
        <v>1</v>
      </c>
      <c r="X735" s="33" t="s">
        <v>487</v>
      </c>
      <c r="Y735" s="32">
        <v>2610.5</v>
      </c>
      <c r="AA735" s="32">
        <v>30.13</v>
      </c>
      <c r="AB735" s="32">
        <v>-99.54</v>
      </c>
      <c r="AC735" s="32">
        <v>55509</v>
      </c>
    </row>
    <row r="736" spans="3:29" ht="38">
      <c r="C736" s="22" t="s">
        <v>222</v>
      </c>
      <c r="D736" s="22" t="s">
        <v>151</v>
      </c>
      <c r="E736" s="5">
        <v>908</v>
      </c>
      <c r="F736" s="5">
        <v>3306</v>
      </c>
      <c r="G736" s="28" t="s">
        <v>1723</v>
      </c>
      <c r="H736" s="6" t="s">
        <v>250</v>
      </c>
      <c r="J736" s="5" t="s">
        <v>225</v>
      </c>
      <c r="K736" s="27">
        <v>7.1</v>
      </c>
      <c r="L736" s="27">
        <v>-19.399999999999999</v>
      </c>
      <c r="R736" s="27">
        <v>15.1</v>
      </c>
      <c r="S736" s="27">
        <v>2.9</v>
      </c>
      <c r="V736" s="32" t="s">
        <v>3346</v>
      </c>
      <c r="W736" s="32">
        <v>1</v>
      </c>
      <c r="X736" s="33" t="s">
        <v>3582</v>
      </c>
      <c r="Y736" s="32">
        <v>3500</v>
      </c>
      <c r="AA736" s="32">
        <v>29.37</v>
      </c>
      <c r="AB736" s="32">
        <v>-99.47</v>
      </c>
      <c r="AC736" s="32">
        <v>55509</v>
      </c>
    </row>
    <row r="737" spans="1:31" ht="57">
      <c r="C737" s="22" t="s">
        <v>222</v>
      </c>
      <c r="D737" s="22" t="s">
        <v>151</v>
      </c>
      <c r="E737" s="5">
        <v>908</v>
      </c>
      <c r="F737" s="5">
        <v>3469</v>
      </c>
      <c r="G737" s="28" t="s">
        <v>1723</v>
      </c>
      <c r="H737" s="6" t="s">
        <v>250</v>
      </c>
      <c r="J737" s="5" t="s">
        <v>104</v>
      </c>
      <c r="K737" s="27">
        <v>4.7</v>
      </c>
      <c r="L737" s="27">
        <v>-19.5</v>
      </c>
      <c r="R737" s="27">
        <v>15.7</v>
      </c>
      <c r="S737" s="27">
        <v>2.9</v>
      </c>
      <c r="V737" s="32" t="s">
        <v>3346</v>
      </c>
      <c r="W737" s="32">
        <v>2</v>
      </c>
      <c r="X737" s="33" t="s">
        <v>3583</v>
      </c>
      <c r="AA737" s="32">
        <v>29.37</v>
      </c>
      <c r="AB737" s="32">
        <v>-99.47</v>
      </c>
      <c r="AC737" s="32">
        <v>55509</v>
      </c>
    </row>
    <row r="738" spans="1:31" s="10" customFormat="1" ht="57">
      <c r="A738" s="5"/>
      <c r="B738" s="5"/>
      <c r="C738" s="22" t="s">
        <v>222</v>
      </c>
      <c r="D738" s="22" t="s">
        <v>151</v>
      </c>
      <c r="E738" s="5">
        <v>908</v>
      </c>
      <c r="F738" s="5">
        <v>3992</v>
      </c>
      <c r="G738" s="28" t="s">
        <v>1723</v>
      </c>
      <c r="H738" s="6" t="s">
        <v>250</v>
      </c>
      <c r="I738" s="6"/>
      <c r="J738" s="5" t="s">
        <v>104</v>
      </c>
      <c r="K738" s="27">
        <v>6</v>
      </c>
      <c r="L738" s="27">
        <v>-19.8</v>
      </c>
      <c r="M738" s="56"/>
      <c r="N738" s="56"/>
      <c r="O738" s="27"/>
      <c r="P738" s="5"/>
      <c r="Q738" s="27"/>
      <c r="R738" s="27">
        <v>15.8</v>
      </c>
      <c r="S738" s="27">
        <v>2.9</v>
      </c>
      <c r="T738" s="5"/>
      <c r="U738" s="24"/>
      <c r="V738" s="32" t="s">
        <v>3346</v>
      </c>
      <c r="W738" s="32">
        <v>2</v>
      </c>
      <c r="X738" s="33" t="s">
        <v>3583</v>
      </c>
      <c r="Y738" s="32"/>
      <c r="Z738" s="31"/>
      <c r="AA738" s="32">
        <v>29.37</v>
      </c>
      <c r="AB738" s="32">
        <v>-99.47</v>
      </c>
      <c r="AC738" s="32">
        <v>55509</v>
      </c>
      <c r="AD738" s="30"/>
      <c r="AE738" s="30"/>
    </row>
    <row r="739" spans="1:31" s="10" customFormat="1" ht="19">
      <c r="A739" s="28"/>
      <c r="B739" s="28"/>
      <c r="C739" s="29" t="s">
        <v>222</v>
      </c>
      <c r="D739" s="29" t="s">
        <v>151</v>
      </c>
      <c r="E739" s="28">
        <v>43136</v>
      </c>
      <c r="F739" s="28">
        <v>1</v>
      </c>
      <c r="G739" s="28" t="s">
        <v>1723</v>
      </c>
      <c r="H739" s="41" t="s">
        <v>487</v>
      </c>
      <c r="I739" s="41"/>
      <c r="J739" s="28"/>
      <c r="K739" s="42">
        <v>7.7</v>
      </c>
      <c r="L739" s="42">
        <v>-18.5</v>
      </c>
      <c r="M739" s="56"/>
      <c r="N739" s="56"/>
      <c r="O739" s="42"/>
      <c r="P739" s="28"/>
      <c r="Q739" s="42"/>
      <c r="R739" s="42">
        <v>15.4</v>
      </c>
      <c r="S739" s="42">
        <v>2.9</v>
      </c>
      <c r="T739" s="28"/>
      <c r="U739" s="30"/>
      <c r="V739" s="32" t="s">
        <v>3346</v>
      </c>
      <c r="W739" s="32">
        <v>1</v>
      </c>
      <c r="X739" s="33" t="s">
        <v>487</v>
      </c>
      <c r="Y739" s="32" t="s">
        <v>487</v>
      </c>
      <c r="Z739" s="31"/>
      <c r="AA739" s="32"/>
      <c r="AB739" s="32"/>
      <c r="AC739" s="32">
        <v>55509</v>
      </c>
      <c r="AD739" s="30"/>
      <c r="AE739" s="30"/>
    </row>
    <row r="740" spans="1:31" ht="19">
      <c r="C740" s="22" t="s">
        <v>222</v>
      </c>
      <c r="D740" s="22" t="s">
        <v>151</v>
      </c>
      <c r="E740" s="5">
        <v>41229</v>
      </c>
      <c r="F740" s="5">
        <v>1001</v>
      </c>
      <c r="G740" s="28" t="s">
        <v>1723</v>
      </c>
      <c r="H740" s="6" t="s">
        <v>1137</v>
      </c>
      <c r="J740" s="5" t="s">
        <v>225</v>
      </c>
      <c r="K740" s="27">
        <v>7.3</v>
      </c>
      <c r="L740" s="27">
        <v>-17.2</v>
      </c>
      <c r="R740" s="27">
        <v>16.2</v>
      </c>
      <c r="S740" s="27">
        <v>2.8</v>
      </c>
      <c r="V740" s="32" t="s">
        <v>3346</v>
      </c>
      <c r="W740" s="32">
        <v>1</v>
      </c>
      <c r="X740" s="33" t="s">
        <v>487</v>
      </c>
      <c r="Y740" s="32">
        <v>6233.5</v>
      </c>
      <c r="AA740" s="32">
        <v>30.13</v>
      </c>
      <c r="AB740" s="32">
        <v>-99.54</v>
      </c>
      <c r="AC740" s="32">
        <v>55509</v>
      </c>
    </row>
    <row r="741" spans="1:31" ht="19">
      <c r="C741" s="22" t="s">
        <v>222</v>
      </c>
      <c r="D741" s="22" t="s">
        <v>151</v>
      </c>
      <c r="E741" s="5">
        <v>41229</v>
      </c>
      <c r="F741" s="5">
        <v>673</v>
      </c>
      <c r="G741" s="28" t="s">
        <v>1723</v>
      </c>
      <c r="H741" s="6" t="s">
        <v>1137</v>
      </c>
      <c r="J741" s="5" t="s">
        <v>225</v>
      </c>
      <c r="K741" s="27">
        <v>6.7</v>
      </c>
      <c r="L741" s="27">
        <v>-19.899999999999999</v>
      </c>
      <c r="R741" s="27">
        <v>16.3</v>
      </c>
      <c r="S741" s="27">
        <v>2.8</v>
      </c>
      <c r="V741" s="32" t="s">
        <v>3346</v>
      </c>
      <c r="W741" s="32">
        <v>2</v>
      </c>
      <c r="X741" s="33" t="s">
        <v>3584</v>
      </c>
      <c r="Y741" s="32">
        <v>2610.5</v>
      </c>
      <c r="AA741" s="32">
        <v>30.13</v>
      </c>
      <c r="AB741" s="32">
        <v>-99.54</v>
      </c>
      <c r="AC741" s="32">
        <v>55509</v>
      </c>
    </row>
    <row r="742" spans="1:31" ht="38">
      <c r="C742" s="22" t="s">
        <v>222</v>
      </c>
      <c r="D742" s="22" t="s">
        <v>151</v>
      </c>
      <c r="E742" s="5">
        <v>908</v>
      </c>
      <c r="F742" s="5">
        <v>1438</v>
      </c>
      <c r="G742" s="28" t="s">
        <v>1723</v>
      </c>
      <c r="H742" s="6" t="s">
        <v>250</v>
      </c>
      <c r="J742" s="5" t="s">
        <v>225</v>
      </c>
      <c r="K742" s="27">
        <v>5.3</v>
      </c>
      <c r="L742" s="27">
        <v>-19.7</v>
      </c>
      <c r="R742" s="27">
        <v>15.8</v>
      </c>
      <c r="S742" s="27">
        <v>2.8</v>
      </c>
      <c r="V742" s="32" t="s">
        <v>3346</v>
      </c>
      <c r="W742" s="32">
        <v>1</v>
      </c>
      <c r="X742" s="33" t="s">
        <v>3585</v>
      </c>
      <c r="Y742" s="32">
        <v>3500</v>
      </c>
      <c r="AA742" s="32">
        <v>29.37</v>
      </c>
      <c r="AB742" s="32">
        <v>-99.47</v>
      </c>
      <c r="AC742" s="32">
        <v>55509</v>
      </c>
    </row>
    <row r="743" spans="1:31" ht="48">
      <c r="C743" s="22" t="s">
        <v>222</v>
      </c>
      <c r="D743" s="22" t="s">
        <v>151</v>
      </c>
      <c r="E743" s="5">
        <v>908</v>
      </c>
      <c r="F743" s="5">
        <v>3953</v>
      </c>
      <c r="G743" s="28" t="s">
        <v>1723</v>
      </c>
      <c r="H743" s="6" t="s">
        <v>250</v>
      </c>
      <c r="J743" s="5" t="s">
        <v>225</v>
      </c>
      <c r="K743" s="27">
        <v>6.2</v>
      </c>
      <c r="L743" s="27">
        <v>-19.899999999999999</v>
      </c>
      <c r="R743" s="27">
        <v>16.100000000000001</v>
      </c>
      <c r="S743" s="27">
        <v>2.8</v>
      </c>
      <c r="V743" s="32" t="s">
        <v>3346</v>
      </c>
      <c r="W743" s="32">
        <v>1</v>
      </c>
      <c r="X743" s="33" t="s">
        <v>3586</v>
      </c>
      <c r="Y743" s="32">
        <v>2000</v>
      </c>
      <c r="Z743" s="46" t="s">
        <v>3547</v>
      </c>
      <c r="AA743" s="32">
        <v>29.37</v>
      </c>
      <c r="AB743" s="32">
        <v>-99.47</v>
      </c>
      <c r="AC743" s="32">
        <v>55509</v>
      </c>
    </row>
    <row r="744" spans="1:31" ht="19">
      <c r="C744" s="22" t="s">
        <v>222</v>
      </c>
      <c r="D744" s="22" t="s">
        <v>151</v>
      </c>
      <c r="E744" s="5">
        <v>41229</v>
      </c>
      <c r="F744" s="5">
        <v>646</v>
      </c>
      <c r="G744" s="28" t="s">
        <v>1723</v>
      </c>
      <c r="H744" s="6" t="s">
        <v>1137</v>
      </c>
      <c r="J744" s="5" t="s">
        <v>104</v>
      </c>
      <c r="K744" s="27">
        <v>11.1</v>
      </c>
      <c r="L744" s="27">
        <v>-19.2</v>
      </c>
      <c r="R744" s="27">
        <v>13.8</v>
      </c>
      <c r="S744" s="27">
        <v>2.8</v>
      </c>
      <c r="V744" s="32" t="s">
        <v>3346</v>
      </c>
      <c r="W744" s="32">
        <v>2</v>
      </c>
      <c r="X744" s="33" t="s">
        <v>3587</v>
      </c>
      <c r="Y744" s="32">
        <v>13404</v>
      </c>
      <c r="AA744" s="32">
        <v>30.13</v>
      </c>
      <c r="AB744" s="32">
        <v>-99.54</v>
      </c>
      <c r="AC744" s="32">
        <v>55509</v>
      </c>
    </row>
    <row r="745" spans="1:31" ht="57">
      <c r="C745" s="22" t="s">
        <v>222</v>
      </c>
      <c r="D745" s="22" t="s">
        <v>151</v>
      </c>
      <c r="E745" s="5">
        <v>908</v>
      </c>
      <c r="F745" s="5">
        <v>3833</v>
      </c>
      <c r="G745" s="28" t="s">
        <v>1723</v>
      </c>
      <c r="H745" s="6" t="s">
        <v>250</v>
      </c>
      <c r="J745" s="5" t="s">
        <v>104</v>
      </c>
      <c r="K745" s="27">
        <v>7.9</v>
      </c>
      <c r="L745" s="27">
        <v>-19</v>
      </c>
      <c r="R745" s="27">
        <v>15.8</v>
      </c>
      <c r="S745" s="27">
        <v>2.8</v>
      </c>
      <c r="V745" s="32" t="s">
        <v>3346</v>
      </c>
      <c r="W745" s="32">
        <v>2</v>
      </c>
      <c r="X745" s="33" t="s">
        <v>3583</v>
      </c>
      <c r="AA745" s="32">
        <v>29.37</v>
      </c>
      <c r="AB745" s="32">
        <v>-99.47</v>
      </c>
      <c r="AC745" s="32">
        <v>55509</v>
      </c>
    </row>
    <row r="746" spans="1:31" ht="76">
      <c r="C746" s="22" t="s">
        <v>222</v>
      </c>
      <c r="D746" s="22" t="s">
        <v>151</v>
      </c>
      <c r="E746" s="5">
        <v>908</v>
      </c>
      <c r="F746" s="5">
        <v>3925</v>
      </c>
      <c r="G746" s="28" t="s">
        <v>1723</v>
      </c>
      <c r="H746" s="6" t="s">
        <v>250</v>
      </c>
      <c r="J746" s="5" t="s">
        <v>104</v>
      </c>
      <c r="K746" s="27">
        <v>8</v>
      </c>
      <c r="L746" s="27">
        <v>-18.100000000000001</v>
      </c>
      <c r="R746" s="27">
        <v>16.399999999999999</v>
      </c>
      <c r="S746" s="27">
        <v>2.8</v>
      </c>
      <c r="V746" s="32" t="s">
        <v>3346</v>
      </c>
      <c r="W746" s="32">
        <v>2</v>
      </c>
      <c r="X746" s="33" t="s">
        <v>3588</v>
      </c>
      <c r="AA746" s="32">
        <v>29.37</v>
      </c>
      <c r="AB746" s="32">
        <v>-99.47</v>
      </c>
      <c r="AC746" s="32">
        <v>55509</v>
      </c>
    </row>
    <row r="747" spans="1:31" ht="76">
      <c r="C747" s="22" t="s">
        <v>222</v>
      </c>
      <c r="D747" s="22" t="s">
        <v>151</v>
      </c>
      <c r="E747" s="5">
        <v>908</v>
      </c>
      <c r="F747" s="5">
        <v>3990</v>
      </c>
      <c r="G747" s="28" t="s">
        <v>1723</v>
      </c>
      <c r="H747" s="6" t="s">
        <v>250</v>
      </c>
      <c r="J747" s="5" t="s">
        <v>104</v>
      </c>
      <c r="K747" s="27">
        <v>6.1</v>
      </c>
      <c r="L747" s="27">
        <v>-19.600000000000001</v>
      </c>
      <c r="R747" s="27">
        <v>16.8</v>
      </c>
      <c r="S747" s="27">
        <v>2.8</v>
      </c>
      <c r="V747" s="32" t="s">
        <v>3346</v>
      </c>
      <c r="W747" s="32">
        <v>2</v>
      </c>
      <c r="X747" s="33" t="s">
        <v>3589</v>
      </c>
      <c r="AA747" s="32">
        <v>29.37</v>
      </c>
      <c r="AB747" s="32">
        <v>-99.47</v>
      </c>
      <c r="AC747" s="32">
        <v>55509</v>
      </c>
    </row>
    <row r="748" spans="1:31" ht="38">
      <c r="C748" s="22" t="s">
        <v>222</v>
      </c>
      <c r="D748" s="22" t="s">
        <v>151</v>
      </c>
      <c r="E748" s="5">
        <v>908</v>
      </c>
      <c r="F748" s="5">
        <v>3991</v>
      </c>
      <c r="G748" s="28" t="s">
        <v>1723</v>
      </c>
      <c r="H748" s="6" t="s">
        <v>250</v>
      </c>
      <c r="J748" s="5" t="s">
        <v>104</v>
      </c>
      <c r="K748" s="27">
        <v>6.3</v>
      </c>
      <c r="L748" s="27">
        <v>-18.399999999999999</v>
      </c>
      <c r="R748" s="27">
        <v>17.100000000000001</v>
      </c>
      <c r="S748" s="27">
        <v>2.8</v>
      </c>
      <c r="V748" s="32" t="s">
        <v>3346</v>
      </c>
      <c r="W748" s="32">
        <v>2</v>
      </c>
      <c r="X748" s="33" t="s">
        <v>3348</v>
      </c>
      <c r="AA748" s="32">
        <v>29.37</v>
      </c>
      <c r="AB748" s="32">
        <v>-99.47</v>
      </c>
      <c r="AC748" s="32">
        <v>55509</v>
      </c>
    </row>
    <row r="749" spans="1:31" ht="19">
      <c r="A749" s="28"/>
      <c r="B749" s="28"/>
      <c r="C749" s="29" t="s">
        <v>222</v>
      </c>
      <c r="D749" s="29" t="s">
        <v>151</v>
      </c>
      <c r="E749" s="28">
        <v>41229</v>
      </c>
      <c r="F749" s="28">
        <v>10810</v>
      </c>
      <c r="G749" s="28" t="s">
        <v>1723</v>
      </c>
      <c r="H749" s="41" t="s">
        <v>1137</v>
      </c>
      <c r="I749" s="41"/>
      <c r="J749" s="28" t="s">
        <v>1744</v>
      </c>
      <c r="K749" s="42">
        <v>10.3</v>
      </c>
      <c r="L749" s="42">
        <v>-18.399999999999999</v>
      </c>
      <c r="O749" s="42"/>
      <c r="P749" s="28"/>
      <c r="Q749" s="42"/>
      <c r="R749" s="42">
        <v>14.6</v>
      </c>
      <c r="S749" s="42">
        <v>2.8</v>
      </c>
      <c r="T749" s="28"/>
      <c r="U749" s="30"/>
      <c r="V749" s="32" t="s">
        <v>3346</v>
      </c>
      <c r="W749" s="32">
        <v>1</v>
      </c>
      <c r="X749" s="33" t="s">
        <v>487</v>
      </c>
      <c r="Z749" s="31" t="s">
        <v>3375</v>
      </c>
      <c r="AA749" s="32">
        <v>30.13</v>
      </c>
      <c r="AB749" s="32">
        <v>-99.54</v>
      </c>
      <c r="AC749" s="32">
        <v>55509</v>
      </c>
    </row>
    <row r="750" spans="1:31" ht="19">
      <c r="C750" s="22" t="s">
        <v>222</v>
      </c>
      <c r="D750" s="22" t="s">
        <v>151</v>
      </c>
      <c r="E750" s="5">
        <v>41229</v>
      </c>
      <c r="F750" s="5">
        <v>1055</v>
      </c>
      <c r="G750" s="28" t="s">
        <v>1723</v>
      </c>
      <c r="H750" s="6" t="s">
        <v>1137</v>
      </c>
      <c r="J750" s="5" t="s">
        <v>225</v>
      </c>
      <c r="K750" s="27">
        <v>4.5</v>
      </c>
      <c r="L750" s="27">
        <v>-20</v>
      </c>
      <c r="R750" s="27">
        <v>16.7</v>
      </c>
      <c r="S750" s="27">
        <v>2.7</v>
      </c>
      <c r="V750" s="32" t="s">
        <v>3346</v>
      </c>
      <c r="W750" s="32">
        <v>2</v>
      </c>
      <c r="X750" s="33" t="s">
        <v>3587</v>
      </c>
      <c r="Y750" s="32">
        <v>4916</v>
      </c>
      <c r="AA750" s="32">
        <v>30.13</v>
      </c>
      <c r="AB750" s="32">
        <v>-99.54</v>
      </c>
      <c r="AC750" s="32">
        <v>55509</v>
      </c>
    </row>
    <row r="751" spans="1:31" ht="19">
      <c r="C751" s="22" t="s">
        <v>222</v>
      </c>
      <c r="D751" s="22" t="s">
        <v>151</v>
      </c>
      <c r="E751" s="5">
        <v>41229</v>
      </c>
      <c r="F751" s="5">
        <v>462</v>
      </c>
      <c r="G751" s="28" t="s">
        <v>1723</v>
      </c>
      <c r="H751" s="6" t="s">
        <v>1137</v>
      </c>
      <c r="J751" s="5" t="s">
        <v>225</v>
      </c>
      <c r="K751" s="27">
        <v>5.7</v>
      </c>
      <c r="L751" s="27">
        <v>-19.5</v>
      </c>
      <c r="R751" s="27">
        <v>17.2</v>
      </c>
      <c r="S751" s="27">
        <v>2.7</v>
      </c>
      <c r="V751" s="32" t="s">
        <v>3346</v>
      </c>
      <c r="W751" s="32">
        <v>2</v>
      </c>
      <c r="X751" s="33" t="s">
        <v>3584</v>
      </c>
      <c r="Y751" s="32">
        <v>5574.5</v>
      </c>
      <c r="AA751" s="32">
        <v>30.13</v>
      </c>
      <c r="AB751" s="32">
        <v>-99.54</v>
      </c>
      <c r="AC751" s="32">
        <v>55509</v>
      </c>
    </row>
    <row r="752" spans="1:31" ht="19">
      <c r="C752" s="22" t="s">
        <v>222</v>
      </c>
      <c r="D752" s="22" t="s">
        <v>151</v>
      </c>
      <c r="E752" s="5">
        <v>41229</v>
      </c>
      <c r="F752" s="5">
        <v>868</v>
      </c>
      <c r="G752" s="28" t="s">
        <v>1723</v>
      </c>
      <c r="H752" s="6" t="s">
        <v>1137</v>
      </c>
      <c r="J752" s="5" t="s">
        <v>225</v>
      </c>
      <c r="K752" s="27">
        <v>5.9</v>
      </c>
      <c r="L752" s="27">
        <v>-19.5</v>
      </c>
      <c r="R752" s="27">
        <v>16.600000000000001</v>
      </c>
      <c r="S752" s="27">
        <v>2.7</v>
      </c>
      <c r="V752" s="32" t="s">
        <v>3346</v>
      </c>
      <c r="W752" s="32">
        <v>2</v>
      </c>
      <c r="X752" s="33" t="s">
        <v>3587</v>
      </c>
      <c r="Y752" s="32">
        <v>4257.5</v>
      </c>
      <c r="AA752" s="32">
        <v>30.13</v>
      </c>
      <c r="AB752" s="32">
        <v>-99.54</v>
      </c>
      <c r="AC752" s="32">
        <v>55509</v>
      </c>
    </row>
    <row r="753" spans="3:29" ht="57">
      <c r="C753" s="22" t="s">
        <v>222</v>
      </c>
      <c r="D753" s="22" t="s">
        <v>151</v>
      </c>
      <c r="E753" s="5">
        <v>908</v>
      </c>
      <c r="F753" s="5">
        <v>3994</v>
      </c>
      <c r="G753" s="28" t="s">
        <v>1723</v>
      </c>
      <c r="H753" s="6" t="s">
        <v>250</v>
      </c>
      <c r="J753" s="5" t="s">
        <v>225</v>
      </c>
      <c r="K753" s="27">
        <v>6.9</v>
      </c>
      <c r="L753" s="27">
        <v>-19.3</v>
      </c>
      <c r="R753" s="27">
        <v>17.3</v>
      </c>
      <c r="S753" s="27">
        <v>2.7</v>
      </c>
      <c r="V753" s="32" t="s">
        <v>3346</v>
      </c>
      <c r="W753" s="32">
        <v>2</v>
      </c>
      <c r="X753" s="33" t="s">
        <v>3590</v>
      </c>
      <c r="Y753" s="32">
        <v>2000</v>
      </c>
      <c r="Z753" s="46" t="s">
        <v>3547</v>
      </c>
      <c r="AA753" s="32">
        <v>29.37</v>
      </c>
      <c r="AB753" s="32">
        <v>-99.47</v>
      </c>
      <c r="AC753" s="32">
        <v>55509</v>
      </c>
    </row>
    <row r="754" spans="3:29" ht="57">
      <c r="C754" s="22" t="s">
        <v>222</v>
      </c>
      <c r="D754" s="22" t="s">
        <v>151</v>
      </c>
      <c r="E754" s="5">
        <v>30967</v>
      </c>
      <c r="F754" s="5">
        <v>106</v>
      </c>
      <c r="G754" s="28" t="s">
        <v>1723</v>
      </c>
      <c r="H754" s="6" t="s">
        <v>110</v>
      </c>
      <c r="J754" s="5" t="s">
        <v>104</v>
      </c>
      <c r="M754" s="56" t="s">
        <v>487</v>
      </c>
      <c r="N754" s="56" t="s">
        <v>487</v>
      </c>
      <c r="R754" s="27" t="s">
        <v>463</v>
      </c>
      <c r="S754" s="27">
        <v>100</v>
      </c>
      <c r="V754" s="32" t="s">
        <v>3349</v>
      </c>
      <c r="W754" s="32">
        <v>5</v>
      </c>
      <c r="X754" s="33" t="s">
        <v>3419</v>
      </c>
      <c r="Y754" s="32">
        <v>50000</v>
      </c>
      <c r="AA754" s="32">
        <v>27.87</v>
      </c>
      <c r="AB754" s="32">
        <v>-97.2</v>
      </c>
      <c r="AC754" s="32">
        <v>55509</v>
      </c>
    </row>
    <row r="755" spans="3:29" ht="19">
      <c r="C755" s="22" t="s">
        <v>222</v>
      </c>
      <c r="D755" s="22" t="s">
        <v>151</v>
      </c>
      <c r="E755" s="5">
        <v>40451</v>
      </c>
      <c r="F755" s="5">
        <v>102</v>
      </c>
      <c r="G755" s="28" t="s">
        <v>1723</v>
      </c>
      <c r="H755" s="6" t="s">
        <v>1815</v>
      </c>
      <c r="J755" s="5" t="s">
        <v>225</v>
      </c>
      <c r="K755" s="27">
        <v>5.5</v>
      </c>
      <c r="L755" s="27">
        <v>-19.8</v>
      </c>
      <c r="R755" s="27">
        <v>15.3</v>
      </c>
      <c r="S755" s="27">
        <v>3</v>
      </c>
      <c r="V755" s="32" t="s">
        <v>3349</v>
      </c>
      <c r="W755" s="32">
        <v>5</v>
      </c>
      <c r="X755" s="33" t="s">
        <v>3591</v>
      </c>
      <c r="Y755" s="32">
        <v>4600</v>
      </c>
      <c r="AA755" s="32">
        <v>29.92</v>
      </c>
      <c r="AB755" s="32">
        <v>-98.35</v>
      </c>
      <c r="AC755" s="32">
        <v>55509</v>
      </c>
    </row>
    <row r="756" spans="3:29" ht="19">
      <c r="C756" s="22" t="s">
        <v>222</v>
      </c>
      <c r="D756" s="22" t="s">
        <v>151</v>
      </c>
      <c r="E756" s="5">
        <v>40451</v>
      </c>
      <c r="F756" s="5">
        <v>125</v>
      </c>
      <c r="G756" s="28" t="s">
        <v>1723</v>
      </c>
      <c r="H756" s="6" t="s">
        <v>1815</v>
      </c>
      <c r="J756" s="5" t="s">
        <v>225</v>
      </c>
      <c r="K756" s="27">
        <v>5.0999999999999996</v>
      </c>
      <c r="L756" s="27">
        <v>-21</v>
      </c>
      <c r="R756" s="27">
        <v>12</v>
      </c>
      <c r="S756" s="27">
        <v>3</v>
      </c>
      <c r="V756" s="32" t="s">
        <v>3349</v>
      </c>
      <c r="W756" s="32">
        <v>5</v>
      </c>
      <c r="X756" s="33" t="s">
        <v>3591</v>
      </c>
      <c r="Y756" s="32">
        <v>4600</v>
      </c>
      <c r="AA756" s="32">
        <v>29.92</v>
      </c>
      <c r="AB756" s="32">
        <v>-98.35</v>
      </c>
      <c r="AC756" s="32">
        <v>55509</v>
      </c>
    </row>
    <row r="757" spans="3:29" ht="38">
      <c r="C757" s="22" t="s">
        <v>222</v>
      </c>
      <c r="D757" s="22" t="s">
        <v>151</v>
      </c>
      <c r="E757" s="5">
        <v>908</v>
      </c>
      <c r="F757" s="5">
        <v>825</v>
      </c>
      <c r="G757" s="28" t="s">
        <v>1723</v>
      </c>
      <c r="H757" s="6" t="s">
        <v>250</v>
      </c>
      <c r="J757" s="5" t="s">
        <v>225</v>
      </c>
      <c r="K757" s="27">
        <v>6</v>
      </c>
      <c r="L757" s="27">
        <v>-19.8</v>
      </c>
      <c r="R757" s="27">
        <v>14.4</v>
      </c>
      <c r="S757" s="27">
        <v>3</v>
      </c>
      <c r="U757" s="24" t="s">
        <v>3372</v>
      </c>
      <c r="V757" s="32" t="s">
        <v>3349</v>
      </c>
      <c r="W757" s="32">
        <v>5</v>
      </c>
      <c r="X757" s="33" t="s">
        <v>3358</v>
      </c>
      <c r="Y757" s="32">
        <v>1000</v>
      </c>
      <c r="AA757" s="32">
        <v>29.37</v>
      </c>
      <c r="AB757" s="32">
        <v>-99.47</v>
      </c>
      <c r="AC757" s="32">
        <v>55509</v>
      </c>
    </row>
    <row r="758" spans="3:29" ht="19">
      <c r="C758" s="22" t="s">
        <v>222</v>
      </c>
      <c r="D758" s="22" t="s">
        <v>151</v>
      </c>
      <c r="E758" s="5">
        <v>40451</v>
      </c>
      <c r="F758" s="5">
        <v>13</v>
      </c>
      <c r="G758" s="28" t="s">
        <v>1723</v>
      </c>
      <c r="H758" s="6" t="s">
        <v>1815</v>
      </c>
      <c r="J758" s="5" t="s">
        <v>225</v>
      </c>
      <c r="K758" s="27">
        <v>5.6</v>
      </c>
      <c r="L758" s="27">
        <v>-19.8</v>
      </c>
      <c r="R758" s="27">
        <v>14.6</v>
      </c>
      <c r="S758" s="27">
        <v>2.9</v>
      </c>
      <c r="V758" s="32" t="s">
        <v>3349</v>
      </c>
      <c r="W758" s="32">
        <v>5</v>
      </c>
      <c r="X758" s="33" t="s">
        <v>3591</v>
      </c>
      <c r="Y758" s="32">
        <v>4600</v>
      </c>
      <c r="AA758" s="32">
        <v>29.92</v>
      </c>
      <c r="AB758" s="32">
        <v>-98.35</v>
      </c>
      <c r="AC758" s="32">
        <v>55509</v>
      </c>
    </row>
    <row r="759" spans="3:29" ht="38">
      <c r="C759" s="22" t="s">
        <v>222</v>
      </c>
      <c r="D759" s="22" t="s">
        <v>151</v>
      </c>
      <c r="E759" s="5">
        <v>908</v>
      </c>
      <c r="F759" s="5">
        <v>131</v>
      </c>
      <c r="G759" s="28" t="s">
        <v>1723</v>
      </c>
      <c r="H759" s="6" t="s">
        <v>250</v>
      </c>
      <c r="J759" s="5" t="s">
        <v>225</v>
      </c>
      <c r="K759" s="27">
        <v>5.3</v>
      </c>
      <c r="L759" s="27">
        <v>-20.7</v>
      </c>
      <c r="R759" s="27">
        <v>15.8</v>
      </c>
      <c r="S759" s="27">
        <v>2.9</v>
      </c>
      <c r="V759" s="32" t="s">
        <v>3349</v>
      </c>
      <c r="W759" s="32">
        <v>5</v>
      </c>
      <c r="X759" s="33" t="s">
        <v>3359</v>
      </c>
      <c r="Y759" s="32">
        <v>1000</v>
      </c>
      <c r="AA759" s="32">
        <v>29.37</v>
      </c>
      <c r="AB759" s="32">
        <v>-99.47</v>
      </c>
      <c r="AC759" s="32">
        <v>55509</v>
      </c>
    </row>
    <row r="760" spans="3:29" ht="38">
      <c r="C760" s="22" t="s">
        <v>222</v>
      </c>
      <c r="D760" s="22" t="s">
        <v>151</v>
      </c>
      <c r="E760" s="5">
        <v>908</v>
      </c>
      <c r="F760" s="5">
        <v>1672</v>
      </c>
      <c r="G760" s="28" t="s">
        <v>1723</v>
      </c>
      <c r="H760" s="6" t="s">
        <v>250</v>
      </c>
      <c r="J760" s="5" t="s">
        <v>225</v>
      </c>
      <c r="K760" s="27">
        <v>7.5</v>
      </c>
      <c r="L760" s="27">
        <v>-17.5</v>
      </c>
      <c r="O760" s="27">
        <v>-9.9</v>
      </c>
      <c r="Q760" s="27">
        <v>-0.8</v>
      </c>
      <c r="R760" s="27">
        <v>15.7</v>
      </c>
      <c r="S760" s="27">
        <v>2.9</v>
      </c>
      <c r="V760" s="32" t="s">
        <v>3349</v>
      </c>
      <c r="W760" s="32">
        <v>5</v>
      </c>
      <c r="X760" s="33" t="s">
        <v>3592</v>
      </c>
      <c r="Y760" s="32">
        <v>3500</v>
      </c>
      <c r="AA760" s="32">
        <v>29.37</v>
      </c>
      <c r="AB760" s="32">
        <v>-99.47</v>
      </c>
      <c r="AC760" s="32">
        <v>55509</v>
      </c>
    </row>
    <row r="761" spans="3:29" ht="38">
      <c r="C761" s="22" t="s">
        <v>222</v>
      </c>
      <c r="D761" s="22" t="s">
        <v>151</v>
      </c>
      <c r="E761" s="5">
        <v>908</v>
      </c>
      <c r="F761" s="5">
        <v>2280</v>
      </c>
      <c r="G761" s="28" t="s">
        <v>1723</v>
      </c>
      <c r="H761" s="6" t="s">
        <v>250</v>
      </c>
      <c r="J761" s="5" t="s">
        <v>225</v>
      </c>
      <c r="K761" s="27">
        <v>5.9</v>
      </c>
      <c r="L761" s="27">
        <v>-17.899999999999999</v>
      </c>
      <c r="R761" s="27">
        <v>9.1</v>
      </c>
      <c r="S761" s="27">
        <v>2.9</v>
      </c>
      <c r="V761" s="32" t="s">
        <v>3349</v>
      </c>
      <c r="W761" s="32">
        <v>5</v>
      </c>
      <c r="X761" s="33" t="s">
        <v>3593</v>
      </c>
      <c r="Y761" s="32">
        <v>1000</v>
      </c>
      <c r="AA761" s="32">
        <v>29.37</v>
      </c>
      <c r="AB761" s="32">
        <v>-99.47</v>
      </c>
      <c r="AC761" s="32">
        <v>55509</v>
      </c>
    </row>
    <row r="762" spans="3:29" ht="38">
      <c r="C762" s="22" t="s">
        <v>222</v>
      </c>
      <c r="D762" s="22" t="s">
        <v>151</v>
      </c>
      <c r="E762" s="5">
        <v>908</v>
      </c>
      <c r="F762" s="5">
        <v>330</v>
      </c>
      <c r="G762" s="28" t="s">
        <v>1723</v>
      </c>
      <c r="H762" s="6" t="s">
        <v>250</v>
      </c>
      <c r="J762" s="5" t="s">
        <v>225</v>
      </c>
      <c r="K762" s="27">
        <v>7.3</v>
      </c>
      <c r="L762" s="27">
        <v>-17.899999999999999</v>
      </c>
      <c r="R762" s="27">
        <v>15.4</v>
      </c>
      <c r="S762" s="27">
        <v>2.9</v>
      </c>
      <c r="U762" s="24" t="s">
        <v>3372</v>
      </c>
      <c r="V762" s="32" t="s">
        <v>3349</v>
      </c>
      <c r="W762" s="32">
        <v>5</v>
      </c>
      <c r="X762" s="33" t="s">
        <v>3361</v>
      </c>
      <c r="Y762" s="32">
        <v>1000</v>
      </c>
      <c r="AA762" s="32">
        <v>29.37</v>
      </c>
      <c r="AB762" s="32">
        <v>-99.47</v>
      </c>
      <c r="AC762" s="32">
        <v>55509</v>
      </c>
    </row>
    <row r="763" spans="3:29" ht="38">
      <c r="C763" s="22" t="s">
        <v>222</v>
      </c>
      <c r="D763" s="22" t="s">
        <v>151</v>
      </c>
      <c r="E763" s="5">
        <v>908</v>
      </c>
      <c r="F763" s="5">
        <v>3348</v>
      </c>
      <c r="G763" s="28" t="s">
        <v>1723</v>
      </c>
      <c r="H763" s="6" t="s">
        <v>250</v>
      </c>
      <c r="J763" s="5" t="s">
        <v>225</v>
      </c>
      <c r="K763" s="27">
        <v>5.8</v>
      </c>
      <c r="L763" s="27">
        <v>-20.399999999999999</v>
      </c>
      <c r="R763" s="27">
        <v>15.3</v>
      </c>
      <c r="S763" s="27">
        <v>2.9</v>
      </c>
      <c r="T763" s="5" t="s">
        <v>3594</v>
      </c>
      <c r="V763" s="32" t="s">
        <v>3349</v>
      </c>
      <c r="W763" s="32">
        <v>5</v>
      </c>
      <c r="X763" s="33" t="s">
        <v>3595</v>
      </c>
      <c r="Y763" s="32">
        <v>1000</v>
      </c>
      <c r="AA763" s="32">
        <v>29.37</v>
      </c>
      <c r="AB763" s="32">
        <v>-99.47</v>
      </c>
      <c r="AC763" s="32">
        <v>55509</v>
      </c>
    </row>
    <row r="764" spans="3:29" ht="38">
      <c r="C764" s="22" t="s">
        <v>222</v>
      </c>
      <c r="D764" s="22" t="s">
        <v>151</v>
      </c>
      <c r="E764" s="5">
        <v>908</v>
      </c>
      <c r="F764" s="5">
        <v>2255</v>
      </c>
      <c r="G764" s="28" t="s">
        <v>1723</v>
      </c>
      <c r="H764" s="6" t="s">
        <v>250</v>
      </c>
      <c r="J764" s="5" t="s">
        <v>225</v>
      </c>
      <c r="K764" s="27">
        <v>5.3</v>
      </c>
      <c r="L764" s="27">
        <v>-20.7</v>
      </c>
      <c r="R764" s="27">
        <v>15.9</v>
      </c>
      <c r="S764" s="27">
        <v>2.9</v>
      </c>
      <c r="V764" s="32" t="s">
        <v>3349</v>
      </c>
      <c r="W764" s="32">
        <v>5</v>
      </c>
      <c r="X764" s="33" t="s">
        <v>3351</v>
      </c>
      <c r="Y764" s="32">
        <v>1000</v>
      </c>
      <c r="AA764" s="32">
        <v>29.37</v>
      </c>
      <c r="AB764" s="32">
        <v>-99.47</v>
      </c>
      <c r="AC764" s="32">
        <v>55509</v>
      </c>
    </row>
    <row r="765" spans="3:29" ht="48">
      <c r="C765" s="22" t="s">
        <v>222</v>
      </c>
      <c r="D765" s="22" t="s">
        <v>151</v>
      </c>
      <c r="E765" s="5">
        <v>908</v>
      </c>
      <c r="F765" s="5">
        <v>3943</v>
      </c>
      <c r="G765" s="28" t="s">
        <v>1723</v>
      </c>
      <c r="H765" s="6" t="s">
        <v>250</v>
      </c>
      <c r="J765" s="5" t="s">
        <v>225</v>
      </c>
      <c r="K765" s="27">
        <v>6.8</v>
      </c>
      <c r="L765" s="27">
        <v>-19.899999999999999</v>
      </c>
      <c r="R765" s="27">
        <v>15.4</v>
      </c>
      <c r="S765" s="27">
        <v>2.9</v>
      </c>
      <c r="V765" s="32" t="s">
        <v>3349</v>
      </c>
      <c r="W765" s="32">
        <v>5</v>
      </c>
      <c r="X765" s="33" t="s">
        <v>3389</v>
      </c>
      <c r="Y765" s="32">
        <v>2000</v>
      </c>
      <c r="Z765" s="46" t="s">
        <v>3547</v>
      </c>
      <c r="AA765" s="32">
        <v>29.37</v>
      </c>
      <c r="AB765" s="32">
        <v>-99.47</v>
      </c>
      <c r="AC765" s="32">
        <v>55509</v>
      </c>
    </row>
    <row r="766" spans="3:29" ht="38">
      <c r="C766" s="22" t="s">
        <v>222</v>
      </c>
      <c r="D766" s="22" t="s">
        <v>151</v>
      </c>
      <c r="E766" s="5">
        <v>933</v>
      </c>
      <c r="F766" s="5">
        <v>3962</v>
      </c>
      <c r="G766" s="28" t="s">
        <v>1723</v>
      </c>
      <c r="H766" s="6" t="s">
        <v>249</v>
      </c>
      <c r="J766" s="5" t="s">
        <v>104</v>
      </c>
      <c r="K766" s="27">
        <v>6.1</v>
      </c>
      <c r="L766" s="27">
        <v>-20.9</v>
      </c>
      <c r="R766" s="27">
        <v>15.4</v>
      </c>
      <c r="S766" s="27">
        <v>2.9</v>
      </c>
      <c r="V766" s="32" t="s">
        <v>3349</v>
      </c>
      <c r="W766" s="32">
        <v>5</v>
      </c>
      <c r="X766" s="33" t="s">
        <v>3379</v>
      </c>
      <c r="Y766" s="32">
        <v>18500</v>
      </c>
      <c r="Z766" s="31" t="s">
        <v>3367</v>
      </c>
      <c r="AA766" s="32">
        <v>29.62</v>
      </c>
      <c r="AB766" s="32">
        <v>-98.37</v>
      </c>
      <c r="AC766" s="32">
        <v>55509</v>
      </c>
    </row>
    <row r="767" spans="3:29" ht="19">
      <c r="C767" s="22" t="s">
        <v>222</v>
      </c>
      <c r="D767" s="22" t="s">
        <v>151</v>
      </c>
      <c r="E767" s="5">
        <v>40451</v>
      </c>
      <c r="F767" s="5">
        <v>93</v>
      </c>
      <c r="G767" s="28" t="s">
        <v>1723</v>
      </c>
      <c r="H767" s="6" t="s">
        <v>1815</v>
      </c>
      <c r="J767" s="5" t="s">
        <v>225</v>
      </c>
      <c r="K767" s="27">
        <v>6.7</v>
      </c>
      <c r="L767" s="27">
        <v>-19.600000000000001</v>
      </c>
      <c r="R767" s="27">
        <v>16</v>
      </c>
      <c r="S767" s="27">
        <v>2.8</v>
      </c>
      <c r="V767" s="32" t="s">
        <v>3349</v>
      </c>
      <c r="W767" s="32">
        <v>5</v>
      </c>
      <c r="X767" s="33" t="s">
        <v>3591</v>
      </c>
      <c r="Y767" s="32">
        <v>4600</v>
      </c>
      <c r="AA767" s="32">
        <v>29.92</v>
      </c>
      <c r="AB767" s="32">
        <v>-98.35</v>
      </c>
      <c r="AC767" s="32">
        <v>55509</v>
      </c>
    </row>
    <row r="768" spans="3:29" ht="57">
      <c r="C768" s="22" t="s">
        <v>222</v>
      </c>
      <c r="D768" s="22" t="s">
        <v>151</v>
      </c>
      <c r="E768" s="5">
        <v>908</v>
      </c>
      <c r="F768" s="5">
        <v>3614</v>
      </c>
      <c r="G768" s="28" t="s">
        <v>1723</v>
      </c>
      <c r="H768" s="6" t="s">
        <v>250</v>
      </c>
      <c r="J768" s="5" t="s">
        <v>225</v>
      </c>
      <c r="K768" s="27">
        <v>5.8</v>
      </c>
      <c r="L768" s="27">
        <v>-20.399999999999999</v>
      </c>
      <c r="R768" s="27">
        <v>16.2</v>
      </c>
      <c r="S768" s="27">
        <v>2.8</v>
      </c>
      <c r="V768" s="32" t="s">
        <v>3349</v>
      </c>
      <c r="W768" s="32">
        <v>5</v>
      </c>
      <c r="X768" s="33" t="s">
        <v>3352</v>
      </c>
      <c r="Y768" s="32">
        <v>3500</v>
      </c>
      <c r="AA768" s="32">
        <v>29.37</v>
      </c>
      <c r="AB768" s="32">
        <v>-99.47</v>
      </c>
      <c r="AC768" s="32">
        <v>55509</v>
      </c>
    </row>
    <row r="769" spans="1:29" ht="48">
      <c r="C769" s="22" t="s">
        <v>222</v>
      </c>
      <c r="D769" s="22" t="s">
        <v>151</v>
      </c>
      <c r="E769" s="5">
        <v>908</v>
      </c>
      <c r="F769" s="5">
        <v>3945</v>
      </c>
      <c r="G769" s="28" t="s">
        <v>1723</v>
      </c>
      <c r="H769" s="6" t="s">
        <v>250</v>
      </c>
      <c r="J769" s="5" t="s">
        <v>225</v>
      </c>
      <c r="K769" s="27">
        <v>5.9</v>
      </c>
      <c r="L769" s="27">
        <v>-19.5</v>
      </c>
      <c r="R769" s="27">
        <v>16.8</v>
      </c>
      <c r="S769" s="27">
        <v>2.8</v>
      </c>
      <c r="V769" s="32" t="s">
        <v>3349</v>
      </c>
      <c r="W769" s="32">
        <v>5</v>
      </c>
      <c r="X769" s="33" t="s">
        <v>3389</v>
      </c>
      <c r="Y769" s="32">
        <v>2000</v>
      </c>
      <c r="Z769" s="46" t="s">
        <v>3547</v>
      </c>
      <c r="AA769" s="32">
        <v>29.37</v>
      </c>
      <c r="AB769" s="32">
        <v>-99.47</v>
      </c>
      <c r="AC769" s="32">
        <v>55509</v>
      </c>
    </row>
    <row r="770" spans="1:29" ht="48">
      <c r="C770" s="22" t="s">
        <v>222</v>
      </c>
      <c r="D770" s="22" t="s">
        <v>151</v>
      </c>
      <c r="E770" s="5">
        <v>908</v>
      </c>
      <c r="F770" s="5">
        <v>3950</v>
      </c>
      <c r="G770" s="28" t="s">
        <v>1723</v>
      </c>
      <c r="H770" s="6" t="s">
        <v>250</v>
      </c>
      <c r="J770" s="5" t="s">
        <v>225</v>
      </c>
      <c r="K770" s="27">
        <v>7.9</v>
      </c>
      <c r="L770" s="27">
        <v>-18.5</v>
      </c>
      <c r="R770" s="27">
        <v>16.2</v>
      </c>
      <c r="S770" s="27">
        <v>2.8</v>
      </c>
      <c r="V770" s="32" t="s">
        <v>3349</v>
      </c>
      <c r="W770" s="32">
        <v>5</v>
      </c>
      <c r="X770" s="33" t="s">
        <v>3389</v>
      </c>
      <c r="Y770" s="32">
        <v>2000</v>
      </c>
      <c r="Z770" s="46" t="s">
        <v>3547</v>
      </c>
      <c r="AA770" s="32">
        <v>29.37</v>
      </c>
      <c r="AB770" s="32">
        <v>-99.47</v>
      </c>
      <c r="AC770" s="32">
        <v>55509</v>
      </c>
    </row>
    <row r="771" spans="1:29" ht="76">
      <c r="C771" s="22" t="s">
        <v>222</v>
      </c>
      <c r="D771" s="22" t="s">
        <v>151</v>
      </c>
      <c r="E771" s="5">
        <v>908</v>
      </c>
      <c r="F771" s="5">
        <v>2184</v>
      </c>
      <c r="G771" s="28" t="s">
        <v>1723</v>
      </c>
      <c r="H771" s="6" t="s">
        <v>250</v>
      </c>
      <c r="J771" s="5" t="s">
        <v>225</v>
      </c>
      <c r="K771" s="27">
        <v>5.2</v>
      </c>
      <c r="L771" s="27">
        <v>-20.8</v>
      </c>
      <c r="R771" s="27">
        <v>16.100000000000001</v>
      </c>
      <c r="S771" s="27">
        <v>2.8</v>
      </c>
      <c r="V771" s="32" t="s">
        <v>3349</v>
      </c>
      <c r="W771" s="32">
        <v>5</v>
      </c>
      <c r="X771" s="33" t="s">
        <v>3596</v>
      </c>
      <c r="Z771" s="31" t="s">
        <v>3579</v>
      </c>
      <c r="AA771" s="32">
        <v>29.37</v>
      </c>
      <c r="AB771" s="32">
        <v>-99.47</v>
      </c>
      <c r="AC771" s="32">
        <v>55509</v>
      </c>
    </row>
    <row r="772" spans="1:29" ht="38">
      <c r="C772" s="22" t="s">
        <v>222</v>
      </c>
      <c r="D772" s="22" t="s">
        <v>151</v>
      </c>
      <c r="E772" s="5">
        <v>804</v>
      </c>
      <c r="F772" s="5">
        <v>110</v>
      </c>
      <c r="G772" s="28" t="s">
        <v>1723</v>
      </c>
      <c r="H772" s="6" t="s">
        <v>1209</v>
      </c>
      <c r="J772" s="5" t="s">
        <v>104</v>
      </c>
      <c r="K772" s="27">
        <v>5.4</v>
      </c>
      <c r="L772" s="27">
        <v>-19.100000000000001</v>
      </c>
      <c r="R772" s="27">
        <v>16</v>
      </c>
      <c r="S772" s="27">
        <v>2.8</v>
      </c>
      <c r="U772" s="24" t="s">
        <v>3372</v>
      </c>
      <c r="V772" s="32" t="s">
        <v>3349</v>
      </c>
      <c r="W772" s="32">
        <v>5</v>
      </c>
      <c r="X772" s="33" t="s">
        <v>3597</v>
      </c>
      <c r="Y772" s="32">
        <v>21000</v>
      </c>
      <c r="AA772" s="32">
        <v>29.5</v>
      </c>
      <c r="AB772" s="32">
        <v>-100</v>
      </c>
      <c r="AC772" s="32">
        <v>55509</v>
      </c>
    </row>
    <row r="773" spans="1:29" ht="38">
      <c r="C773" s="22" t="s">
        <v>222</v>
      </c>
      <c r="D773" s="22" t="s">
        <v>151</v>
      </c>
      <c r="E773" s="5">
        <v>804</v>
      </c>
      <c r="F773" s="5">
        <v>141</v>
      </c>
      <c r="G773" s="28" t="s">
        <v>1723</v>
      </c>
      <c r="H773" s="6" t="s">
        <v>1209</v>
      </c>
      <c r="J773" s="5" t="s">
        <v>104</v>
      </c>
      <c r="K773" s="27">
        <v>5.3</v>
      </c>
      <c r="L773" s="27">
        <v>-19.399999999999999</v>
      </c>
      <c r="R773" s="27">
        <v>16.2</v>
      </c>
      <c r="S773" s="27">
        <v>2.8</v>
      </c>
      <c r="U773" s="24" t="s">
        <v>3372</v>
      </c>
      <c r="V773" s="32" t="s">
        <v>3349</v>
      </c>
      <c r="W773" s="32">
        <v>5</v>
      </c>
      <c r="X773" s="33" t="s">
        <v>3598</v>
      </c>
      <c r="Y773" s="32">
        <v>21000</v>
      </c>
      <c r="AA773" s="32">
        <v>29.5</v>
      </c>
      <c r="AB773" s="32">
        <v>-100</v>
      </c>
      <c r="AC773" s="32">
        <v>55509</v>
      </c>
    </row>
    <row r="774" spans="1:29" ht="19">
      <c r="C774" s="22" t="s">
        <v>222</v>
      </c>
      <c r="D774" s="22" t="s">
        <v>151</v>
      </c>
      <c r="E774" s="5">
        <v>40451</v>
      </c>
      <c r="F774" s="5">
        <v>125</v>
      </c>
      <c r="G774" s="28" t="s">
        <v>1723</v>
      </c>
      <c r="H774" s="6" t="s">
        <v>1815</v>
      </c>
      <c r="J774" s="5" t="s">
        <v>225</v>
      </c>
      <c r="L774" s="27">
        <v>-17.07</v>
      </c>
      <c r="O774" s="27">
        <v>-10.27</v>
      </c>
      <c r="P774" s="5">
        <v>29.89</v>
      </c>
      <c r="Q774" s="27">
        <v>-0.94451134000000003</v>
      </c>
      <c r="S774" s="27">
        <v>0</v>
      </c>
      <c r="V774" s="32" t="s">
        <v>3349</v>
      </c>
      <c r="X774" s="33" t="s">
        <v>3599</v>
      </c>
      <c r="Y774" s="32">
        <v>4600</v>
      </c>
      <c r="AA774" s="32">
        <v>29.92</v>
      </c>
      <c r="AB774" s="32">
        <v>-98.35</v>
      </c>
      <c r="AC774" s="32">
        <v>55509</v>
      </c>
    </row>
    <row r="775" spans="1:29" ht="48">
      <c r="C775" s="22" t="s">
        <v>222</v>
      </c>
      <c r="D775" s="22" t="s">
        <v>151</v>
      </c>
      <c r="E775" s="5">
        <v>908</v>
      </c>
      <c r="F775" s="5">
        <v>3997</v>
      </c>
      <c r="G775" s="28" t="s">
        <v>1723</v>
      </c>
      <c r="H775" s="6" t="s">
        <v>250</v>
      </c>
      <c r="J775" s="5" t="s">
        <v>225</v>
      </c>
      <c r="M775" s="56" t="s">
        <v>487</v>
      </c>
      <c r="N775" s="56">
        <v>-18.7</v>
      </c>
      <c r="R775" s="27">
        <v>0.6</v>
      </c>
      <c r="S775" s="27">
        <v>9</v>
      </c>
      <c r="V775" s="32" t="s">
        <v>3353</v>
      </c>
      <c r="W775" s="32">
        <v>5</v>
      </c>
      <c r="X775" s="33" t="s">
        <v>3389</v>
      </c>
      <c r="Y775" s="32">
        <v>2000</v>
      </c>
      <c r="Z775" s="46" t="s">
        <v>3547</v>
      </c>
      <c r="AA775" s="32">
        <v>29.37</v>
      </c>
      <c r="AB775" s="32">
        <v>-99.47</v>
      </c>
      <c r="AC775" s="32">
        <v>55509</v>
      </c>
    </row>
    <row r="776" spans="1:29" ht="38">
      <c r="A776" s="28"/>
      <c r="B776" s="28"/>
      <c r="C776" s="29" t="s">
        <v>222</v>
      </c>
      <c r="D776" s="29" t="s">
        <v>151</v>
      </c>
      <c r="E776" s="28">
        <v>40449</v>
      </c>
      <c r="F776" s="28">
        <v>129</v>
      </c>
      <c r="G776" s="28" t="s">
        <v>1723</v>
      </c>
      <c r="H776" s="41" t="s">
        <v>1814</v>
      </c>
      <c r="I776" s="41"/>
      <c r="J776" s="28" t="s">
        <v>225</v>
      </c>
      <c r="M776" s="56">
        <v>-1.1000000000000001</v>
      </c>
      <c r="N776" s="56">
        <v>-24.3</v>
      </c>
      <c r="O776" s="42"/>
      <c r="P776" s="28"/>
      <c r="Q776" s="42"/>
      <c r="R776" s="42">
        <v>3.3</v>
      </c>
      <c r="S776" s="42">
        <v>4.3</v>
      </c>
      <c r="T776" s="28"/>
      <c r="U776" s="30"/>
      <c r="V776" s="32" t="s">
        <v>3353</v>
      </c>
      <c r="W776" s="32">
        <v>5</v>
      </c>
      <c r="X776" s="33" t="s">
        <v>3600</v>
      </c>
      <c r="Y776" s="32">
        <v>10000</v>
      </c>
      <c r="Z776" s="31" t="s">
        <v>3555</v>
      </c>
      <c r="AA776" s="32">
        <v>30.36</v>
      </c>
      <c r="AB776" s="32">
        <v>-98.1</v>
      </c>
      <c r="AC776" s="32">
        <v>55509</v>
      </c>
    </row>
    <row r="777" spans="1:29" ht="38">
      <c r="A777" s="28"/>
      <c r="B777" s="28"/>
      <c r="C777" s="29" t="s">
        <v>222</v>
      </c>
      <c r="D777" s="29" t="s">
        <v>151</v>
      </c>
      <c r="E777" s="28">
        <v>40449</v>
      </c>
      <c r="F777" s="28">
        <v>127</v>
      </c>
      <c r="G777" s="28" t="s">
        <v>1723</v>
      </c>
      <c r="H777" s="41" t="s">
        <v>1814</v>
      </c>
      <c r="I777" s="41"/>
      <c r="J777" s="28" t="s">
        <v>225</v>
      </c>
      <c r="M777" s="56">
        <v>1.1000000000000001</v>
      </c>
      <c r="N777" s="56">
        <v>-24</v>
      </c>
      <c r="O777" s="42"/>
      <c r="P777" s="28"/>
      <c r="Q777" s="42"/>
      <c r="R777" s="42">
        <v>4.2</v>
      </c>
      <c r="S777" s="42">
        <v>4</v>
      </c>
      <c r="T777" s="28"/>
      <c r="U777" s="30"/>
      <c r="V777" s="32" t="s">
        <v>3353</v>
      </c>
      <c r="W777" s="32">
        <v>5</v>
      </c>
      <c r="X777" s="33" t="s">
        <v>3601</v>
      </c>
      <c r="Y777" s="32">
        <v>10000</v>
      </c>
      <c r="Z777" s="31" t="s">
        <v>3555</v>
      </c>
      <c r="AA777" s="32">
        <v>30.36</v>
      </c>
      <c r="AB777" s="32">
        <v>-98.1</v>
      </c>
      <c r="AC777" s="32">
        <v>55509</v>
      </c>
    </row>
    <row r="778" spans="1:29" ht="38">
      <c r="C778" s="22" t="s">
        <v>222</v>
      </c>
      <c r="D778" s="22" t="s">
        <v>151</v>
      </c>
      <c r="E778" s="5">
        <v>933</v>
      </c>
      <c r="F778" s="5">
        <v>458</v>
      </c>
      <c r="G778" s="28" t="s">
        <v>1723</v>
      </c>
      <c r="H778" s="6" t="s">
        <v>249</v>
      </c>
      <c r="J778" s="5" t="s">
        <v>104</v>
      </c>
      <c r="K778" s="27">
        <v>7.8</v>
      </c>
      <c r="L778" s="27">
        <v>-20.100000000000001</v>
      </c>
      <c r="R778" s="27">
        <v>7.6</v>
      </c>
      <c r="S778" s="27">
        <v>3.5</v>
      </c>
      <c r="V778" s="32" t="s">
        <v>3353</v>
      </c>
      <c r="W778" s="32">
        <v>4</v>
      </c>
      <c r="X778" s="33" t="s">
        <v>3602</v>
      </c>
      <c r="Y778" s="32">
        <v>18500</v>
      </c>
      <c r="AA778" s="32">
        <v>29.62</v>
      </c>
      <c r="AB778" s="32">
        <v>-98.37</v>
      </c>
      <c r="AC778" s="32">
        <v>55509</v>
      </c>
    </row>
    <row r="779" spans="1:29" ht="48">
      <c r="C779" s="22" t="s">
        <v>222</v>
      </c>
      <c r="D779" s="22" t="s">
        <v>151</v>
      </c>
      <c r="E779" s="5">
        <v>908</v>
      </c>
      <c r="F779" s="5">
        <v>3922</v>
      </c>
      <c r="G779" s="28" t="s">
        <v>1723</v>
      </c>
      <c r="H779" s="6" t="s">
        <v>250</v>
      </c>
      <c r="J779" s="5" t="s">
        <v>225</v>
      </c>
      <c r="K779" s="27">
        <v>7.5</v>
      </c>
      <c r="L779" s="27">
        <v>-15.9</v>
      </c>
      <c r="R779" s="27">
        <v>13.3</v>
      </c>
      <c r="S779" s="27">
        <v>3.3</v>
      </c>
      <c r="V779" s="32" t="s">
        <v>3353</v>
      </c>
      <c r="W779" s="32">
        <v>4</v>
      </c>
      <c r="X779" s="33" t="s">
        <v>3389</v>
      </c>
      <c r="Y779" s="32">
        <v>2000</v>
      </c>
      <c r="Z779" s="46" t="s">
        <v>3547</v>
      </c>
      <c r="AA779" s="32">
        <v>29.37</v>
      </c>
      <c r="AB779" s="32">
        <v>-99.47</v>
      </c>
      <c r="AC779" s="32">
        <v>55509</v>
      </c>
    </row>
    <row r="780" spans="1:29" ht="48">
      <c r="C780" s="22" t="s">
        <v>222</v>
      </c>
      <c r="D780" s="22" t="s">
        <v>151</v>
      </c>
      <c r="E780" s="5">
        <v>908</v>
      </c>
      <c r="F780" s="5">
        <v>3924</v>
      </c>
      <c r="G780" s="28" t="s">
        <v>1723</v>
      </c>
      <c r="H780" s="6" t="s">
        <v>250</v>
      </c>
      <c r="J780" s="5" t="s">
        <v>225</v>
      </c>
      <c r="K780" s="27">
        <v>9.5</v>
      </c>
      <c r="L780" s="27">
        <v>-19.399999999999999</v>
      </c>
      <c r="R780" s="27">
        <v>13.6</v>
      </c>
      <c r="S780" s="27">
        <v>3.1</v>
      </c>
      <c r="V780" s="32" t="s">
        <v>3353</v>
      </c>
      <c r="W780" s="32">
        <v>4</v>
      </c>
      <c r="X780" s="33" t="s">
        <v>3603</v>
      </c>
      <c r="Y780" s="32">
        <v>2000</v>
      </c>
      <c r="Z780" s="46" t="s">
        <v>3547</v>
      </c>
      <c r="AA780" s="32">
        <v>29.37</v>
      </c>
      <c r="AB780" s="32">
        <v>-99.47</v>
      </c>
      <c r="AC780" s="32">
        <v>55509</v>
      </c>
    </row>
    <row r="781" spans="1:29" ht="38">
      <c r="C781" s="22" t="s">
        <v>222</v>
      </c>
      <c r="D781" s="22" t="s">
        <v>151</v>
      </c>
      <c r="E781" s="5">
        <v>908</v>
      </c>
      <c r="F781" s="5">
        <v>2229</v>
      </c>
      <c r="G781" s="28" t="s">
        <v>1723</v>
      </c>
      <c r="H781" s="6" t="s">
        <v>250</v>
      </c>
      <c r="J781" s="5" t="s">
        <v>225</v>
      </c>
      <c r="K781" s="27">
        <v>5.8</v>
      </c>
      <c r="L781" s="27">
        <v>-20.100000000000001</v>
      </c>
      <c r="R781" s="27">
        <v>14.4</v>
      </c>
      <c r="S781" s="27">
        <v>3</v>
      </c>
      <c r="V781" s="32" t="s">
        <v>3353</v>
      </c>
      <c r="W781" s="32">
        <v>6</v>
      </c>
      <c r="X781" s="33" t="s">
        <v>3604</v>
      </c>
      <c r="Y781" s="32">
        <v>1000</v>
      </c>
      <c r="AA781" s="32">
        <v>29.37</v>
      </c>
      <c r="AB781" s="32">
        <v>-99.47</v>
      </c>
      <c r="AC781" s="32">
        <v>55509</v>
      </c>
    </row>
    <row r="782" spans="1:29" ht="38">
      <c r="C782" s="22" t="s">
        <v>222</v>
      </c>
      <c r="D782" s="22" t="s">
        <v>151</v>
      </c>
      <c r="E782" s="5">
        <v>908</v>
      </c>
      <c r="F782" s="5">
        <v>263</v>
      </c>
      <c r="G782" s="28" t="s">
        <v>1723</v>
      </c>
      <c r="H782" s="6" t="s">
        <v>250</v>
      </c>
      <c r="J782" s="5" t="s">
        <v>225</v>
      </c>
      <c r="K782" s="27">
        <v>6.9</v>
      </c>
      <c r="L782" s="27">
        <v>-18.8</v>
      </c>
      <c r="R782" s="27">
        <v>14.1</v>
      </c>
      <c r="S782" s="27">
        <v>3</v>
      </c>
      <c r="V782" s="32" t="s">
        <v>3353</v>
      </c>
      <c r="W782" s="32">
        <v>6</v>
      </c>
      <c r="X782" s="33" t="s">
        <v>3387</v>
      </c>
      <c r="Y782" s="32">
        <v>1000</v>
      </c>
      <c r="AA782" s="32">
        <v>29.37</v>
      </c>
      <c r="AB782" s="32">
        <v>-99.47</v>
      </c>
      <c r="AC782" s="32">
        <v>55509</v>
      </c>
    </row>
    <row r="783" spans="1:29" ht="38">
      <c r="C783" s="22" t="s">
        <v>222</v>
      </c>
      <c r="D783" s="22" t="s">
        <v>151</v>
      </c>
      <c r="E783" s="5">
        <v>908</v>
      </c>
      <c r="F783" s="5">
        <v>360</v>
      </c>
      <c r="G783" s="28" t="s">
        <v>1723</v>
      </c>
      <c r="H783" s="6" t="s">
        <v>250</v>
      </c>
      <c r="J783" s="5" t="s">
        <v>225</v>
      </c>
      <c r="K783" s="27">
        <v>5.6</v>
      </c>
      <c r="L783" s="27">
        <v>-19.899999999999999</v>
      </c>
      <c r="R783" s="27">
        <v>13.5</v>
      </c>
      <c r="S783" s="27">
        <v>3</v>
      </c>
      <c r="V783" s="32" t="s">
        <v>3353</v>
      </c>
      <c r="W783" s="32">
        <v>4</v>
      </c>
      <c r="X783" s="33" t="s">
        <v>3605</v>
      </c>
      <c r="Y783" s="32">
        <v>1000</v>
      </c>
      <c r="AA783" s="32">
        <v>29.37</v>
      </c>
      <c r="AB783" s="32">
        <v>-99.47</v>
      </c>
      <c r="AC783" s="32">
        <v>55509</v>
      </c>
    </row>
    <row r="784" spans="1:29" ht="48">
      <c r="C784" s="22" t="s">
        <v>222</v>
      </c>
      <c r="D784" s="22" t="s">
        <v>151</v>
      </c>
      <c r="E784" s="5">
        <v>908</v>
      </c>
      <c r="F784" s="5">
        <v>3959</v>
      </c>
      <c r="G784" s="28" t="s">
        <v>1723</v>
      </c>
      <c r="H784" s="6" t="s">
        <v>250</v>
      </c>
      <c r="J784" s="5" t="s">
        <v>225</v>
      </c>
      <c r="K784" s="27">
        <v>8.6999999999999993</v>
      </c>
      <c r="L784" s="27">
        <v>-16.8</v>
      </c>
      <c r="R784" s="27">
        <v>14.3</v>
      </c>
      <c r="S784" s="27">
        <v>3</v>
      </c>
      <c r="V784" s="32" t="s">
        <v>3353</v>
      </c>
      <c r="W784" s="32">
        <v>4</v>
      </c>
      <c r="X784" s="33" t="s">
        <v>3389</v>
      </c>
      <c r="Y784" s="32">
        <v>2000</v>
      </c>
      <c r="Z784" s="46" t="s">
        <v>3547</v>
      </c>
      <c r="AA784" s="32">
        <v>29.37</v>
      </c>
      <c r="AB784" s="32">
        <v>-99.47</v>
      </c>
      <c r="AC784" s="32">
        <v>55509</v>
      </c>
    </row>
    <row r="785" spans="3:29" ht="38">
      <c r="C785" s="22" t="s">
        <v>222</v>
      </c>
      <c r="D785" s="22" t="s">
        <v>151</v>
      </c>
      <c r="E785" s="5">
        <v>908</v>
      </c>
      <c r="F785" s="5">
        <v>403</v>
      </c>
      <c r="G785" s="28" t="s">
        <v>1723</v>
      </c>
      <c r="H785" s="6" t="s">
        <v>250</v>
      </c>
      <c r="J785" s="5" t="s">
        <v>225</v>
      </c>
      <c r="K785" s="27">
        <v>8.1</v>
      </c>
      <c r="L785" s="27">
        <v>-18.100000000000001</v>
      </c>
      <c r="R785" s="27">
        <v>15.1</v>
      </c>
      <c r="S785" s="27">
        <v>3</v>
      </c>
      <c r="V785" s="32" t="s">
        <v>3353</v>
      </c>
      <c r="W785" s="32">
        <v>4</v>
      </c>
      <c r="X785" s="33" t="s">
        <v>3606</v>
      </c>
      <c r="Y785" s="32">
        <v>3500</v>
      </c>
      <c r="AA785" s="32">
        <v>29.37</v>
      </c>
      <c r="AB785" s="32">
        <v>-99.47</v>
      </c>
      <c r="AC785" s="32">
        <v>55509</v>
      </c>
    </row>
    <row r="786" spans="3:29" ht="57">
      <c r="C786" s="22" t="s">
        <v>222</v>
      </c>
      <c r="D786" s="22" t="s">
        <v>151</v>
      </c>
      <c r="E786" s="5">
        <v>908</v>
      </c>
      <c r="F786" s="5">
        <v>818</v>
      </c>
      <c r="G786" s="28" t="s">
        <v>1723</v>
      </c>
      <c r="H786" s="6" t="s">
        <v>250</v>
      </c>
      <c r="J786" s="5" t="s">
        <v>225</v>
      </c>
      <c r="K786" s="27">
        <v>6.1</v>
      </c>
      <c r="L786" s="27">
        <v>-19.899999999999999</v>
      </c>
      <c r="R786" s="27">
        <v>14.6</v>
      </c>
      <c r="S786" s="27">
        <v>3</v>
      </c>
      <c r="V786" s="32" t="s">
        <v>3353</v>
      </c>
      <c r="W786" s="32">
        <v>6</v>
      </c>
      <c r="X786" s="33" t="s">
        <v>3607</v>
      </c>
      <c r="Y786" s="32">
        <v>1000</v>
      </c>
      <c r="AA786" s="32">
        <v>29.37</v>
      </c>
      <c r="AB786" s="32">
        <v>-99.47</v>
      </c>
      <c r="AC786" s="32">
        <v>55509</v>
      </c>
    </row>
    <row r="787" spans="3:29" ht="19">
      <c r="C787" s="22" t="s">
        <v>222</v>
      </c>
      <c r="D787" s="22" t="s">
        <v>151</v>
      </c>
      <c r="E787" s="5">
        <v>40451</v>
      </c>
      <c r="F787" s="5">
        <v>101</v>
      </c>
      <c r="G787" s="28" t="s">
        <v>1723</v>
      </c>
      <c r="H787" s="6" t="s">
        <v>1815</v>
      </c>
      <c r="J787" s="5" t="s">
        <v>225</v>
      </c>
      <c r="K787" s="27">
        <v>7.8</v>
      </c>
      <c r="L787" s="27">
        <v>-14</v>
      </c>
      <c r="R787" s="27">
        <v>15.1</v>
      </c>
      <c r="S787" s="27">
        <v>2.9</v>
      </c>
      <c r="V787" s="32" t="s">
        <v>3353</v>
      </c>
      <c r="W787" s="32">
        <v>4</v>
      </c>
      <c r="X787" s="33" t="s">
        <v>309</v>
      </c>
      <c r="Y787" s="32">
        <v>4600</v>
      </c>
      <c r="AA787" s="32">
        <v>29.92</v>
      </c>
      <c r="AB787" s="32">
        <v>-98.35</v>
      </c>
      <c r="AC787" s="32">
        <v>55509</v>
      </c>
    </row>
    <row r="788" spans="3:29" ht="19">
      <c r="C788" s="22" t="s">
        <v>222</v>
      </c>
      <c r="D788" s="22" t="s">
        <v>151</v>
      </c>
      <c r="E788" s="5">
        <v>41229</v>
      </c>
      <c r="F788" s="5">
        <v>643</v>
      </c>
      <c r="G788" s="28" t="s">
        <v>1723</v>
      </c>
      <c r="H788" s="6" t="s">
        <v>1137</v>
      </c>
      <c r="J788" s="5" t="s">
        <v>225</v>
      </c>
      <c r="K788" s="27">
        <v>7.8</v>
      </c>
      <c r="L788" s="27">
        <v>-19.5</v>
      </c>
      <c r="R788" s="27">
        <v>15.1</v>
      </c>
      <c r="S788" s="27">
        <v>2.9</v>
      </c>
      <c r="V788" s="32" t="s">
        <v>3353</v>
      </c>
      <c r="W788" s="32">
        <v>4</v>
      </c>
      <c r="X788" s="33" t="s">
        <v>3466</v>
      </c>
      <c r="Y788" s="32">
        <v>5739</v>
      </c>
      <c r="AA788" s="32">
        <v>30.13</v>
      </c>
      <c r="AB788" s="32">
        <v>-99.54</v>
      </c>
      <c r="AC788" s="32">
        <v>55509</v>
      </c>
    </row>
    <row r="789" spans="3:29" ht="38">
      <c r="C789" s="22" t="s">
        <v>222</v>
      </c>
      <c r="D789" s="22" t="s">
        <v>151</v>
      </c>
      <c r="E789" s="5">
        <v>908</v>
      </c>
      <c r="F789" s="5">
        <v>1629</v>
      </c>
      <c r="G789" s="28" t="s">
        <v>1723</v>
      </c>
      <c r="H789" s="6" t="s">
        <v>250</v>
      </c>
      <c r="J789" s="5" t="s">
        <v>225</v>
      </c>
      <c r="K789" s="27">
        <v>6.1</v>
      </c>
      <c r="L789" s="27">
        <v>-19.3</v>
      </c>
      <c r="R789" s="27">
        <v>15.2</v>
      </c>
      <c r="S789" s="27">
        <v>2.9</v>
      </c>
      <c r="V789" s="32" t="s">
        <v>3353</v>
      </c>
      <c r="W789" s="32">
        <v>4</v>
      </c>
      <c r="X789" s="33" t="s">
        <v>3362</v>
      </c>
      <c r="Y789" s="32">
        <v>1000</v>
      </c>
      <c r="AA789" s="32">
        <v>29.37</v>
      </c>
      <c r="AB789" s="32">
        <v>-99.47</v>
      </c>
      <c r="AC789" s="32">
        <v>55509</v>
      </c>
    </row>
    <row r="790" spans="3:29" ht="38">
      <c r="C790" s="22" t="s">
        <v>222</v>
      </c>
      <c r="D790" s="22" t="s">
        <v>151</v>
      </c>
      <c r="E790" s="5">
        <v>908</v>
      </c>
      <c r="F790" s="5">
        <v>3837</v>
      </c>
      <c r="G790" s="28" t="s">
        <v>1723</v>
      </c>
      <c r="H790" s="6" t="s">
        <v>250</v>
      </c>
      <c r="J790" s="5" t="s">
        <v>225</v>
      </c>
      <c r="K790" s="27">
        <v>7.8</v>
      </c>
      <c r="L790" s="27">
        <v>-18.3</v>
      </c>
      <c r="R790" s="27">
        <v>15</v>
      </c>
      <c r="S790" s="27">
        <v>2.9</v>
      </c>
      <c r="V790" s="32" t="s">
        <v>3353</v>
      </c>
      <c r="W790" s="32">
        <v>4</v>
      </c>
      <c r="X790" s="33" t="s">
        <v>3608</v>
      </c>
      <c r="Y790" s="32">
        <v>1000</v>
      </c>
      <c r="AA790" s="32">
        <v>29.37</v>
      </c>
      <c r="AB790" s="32">
        <v>-99.47</v>
      </c>
      <c r="AC790" s="32">
        <v>55509</v>
      </c>
    </row>
    <row r="791" spans="3:29" ht="19">
      <c r="C791" s="22" t="s">
        <v>222</v>
      </c>
      <c r="D791" s="22" t="s">
        <v>151</v>
      </c>
      <c r="E791" s="5">
        <v>41229</v>
      </c>
      <c r="F791" s="5">
        <v>645</v>
      </c>
      <c r="G791" s="28" t="s">
        <v>1723</v>
      </c>
      <c r="H791" s="6" t="s">
        <v>1137</v>
      </c>
      <c r="J791" s="5" t="s">
        <v>225</v>
      </c>
      <c r="K791" s="27">
        <v>7.1</v>
      </c>
      <c r="L791" s="27">
        <v>-18.899999999999999</v>
      </c>
      <c r="R791" s="27">
        <v>15.9</v>
      </c>
      <c r="S791" s="27">
        <v>2.8</v>
      </c>
      <c r="V791" s="32" t="s">
        <v>3353</v>
      </c>
      <c r="W791" s="32">
        <v>4</v>
      </c>
      <c r="X791" s="33" t="s">
        <v>3467</v>
      </c>
      <c r="Y791" s="32">
        <v>4422</v>
      </c>
      <c r="AA791" s="32">
        <v>30.13</v>
      </c>
      <c r="AB791" s="32">
        <v>-99.54</v>
      </c>
      <c r="AC791" s="32">
        <v>55509</v>
      </c>
    </row>
    <row r="792" spans="3:29" ht="38">
      <c r="C792" s="22" t="s">
        <v>222</v>
      </c>
      <c r="D792" s="22" t="s">
        <v>151</v>
      </c>
      <c r="E792" s="5">
        <v>908</v>
      </c>
      <c r="F792" s="5">
        <v>1879</v>
      </c>
      <c r="G792" s="28" t="s">
        <v>1723</v>
      </c>
      <c r="H792" s="6" t="s">
        <v>250</v>
      </c>
      <c r="J792" s="5" t="s">
        <v>225</v>
      </c>
      <c r="K792" s="27">
        <v>7.7</v>
      </c>
      <c r="L792" s="27">
        <v>-18.5</v>
      </c>
      <c r="R792" s="27">
        <v>15.8</v>
      </c>
      <c r="S792" s="27">
        <v>2.8</v>
      </c>
      <c r="V792" s="32" t="s">
        <v>3353</v>
      </c>
      <c r="W792" s="32">
        <v>4</v>
      </c>
      <c r="X792" s="33" t="s">
        <v>3363</v>
      </c>
      <c r="Y792" s="32">
        <v>1000</v>
      </c>
      <c r="AA792" s="32">
        <v>29.37</v>
      </c>
      <c r="AB792" s="32">
        <v>-99.47</v>
      </c>
      <c r="AC792" s="32">
        <v>55509</v>
      </c>
    </row>
    <row r="793" spans="3:29" ht="38">
      <c r="C793" s="22" t="s">
        <v>222</v>
      </c>
      <c r="D793" s="22" t="s">
        <v>151</v>
      </c>
      <c r="E793" s="5">
        <v>908</v>
      </c>
      <c r="F793" s="5">
        <v>3255</v>
      </c>
      <c r="G793" s="28" t="s">
        <v>1723</v>
      </c>
      <c r="H793" s="6" t="s">
        <v>250</v>
      </c>
      <c r="J793" s="5" t="s">
        <v>225</v>
      </c>
      <c r="K793" s="27">
        <v>5.4</v>
      </c>
      <c r="L793" s="27">
        <v>-19.8</v>
      </c>
      <c r="R793" s="27">
        <v>16.100000000000001</v>
      </c>
      <c r="S793" s="27">
        <v>2.8</v>
      </c>
      <c r="V793" s="32" t="s">
        <v>3353</v>
      </c>
      <c r="W793" s="32">
        <v>4</v>
      </c>
      <c r="X793" s="33" t="s">
        <v>3609</v>
      </c>
      <c r="Y793" s="32">
        <v>1000</v>
      </c>
      <c r="AA793" s="32">
        <v>29.37</v>
      </c>
      <c r="AB793" s="32">
        <v>-99.47</v>
      </c>
      <c r="AC793" s="32">
        <v>55509</v>
      </c>
    </row>
    <row r="794" spans="3:29" ht="38">
      <c r="C794" s="22" t="s">
        <v>222</v>
      </c>
      <c r="D794" s="22" t="s">
        <v>151</v>
      </c>
      <c r="E794" s="5">
        <v>908</v>
      </c>
      <c r="F794" s="5">
        <v>3832</v>
      </c>
      <c r="G794" s="28" t="s">
        <v>1723</v>
      </c>
      <c r="H794" s="6" t="s">
        <v>250</v>
      </c>
      <c r="J794" s="5" t="s">
        <v>225</v>
      </c>
      <c r="K794" s="27">
        <v>6.9</v>
      </c>
      <c r="L794" s="27">
        <v>-17.7</v>
      </c>
      <c r="R794" s="27">
        <v>15.6</v>
      </c>
      <c r="S794" s="27">
        <v>2.8</v>
      </c>
      <c r="V794" s="32" t="s">
        <v>3353</v>
      </c>
      <c r="W794" s="32">
        <v>5</v>
      </c>
      <c r="X794" s="33" t="s">
        <v>3610</v>
      </c>
      <c r="Y794" s="32">
        <v>1000</v>
      </c>
      <c r="AA794" s="32">
        <v>29.37</v>
      </c>
      <c r="AB794" s="32">
        <v>-99.47</v>
      </c>
      <c r="AC794" s="32">
        <v>55509</v>
      </c>
    </row>
    <row r="795" spans="3:29" ht="38">
      <c r="C795" s="22" t="s">
        <v>222</v>
      </c>
      <c r="D795" s="22" t="s">
        <v>151</v>
      </c>
      <c r="E795" s="5">
        <v>908</v>
      </c>
      <c r="F795" s="5">
        <v>3839</v>
      </c>
      <c r="G795" s="28" t="s">
        <v>1723</v>
      </c>
      <c r="H795" s="6" t="s">
        <v>250</v>
      </c>
      <c r="J795" s="5" t="s">
        <v>225</v>
      </c>
      <c r="K795" s="27">
        <v>6.1</v>
      </c>
      <c r="L795" s="27">
        <v>-17.100000000000001</v>
      </c>
      <c r="R795" s="27">
        <v>15.5</v>
      </c>
      <c r="S795" s="27">
        <v>2.8</v>
      </c>
      <c r="V795" s="32" t="s">
        <v>3353</v>
      </c>
      <c r="W795" s="32">
        <v>5</v>
      </c>
      <c r="X795" s="33" t="s">
        <v>3356</v>
      </c>
      <c r="Y795" s="32">
        <v>1000</v>
      </c>
      <c r="AA795" s="32">
        <v>29.37</v>
      </c>
      <c r="AB795" s="32">
        <v>-99.47</v>
      </c>
      <c r="AC795" s="32">
        <v>55509</v>
      </c>
    </row>
    <row r="796" spans="3:29" ht="38">
      <c r="C796" s="22" t="s">
        <v>222</v>
      </c>
      <c r="D796" s="22" t="s">
        <v>151</v>
      </c>
      <c r="E796" s="5">
        <v>908</v>
      </c>
      <c r="F796" s="5">
        <v>709</v>
      </c>
      <c r="G796" s="28" t="s">
        <v>1723</v>
      </c>
      <c r="H796" s="6" t="s">
        <v>250</v>
      </c>
      <c r="J796" s="5" t="s">
        <v>225</v>
      </c>
      <c r="K796" s="27">
        <v>6.6</v>
      </c>
      <c r="L796" s="27">
        <v>-17.600000000000001</v>
      </c>
      <c r="R796" s="27">
        <v>15.5</v>
      </c>
      <c r="S796" s="27">
        <v>2.8</v>
      </c>
      <c r="V796" s="32" t="s">
        <v>3353</v>
      </c>
      <c r="W796" s="32">
        <v>5</v>
      </c>
      <c r="X796" s="33" t="s">
        <v>3611</v>
      </c>
      <c r="Y796" s="32">
        <v>1000</v>
      </c>
      <c r="AA796" s="32">
        <v>29.37</v>
      </c>
      <c r="AB796" s="32">
        <v>-99.47</v>
      </c>
      <c r="AC796" s="32">
        <v>55509</v>
      </c>
    </row>
    <row r="797" spans="3:29">
      <c r="C797" s="22" t="s">
        <v>222</v>
      </c>
      <c r="D797" s="22" t="s">
        <v>151</v>
      </c>
      <c r="E797" s="5">
        <v>908</v>
      </c>
      <c r="F797" s="5">
        <v>3987</v>
      </c>
      <c r="G797" s="28" t="s">
        <v>1723</v>
      </c>
      <c r="H797" s="6" t="s">
        <v>250</v>
      </c>
      <c r="J797" s="5" t="s">
        <v>225</v>
      </c>
      <c r="K797" s="27">
        <v>6.4</v>
      </c>
      <c r="L797" s="27">
        <v>-19.399999999999999</v>
      </c>
      <c r="R797" s="27">
        <v>15.4</v>
      </c>
      <c r="S797" s="27">
        <v>2.8</v>
      </c>
      <c r="V797" s="32" t="s">
        <v>3353</v>
      </c>
      <c r="W797" s="32">
        <v>4</v>
      </c>
      <c r="Z797" s="31" t="s">
        <v>3579</v>
      </c>
      <c r="AA797" s="32">
        <v>29.37</v>
      </c>
      <c r="AB797" s="32">
        <v>-99.47</v>
      </c>
      <c r="AC797" s="32">
        <v>55509</v>
      </c>
    </row>
    <row r="798" spans="3:29">
      <c r="C798" s="22" t="s">
        <v>222</v>
      </c>
      <c r="D798" s="22" t="s">
        <v>151</v>
      </c>
      <c r="E798" s="5">
        <v>40449</v>
      </c>
      <c r="F798" s="5">
        <v>127</v>
      </c>
      <c r="G798" s="28" t="s">
        <v>1723</v>
      </c>
      <c r="H798" s="6" t="s">
        <v>1814</v>
      </c>
      <c r="J798" s="5" t="s">
        <v>225</v>
      </c>
      <c r="O798" s="27">
        <v>-14.025066666666666</v>
      </c>
      <c r="Q798" s="27">
        <v>-4.7066712992223074</v>
      </c>
      <c r="V798" s="32">
        <v>43405</v>
      </c>
      <c r="W798" s="32">
        <v>4</v>
      </c>
      <c r="Z798" s="31" t="s">
        <v>3555</v>
      </c>
      <c r="AA798" s="32">
        <v>30.36</v>
      </c>
      <c r="AB798" s="32">
        <v>-98.1</v>
      </c>
      <c r="AC798" s="32">
        <v>55509</v>
      </c>
    </row>
    <row r="799" spans="3:29">
      <c r="C799" s="22" t="s">
        <v>222</v>
      </c>
      <c r="D799" s="22" t="s">
        <v>151</v>
      </c>
      <c r="E799" s="5">
        <v>40449</v>
      </c>
      <c r="F799" s="5">
        <v>133</v>
      </c>
      <c r="G799" s="28" t="s">
        <v>1723</v>
      </c>
      <c r="H799" s="6" t="s">
        <v>1814</v>
      </c>
      <c r="J799" s="5" t="s">
        <v>225</v>
      </c>
      <c r="L799" s="27">
        <v>-18.2</v>
      </c>
      <c r="O799" s="27">
        <v>-11.4274</v>
      </c>
      <c r="Q799" s="27">
        <v>-2.1426995129628494</v>
      </c>
      <c r="V799" s="32">
        <v>43405</v>
      </c>
      <c r="W799" s="32">
        <v>4</v>
      </c>
      <c r="Z799" s="31" t="s">
        <v>3555</v>
      </c>
      <c r="AA799" s="32">
        <v>30.36</v>
      </c>
      <c r="AB799" s="32">
        <v>-98.1</v>
      </c>
      <c r="AC799" s="32">
        <v>55509</v>
      </c>
    </row>
    <row r="800" spans="3:29">
      <c r="C800" s="22" t="s">
        <v>222</v>
      </c>
      <c r="D800" s="22" t="s">
        <v>151</v>
      </c>
      <c r="E800" s="5">
        <v>40451</v>
      </c>
      <c r="F800" s="5">
        <v>139</v>
      </c>
      <c r="G800" s="28" t="s">
        <v>1723</v>
      </c>
      <c r="H800" s="6" t="s">
        <v>1815</v>
      </c>
      <c r="J800" s="5" t="s">
        <v>225</v>
      </c>
      <c r="L800" s="27">
        <v>-16.23</v>
      </c>
      <c r="O800" s="27">
        <v>-9.4288420800000008</v>
      </c>
      <c r="P800" s="5">
        <v>28.894125119999998</v>
      </c>
      <c r="Q800" s="27">
        <v>-1.9070241160000001</v>
      </c>
      <c r="V800" s="32">
        <v>43647</v>
      </c>
      <c r="AA800" s="32"/>
      <c r="AB800" s="32"/>
      <c r="AC800" s="32">
        <v>55509</v>
      </c>
    </row>
    <row r="801" spans="1:31">
      <c r="C801" s="22" t="s">
        <v>222</v>
      </c>
      <c r="D801" s="22" t="s">
        <v>151</v>
      </c>
      <c r="E801" s="5">
        <v>40449</v>
      </c>
      <c r="F801" s="5">
        <v>87</v>
      </c>
      <c r="G801" s="28" t="s">
        <v>1723</v>
      </c>
      <c r="H801" s="6" t="s">
        <v>1814</v>
      </c>
      <c r="J801" s="5" t="s">
        <v>225</v>
      </c>
      <c r="L801" s="27">
        <v>-18.042634150000001</v>
      </c>
      <c r="O801" s="27">
        <v>-11.242634149999999</v>
      </c>
      <c r="P801" s="5">
        <v>30.576345500000002</v>
      </c>
      <c r="Q801" s="27">
        <v>-0.27516297099999998</v>
      </c>
      <c r="V801" s="32">
        <v>43647</v>
      </c>
      <c r="Z801" s="31" t="s">
        <v>3555</v>
      </c>
      <c r="AA801" s="32">
        <v>30.36</v>
      </c>
      <c r="AB801" s="32">
        <v>-98.1</v>
      </c>
      <c r="AC801" s="32">
        <v>55509</v>
      </c>
    </row>
    <row r="802" spans="1:31">
      <c r="C802" s="22" t="s">
        <v>222</v>
      </c>
      <c r="D802" s="22" t="s">
        <v>151</v>
      </c>
      <c r="E802" s="5">
        <v>908</v>
      </c>
      <c r="F802" s="5">
        <v>1756</v>
      </c>
      <c r="G802" s="28" t="s">
        <v>1723</v>
      </c>
      <c r="H802" s="6" t="s">
        <v>250</v>
      </c>
      <c r="J802" s="5" t="s">
        <v>225</v>
      </c>
      <c r="O802" s="27">
        <v>-9.91357848</v>
      </c>
      <c r="P802" s="5">
        <v>29.795865360000001</v>
      </c>
      <c r="Q802" s="27">
        <v>-1.0322785249999999</v>
      </c>
      <c r="V802" s="32">
        <v>43647</v>
      </c>
      <c r="Z802" s="31" t="s">
        <v>3579</v>
      </c>
      <c r="AA802" s="32">
        <v>29.37</v>
      </c>
      <c r="AB802" s="32">
        <v>-99.47</v>
      </c>
      <c r="AC802" s="32">
        <v>55509</v>
      </c>
    </row>
    <row r="803" spans="1:31" ht="19">
      <c r="C803" s="22" t="s">
        <v>222</v>
      </c>
      <c r="D803" s="22" t="s">
        <v>151</v>
      </c>
      <c r="E803" s="5">
        <v>908</v>
      </c>
      <c r="F803" s="5">
        <v>84</v>
      </c>
      <c r="G803" s="28" t="s">
        <v>1723</v>
      </c>
      <c r="H803" s="6" t="s">
        <v>250</v>
      </c>
      <c r="J803" s="5" t="s">
        <v>225</v>
      </c>
      <c r="L803" s="27">
        <v>-20.229311859999999</v>
      </c>
      <c r="O803" s="27">
        <v>-13.429311859999999</v>
      </c>
      <c r="P803" s="5">
        <v>30.624414639999998</v>
      </c>
      <c r="Q803" s="27">
        <v>-0.22853283699999999</v>
      </c>
      <c r="V803" s="32">
        <v>43647</v>
      </c>
      <c r="X803" s="33" t="s">
        <v>3577</v>
      </c>
      <c r="Z803" s="31" t="s">
        <v>3579</v>
      </c>
      <c r="AA803" s="32">
        <v>29.37</v>
      </c>
      <c r="AB803" s="32">
        <v>-99.47</v>
      </c>
      <c r="AC803" s="32">
        <v>55509</v>
      </c>
    </row>
    <row r="804" spans="1:31" s="10" customFormat="1">
      <c r="A804" s="5"/>
      <c r="B804" s="5"/>
      <c r="C804" s="22" t="s">
        <v>222</v>
      </c>
      <c r="D804" s="22" t="s">
        <v>151</v>
      </c>
      <c r="E804" s="5">
        <v>30967</v>
      </c>
      <c r="F804" s="5">
        <v>1869</v>
      </c>
      <c r="G804" s="28" t="s">
        <v>1723</v>
      </c>
      <c r="H804" s="6" t="s">
        <v>110</v>
      </c>
      <c r="I804" s="6"/>
      <c r="J804" s="5" t="s">
        <v>104</v>
      </c>
      <c r="K804" s="27"/>
      <c r="L804" s="27">
        <v>-18.93</v>
      </c>
      <c r="M804" s="56"/>
      <c r="N804" s="56"/>
      <c r="O804" s="27">
        <v>-12.13</v>
      </c>
      <c r="P804" s="5">
        <v>31.91</v>
      </c>
      <c r="Q804" s="27">
        <v>1.018567022</v>
      </c>
      <c r="R804" s="27"/>
      <c r="S804" s="27"/>
      <c r="T804" s="5"/>
      <c r="U804" s="24"/>
      <c r="V804" s="32">
        <v>43647</v>
      </c>
      <c r="W804" s="32"/>
      <c r="X804" s="33"/>
      <c r="Y804" s="32"/>
      <c r="Z804" s="31"/>
      <c r="AA804" s="32">
        <v>27.87</v>
      </c>
      <c r="AB804" s="32">
        <v>-97.2</v>
      </c>
      <c r="AC804" s="32">
        <v>55509</v>
      </c>
      <c r="AD804" s="24"/>
      <c r="AE804" s="24"/>
    </row>
    <row r="805" spans="1:31" s="10" customFormat="1">
      <c r="A805" s="5"/>
      <c r="B805" s="5"/>
      <c r="C805" s="22" t="s">
        <v>222</v>
      </c>
      <c r="D805" s="22" t="s">
        <v>151</v>
      </c>
      <c r="E805" s="5">
        <v>30967</v>
      </c>
      <c r="F805" s="5">
        <v>1869</v>
      </c>
      <c r="G805" s="28" t="s">
        <v>1723</v>
      </c>
      <c r="H805" s="6" t="s">
        <v>110</v>
      </c>
      <c r="I805" s="6"/>
      <c r="J805" s="5" t="s">
        <v>104</v>
      </c>
      <c r="K805" s="27"/>
      <c r="L805" s="27">
        <v>-19.159295920000002</v>
      </c>
      <c r="M805" s="56"/>
      <c r="N805" s="56"/>
      <c r="O805" s="27">
        <v>-12.359295919999999</v>
      </c>
      <c r="P805" s="5">
        <v>31.135614480000001</v>
      </c>
      <c r="Q805" s="27">
        <v>0.26736363800000001</v>
      </c>
      <c r="R805" s="27"/>
      <c r="S805" s="27"/>
      <c r="T805" s="5"/>
      <c r="U805" s="24"/>
      <c r="V805" s="32">
        <v>43647</v>
      </c>
      <c r="W805" s="32"/>
      <c r="X805" s="33"/>
      <c r="Y805" s="32"/>
      <c r="Z805" s="31"/>
      <c r="AA805" s="32">
        <v>27.87</v>
      </c>
      <c r="AB805" s="32">
        <v>-97.2</v>
      </c>
      <c r="AC805" s="32">
        <v>55509</v>
      </c>
      <c r="AD805" s="24"/>
      <c r="AE805" s="24"/>
    </row>
    <row r="806" spans="1:31" ht="19">
      <c r="C806" s="22" t="s">
        <v>222</v>
      </c>
      <c r="D806" s="22" t="s">
        <v>151</v>
      </c>
      <c r="E806" s="5">
        <v>30967</v>
      </c>
      <c r="F806" s="5">
        <v>305</v>
      </c>
      <c r="G806" s="28" t="s">
        <v>1723</v>
      </c>
      <c r="H806" s="6" t="s">
        <v>110</v>
      </c>
      <c r="J806" s="5" t="s">
        <v>104</v>
      </c>
      <c r="L806" s="27">
        <v>-18.32</v>
      </c>
      <c r="O806" s="27">
        <v>-11.5162008</v>
      </c>
      <c r="P806" s="5">
        <v>29.539525919999999</v>
      </c>
      <c r="Q806" s="27">
        <v>-1.280944144</v>
      </c>
      <c r="V806" s="32">
        <v>43647</v>
      </c>
      <c r="X806" s="33" t="s">
        <v>3440</v>
      </c>
      <c r="AA806" s="32">
        <v>27.87</v>
      </c>
      <c r="AB806" s="32">
        <v>-97.2</v>
      </c>
      <c r="AC806" s="32">
        <v>55509</v>
      </c>
      <c r="AD806" s="30"/>
      <c r="AE806" s="30"/>
    </row>
    <row r="807" spans="1:31" ht="19">
      <c r="C807" s="22" t="s">
        <v>222</v>
      </c>
      <c r="D807" s="22" t="s">
        <v>151</v>
      </c>
      <c r="E807" s="5">
        <v>933</v>
      </c>
      <c r="F807" s="5">
        <v>3675</v>
      </c>
      <c r="G807" s="28" t="s">
        <v>1723</v>
      </c>
      <c r="H807" s="6" t="s">
        <v>249</v>
      </c>
      <c r="J807" s="5" t="s">
        <v>104</v>
      </c>
      <c r="L807" s="27">
        <v>-18.53</v>
      </c>
      <c r="O807" s="27">
        <v>-11.73044232</v>
      </c>
      <c r="P807" s="5">
        <v>28.070480400000001</v>
      </c>
      <c r="Q807" s="27">
        <v>-2.7060120680000002</v>
      </c>
      <c r="V807" s="32">
        <v>43647</v>
      </c>
      <c r="X807" s="33" t="s">
        <v>3403</v>
      </c>
      <c r="AA807" s="32">
        <v>29.62</v>
      </c>
      <c r="AB807" s="32">
        <v>-98.37</v>
      </c>
      <c r="AC807" s="32">
        <v>55509</v>
      </c>
      <c r="AD807" s="30"/>
      <c r="AE807" s="30"/>
    </row>
    <row r="808" spans="1:31" ht="19">
      <c r="C808" s="22" t="s">
        <v>222</v>
      </c>
      <c r="D808" s="22" t="s">
        <v>151</v>
      </c>
      <c r="E808" s="5">
        <v>30967</v>
      </c>
      <c r="F808" s="5">
        <v>107</v>
      </c>
      <c r="G808" s="28" t="s">
        <v>1723</v>
      </c>
      <c r="H808" s="6" t="s">
        <v>110</v>
      </c>
      <c r="J808" s="5" t="s">
        <v>104</v>
      </c>
      <c r="L808" s="27">
        <v>-18.920000000000002</v>
      </c>
      <c r="O808" s="27">
        <v>-12.12242052</v>
      </c>
      <c r="P808" s="5">
        <v>29.282377199999999</v>
      </c>
      <c r="Q808" s="27">
        <v>-1.530394816</v>
      </c>
      <c r="V808" s="32">
        <v>43647</v>
      </c>
      <c r="X808" s="33" t="s">
        <v>3612</v>
      </c>
      <c r="AA808" s="32">
        <v>27.87</v>
      </c>
      <c r="AB808" s="32">
        <v>-97.2</v>
      </c>
      <c r="AC808" s="32">
        <v>55509</v>
      </c>
    </row>
    <row r="809" spans="1:31">
      <c r="C809" s="22" t="s">
        <v>222</v>
      </c>
      <c r="D809" s="22" t="s">
        <v>151</v>
      </c>
      <c r="E809" s="5">
        <v>43133</v>
      </c>
      <c r="F809" s="5">
        <v>1123</v>
      </c>
      <c r="G809" s="28" t="s">
        <v>1723</v>
      </c>
      <c r="H809" s="6" t="s">
        <v>1821</v>
      </c>
      <c r="J809" s="5" t="s">
        <v>1728</v>
      </c>
      <c r="K809" s="27">
        <v>6.1407284000000004</v>
      </c>
      <c r="L809" s="27">
        <v>-18.158480340000001</v>
      </c>
      <c r="R809" s="27">
        <v>10.684946023452682</v>
      </c>
      <c r="S809" s="27">
        <v>3.079309417938902</v>
      </c>
      <c r="V809" s="32">
        <v>43709</v>
      </c>
      <c r="W809" s="32">
        <v>6</v>
      </c>
      <c r="Y809" s="32" t="s">
        <v>3613</v>
      </c>
      <c r="AA809" s="32">
        <v>29.76</v>
      </c>
      <c r="AB809" s="32">
        <v>-98.77</v>
      </c>
      <c r="AC809" s="32">
        <v>55509</v>
      </c>
    </row>
    <row r="810" spans="1:31" ht="19">
      <c r="C810" s="22" t="s">
        <v>222</v>
      </c>
      <c r="D810" s="22" t="s">
        <v>151</v>
      </c>
      <c r="E810" s="5">
        <v>43133</v>
      </c>
      <c r="F810" s="5">
        <v>1115</v>
      </c>
      <c r="G810" s="28" t="s">
        <v>1723</v>
      </c>
      <c r="H810" s="6" t="s">
        <v>1821</v>
      </c>
      <c r="J810" s="5" t="s">
        <v>1728</v>
      </c>
      <c r="K810" s="27">
        <v>7.0339711999999999</v>
      </c>
      <c r="L810" s="27">
        <v>-18.657922799999998</v>
      </c>
      <c r="R810" s="27">
        <v>12.739624397975964</v>
      </c>
      <c r="S810" s="27">
        <v>3.0229074583768853</v>
      </c>
      <c r="V810" s="32">
        <v>43709</v>
      </c>
      <c r="W810" s="32">
        <v>6</v>
      </c>
      <c r="X810" s="33" t="s">
        <v>3614</v>
      </c>
      <c r="AA810" s="32">
        <v>29.76</v>
      </c>
      <c r="AB810" s="32">
        <v>-98.77</v>
      </c>
      <c r="AC810" s="32">
        <v>55509</v>
      </c>
    </row>
    <row r="811" spans="1:31" ht="19">
      <c r="C811" s="22" t="s">
        <v>222</v>
      </c>
      <c r="D811" s="22" t="s">
        <v>151</v>
      </c>
      <c r="E811" s="5">
        <v>41229</v>
      </c>
      <c r="F811" s="5">
        <v>8097</v>
      </c>
      <c r="G811" s="28" t="s">
        <v>1723</v>
      </c>
      <c r="H811" s="6" t="s">
        <v>1742</v>
      </c>
      <c r="J811" s="5" t="s">
        <v>1728</v>
      </c>
      <c r="K811" s="27">
        <v>6.6728299999999994</v>
      </c>
      <c r="L811" s="27">
        <v>-19.617761460000001</v>
      </c>
      <c r="R811" s="27">
        <v>14.789767996760096</v>
      </c>
      <c r="S811" s="27">
        <v>2.8690919442616436</v>
      </c>
      <c r="V811" s="32">
        <v>43709</v>
      </c>
      <c r="W811" s="32">
        <v>6</v>
      </c>
      <c r="X811" s="33" t="s">
        <v>3531</v>
      </c>
      <c r="Y811" s="32">
        <v>3763</v>
      </c>
      <c r="AA811" s="32">
        <v>29.76</v>
      </c>
      <c r="AB811" s="32">
        <v>-98.77</v>
      </c>
      <c r="AC811" s="32">
        <v>55509</v>
      </c>
    </row>
    <row r="812" spans="1:31">
      <c r="C812" s="22" t="s">
        <v>222</v>
      </c>
      <c r="D812" s="22" t="s">
        <v>151</v>
      </c>
      <c r="E812" s="5">
        <v>43133</v>
      </c>
      <c r="F812" s="5">
        <v>1113</v>
      </c>
      <c r="G812" s="28" t="s">
        <v>1723</v>
      </c>
      <c r="H812" s="6" t="s">
        <v>1821</v>
      </c>
      <c r="J812" s="5" t="s">
        <v>1728</v>
      </c>
      <c r="K812" s="27">
        <v>8.3318539999999999</v>
      </c>
      <c r="L812" s="27">
        <v>-19.499262859999998</v>
      </c>
      <c r="R812" s="27">
        <v>13.32639614796877</v>
      </c>
      <c r="S812" s="27">
        <v>2.8681051704099074</v>
      </c>
      <c r="V812" s="32">
        <v>43709</v>
      </c>
      <c r="W812" s="32">
        <v>6</v>
      </c>
      <c r="AA812" s="32">
        <v>29.76</v>
      </c>
      <c r="AB812" s="32">
        <v>-98.77</v>
      </c>
      <c r="AC812" s="32">
        <v>55509</v>
      </c>
    </row>
    <row r="813" spans="1:31" ht="19">
      <c r="C813" s="22" t="s">
        <v>222</v>
      </c>
      <c r="D813" s="22" t="s">
        <v>151</v>
      </c>
      <c r="E813" s="5">
        <v>41229</v>
      </c>
      <c r="F813" s="5">
        <v>672</v>
      </c>
      <c r="G813" s="28" t="s">
        <v>1723</v>
      </c>
      <c r="H813" s="6" t="s">
        <v>1742</v>
      </c>
      <c r="J813" s="5" t="s">
        <v>225</v>
      </c>
      <c r="K813" s="27">
        <v>5.7360883999999999</v>
      </c>
      <c r="L813" s="27">
        <v>-19.912016794999996</v>
      </c>
      <c r="R813" s="27">
        <v>15.041725437117897</v>
      </c>
      <c r="S813" s="27">
        <v>2.8400832806768821</v>
      </c>
      <c r="V813" s="32">
        <v>43709</v>
      </c>
      <c r="W813" s="32">
        <v>6</v>
      </c>
      <c r="X813" s="33" t="s">
        <v>3534</v>
      </c>
      <c r="Y813" s="32">
        <v>2775</v>
      </c>
      <c r="AA813" s="32">
        <v>29.76</v>
      </c>
      <c r="AB813" s="32">
        <v>-98.77</v>
      </c>
      <c r="AC813" s="32">
        <v>55509</v>
      </c>
    </row>
    <row r="814" spans="1:31" ht="19">
      <c r="C814" s="22" t="s">
        <v>222</v>
      </c>
      <c r="D814" s="22" t="s">
        <v>151</v>
      </c>
      <c r="E814" s="5">
        <v>41229</v>
      </c>
      <c r="F814" s="5">
        <v>975</v>
      </c>
      <c r="G814" s="28" t="s">
        <v>1723</v>
      </c>
      <c r="H814" s="6" t="s">
        <v>1742</v>
      </c>
      <c r="J814" s="5" t="s">
        <v>1728</v>
      </c>
      <c r="K814" s="27">
        <v>5.0340380000000007</v>
      </c>
      <c r="L814" s="27">
        <v>-18.800752464999999</v>
      </c>
      <c r="R814" s="27">
        <v>14.796536275564181</v>
      </c>
      <c r="S814" s="27">
        <v>2.7968031994232883</v>
      </c>
      <c r="V814" s="32">
        <v>43709</v>
      </c>
      <c r="W814" s="32">
        <v>6</v>
      </c>
      <c r="X814" s="33" t="s">
        <v>3540</v>
      </c>
      <c r="Y814" s="32">
        <v>6398</v>
      </c>
      <c r="AA814" s="32">
        <v>29.76</v>
      </c>
      <c r="AB814" s="32">
        <v>-98.77</v>
      </c>
      <c r="AC814" s="32">
        <v>55509</v>
      </c>
    </row>
    <row r="815" spans="1:31" ht="19">
      <c r="C815" s="22" t="s">
        <v>222</v>
      </c>
      <c r="D815" s="22" t="s">
        <v>151</v>
      </c>
      <c r="E815" s="5">
        <v>41229</v>
      </c>
      <c r="F815" s="5">
        <v>9869</v>
      </c>
      <c r="G815" s="28" t="s">
        <v>1723</v>
      </c>
      <c r="H815" s="6" t="s">
        <v>1742</v>
      </c>
      <c r="J815" s="5" t="s">
        <v>1728</v>
      </c>
      <c r="K815" s="27">
        <v>5.8595036</v>
      </c>
      <c r="L815" s="27">
        <v>-20.360514569999999</v>
      </c>
      <c r="R815" s="27">
        <v>12.234576236147342</v>
      </c>
      <c r="S815" s="27">
        <v>2.7951295905506148</v>
      </c>
      <c r="V815" s="32">
        <v>43709</v>
      </c>
      <c r="W815" s="32">
        <v>6</v>
      </c>
      <c r="X815" s="33" t="s">
        <v>3366</v>
      </c>
      <c r="Y815" s="32">
        <v>7716</v>
      </c>
      <c r="AA815" s="32">
        <v>29.76</v>
      </c>
      <c r="AB815" s="32">
        <v>-98.77</v>
      </c>
      <c r="AC815" s="32">
        <v>55509</v>
      </c>
    </row>
    <row r="816" spans="1:31" ht="19">
      <c r="C816" s="22" t="s">
        <v>222</v>
      </c>
      <c r="D816" s="22" t="s">
        <v>151</v>
      </c>
      <c r="E816" s="5">
        <v>908</v>
      </c>
      <c r="F816" s="5">
        <v>826</v>
      </c>
      <c r="G816" s="28" t="s">
        <v>1723</v>
      </c>
      <c r="H816" s="6" t="s">
        <v>250</v>
      </c>
      <c r="J816" s="5" t="s">
        <v>1728</v>
      </c>
      <c r="K816" s="27">
        <v>5.4073184000000012</v>
      </c>
      <c r="L816" s="27">
        <v>-18.142793845</v>
      </c>
      <c r="R816" s="27">
        <v>15.973582197666779</v>
      </c>
      <c r="S816" s="27">
        <v>2.782604085932189</v>
      </c>
      <c r="V816" s="32">
        <v>43709</v>
      </c>
      <c r="W816" s="32">
        <v>6</v>
      </c>
      <c r="X816" s="33" t="s">
        <v>3615</v>
      </c>
      <c r="Y816" s="32" t="s">
        <v>3616</v>
      </c>
      <c r="AA816" s="32">
        <v>29.37</v>
      </c>
      <c r="AB816" s="32">
        <v>-99.47</v>
      </c>
      <c r="AC816" s="32">
        <v>55509</v>
      </c>
    </row>
    <row r="817" spans="3:29">
      <c r="C817" s="22" t="s">
        <v>222</v>
      </c>
      <c r="D817" s="22" t="s">
        <v>151</v>
      </c>
      <c r="E817" s="5">
        <v>30967</v>
      </c>
      <c r="F817" s="5">
        <v>393</v>
      </c>
      <c r="G817" s="28" t="s">
        <v>1723</v>
      </c>
      <c r="H817" s="6" t="s">
        <v>110</v>
      </c>
      <c r="J817" s="5" t="s">
        <v>104</v>
      </c>
      <c r="L817" s="27">
        <v>-17.600000000000001</v>
      </c>
      <c r="O817" s="27">
        <v>-10.8</v>
      </c>
      <c r="P817" s="5">
        <v>28.2</v>
      </c>
      <c r="Q817" s="27">
        <v>-2.58</v>
      </c>
      <c r="S817" s="27">
        <v>0</v>
      </c>
      <c r="V817" s="32" t="s">
        <v>3415</v>
      </c>
      <c r="Y817" s="32">
        <v>50000</v>
      </c>
      <c r="AA817" s="32">
        <v>27.87</v>
      </c>
      <c r="AB817" s="32">
        <v>-97.2</v>
      </c>
      <c r="AC817" s="32">
        <v>55509</v>
      </c>
    </row>
    <row r="818" spans="3:29">
      <c r="C818" s="22" t="s">
        <v>222</v>
      </c>
      <c r="D818" s="22" t="s">
        <v>151</v>
      </c>
      <c r="E818" s="5">
        <v>30967</v>
      </c>
      <c r="F818" s="5">
        <v>516</v>
      </c>
      <c r="G818" s="28" t="s">
        <v>1723</v>
      </c>
      <c r="H818" s="6" t="s">
        <v>110</v>
      </c>
      <c r="J818" s="5" t="s">
        <v>104</v>
      </c>
      <c r="L818" s="27">
        <v>-19.899999999999999</v>
      </c>
      <c r="O818" s="27">
        <v>-13.1</v>
      </c>
      <c r="P818" s="5">
        <v>28.6</v>
      </c>
      <c r="Q818" s="27">
        <v>-2.1920000000000002</v>
      </c>
      <c r="S818" s="27">
        <v>0</v>
      </c>
      <c r="V818" s="32" t="s">
        <v>3415</v>
      </c>
      <c r="Y818" s="32">
        <v>50000</v>
      </c>
      <c r="AA818" s="32">
        <v>27.87</v>
      </c>
      <c r="AB818" s="32">
        <v>-97.2</v>
      </c>
      <c r="AC818" s="32">
        <v>55509</v>
      </c>
    </row>
    <row r="819" spans="3:29">
      <c r="C819" s="22" t="s">
        <v>222</v>
      </c>
      <c r="D819" s="22" t="s">
        <v>151</v>
      </c>
      <c r="E819" s="5">
        <v>30967</v>
      </c>
      <c r="F819" s="5">
        <v>628</v>
      </c>
      <c r="G819" s="28" t="s">
        <v>1723</v>
      </c>
      <c r="H819" s="6" t="s">
        <v>110</v>
      </c>
      <c r="J819" s="5" t="s">
        <v>104</v>
      </c>
      <c r="L819" s="27">
        <v>-20</v>
      </c>
      <c r="O819" s="27">
        <v>-13.2</v>
      </c>
      <c r="P819" s="5">
        <v>26.1</v>
      </c>
      <c r="Q819" s="27">
        <v>-4.6180000000000003</v>
      </c>
      <c r="S819" s="27">
        <v>0</v>
      </c>
      <c r="V819" s="32" t="s">
        <v>3415</v>
      </c>
      <c r="Y819" s="32">
        <v>50000</v>
      </c>
      <c r="AA819" s="32">
        <v>27.87</v>
      </c>
      <c r="AB819" s="32">
        <v>-97.2</v>
      </c>
      <c r="AC819" s="32">
        <v>55509</v>
      </c>
    </row>
    <row r="820" spans="3:29" ht="19">
      <c r="C820" s="22" t="s">
        <v>222</v>
      </c>
      <c r="D820" s="22" t="s">
        <v>151</v>
      </c>
      <c r="E820" s="5">
        <v>908</v>
      </c>
      <c r="F820" s="5">
        <v>4113</v>
      </c>
      <c r="G820" s="28" t="s">
        <v>1723</v>
      </c>
      <c r="H820" s="6" t="s">
        <v>250</v>
      </c>
      <c r="J820" s="5" t="s">
        <v>225</v>
      </c>
      <c r="K820" s="27">
        <v>6.5</v>
      </c>
      <c r="L820" s="27">
        <v>-19.899999999999999</v>
      </c>
      <c r="R820" s="27">
        <v>15</v>
      </c>
      <c r="S820" s="27">
        <v>3</v>
      </c>
      <c r="V820" s="32" t="e">
        <v>#N/A</v>
      </c>
      <c r="W820" s="32">
        <v>1</v>
      </c>
      <c r="X820" s="33" t="s">
        <v>487</v>
      </c>
      <c r="Z820" s="31" t="s">
        <v>3579</v>
      </c>
      <c r="AA820" s="32">
        <v>29.37</v>
      </c>
      <c r="AB820" s="32">
        <v>-99.47</v>
      </c>
      <c r="AC820" s="32">
        <v>55509</v>
      </c>
    </row>
    <row r="821" spans="3:29" ht="19">
      <c r="C821" s="22" t="s">
        <v>222</v>
      </c>
      <c r="D821" s="22" t="s">
        <v>151</v>
      </c>
      <c r="E821" s="5">
        <v>30967</v>
      </c>
      <c r="F821" s="5">
        <v>107</v>
      </c>
      <c r="G821" s="28" t="s">
        <v>1723</v>
      </c>
      <c r="H821" s="6" t="s">
        <v>110</v>
      </c>
      <c r="J821" s="5" t="s">
        <v>104</v>
      </c>
      <c r="K821" s="27" t="s">
        <v>487</v>
      </c>
      <c r="L821" s="27">
        <v>-18.7</v>
      </c>
      <c r="O821" s="27">
        <v>-11.9</v>
      </c>
      <c r="P821" s="5">
        <v>31.9</v>
      </c>
      <c r="Q821" s="27">
        <v>1.0089999999999999</v>
      </c>
      <c r="S821" s="27">
        <v>0</v>
      </c>
      <c r="V821" s="32" t="e">
        <v>#N/A</v>
      </c>
      <c r="W821" s="32" t="s">
        <v>487</v>
      </c>
      <c r="X821" s="33" t="s">
        <v>3612</v>
      </c>
      <c r="Y821" s="32">
        <v>50000</v>
      </c>
      <c r="AA821" s="32">
        <v>27.87</v>
      </c>
      <c r="AB821" s="32">
        <v>-97.2</v>
      </c>
      <c r="AC821" s="32">
        <v>55509</v>
      </c>
    </row>
    <row r="822" spans="3:29">
      <c r="C822" s="22" t="s">
        <v>482</v>
      </c>
      <c r="D822" s="22" t="s">
        <v>220</v>
      </c>
      <c r="E822" s="5">
        <v>30967</v>
      </c>
      <c r="F822" s="5">
        <v>1778</v>
      </c>
      <c r="G822" s="28" t="s">
        <v>1723</v>
      </c>
      <c r="H822" s="6" t="s">
        <v>110</v>
      </c>
      <c r="J822" s="5" t="s">
        <v>104</v>
      </c>
      <c r="M822" s="56" t="s">
        <v>487</v>
      </c>
      <c r="N822" s="56" t="s">
        <v>487</v>
      </c>
      <c r="R822" s="27" t="s">
        <v>463</v>
      </c>
      <c r="S822" s="27">
        <v>100</v>
      </c>
      <c r="V822" s="32" t="s">
        <v>3349</v>
      </c>
      <c r="W822" s="32">
        <v>5</v>
      </c>
      <c r="Y822" s="32">
        <v>50000</v>
      </c>
      <c r="AA822" s="32">
        <v>27.87</v>
      </c>
      <c r="AB822" s="32">
        <v>-97.2</v>
      </c>
      <c r="AC822" s="32">
        <v>223000</v>
      </c>
    </row>
    <row r="823" spans="3:29">
      <c r="C823" s="22" t="s">
        <v>482</v>
      </c>
      <c r="D823" s="22" t="s">
        <v>220</v>
      </c>
      <c r="E823" s="5">
        <v>30967</v>
      </c>
      <c r="F823" s="5">
        <v>874</v>
      </c>
      <c r="G823" s="28" t="s">
        <v>1723</v>
      </c>
      <c r="H823" s="6" t="s">
        <v>110</v>
      </c>
      <c r="J823" s="5" t="s">
        <v>104</v>
      </c>
      <c r="M823" s="56" t="s">
        <v>487</v>
      </c>
      <c r="N823" s="56">
        <v>-27.2</v>
      </c>
      <c r="R823" s="27" t="s">
        <v>463</v>
      </c>
      <c r="S823" s="27">
        <v>100</v>
      </c>
      <c r="V823" s="32" t="s">
        <v>3349</v>
      </c>
      <c r="W823" s="32">
        <v>5</v>
      </c>
      <c r="Y823" s="32">
        <v>50000</v>
      </c>
      <c r="AA823" s="32">
        <v>27.87</v>
      </c>
      <c r="AB823" s="32">
        <v>-97.2</v>
      </c>
      <c r="AC823" s="32">
        <v>223000</v>
      </c>
    </row>
    <row r="824" spans="3:29">
      <c r="C824" s="22" t="s">
        <v>482</v>
      </c>
      <c r="D824" s="22" t="s">
        <v>220</v>
      </c>
      <c r="E824" s="5">
        <v>30967</v>
      </c>
      <c r="F824" s="5">
        <v>1682</v>
      </c>
      <c r="G824" s="28" t="s">
        <v>1723</v>
      </c>
      <c r="H824" s="6" t="s">
        <v>110</v>
      </c>
      <c r="J824" s="5" t="s">
        <v>104</v>
      </c>
      <c r="L824" s="27">
        <v>-18.7</v>
      </c>
      <c r="O824" s="27">
        <v>-11.938666666666666</v>
      </c>
      <c r="Q824" s="27">
        <v>-0.92455067430023519</v>
      </c>
      <c r="V824" s="32">
        <v>43405</v>
      </c>
      <c r="AA824" s="32">
        <v>27.87</v>
      </c>
      <c r="AB824" s="32">
        <v>-97.2</v>
      </c>
      <c r="AC824" s="32">
        <v>223000</v>
      </c>
    </row>
    <row r="825" spans="3:29">
      <c r="C825" s="22" t="s">
        <v>482</v>
      </c>
      <c r="D825" s="22" t="s">
        <v>220</v>
      </c>
      <c r="E825" s="5">
        <v>30967</v>
      </c>
      <c r="F825" s="5">
        <v>916</v>
      </c>
      <c r="G825" s="28" t="s">
        <v>1723</v>
      </c>
      <c r="H825" s="6" t="s">
        <v>110</v>
      </c>
      <c r="J825" s="5" t="s">
        <v>104</v>
      </c>
      <c r="L825" s="27">
        <v>-18</v>
      </c>
      <c r="O825" s="27">
        <v>-11.176333333333334</v>
      </c>
      <c r="Q825" s="27">
        <v>1.1052209869975513</v>
      </c>
      <c r="V825" s="32">
        <v>43405</v>
      </c>
      <c r="AA825" s="32">
        <v>27.87</v>
      </c>
      <c r="AB825" s="32">
        <v>-97.2</v>
      </c>
      <c r="AC825" s="32">
        <v>223000</v>
      </c>
    </row>
    <row r="826" spans="3:29">
      <c r="C826" s="22" t="s">
        <v>482</v>
      </c>
      <c r="D826" s="22" t="s">
        <v>220</v>
      </c>
      <c r="E826" s="5">
        <v>30967</v>
      </c>
      <c r="F826" s="5">
        <v>1028</v>
      </c>
      <c r="G826" s="28" t="s">
        <v>1723</v>
      </c>
      <c r="H826" s="6" t="s">
        <v>110</v>
      </c>
      <c r="J826" s="5" t="s">
        <v>104</v>
      </c>
      <c r="L826" s="27">
        <v>-16.645262649999999</v>
      </c>
      <c r="O826" s="27">
        <v>-9.8452626499999987</v>
      </c>
      <c r="P826" s="5">
        <v>31.034129360000001</v>
      </c>
      <c r="Q826" s="27">
        <v>0.168916594</v>
      </c>
      <c r="V826" s="32">
        <v>43647</v>
      </c>
      <c r="AA826" s="32">
        <v>27.87</v>
      </c>
      <c r="AB826" s="32">
        <v>-97.2</v>
      </c>
      <c r="AC826" s="32">
        <v>223000</v>
      </c>
    </row>
    <row r="827" spans="3:29">
      <c r="C827" s="22" t="s">
        <v>482</v>
      </c>
      <c r="D827" s="22" t="s">
        <v>220</v>
      </c>
      <c r="E827" s="5">
        <v>30967</v>
      </c>
      <c r="F827" s="5">
        <v>1181</v>
      </c>
      <c r="G827" s="28" t="s">
        <v>1723</v>
      </c>
      <c r="H827" s="6" t="s">
        <v>110</v>
      </c>
      <c r="J827" s="5" t="s">
        <v>104</v>
      </c>
      <c r="L827" s="27">
        <v>-18.86</v>
      </c>
      <c r="O827" s="27">
        <v>-12.06</v>
      </c>
      <c r="P827" s="5">
        <v>27.06</v>
      </c>
      <c r="Q827" s="27">
        <v>-3.6862425550000002</v>
      </c>
      <c r="V827" s="32">
        <v>43647</v>
      </c>
      <c r="AA827" s="32">
        <v>27.87</v>
      </c>
      <c r="AB827" s="32">
        <v>-97.2</v>
      </c>
      <c r="AC827" s="32">
        <v>223000</v>
      </c>
    </row>
    <row r="828" spans="3:29">
      <c r="C828" s="22" t="s">
        <v>482</v>
      </c>
      <c r="D828" s="22" t="s">
        <v>220</v>
      </c>
      <c r="E828" s="5">
        <v>30967</v>
      </c>
      <c r="F828" s="5">
        <v>2585</v>
      </c>
      <c r="G828" s="28" t="s">
        <v>1723</v>
      </c>
      <c r="H828" s="6" t="s">
        <v>110</v>
      </c>
      <c r="J828" s="5" t="s">
        <v>104</v>
      </c>
      <c r="L828" s="27">
        <v>-16.899527500000001</v>
      </c>
      <c r="O828" s="27">
        <v>-10.099527499999999</v>
      </c>
      <c r="P828" s="5">
        <v>30.27949104</v>
      </c>
      <c r="Q828" s="27">
        <v>-0.56313074500000004</v>
      </c>
      <c r="V828" s="32">
        <v>43647</v>
      </c>
      <c r="AA828" s="32">
        <v>27.87</v>
      </c>
      <c r="AB828" s="32">
        <v>-97.2</v>
      </c>
      <c r="AC828" s="32">
        <v>223000</v>
      </c>
    </row>
    <row r="829" spans="3:29" ht="19">
      <c r="C829" s="22" t="s">
        <v>482</v>
      </c>
      <c r="D829" s="22" t="s">
        <v>220</v>
      </c>
      <c r="E829" s="5">
        <v>30967</v>
      </c>
      <c r="F829" s="5">
        <v>289</v>
      </c>
      <c r="G829" s="28" t="s">
        <v>1723</v>
      </c>
      <c r="H829" s="6" t="s">
        <v>110</v>
      </c>
      <c r="J829" s="5" t="s">
        <v>104</v>
      </c>
      <c r="L829" s="27">
        <v>-19.2</v>
      </c>
      <c r="O829" s="27">
        <v>-12.4</v>
      </c>
      <c r="P829" s="5">
        <v>31.9</v>
      </c>
      <c r="Q829" s="27">
        <v>1.0089999999999999</v>
      </c>
      <c r="S829" s="27">
        <v>0</v>
      </c>
      <c r="V829" s="32" t="s">
        <v>3415</v>
      </c>
      <c r="X829" s="33" t="s">
        <v>3506</v>
      </c>
      <c r="Y829" s="32">
        <v>50000</v>
      </c>
      <c r="AA829" s="32">
        <v>27.87</v>
      </c>
      <c r="AB829" s="32">
        <v>-97.2</v>
      </c>
      <c r="AC829" s="32">
        <v>223000</v>
      </c>
    </row>
    <row r="830" spans="3:29" ht="19">
      <c r="C830" s="22" t="s">
        <v>482</v>
      </c>
      <c r="D830" s="22" t="s">
        <v>220</v>
      </c>
      <c r="E830" s="5">
        <v>30967</v>
      </c>
      <c r="F830" s="5">
        <v>314</v>
      </c>
      <c r="G830" s="28" t="s">
        <v>1723</v>
      </c>
      <c r="H830" s="6" t="s">
        <v>110</v>
      </c>
      <c r="J830" s="5" t="s">
        <v>104</v>
      </c>
      <c r="L830" s="27">
        <v>-17.2</v>
      </c>
      <c r="O830" s="27">
        <v>-10.4</v>
      </c>
      <c r="P830" s="5">
        <v>31.5</v>
      </c>
      <c r="Q830" s="27">
        <v>0.621</v>
      </c>
      <c r="S830" s="27">
        <v>0</v>
      </c>
      <c r="V830" s="32" t="s">
        <v>3415</v>
      </c>
      <c r="X830" s="33" t="s">
        <v>126</v>
      </c>
      <c r="Y830" s="32">
        <v>50000</v>
      </c>
      <c r="AA830" s="32">
        <v>27.87</v>
      </c>
      <c r="AB830" s="32">
        <v>-97.2</v>
      </c>
      <c r="AC830" s="32">
        <v>223000</v>
      </c>
    </row>
    <row r="831" spans="3:29" ht="19">
      <c r="C831" s="22" t="s">
        <v>482</v>
      </c>
      <c r="D831" s="22" t="s">
        <v>220</v>
      </c>
      <c r="E831" s="5">
        <v>30967</v>
      </c>
      <c r="F831" s="5">
        <v>567</v>
      </c>
      <c r="G831" s="28" t="s">
        <v>1723</v>
      </c>
      <c r="H831" s="6" t="s">
        <v>110</v>
      </c>
      <c r="J831" s="5" t="s">
        <v>104</v>
      </c>
      <c r="L831" s="27">
        <v>-18.5</v>
      </c>
      <c r="O831" s="27">
        <v>-11.7</v>
      </c>
      <c r="P831" s="5">
        <v>30.1</v>
      </c>
      <c r="Q831" s="27">
        <v>-0.73699999999999999</v>
      </c>
      <c r="S831" s="27">
        <v>0</v>
      </c>
      <c r="V831" s="32" t="s">
        <v>3415</v>
      </c>
      <c r="X831" s="33" t="s">
        <v>3416</v>
      </c>
      <c r="Y831" s="32">
        <v>50000</v>
      </c>
      <c r="AA831" s="32">
        <v>27.87</v>
      </c>
      <c r="AB831" s="32">
        <v>-97.2</v>
      </c>
      <c r="AC831" s="32">
        <v>223000</v>
      </c>
    </row>
    <row r="832" spans="3:29" ht="19">
      <c r="C832" s="22" t="s">
        <v>482</v>
      </c>
      <c r="D832" s="22" t="s">
        <v>220</v>
      </c>
      <c r="E832" s="5">
        <v>30967</v>
      </c>
      <c r="F832" s="5">
        <v>584</v>
      </c>
      <c r="G832" s="28" t="s">
        <v>1723</v>
      </c>
      <c r="H832" s="6" t="s">
        <v>110</v>
      </c>
      <c r="J832" s="5" t="s">
        <v>104</v>
      </c>
      <c r="L832" s="27">
        <v>-19</v>
      </c>
      <c r="O832" s="27">
        <v>-12.2</v>
      </c>
      <c r="P832" s="5">
        <v>32.6</v>
      </c>
      <c r="Q832" s="27">
        <v>1.6879999999999999</v>
      </c>
      <c r="S832" s="27">
        <v>0</v>
      </c>
      <c r="V832" s="32" t="s">
        <v>3415</v>
      </c>
      <c r="X832" s="33" t="s">
        <v>3506</v>
      </c>
      <c r="Y832" s="32">
        <v>50000</v>
      </c>
      <c r="AA832" s="32">
        <v>27.87</v>
      </c>
      <c r="AB832" s="32">
        <v>-97.2</v>
      </c>
      <c r="AC832" s="32">
        <v>223000</v>
      </c>
    </row>
    <row r="833" spans="3:29" ht="19">
      <c r="C833" s="22" t="s">
        <v>482</v>
      </c>
      <c r="D833" s="22" t="s">
        <v>220</v>
      </c>
      <c r="E833" s="5">
        <v>30967</v>
      </c>
      <c r="F833" s="5">
        <v>585</v>
      </c>
      <c r="G833" s="28" t="s">
        <v>1723</v>
      </c>
      <c r="H833" s="6" t="s">
        <v>110</v>
      </c>
      <c r="J833" s="5" t="s">
        <v>104</v>
      </c>
      <c r="L833" s="27">
        <v>-17.399999999999999</v>
      </c>
      <c r="O833" s="27">
        <v>-10.6</v>
      </c>
      <c r="P833" s="5">
        <v>31.7</v>
      </c>
      <c r="Q833" s="27">
        <v>0.81499999999999995</v>
      </c>
      <c r="S833" s="27">
        <v>0</v>
      </c>
      <c r="V833" s="32" t="s">
        <v>3415</v>
      </c>
      <c r="X833" s="33" t="s">
        <v>3416</v>
      </c>
      <c r="Y833" s="32">
        <v>50000</v>
      </c>
      <c r="AA833" s="32">
        <v>27.87</v>
      </c>
      <c r="AB833" s="32">
        <v>-97.2</v>
      </c>
      <c r="AC833" s="32">
        <v>223000</v>
      </c>
    </row>
    <row r="834" spans="3:29" ht="19">
      <c r="C834" s="22" t="s">
        <v>482</v>
      </c>
      <c r="D834" s="22" t="s">
        <v>220</v>
      </c>
      <c r="E834" s="5">
        <v>30967</v>
      </c>
      <c r="F834" s="5">
        <v>676</v>
      </c>
      <c r="G834" s="28" t="s">
        <v>1723</v>
      </c>
      <c r="H834" s="6" t="s">
        <v>110</v>
      </c>
      <c r="J834" s="5" t="s">
        <v>104</v>
      </c>
      <c r="L834" s="27">
        <v>-18.899999999999999</v>
      </c>
      <c r="O834" s="27">
        <v>-12.1</v>
      </c>
      <c r="P834" s="5">
        <v>31.6</v>
      </c>
      <c r="Q834" s="27">
        <v>0.71799999999999997</v>
      </c>
      <c r="S834" s="27">
        <v>0</v>
      </c>
      <c r="V834" s="32" t="s">
        <v>3415</v>
      </c>
      <c r="X834" s="33" t="s">
        <v>3416</v>
      </c>
      <c r="Y834" s="32">
        <v>50000</v>
      </c>
      <c r="AA834" s="32">
        <v>27.87</v>
      </c>
      <c r="AB834" s="32">
        <v>-97.2</v>
      </c>
      <c r="AC834" s="32">
        <v>223000</v>
      </c>
    </row>
    <row r="835" spans="3:29" ht="19">
      <c r="C835" s="22" t="s">
        <v>482</v>
      </c>
      <c r="D835" s="22" t="s">
        <v>220</v>
      </c>
      <c r="E835" s="5">
        <v>30967</v>
      </c>
      <c r="F835" s="5">
        <v>90</v>
      </c>
      <c r="G835" s="28" t="s">
        <v>1723</v>
      </c>
      <c r="H835" s="6" t="s">
        <v>110</v>
      </c>
      <c r="J835" s="5" t="s">
        <v>104</v>
      </c>
      <c r="L835" s="27">
        <v>-18.2</v>
      </c>
      <c r="O835" s="27">
        <v>-11.4</v>
      </c>
      <c r="P835" s="5">
        <v>31.3</v>
      </c>
      <c r="Q835" s="27">
        <v>0.42699999999999999</v>
      </c>
      <c r="S835" s="27">
        <v>0</v>
      </c>
      <c r="V835" s="32" t="s">
        <v>3415</v>
      </c>
      <c r="X835" s="33" t="s">
        <v>3416</v>
      </c>
      <c r="Y835" s="32">
        <v>50000</v>
      </c>
      <c r="AA835" s="32">
        <v>27.87</v>
      </c>
      <c r="AB835" s="32">
        <v>-97.2</v>
      </c>
      <c r="AC835" s="32">
        <v>223000</v>
      </c>
    </row>
    <row r="836" spans="3:29" ht="19">
      <c r="C836" s="22" t="s">
        <v>482</v>
      </c>
      <c r="D836" s="22" t="s">
        <v>220</v>
      </c>
      <c r="E836" s="5">
        <v>30967</v>
      </c>
      <c r="F836" s="5">
        <v>920</v>
      </c>
      <c r="G836" s="28" t="s">
        <v>1723</v>
      </c>
      <c r="H836" s="6" t="s">
        <v>110</v>
      </c>
      <c r="J836" s="5" t="s">
        <v>104</v>
      </c>
      <c r="L836" s="27">
        <v>-18.100000000000001</v>
      </c>
      <c r="O836" s="27">
        <v>-11.3</v>
      </c>
      <c r="P836" s="5">
        <v>29.9</v>
      </c>
      <c r="Q836" s="27">
        <v>-0.93100000000000005</v>
      </c>
      <c r="S836" s="27">
        <v>0</v>
      </c>
      <c r="V836" s="32" t="s">
        <v>3415</v>
      </c>
      <c r="X836" s="33" t="s">
        <v>3506</v>
      </c>
      <c r="Y836" s="32">
        <v>50000</v>
      </c>
      <c r="AA836" s="32">
        <v>27.87</v>
      </c>
      <c r="AB836" s="32">
        <v>-97.2</v>
      </c>
      <c r="AC836" s="32">
        <v>223000</v>
      </c>
    </row>
    <row r="837" spans="3:29" ht="19">
      <c r="C837" s="22" t="s">
        <v>482</v>
      </c>
      <c r="D837" s="22" t="s">
        <v>220</v>
      </c>
      <c r="E837" s="5">
        <v>30967</v>
      </c>
      <c r="F837" s="5">
        <v>944</v>
      </c>
      <c r="G837" s="28" t="s">
        <v>1723</v>
      </c>
      <c r="H837" s="6" t="s">
        <v>110</v>
      </c>
      <c r="J837" s="5" t="s">
        <v>104</v>
      </c>
      <c r="L837" s="27">
        <v>-19.100000000000001</v>
      </c>
      <c r="O837" s="27">
        <v>-12.3</v>
      </c>
      <c r="P837" s="5">
        <v>31.1</v>
      </c>
      <c r="Q837" s="27">
        <v>0.23300000000000001</v>
      </c>
      <c r="S837" s="27">
        <v>0</v>
      </c>
      <c r="V837" s="32" t="s">
        <v>3415</v>
      </c>
      <c r="X837" s="33" t="s">
        <v>3506</v>
      </c>
      <c r="Y837" s="32">
        <v>50000</v>
      </c>
      <c r="AA837" s="32">
        <v>27.87</v>
      </c>
      <c r="AB837" s="32">
        <v>-97.2</v>
      </c>
      <c r="AC837" s="32">
        <v>223000</v>
      </c>
    </row>
    <row r="838" spans="3:29" ht="19">
      <c r="C838" s="22" t="s">
        <v>482</v>
      </c>
      <c r="D838" s="22" t="s">
        <v>220</v>
      </c>
      <c r="E838" s="5">
        <v>30967</v>
      </c>
      <c r="F838" s="5">
        <v>500</v>
      </c>
      <c r="G838" s="28" t="s">
        <v>1723</v>
      </c>
      <c r="H838" s="6" t="s">
        <v>110</v>
      </c>
      <c r="J838" s="5" t="s">
        <v>104</v>
      </c>
      <c r="L838" s="27">
        <v>-17.399999999999999</v>
      </c>
      <c r="O838" s="27">
        <v>-10.6</v>
      </c>
      <c r="P838" s="5">
        <v>29.2</v>
      </c>
      <c r="Q838" s="27">
        <v>-1.61</v>
      </c>
      <c r="S838" s="27">
        <v>0</v>
      </c>
      <c r="V838" s="32" t="s">
        <v>3415</v>
      </c>
      <c r="X838" s="33" t="s">
        <v>3416</v>
      </c>
      <c r="Y838" s="32">
        <v>50000</v>
      </c>
      <c r="AA838" s="32">
        <v>27.87</v>
      </c>
      <c r="AB838" s="32">
        <v>-97.2</v>
      </c>
      <c r="AC838" s="32">
        <v>223000</v>
      </c>
    </row>
    <row r="839" spans="3:29" ht="19">
      <c r="C839" s="22" t="s">
        <v>524</v>
      </c>
      <c r="D839" s="22" t="s">
        <v>527</v>
      </c>
      <c r="E839" s="5">
        <v>41229</v>
      </c>
      <c r="F839" s="5">
        <v>10799</v>
      </c>
      <c r="G839" s="28" t="s">
        <v>1827</v>
      </c>
      <c r="H839" s="6" t="s">
        <v>1137</v>
      </c>
      <c r="J839" s="5" t="s">
        <v>225</v>
      </c>
      <c r="K839" s="27">
        <v>13</v>
      </c>
      <c r="L839" s="27">
        <v>-10.1</v>
      </c>
      <c r="R839" s="27">
        <v>15.9</v>
      </c>
      <c r="S839" s="27">
        <v>2.9</v>
      </c>
      <c r="V839" s="32" t="s">
        <v>3346</v>
      </c>
      <c r="W839" s="32">
        <v>1</v>
      </c>
      <c r="X839" s="33" t="s">
        <v>487</v>
      </c>
      <c r="Y839" s="32">
        <v>11503.5</v>
      </c>
      <c r="AA839" s="32">
        <v>30.13</v>
      </c>
      <c r="AB839" s="32">
        <v>-99.54</v>
      </c>
      <c r="AC839" s="32">
        <v>100000</v>
      </c>
    </row>
    <row r="840" spans="3:29" ht="19">
      <c r="C840" s="22" t="s">
        <v>524</v>
      </c>
      <c r="D840" s="22" t="s">
        <v>527</v>
      </c>
      <c r="E840" s="5">
        <v>41229</v>
      </c>
      <c r="F840" s="5">
        <v>10905</v>
      </c>
      <c r="G840" s="28" t="s">
        <v>1827</v>
      </c>
      <c r="H840" s="6" t="s">
        <v>1137</v>
      </c>
      <c r="J840" s="5" t="s">
        <v>225</v>
      </c>
      <c r="K840" s="27">
        <v>13.1</v>
      </c>
      <c r="L840" s="27">
        <v>-10.7</v>
      </c>
      <c r="R840" s="27">
        <v>15.5</v>
      </c>
      <c r="S840" s="27">
        <v>2.9</v>
      </c>
      <c r="V840" s="32" t="s">
        <v>3346</v>
      </c>
      <c r="W840" s="32">
        <v>1</v>
      </c>
      <c r="X840" s="33" t="s">
        <v>487</v>
      </c>
      <c r="Y840" s="32">
        <v>11503.5</v>
      </c>
      <c r="AA840" s="32">
        <v>30.13</v>
      </c>
      <c r="AB840" s="32">
        <v>-99.54</v>
      </c>
      <c r="AC840" s="32">
        <v>100000</v>
      </c>
    </row>
    <row r="841" spans="3:29" ht="19">
      <c r="C841" s="22" t="s">
        <v>524</v>
      </c>
      <c r="D841" s="22" t="s">
        <v>527</v>
      </c>
      <c r="E841" s="5">
        <v>41229</v>
      </c>
      <c r="F841" s="5">
        <v>3537</v>
      </c>
      <c r="G841" s="28" t="s">
        <v>1827</v>
      </c>
      <c r="H841" s="6" t="s">
        <v>1137</v>
      </c>
      <c r="J841" s="5" t="s">
        <v>104</v>
      </c>
      <c r="K841" s="27">
        <v>12.7</v>
      </c>
      <c r="L841" s="27">
        <v>-14</v>
      </c>
      <c r="R841" s="27">
        <v>15.6</v>
      </c>
      <c r="S841" s="27">
        <v>2.9</v>
      </c>
      <c r="V841" s="32" t="s">
        <v>3346</v>
      </c>
      <c r="W841" s="32">
        <v>1</v>
      </c>
      <c r="X841" s="33" t="s">
        <v>487</v>
      </c>
      <c r="Y841" s="32">
        <v>12491.5</v>
      </c>
      <c r="AA841" s="32">
        <v>30.13</v>
      </c>
      <c r="AB841" s="32">
        <v>-99.54</v>
      </c>
      <c r="AC841" s="32">
        <v>100000</v>
      </c>
    </row>
    <row r="842" spans="3:29" ht="19">
      <c r="C842" s="22" t="s">
        <v>524</v>
      </c>
      <c r="D842" s="22" t="s">
        <v>527</v>
      </c>
      <c r="E842" s="5">
        <v>41229</v>
      </c>
      <c r="F842" s="5">
        <v>10875</v>
      </c>
      <c r="G842" s="28" t="s">
        <v>1827</v>
      </c>
      <c r="H842" s="6" t="s">
        <v>1137</v>
      </c>
      <c r="J842" s="5" t="s">
        <v>104</v>
      </c>
      <c r="K842" s="27">
        <v>11.1</v>
      </c>
      <c r="L842" s="27">
        <v>-14.2</v>
      </c>
      <c r="R842" s="27">
        <v>16.100000000000001</v>
      </c>
      <c r="S842" s="27">
        <v>2.8</v>
      </c>
      <c r="V842" s="32" t="s">
        <v>3346</v>
      </c>
      <c r="W842" s="32">
        <v>1</v>
      </c>
      <c r="X842" s="33" t="s">
        <v>487</v>
      </c>
      <c r="Y842" s="32">
        <v>13733.5</v>
      </c>
      <c r="AA842" s="32">
        <v>30.13</v>
      </c>
      <c r="AB842" s="32">
        <v>-99.54</v>
      </c>
      <c r="AC842" s="32">
        <v>100000</v>
      </c>
    </row>
    <row r="843" spans="3:29" ht="95">
      <c r="C843" s="22" t="s">
        <v>524</v>
      </c>
      <c r="D843" s="22" t="s">
        <v>527</v>
      </c>
      <c r="E843" s="5">
        <v>40673</v>
      </c>
      <c r="F843" s="5">
        <v>52</v>
      </c>
      <c r="G843" s="28" t="s">
        <v>1827</v>
      </c>
      <c r="H843" s="6" t="s">
        <v>1858</v>
      </c>
      <c r="J843" s="5" t="s">
        <v>104</v>
      </c>
      <c r="M843" s="56" t="s">
        <v>487</v>
      </c>
      <c r="N843" s="56" t="s">
        <v>487</v>
      </c>
      <c r="R843" s="27" t="s">
        <v>463</v>
      </c>
      <c r="S843" s="27">
        <v>100</v>
      </c>
      <c r="V843" s="32" t="s">
        <v>3353</v>
      </c>
      <c r="W843" s="32">
        <v>6</v>
      </c>
      <c r="X843" s="33" t="s">
        <v>3617</v>
      </c>
      <c r="AA843" s="32">
        <v>30.616599999999998</v>
      </c>
      <c r="AB843" s="32">
        <v>-97.616600000000005</v>
      </c>
      <c r="AC843" s="32">
        <v>100000</v>
      </c>
    </row>
    <row r="844" spans="3:29" ht="19">
      <c r="C844" s="22" t="s">
        <v>524</v>
      </c>
      <c r="D844" s="22" t="s">
        <v>527</v>
      </c>
      <c r="E844" s="5">
        <v>41229</v>
      </c>
      <c r="F844" s="5">
        <v>900</v>
      </c>
      <c r="G844" s="28" t="s">
        <v>1827</v>
      </c>
      <c r="H844" s="6" t="s">
        <v>1137</v>
      </c>
      <c r="J844" s="5" t="s">
        <v>225</v>
      </c>
      <c r="K844" s="27">
        <v>13.6</v>
      </c>
      <c r="L844" s="27">
        <v>-10.3</v>
      </c>
      <c r="R844" s="27">
        <v>15.6</v>
      </c>
      <c r="S844" s="27">
        <v>2.8</v>
      </c>
      <c r="V844" s="32" t="s">
        <v>3353</v>
      </c>
      <c r="W844" s="32">
        <v>5</v>
      </c>
      <c r="X844" s="33" t="s">
        <v>3522</v>
      </c>
      <c r="Y844" s="32">
        <v>10680</v>
      </c>
      <c r="AA844" s="32">
        <v>30.13</v>
      </c>
      <c r="AB844" s="32">
        <v>-99.54</v>
      </c>
      <c r="AC844" s="32">
        <v>100000</v>
      </c>
    </row>
    <row r="845" spans="3:29">
      <c r="C845" s="22" t="s">
        <v>524</v>
      </c>
      <c r="D845" s="22" t="s">
        <v>525</v>
      </c>
      <c r="E845" s="5">
        <v>908</v>
      </c>
      <c r="F845" s="5">
        <v>2418</v>
      </c>
      <c r="G845" s="28" t="s">
        <v>1827</v>
      </c>
      <c r="H845" s="6" t="s">
        <v>250</v>
      </c>
      <c r="J845" s="5" t="s">
        <v>104</v>
      </c>
      <c r="L845" s="27">
        <v>-8.8000000000000007</v>
      </c>
      <c r="O845" s="27">
        <v>-4.5306666666666668</v>
      </c>
      <c r="Q845" s="27">
        <v>0.408275190933864</v>
      </c>
      <c r="V845" s="32">
        <v>43405</v>
      </c>
      <c r="AA845" s="32">
        <v>29.37</v>
      </c>
      <c r="AB845" s="32">
        <v>-99.47</v>
      </c>
    </row>
    <row r="846" spans="3:29">
      <c r="C846" s="22" t="s">
        <v>524</v>
      </c>
      <c r="D846" s="22" t="s">
        <v>527</v>
      </c>
      <c r="E846" s="5">
        <v>41229</v>
      </c>
      <c r="F846" s="5">
        <v>10797</v>
      </c>
      <c r="G846" s="28" t="s">
        <v>1827</v>
      </c>
      <c r="H846" s="6" t="s">
        <v>1137</v>
      </c>
      <c r="J846" s="5" t="s">
        <v>1728</v>
      </c>
      <c r="K846" s="27">
        <v>12.780515999999999</v>
      </c>
      <c r="L846" s="27">
        <v>-10.314041399999999</v>
      </c>
      <c r="R846" s="27">
        <v>13.938702458528169</v>
      </c>
      <c r="S846" s="27">
        <v>2.8528871795328921</v>
      </c>
      <c r="V846" s="32" t="s">
        <v>3417</v>
      </c>
      <c r="W846" s="32">
        <v>5</v>
      </c>
      <c r="X846" s="33">
        <v>11668</v>
      </c>
      <c r="Y846" s="32">
        <v>11668</v>
      </c>
      <c r="AA846" s="32">
        <v>30.13</v>
      </c>
      <c r="AB846" s="32">
        <v>-99.54</v>
      </c>
      <c r="AC846" s="32">
        <v>100000</v>
      </c>
    </row>
    <row r="847" spans="3:29">
      <c r="C847" s="22" t="s">
        <v>524</v>
      </c>
      <c r="D847" s="22" t="s">
        <v>527</v>
      </c>
      <c r="E847" s="5">
        <v>41229</v>
      </c>
      <c r="F847" s="5">
        <v>10866</v>
      </c>
      <c r="G847" s="28" t="s">
        <v>1827</v>
      </c>
      <c r="H847" s="6" t="s">
        <v>1137</v>
      </c>
      <c r="J847" s="5" t="s">
        <v>104</v>
      </c>
      <c r="K847" s="27">
        <v>12.5294408</v>
      </c>
      <c r="L847" s="27">
        <v>-17.733011399999999</v>
      </c>
      <c r="R847" s="27">
        <v>15.637413862522651</v>
      </c>
      <c r="S847" s="27">
        <v>2.7720404923085882</v>
      </c>
      <c r="V847" s="32" t="s">
        <v>3417</v>
      </c>
      <c r="W847" s="32">
        <v>5</v>
      </c>
      <c r="X847" s="33">
        <v>11998</v>
      </c>
      <c r="Y847" s="32">
        <v>11998</v>
      </c>
      <c r="AA847" s="32">
        <v>30.13</v>
      </c>
      <c r="AB847" s="32">
        <v>-99.54</v>
      </c>
      <c r="AC847" s="32">
        <v>100000</v>
      </c>
    </row>
    <row r="848" spans="3:29">
      <c r="C848" s="22" t="s">
        <v>524</v>
      </c>
      <c r="D848" s="22" t="s">
        <v>525</v>
      </c>
      <c r="E848" s="5">
        <v>30967</v>
      </c>
      <c r="F848" s="5">
        <v>1613</v>
      </c>
      <c r="G848" s="28" t="s">
        <v>1827</v>
      </c>
      <c r="H848" s="6" t="s">
        <v>110</v>
      </c>
      <c r="J848" s="5" t="s">
        <v>104</v>
      </c>
      <c r="L848" s="27">
        <v>-12.62</v>
      </c>
      <c r="O848" s="27">
        <v>-8.32</v>
      </c>
      <c r="P848" s="5">
        <v>29.32</v>
      </c>
      <c r="Q848" s="27">
        <v>-1.493898299</v>
      </c>
      <c r="V848" s="32">
        <v>43647</v>
      </c>
      <c r="AA848" s="32">
        <v>27.87</v>
      </c>
      <c r="AB848" s="32">
        <v>-97.2</v>
      </c>
    </row>
    <row r="849" spans="3:31">
      <c r="C849" s="22" t="s">
        <v>524</v>
      </c>
      <c r="D849" s="22" t="s">
        <v>527</v>
      </c>
      <c r="E849" s="5">
        <v>43407</v>
      </c>
      <c r="F849" s="5">
        <v>31</v>
      </c>
      <c r="G849" s="28" t="s">
        <v>1827</v>
      </c>
      <c r="H849" s="6" t="s">
        <v>682</v>
      </c>
      <c r="J849" s="5" t="s">
        <v>104</v>
      </c>
      <c r="L849" s="27">
        <v>-16.34356008</v>
      </c>
      <c r="O849" s="27">
        <v>-12.043560079999999</v>
      </c>
      <c r="P849" s="5">
        <v>27.32992248</v>
      </c>
      <c r="Q849" s="27">
        <v>-3.4244005199999998</v>
      </c>
      <c r="V849" s="32">
        <v>43647</v>
      </c>
      <c r="AA849" s="32"/>
      <c r="AB849" s="32"/>
    </row>
    <row r="850" spans="3:31" ht="38">
      <c r="C850" s="22" t="s">
        <v>598</v>
      </c>
      <c r="D850" s="22" t="s">
        <v>599</v>
      </c>
      <c r="E850" s="5">
        <v>908</v>
      </c>
      <c r="F850" s="5">
        <v>2304</v>
      </c>
      <c r="G850" s="28" t="s">
        <v>1723</v>
      </c>
      <c r="H850" s="6" t="s">
        <v>250</v>
      </c>
      <c r="J850" s="5" t="s">
        <v>104</v>
      </c>
      <c r="M850" s="56" t="s">
        <v>487</v>
      </c>
      <c r="N850" s="56" t="s">
        <v>487</v>
      </c>
      <c r="R850" s="27" t="s">
        <v>463</v>
      </c>
      <c r="S850" s="27">
        <v>100</v>
      </c>
      <c r="V850" s="32" t="s">
        <v>3353</v>
      </c>
      <c r="W850" s="32">
        <v>6</v>
      </c>
      <c r="X850" s="33" t="s">
        <v>3501</v>
      </c>
      <c r="Y850" s="32">
        <v>13000</v>
      </c>
      <c r="AA850" s="32">
        <v>29.37</v>
      </c>
      <c r="AB850" s="32">
        <v>-99.47</v>
      </c>
    </row>
    <row r="851" spans="3:31" ht="19">
      <c r="C851" s="22" t="s">
        <v>188</v>
      </c>
      <c r="D851" s="22" t="s">
        <v>189</v>
      </c>
      <c r="E851" s="5">
        <v>41229</v>
      </c>
      <c r="F851" s="5">
        <v>1364</v>
      </c>
      <c r="G851" s="28" t="s">
        <v>1723</v>
      </c>
      <c r="H851" s="6" t="s">
        <v>1137</v>
      </c>
      <c r="J851" s="5" t="s">
        <v>1744</v>
      </c>
      <c r="M851" s="56">
        <v>7.7736023999999997</v>
      </c>
      <c r="N851" s="56">
        <v>-13.207662900000001</v>
      </c>
      <c r="R851" s="27">
        <v>1.6214721258660483</v>
      </c>
      <c r="S851" s="27">
        <v>5.1155396237466659</v>
      </c>
      <c r="V851" s="32" t="s">
        <v>3417</v>
      </c>
      <c r="W851" s="32">
        <v>4</v>
      </c>
      <c r="X851" s="33" t="s">
        <v>3516</v>
      </c>
      <c r="Y851" s="32">
        <v>14623</v>
      </c>
      <c r="AA851" s="32">
        <v>29.76</v>
      </c>
      <c r="AB851" s="32">
        <v>-98.77</v>
      </c>
      <c r="AC851" s="32">
        <v>135000</v>
      </c>
    </row>
    <row r="852" spans="3:31">
      <c r="C852" s="22" t="s">
        <v>188</v>
      </c>
      <c r="D852" s="22" t="s">
        <v>189</v>
      </c>
      <c r="E852" s="5">
        <v>30967</v>
      </c>
      <c r="F852" s="5">
        <v>918</v>
      </c>
      <c r="G852" s="28" t="s">
        <v>1723</v>
      </c>
      <c r="H852" s="6" t="s">
        <v>110</v>
      </c>
      <c r="J852" s="5" t="s">
        <v>1744</v>
      </c>
      <c r="O852" s="27">
        <v>-8.29978528</v>
      </c>
      <c r="P852" s="5">
        <v>30.946863839999999</v>
      </c>
      <c r="Q852" s="27">
        <v>8.4263468999999994E-2</v>
      </c>
      <c r="V852" s="32">
        <v>43647</v>
      </c>
      <c r="AA852" s="32">
        <v>27.87</v>
      </c>
      <c r="AB852" s="32">
        <v>-97.2</v>
      </c>
      <c r="AC852" s="32">
        <v>135000</v>
      </c>
    </row>
    <row r="853" spans="3:31" ht="19">
      <c r="C853" s="22" t="s">
        <v>188</v>
      </c>
      <c r="D853" s="22" t="s">
        <v>189</v>
      </c>
      <c r="E853" s="5">
        <v>30967</v>
      </c>
      <c r="F853" s="5">
        <v>108</v>
      </c>
      <c r="G853" s="28" t="s">
        <v>1723</v>
      </c>
      <c r="H853" s="6" t="s">
        <v>110</v>
      </c>
      <c r="J853" s="5" t="s">
        <v>1744</v>
      </c>
      <c r="O853" s="27">
        <v>-6.2918196000000011</v>
      </c>
      <c r="P853" s="5">
        <v>25.939544999999999</v>
      </c>
      <c r="V853" s="32">
        <v>43647</v>
      </c>
      <c r="X853" s="33" t="s">
        <v>3612</v>
      </c>
      <c r="AA853" s="32">
        <v>27.87</v>
      </c>
      <c r="AB853" s="32">
        <v>-97.2</v>
      </c>
      <c r="AC853" s="32">
        <v>135000</v>
      </c>
    </row>
    <row r="854" spans="3:31" ht="19">
      <c r="C854" s="22" t="s">
        <v>188</v>
      </c>
      <c r="D854" s="22" t="s">
        <v>189</v>
      </c>
      <c r="E854" s="5">
        <v>41229</v>
      </c>
      <c r="F854" s="5">
        <v>11185</v>
      </c>
      <c r="G854" s="28" t="s">
        <v>1723</v>
      </c>
      <c r="H854" s="6" t="s">
        <v>1742</v>
      </c>
      <c r="J854" s="5" t="s">
        <v>1744</v>
      </c>
      <c r="K854" s="27">
        <v>14.197110800000001</v>
      </c>
      <c r="L854" s="27">
        <v>-15.925249999999998</v>
      </c>
      <c r="R854" s="27">
        <v>15.399534386854956</v>
      </c>
      <c r="S854" s="27">
        <v>2.7718613014812958</v>
      </c>
      <c r="V854" s="32">
        <v>43709</v>
      </c>
      <c r="W854" s="32">
        <v>6</v>
      </c>
      <c r="X854" s="33" t="s">
        <v>3530</v>
      </c>
      <c r="Y854" s="32">
        <v>13645</v>
      </c>
      <c r="AA854" s="32">
        <v>29.76</v>
      </c>
      <c r="AB854" s="32">
        <v>-98.77</v>
      </c>
      <c r="AC854" s="32">
        <v>135000</v>
      </c>
    </row>
    <row r="855" spans="3:31" ht="19">
      <c r="C855" s="22" t="s">
        <v>188</v>
      </c>
      <c r="D855" s="22" t="s">
        <v>189</v>
      </c>
      <c r="E855" s="5">
        <v>30967</v>
      </c>
      <c r="F855" s="5">
        <v>108</v>
      </c>
      <c r="G855" s="28" t="s">
        <v>1723</v>
      </c>
      <c r="H855" s="6" t="s">
        <v>110</v>
      </c>
      <c r="J855" s="5" t="s">
        <v>104</v>
      </c>
      <c r="L855" s="27">
        <v>-15.9</v>
      </c>
      <c r="O855" s="27">
        <v>-9.1</v>
      </c>
      <c r="P855" s="5">
        <v>32.299999999999997</v>
      </c>
      <c r="Q855" s="27">
        <v>1.397</v>
      </c>
      <c r="S855" s="27">
        <v>0</v>
      </c>
      <c r="V855" s="32" t="s">
        <v>3415</v>
      </c>
      <c r="X855" s="33" t="s">
        <v>3421</v>
      </c>
      <c r="Y855" s="32">
        <v>50000</v>
      </c>
      <c r="AA855" s="32">
        <v>27.87</v>
      </c>
      <c r="AB855" s="32">
        <v>-97.2</v>
      </c>
      <c r="AC855" s="32">
        <v>135000</v>
      </c>
    </row>
    <row r="856" spans="3:31" ht="19">
      <c r="C856" s="22" t="s">
        <v>188</v>
      </c>
      <c r="D856" s="22" t="s">
        <v>189</v>
      </c>
      <c r="E856" s="5">
        <v>30967</v>
      </c>
      <c r="F856" s="5">
        <v>918</v>
      </c>
      <c r="G856" s="28" t="s">
        <v>1723</v>
      </c>
      <c r="H856" s="6" t="s">
        <v>110</v>
      </c>
      <c r="J856" s="5" t="s">
        <v>104</v>
      </c>
      <c r="L856" s="27">
        <v>-15.6</v>
      </c>
      <c r="O856" s="27">
        <v>-8.8000000000000007</v>
      </c>
      <c r="P856" s="5">
        <v>32.6</v>
      </c>
      <c r="Q856" s="27">
        <v>1.6879999999999999</v>
      </c>
      <c r="S856" s="27">
        <v>0</v>
      </c>
      <c r="V856" s="32" t="s">
        <v>3415</v>
      </c>
      <c r="X856" s="33" t="s">
        <v>126</v>
      </c>
      <c r="Y856" s="32">
        <v>50000</v>
      </c>
      <c r="AA856" s="32">
        <v>27.87</v>
      </c>
      <c r="AB856" s="32">
        <v>-97.2</v>
      </c>
      <c r="AC856" s="32">
        <v>135000</v>
      </c>
      <c r="AD856" s="30"/>
      <c r="AE856" s="30"/>
    </row>
    <row r="857" spans="3:31" ht="38">
      <c r="C857" s="22" t="s">
        <v>601</v>
      </c>
      <c r="D857" s="22" t="s">
        <v>151</v>
      </c>
      <c r="E857" s="5">
        <v>908</v>
      </c>
      <c r="F857" s="5">
        <v>2443</v>
      </c>
      <c r="G857" s="28" t="s">
        <v>1723</v>
      </c>
      <c r="H857" s="6" t="s">
        <v>250</v>
      </c>
      <c r="J857" s="5" t="s">
        <v>1744</v>
      </c>
      <c r="M857" s="56" t="s">
        <v>487</v>
      </c>
      <c r="N857" s="56" t="s">
        <v>487</v>
      </c>
      <c r="R857" s="27" t="s">
        <v>463</v>
      </c>
      <c r="S857" s="27">
        <v>100</v>
      </c>
      <c r="V857" s="32" t="s">
        <v>3353</v>
      </c>
      <c r="W857" s="32">
        <v>5</v>
      </c>
      <c r="X857" s="33" t="s">
        <v>3618</v>
      </c>
      <c r="Y857" s="32">
        <v>11000</v>
      </c>
      <c r="AA857" s="32">
        <v>29.37</v>
      </c>
      <c r="AB857" s="32">
        <v>-99.47</v>
      </c>
    </row>
    <row r="858" spans="3:31" ht="38">
      <c r="C858" s="22" t="s">
        <v>601</v>
      </c>
      <c r="D858" s="22" t="s">
        <v>151</v>
      </c>
      <c r="E858" s="5">
        <v>908</v>
      </c>
      <c r="F858" s="5">
        <v>2302</v>
      </c>
      <c r="G858" s="28" t="s">
        <v>1723</v>
      </c>
      <c r="H858" s="6" t="s">
        <v>250</v>
      </c>
      <c r="J858" s="5" t="s">
        <v>104</v>
      </c>
      <c r="M858" s="56">
        <v>3.1</v>
      </c>
      <c r="N858" s="56">
        <v>-25.6</v>
      </c>
      <c r="R858" s="27">
        <v>6.4</v>
      </c>
      <c r="S858" s="27">
        <v>4.7</v>
      </c>
      <c r="V858" s="32" t="s">
        <v>3353</v>
      </c>
      <c r="W858" s="32">
        <v>5</v>
      </c>
      <c r="X858" s="33" t="s">
        <v>3501</v>
      </c>
      <c r="Y858" s="32">
        <v>13000</v>
      </c>
      <c r="AA858" s="32">
        <v>29.37</v>
      </c>
      <c r="AB858" s="32">
        <v>-99.47</v>
      </c>
    </row>
    <row r="859" spans="3:31" ht="19">
      <c r="C859" s="22" t="s">
        <v>601</v>
      </c>
      <c r="D859" s="22" t="s">
        <v>151</v>
      </c>
      <c r="E859" s="5" t="s">
        <v>1936</v>
      </c>
      <c r="F859" s="5">
        <v>7</v>
      </c>
      <c r="G859" s="28" t="s">
        <v>1723</v>
      </c>
      <c r="H859" s="6" t="s">
        <v>1937</v>
      </c>
      <c r="J859" s="5" t="s">
        <v>1744</v>
      </c>
      <c r="M859" s="56" t="s">
        <v>487</v>
      </c>
      <c r="N859" s="56" t="s">
        <v>487</v>
      </c>
      <c r="R859" s="27" t="s">
        <v>463</v>
      </c>
      <c r="S859" s="27" t="s">
        <v>487</v>
      </c>
      <c r="V859" s="32" t="s">
        <v>3417</v>
      </c>
      <c r="W859" s="32">
        <v>4</v>
      </c>
      <c r="X859" s="33" t="s">
        <v>3560</v>
      </c>
      <c r="AA859" s="32"/>
      <c r="AB859" s="32"/>
    </row>
    <row r="860" spans="3:31" ht="48">
      <c r="C860" s="22" t="s">
        <v>117</v>
      </c>
      <c r="D860" s="22" t="s">
        <v>118</v>
      </c>
      <c r="E860" s="5">
        <v>908</v>
      </c>
      <c r="F860" s="5">
        <v>4348</v>
      </c>
      <c r="G860" s="28" t="s">
        <v>1847</v>
      </c>
      <c r="H860" s="6" t="s">
        <v>250</v>
      </c>
      <c r="J860" s="5" t="s">
        <v>225</v>
      </c>
      <c r="M860" s="56">
        <v>6.7</v>
      </c>
      <c r="N860" s="56">
        <v>-21.3</v>
      </c>
      <c r="R860" s="27">
        <v>9.1</v>
      </c>
      <c r="S860" s="27">
        <v>3.9</v>
      </c>
      <c r="V860" s="32" t="s">
        <v>3353</v>
      </c>
      <c r="W860" s="32">
        <v>4</v>
      </c>
      <c r="X860" s="33" t="s">
        <v>3619</v>
      </c>
      <c r="Y860" s="32">
        <v>2000</v>
      </c>
      <c r="Z860" s="46" t="s">
        <v>3547</v>
      </c>
      <c r="AA860" s="32">
        <v>29.37</v>
      </c>
      <c r="AB860" s="32">
        <v>-99.47</v>
      </c>
      <c r="AC860" s="32">
        <v>5525</v>
      </c>
    </row>
    <row r="861" spans="3:31" ht="38">
      <c r="C861" s="22" t="s">
        <v>117</v>
      </c>
      <c r="D861" s="22" t="s">
        <v>118</v>
      </c>
      <c r="E861" s="5">
        <v>908</v>
      </c>
      <c r="F861" s="5">
        <v>1164</v>
      </c>
      <c r="G861" s="28" t="s">
        <v>1847</v>
      </c>
      <c r="H861" s="6" t="s">
        <v>250</v>
      </c>
      <c r="J861" s="5" t="s">
        <v>225</v>
      </c>
      <c r="M861" s="56">
        <v>8.1</v>
      </c>
      <c r="N861" s="56">
        <v>-18.2</v>
      </c>
      <c r="R861" s="27">
        <v>7.4</v>
      </c>
      <c r="S861" s="27">
        <v>3.8</v>
      </c>
      <c r="V861" s="32" t="s">
        <v>3353</v>
      </c>
      <c r="W861" s="32">
        <v>4</v>
      </c>
      <c r="X861" s="33" t="s">
        <v>3620</v>
      </c>
      <c r="Y861" s="32">
        <v>3500</v>
      </c>
      <c r="AA861" s="32">
        <v>29.37</v>
      </c>
      <c r="AB861" s="32">
        <v>-99.47</v>
      </c>
      <c r="AC861" s="32">
        <v>5525</v>
      </c>
    </row>
    <row r="862" spans="3:31" ht="48">
      <c r="C862" s="22" t="s">
        <v>117</v>
      </c>
      <c r="D862" s="22" t="s">
        <v>118</v>
      </c>
      <c r="E862" s="5">
        <v>908</v>
      </c>
      <c r="F862" s="5">
        <v>3940</v>
      </c>
      <c r="G862" s="28" t="s">
        <v>1847</v>
      </c>
      <c r="H862" s="6" t="s">
        <v>250</v>
      </c>
      <c r="J862" s="5" t="s">
        <v>225</v>
      </c>
      <c r="K862" s="27">
        <v>12.7</v>
      </c>
      <c r="L862" s="27">
        <v>-15.5</v>
      </c>
      <c r="R862" s="27">
        <v>13.4</v>
      </c>
      <c r="S862" s="27">
        <v>3.2</v>
      </c>
      <c r="V862" s="32" t="s">
        <v>3353</v>
      </c>
      <c r="W862" s="32">
        <v>4</v>
      </c>
      <c r="X862" s="33" t="s">
        <v>3621</v>
      </c>
      <c r="Y862" s="32">
        <v>2000</v>
      </c>
      <c r="Z862" s="46" t="s">
        <v>3547</v>
      </c>
      <c r="AA862" s="32">
        <v>29.37</v>
      </c>
      <c r="AB862" s="32">
        <v>-99.47</v>
      </c>
      <c r="AC862" s="32">
        <v>5525</v>
      </c>
    </row>
    <row r="863" spans="3:31" ht="48">
      <c r="C863" s="22" t="s">
        <v>117</v>
      </c>
      <c r="D863" s="22" t="s">
        <v>118</v>
      </c>
      <c r="E863" s="5">
        <v>908</v>
      </c>
      <c r="F863" s="5">
        <v>4344</v>
      </c>
      <c r="G863" s="28" t="s">
        <v>1847</v>
      </c>
      <c r="H863" s="6" t="s">
        <v>250</v>
      </c>
      <c r="J863" s="5" t="s">
        <v>225</v>
      </c>
      <c r="K863" s="27">
        <v>9.8000000000000007</v>
      </c>
      <c r="L863" s="27">
        <v>-17.100000000000001</v>
      </c>
      <c r="R863" s="27">
        <v>10.8</v>
      </c>
      <c r="S863" s="27">
        <v>3.1</v>
      </c>
      <c r="V863" s="32" t="s">
        <v>3353</v>
      </c>
      <c r="W863" s="32">
        <v>4</v>
      </c>
      <c r="X863" s="33" t="s">
        <v>3622</v>
      </c>
      <c r="Y863" s="32">
        <v>2000</v>
      </c>
      <c r="Z863" s="46" t="s">
        <v>3547</v>
      </c>
      <c r="AA863" s="32">
        <v>29.37</v>
      </c>
      <c r="AB863" s="32">
        <v>-99.47</v>
      </c>
      <c r="AC863" s="32">
        <v>5525</v>
      </c>
    </row>
    <row r="864" spans="3:31" ht="38">
      <c r="C864" s="22" t="s">
        <v>117</v>
      </c>
      <c r="D864" s="22" t="s">
        <v>118</v>
      </c>
      <c r="E864" s="5">
        <v>908</v>
      </c>
      <c r="F864" s="5">
        <v>2442</v>
      </c>
      <c r="G864" s="28" t="s">
        <v>1847</v>
      </c>
      <c r="H864" s="6" t="s">
        <v>250</v>
      </c>
      <c r="J864" s="5" t="s">
        <v>1744</v>
      </c>
      <c r="K864" s="27">
        <v>9.1999999999999993</v>
      </c>
      <c r="L864" s="27">
        <v>-18.399999999999999</v>
      </c>
      <c r="R864" s="27">
        <v>14.4</v>
      </c>
      <c r="S864" s="27">
        <v>3.1</v>
      </c>
      <c r="V864" s="32" t="s">
        <v>3353</v>
      </c>
      <c r="W864" s="32">
        <v>4</v>
      </c>
      <c r="X864" s="33" t="s">
        <v>3623</v>
      </c>
      <c r="Y864" s="32">
        <v>11000</v>
      </c>
      <c r="AA864" s="32">
        <v>29.37</v>
      </c>
      <c r="AB864" s="32">
        <v>-99.47</v>
      </c>
      <c r="AC864" s="32">
        <v>5525</v>
      </c>
    </row>
    <row r="865" spans="1:31" ht="19">
      <c r="C865" s="22" t="s">
        <v>117</v>
      </c>
      <c r="D865" s="22" t="s">
        <v>118</v>
      </c>
      <c r="E865" s="5">
        <v>43133</v>
      </c>
      <c r="F865" s="5">
        <v>245</v>
      </c>
      <c r="G865" s="28" t="s">
        <v>1827</v>
      </c>
      <c r="H865" s="6" t="s">
        <v>1183</v>
      </c>
      <c r="J865" s="5" t="s">
        <v>1728</v>
      </c>
      <c r="K865" s="27">
        <v>9.7562017599999979</v>
      </c>
      <c r="L865" s="27">
        <v>-13.676301200000001</v>
      </c>
      <c r="R865" s="27">
        <v>5.267973925436662</v>
      </c>
      <c r="S865" s="27">
        <v>3.2331278004440813</v>
      </c>
      <c r="V865" s="32" t="s">
        <v>3417</v>
      </c>
      <c r="W865" s="32">
        <v>4</v>
      </c>
      <c r="X865" s="33" t="s">
        <v>3503</v>
      </c>
      <c r="Y865" s="32" t="s">
        <v>3624</v>
      </c>
      <c r="AA865" s="32">
        <v>29.76</v>
      </c>
      <c r="AB865" s="32">
        <v>-98.77</v>
      </c>
      <c r="AC865" s="32">
        <v>5525</v>
      </c>
    </row>
    <row r="866" spans="1:31" ht="19">
      <c r="C866" s="22" t="s">
        <v>117</v>
      </c>
      <c r="D866" s="22" t="s">
        <v>118</v>
      </c>
      <c r="E866" s="5">
        <v>43133</v>
      </c>
      <c r="F866" s="5">
        <v>244</v>
      </c>
      <c r="G866" s="28" t="s">
        <v>1847</v>
      </c>
      <c r="H866" s="6" t="s">
        <v>1183</v>
      </c>
      <c r="J866" s="5" t="s">
        <v>1728</v>
      </c>
      <c r="K866" s="27">
        <v>7.5571833999999996</v>
      </c>
      <c r="L866" s="27">
        <v>-16.372189299999999</v>
      </c>
      <c r="R866" s="27">
        <v>14.98715411986552</v>
      </c>
      <c r="S866" s="27">
        <v>2.9762359935480425</v>
      </c>
      <c r="V866" s="32" t="s">
        <v>3417</v>
      </c>
      <c r="W866" s="32">
        <v>4</v>
      </c>
      <c r="X866" s="33" t="s">
        <v>3503</v>
      </c>
      <c r="Y866" s="32" t="s">
        <v>3624</v>
      </c>
      <c r="AA866" s="32">
        <v>29.76</v>
      </c>
      <c r="AB866" s="32">
        <v>-98.77</v>
      </c>
      <c r="AC866" s="32">
        <v>5525</v>
      </c>
    </row>
    <row r="867" spans="1:31" ht="19">
      <c r="A867" s="28"/>
      <c r="B867" s="28"/>
      <c r="C867" s="29" t="s">
        <v>529</v>
      </c>
      <c r="D867" s="29" t="s">
        <v>530</v>
      </c>
      <c r="E867" s="28">
        <v>41229</v>
      </c>
      <c r="F867" s="28">
        <v>15780</v>
      </c>
      <c r="G867" s="28" t="s">
        <v>1847</v>
      </c>
      <c r="H867" s="41" t="s">
        <v>1137</v>
      </c>
      <c r="I867" s="41"/>
      <c r="J867" s="28" t="s">
        <v>225</v>
      </c>
      <c r="K867" s="42">
        <v>8.6</v>
      </c>
      <c r="L867" s="42">
        <v>-16.7</v>
      </c>
      <c r="O867" s="42"/>
      <c r="P867" s="28"/>
      <c r="Q867" s="42"/>
      <c r="R867" s="42">
        <v>15.7</v>
      </c>
      <c r="S867" s="42">
        <v>2.9</v>
      </c>
      <c r="T867" s="28"/>
      <c r="U867" s="30"/>
      <c r="V867" s="32" t="s">
        <v>3346</v>
      </c>
      <c r="W867" s="32">
        <v>1</v>
      </c>
      <c r="X867" s="33" t="s">
        <v>487</v>
      </c>
      <c r="Z867" s="31" t="s">
        <v>3625</v>
      </c>
      <c r="AA867" s="32">
        <v>30.13</v>
      </c>
      <c r="AB867" s="32">
        <v>-99.54</v>
      </c>
      <c r="AC867" s="32">
        <v>51600</v>
      </c>
    </row>
    <row r="868" spans="1:31" ht="38">
      <c r="C868" s="22" t="s">
        <v>529</v>
      </c>
      <c r="D868" s="22" t="s">
        <v>530</v>
      </c>
      <c r="E868" s="5">
        <v>908</v>
      </c>
      <c r="F868" s="5">
        <v>2254</v>
      </c>
      <c r="G868" s="28" t="s">
        <v>1847</v>
      </c>
      <c r="H868" s="6" t="s">
        <v>250</v>
      </c>
      <c r="J868" s="5" t="s">
        <v>225</v>
      </c>
      <c r="K868" s="27">
        <v>7.2</v>
      </c>
      <c r="L868" s="27">
        <v>-20.6</v>
      </c>
      <c r="R868" s="27">
        <v>9.6999999999999993</v>
      </c>
      <c r="S868" s="27">
        <v>3.2</v>
      </c>
      <c r="V868" s="32" t="s">
        <v>3353</v>
      </c>
      <c r="W868" s="32">
        <v>4</v>
      </c>
      <c r="X868" s="33" t="s">
        <v>3626</v>
      </c>
      <c r="Y868" s="32">
        <v>1000</v>
      </c>
      <c r="AA868" s="32">
        <v>29.37</v>
      </c>
      <c r="AB868" s="32">
        <v>-99.47</v>
      </c>
      <c r="AC868" s="32">
        <v>51600</v>
      </c>
    </row>
    <row r="869" spans="1:31" ht="76">
      <c r="C869" s="22" t="s">
        <v>529</v>
      </c>
      <c r="D869" s="22" t="s">
        <v>530</v>
      </c>
      <c r="E869" s="5">
        <v>908</v>
      </c>
      <c r="F869" s="5">
        <v>2181</v>
      </c>
      <c r="G869" s="28" t="s">
        <v>1847</v>
      </c>
      <c r="H869" s="6" t="s">
        <v>250</v>
      </c>
      <c r="J869" s="5" t="s">
        <v>225</v>
      </c>
      <c r="K869" s="27">
        <v>8.1999999999999993</v>
      </c>
      <c r="L869" s="27">
        <v>-18.2</v>
      </c>
      <c r="R869" s="27">
        <v>15.1</v>
      </c>
      <c r="S869" s="27">
        <v>2.8</v>
      </c>
      <c r="V869" s="32" t="s">
        <v>3353</v>
      </c>
      <c r="W869" s="32">
        <v>5</v>
      </c>
      <c r="X869" s="33" t="s">
        <v>3627</v>
      </c>
      <c r="AA869" s="32">
        <v>29.37</v>
      </c>
      <c r="AB869" s="32">
        <v>-99.47</v>
      </c>
      <c r="AC869" s="32">
        <v>51600</v>
      </c>
    </row>
    <row r="870" spans="1:31">
      <c r="C870" s="22" t="s">
        <v>529</v>
      </c>
      <c r="D870" s="22" t="s">
        <v>530</v>
      </c>
      <c r="E870" s="5">
        <v>41229</v>
      </c>
      <c r="F870" s="5">
        <v>10800</v>
      </c>
      <c r="G870" s="28" t="s">
        <v>1847</v>
      </c>
      <c r="H870" s="6" t="s">
        <v>1137</v>
      </c>
      <c r="J870" s="5" t="s">
        <v>1728</v>
      </c>
      <c r="K870" s="27">
        <v>10.837720399999998</v>
      </c>
      <c r="L870" s="27">
        <v>-11.111216999999998</v>
      </c>
      <c r="R870" s="27">
        <v>14.550546362064164</v>
      </c>
      <c r="S870" s="27">
        <v>2.9064642117154156</v>
      </c>
      <c r="V870" s="32" t="s">
        <v>3417</v>
      </c>
      <c r="W870" s="32">
        <v>5</v>
      </c>
      <c r="X870" s="33">
        <v>1458</v>
      </c>
      <c r="Y870" s="32">
        <v>1458</v>
      </c>
      <c r="AA870" s="32">
        <v>30.13</v>
      </c>
      <c r="AB870" s="32">
        <v>-99.54</v>
      </c>
      <c r="AC870" s="32">
        <v>51601</v>
      </c>
    </row>
    <row r="871" spans="1:31" s="10" customFormat="1">
      <c r="A871" s="5"/>
      <c r="B871" s="5"/>
      <c r="C871" s="22" t="s">
        <v>529</v>
      </c>
      <c r="D871" s="22" t="s">
        <v>530</v>
      </c>
      <c r="E871" s="5">
        <v>41229</v>
      </c>
      <c r="F871" s="5">
        <v>11704</v>
      </c>
      <c r="G871" s="28" t="s">
        <v>1847</v>
      </c>
      <c r="H871" s="6" t="s">
        <v>1137</v>
      </c>
      <c r="I871" s="6"/>
      <c r="J871" s="5" t="s">
        <v>1728</v>
      </c>
      <c r="K871" s="27">
        <v>10.675458200000001</v>
      </c>
      <c r="L871" s="27">
        <v>-12.960873900000001</v>
      </c>
      <c r="M871" s="56"/>
      <c r="N871" s="56"/>
      <c r="O871" s="27"/>
      <c r="P871" s="5"/>
      <c r="Q871" s="27"/>
      <c r="R871" s="27">
        <v>15.210047723358773</v>
      </c>
      <c r="S871" s="27">
        <v>2.8113735202063896</v>
      </c>
      <c r="T871" s="5"/>
      <c r="U871" s="24"/>
      <c r="V871" s="32" t="s">
        <v>3417</v>
      </c>
      <c r="W871" s="32">
        <v>5</v>
      </c>
      <c r="X871" s="33">
        <v>7386</v>
      </c>
      <c r="Y871" s="32">
        <v>7386</v>
      </c>
      <c r="Z871" s="31"/>
      <c r="AA871" s="32">
        <v>30.13</v>
      </c>
      <c r="AB871" s="32">
        <v>-99.54</v>
      </c>
      <c r="AC871" s="32">
        <v>51602</v>
      </c>
      <c r="AD871" s="24"/>
      <c r="AE871" s="24"/>
    </row>
    <row r="872" spans="1:31" s="10" customFormat="1" ht="19">
      <c r="A872" s="28"/>
      <c r="B872" s="28"/>
      <c r="C872" s="29" t="s">
        <v>1861</v>
      </c>
      <c r="D872" s="29" t="s">
        <v>1862</v>
      </c>
      <c r="E872" s="28">
        <v>40449</v>
      </c>
      <c r="F872" s="28">
        <v>149</v>
      </c>
      <c r="G872" s="28" t="s">
        <v>1827</v>
      </c>
      <c r="H872" s="41" t="s">
        <v>1814</v>
      </c>
      <c r="I872" s="41"/>
      <c r="J872" s="28" t="s">
        <v>225</v>
      </c>
      <c r="K872" s="27"/>
      <c r="L872" s="27"/>
      <c r="M872" s="56" t="s">
        <v>487</v>
      </c>
      <c r="N872" s="56" t="s">
        <v>487</v>
      </c>
      <c r="O872" s="42"/>
      <c r="P872" s="28"/>
      <c r="Q872" s="42"/>
      <c r="R872" s="42">
        <v>0.18543286678398707</v>
      </c>
      <c r="S872" s="42">
        <v>26.955583364046483</v>
      </c>
      <c r="T872" s="28"/>
      <c r="U872" s="30"/>
      <c r="V872" s="32" t="s">
        <v>3417</v>
      </c>
      <c r="W872" s="32">
        <v>4</v>
      </c>
      <c r="X872" s="33" t="s">
        <v>3628</v>
      </c>
      <c r="Y872" s="32" t="s">
        <v>3490</v>
      </c>
      <c r="Z872" s="31" t="s">
        <v>3555</v>
      </c>
      <c r="AA872" s="32">
        <v>30.36</v>
      </c>
      <c r="AB872" s="32">
        <v>-98.1</v>
      </c>
      <c r="AC872" s="32">
        <v>51600</v>
      </c>
      <c r="AD872" s="24"/>
      <c r="AE872" s="24"/>
    </row>
    <row r="873" spans="1:31">
      <c r="C873" s="22" t="s">
        <v>95</v>
      </c>
      <c r="D873" s="22" t="s">
        <v>96</v>
      </c>
      <c r="E873" s="5">
        <v>933</v>
      </c>
      <c r="F873" s="5">
        <v>2206</v>
      </c>
      <c r="G873" s="28" t="s">
        <v>1827</v>
      </c>
      <c r="H873" s="6" t="s">
        <v>249</v>
      </c>
      <c r="J873" s="5" t="s">
        <v>104</v>
      </c>
      <c r="M873" s="56" t="s">
        <v>487</v>
      </c>
      <c r="N873" s="56" t="s">
        <v>487</v>
      </c>
      <c r="R873" s="27" t="s">
        <v>463</v>
      </c>
      <c r="S873" s="27">
        <v>100</v>
      </c>
      <c r="V873" s="32" t="s">
        <v>3353</v>
      </c>
      <c r="W873" s="32">
        <v>6</v>
      </c>
      <c r="Y873" s="32">
        <v>18500</v>
      </c>
      <c r="AA873" s="32">
        <v>29.62</v>
      </c>
      <c r="AB873" s="32">
        <v>-98.37</v>
      </c>
      <c r="AC873" s="32">
        <v>400000</v>
      </c>
    </row>
    <row r="874" spans="1:31">
      <c r="C874" s="22" t="s">
        <v>95</v>
      </c>
      <c r="D874" s="22" t="s">
        <v>96</v>
      </c>
      <c r="E874" s="5">
        <v>933</v>
      </c>
      <c r="F874" s="5">
        <v>2506</v>
      </c>
      <c r="G874" s="28" t="s">
        <v>1827</v>
      </c>
      <c r="H874" s="6" t="s">
        <v>249</v>
      </c>
      <c r="J874" s="5" t="s">
        <v>104</v>
      </c>
      <c r="M874" s="56" t="s">
        <v>487</v>
      </c>
      <c r="N874" s="56" t="s">
        <v>487</v>
      </c>
      <c r="R874" s="27" t="s">
        <v>463</v>
      </c>
      <c r="S874" s="27">
        <v>100</v>
      </c>
      <c r="V874" s="32" t="s">
        <v>3353</v>
      </c>
      <c r="W874" s="32">
        <v>5</v>
      </c>
      <c r="Y874" s="32">
        <v>18500</v>
      </c>
      <c r="AA874" s="32">
        <v>29.62</v>
      </c>
      <c r="AB874" s="32">
        <v>-98.37</v>
      </c>
      <c r="AC874" s="32">
        <v>400000</v>
      </c>
    </row>
    <row r="875" spans="1:31">
      <c r="C875" s="22" t="s">
        <v>95</v>
      </c>
      <c r="D875" s="22" t="s">
        <v>96</v>
      </c>
      <c r="E875" s="5">
        <v>933</v>
      </c>
      <c r="F875" s="5">
        <v>2690</v>
      </c>
      <c r="G875" s="28" t="s">
        <v>1827</v>
      </c>
      <c r="H875" s="6" t="s">
        <v>249</v>
      </c>
      <c r="J875" s="5" t="s">
        <v>104</v>
      </c>
      <c r="M875" s="56" t="s">
        <v>487</v>
      </c>
      <c r="N875" s="56" t="s">
        <v>487</v>
      </c>
      <c r="R875" s="27" t="s">
        <v>463</v>
      </c>
      <c r="S875" s="27">
        <v>100</v>
      </c>
      <c r="V875" s="32" t="s">
        <v>3353</v>
      </c>
      <c r="W875" s="32">
        <v>5</v>
      </c>
      <c r="Y875" s="32">
        <v>18500</v>
      </c>
      <c r="AA875" s="32">
        <v>29.62</v>
      </c>
      <c r="AB875" s="32">
        <v>-98.37</v>
      </c>
      <c r="AC875" s="32">
        <v>400000</v>
      </c>
    </row>
    <row r="876" spans="1:31">
      <c r="C876" s="22" t="s">
        <v>95</v>
      </c>
      <c r="D876" s="22" t="s">
        <v>96</v>
      </c>
      <c r="E876" s="5">
        <v>933</v>
      </c>
      <c r="F876" s="5">
        <v>2691</v>
      </c>
      <c r="G876" s="28" t="s">
        <v>1827</v>
      </c>
      <c r="H876" s="6" t="s">
        <v>249</v>
      </c>
      <c r="J876" s="5" t="s">
        <v>104</v>
      </c>
      <c r="M876" s="56" t="s">
        <v>487</v>
      </c>
      <c r="N876" s="56">
        <v>-27.6</v>
      </c>
      <c r="R876" s="27" t="s">
        <v>463</v>
      </c>
      <c r="S876" s="27">
        <v>100</v>
      </c>
      <c r="V876" s="32" t="s">
        <v>3353</v>
      </c>
      <c r="W876" s="32">
        <v>5</v>
      </c>
      <c r="Y876" s="32">
        <v>18500</v>
      </c>
      <c r="AA876" s="32">
        <v>29.62</v>
      </c>
      <c r="AB876" s="32">
        <v>-98.37</v>
      </c>
      <c r="AC876" s="32">
        <v>400000</v>
      </c>
    </row>
    <row r="877" spans="1:31">
      <c r="C877" s="22" t="s">
        <v>95</v>
      </c>
      <c r="D877" s="22" t="s">
        <v>96</v>
      </c>
      <c r="E877" s="5">
        <v>933</v>
      </c>
      <c r="F877" s="5">
        <v>3339</v>
      </c>
      <c r="G877" s="28" t="s">
        <v>1827</v>
      </c>
      <c r="H877" s="6" t="s">
        <v>249</v>
      </c>
      <c r="J877" s="5" t="s">
        <v>104</v>
      </c>
      <c r="M877" s="56" t="s">
        <v>487</v>
      </c>
      <c r="N877" s="56" t="s">
        <v>487</v>
      </c>
      <c r="R877" s="27" t="s">
        <v>463</v>
      </c>
      <c r="S877" s="27">
        <v>100</v>
      </c>
      <c r="V877" s="32" t="s">
        <v>3353</v>
      </c>
      <c r="W877" s="32">
        <v>5</v>
      </c>
      <c r="Y877" s="32">
        <v>18500</v>
      </c>
      <c r="AA877" s="32">
        <v>29.62</v>
      </c>
      <c r="AB877" s="32">
        <v>-98.37</v>
      </c>
      <c r="AC877" s="32">
        <v>400000</v>
      </c>
    </row>
    <row r="878" spans="1:31">
      <c r="C878" s="22" t="s">
        <v>95</v>
      </c>
      <c r="D878" s="22" t="s">
        <v>96</v>
      </c>
      <c r="E878" s="5">
        <v>933</v>
      </c>
      <c r="F878" s="5">
        <v>898</v>
      </c>
      <c r="G878" s="28" t="s">
        <v>1827</v>
      </c>
      <c r="H878" s="6" t="s">
        <v>249</v>
      </c>
      <c r="J878" s="5" t="s">
        <v>104</v>
      </c>
      <c r="M878" s="56" t="s">
        <v>487</v>
      </c>
      <c r="N878" s="56" t="s">
        <v>487</v>
      </c>
      <c r="R878" s="27" t="s">
        <v>463</v>
      </c>
      <c r="S878" s="27">
        <v>100</v>
      </c>
      <c r="V878" s="32" t="s">
        <v>3353</v>
      </c>
      <c r="W878" s="32">
        <v>5</v>
      </c>
      <c r="Y878" s="32">
        <v>18500</v>
      </c>
      <c r="AA878" s="32">
        <v>29.62</v>
      </c>
      <c r="AB878" s="32">
        <v>-98.37</v>
      </c>
      <c r="AC878" s="32">
        <v>400000</v>
      </c>
    </row>
    <row r="879" spans="1:31">
      <c r="C879" s="22" t="s">
        <v>95</v>
      </c>
      <c r="D879" s="22" t="s">
        <v>96</v>
      </c>
      <c r="E879" s="5">
        <v>933</v>
      </c>
      <c r="F879" s="5">
        <v>3955</v>
      </c>
      <c r="G879" s="28" t="s">
        <v>1827</v>
      </c>
      <c r="H879" s="6" t="s">
        <v>249</v>
      </c>
      <c r="J879" s="5" t="s">
        <v>104</v>
      </c>
      <c r="K879" s="27">
        <v>11.5</v>
      </c>
      <c r="L879" s="27">
        <v>-18.600000000000001</v>
      </c>
      <c r="R879" s="27">
        <v>6.2</v>
      </c>
      <c r="S879" s="27">
        <v>3.7</v>
      </c>
      <c r="V879" s="32" t="s">
        <v>3353</v>
      </c>
      <c r="W879" s="32">
        <v>5</v>
      </c>
      <c r="Y879" s="32">
        <v>18500</v>
      </c>
      <c r="AA879" s="32">
        <v>29.62</v>
      </c>
      <c r="AB879" s="32">
        <v>-98.37</v>
      </c>
      <c r="AC879" s="32">
        <v>400000</v>
      </c>
    </row>
    <row r="880" spans="1:31">
      <c r="C880" s="22" t="s">
        <v>95</v>
      </c>
      <c r="D880" s="22" t="s">
        <v>96</v>
      </c>
      <c r="E880" s="5">
        <v>933</v>
      </c>
      <c r="F880" s="5">
        <v>5704</v>
      </c>
      <c r="G880" s="28" t="s">
        <v>1827</v>
      </c>
      <c r="H880" s="6" t="s">
        <v>249</v>
      </c>
      <c r="J880" s="5" t="s">
        <v>104</v>
      </c>
      <c r="K880" s="27">
        <v>13.5</v>
      </c>
      <c r="L880" s="27">
        <v>-8.8000000000000007</v>
      </c>
      <c r="R880" s="27">
        <v>8.9</v>
      </c>
      <c r="S880" s="27">
        <v>3.1</v>
      </c>
      <c r="V880" s="32" t="s">
        <v>3353</v>
      </c>
      <c r="W880" s="32">
        <v>6</v>
      </c>
      <c r="Y880" s="32">
        <v>18500</v>
      </c>
      <c r="AA880" s="32">
        <v>29.62</v>
      </c>
      <c r="AB880" s="32">
        <v>-98.37</v>
      </c>
      <c r="AC880" s="32">
        <v>400000</v>
      </c>
    </row>
    <row r="881" spans="3:29">
      <c r="C881" s="22" t="s">
        <v>95</v>
      </c>
      <c r="D881" s="22" t="s">
        <v>96</v>
      </c>
      <c r="E881" s="5">
        <v>30967</v>
      </c>
      <c r="F881" s="5">
        <v>1034</v>
      </c>
      <c r="G881" s="28" t="s">
        <v>1827</v>
      </c>
      <c r="H881" s="6" t="s">
        <v>110</v>
      </c>
      <c r="J881" s="5" t="s">
        <v>104</v>
      </c>
      <c r="L881" s="27">
        <v>-10.1</v>
      </c>
      <c r="O881" s="27">
        <v>-5.7740833333333335</v>
      </c>
      <c r="Q881" s="27">
        <v>-3.2970050337523844</v>
      </c>
      <c r="V881" s="32">
        <v>43405</v>
      </c>
      <c r="W881" s="32">
        <v>3</v>
      </c>
      <c r="AA881" s="32">
        <v>27.87</v>
      </c>
      <c r="AB881" s="32">
        <v>-97.2</v>
      </c>
      <c r="AC881" s="32">
        <v>400000</v>
      </c>
    </row>
    <row r="882" spans="3:29">
      <c r="C882" s="22" t="s">
        <v>95</v>
      </c>
      <c r="D882" s="22" t="s">
        <v>96</v>
      </c>
      <c r="E882" s="5">
        <v>933</v>
      </c>
      <c r="F882" s="5">
        <v>2688</v>
      </c>
      <c r="G882" s="28" t="s">
        <v>1827</v>
      </c>
      <c r="H882" s="6" t="s">
        <v>249</v>
      </c>
      <c r="J882" s="5" t="s">
        <v>104</v>
      </c>
      <c r="L882" s="27">
        <v>-8.3000000000000007</v>
      </c>
      <c r="O882" s="27">
        <v>-3.9660833333333336</v>
      </c>
      <c r="Q882" s="27">
        <v>-3.2066689733873091</v>
      </c>
      <c r="V882" s="32">
        <v>43405</v>
      </c>
      <c r="W882" s="32">
        <v>3</v>
      </c>
      <c r="AA882" s="32">
        <v>29.62</v>
      </c>
      <c r="AB882" s="32">
        <v>-98.37</v>
      </c>
      <c r="AC882" s="32">
        <v>400000</v>
      </c>
    </row>
    <row r="883" spans="3:29">
      <c r="C883" s="22" t="s">
        <v>95</v>
      </c>
      <c r="D883" s="22" t="s">
        <v>96</v>
      </c>
      <c r="E883" s="5">
        <v>933</v>
      </c>
      <c r="F883" s="5">
        <v>2690</v>
      </c>
      <c r="G883" s="28" t="s">
        <v>1827</v>
      </c>
      <c r="H883" s="6" t="s">
        <v>249</v>
      </c>
      <c r="J883" s="5" t="s">
        <v>104</v>
      </c>
      <c r="L883" s="27">
        <v>-6.6739997249999998</v>
      </c>
      <c r="O883" s="27">
        <v>-2.3739997249999991</v>
      </c>
      <c r="P883" s="5">
        <v>30.222877439999998</v>
      </c>
      <c r="Q883" s="27">
        <v>-0.61804955100000003</v>
      </c>
      <c r="V883" s="32">
        <v>43647</v>
      </c>
      <c r="AA883" s="32">
        <v>29.62</v>
      </c>
      <c r="AB883" s="32">
        <v>-98.37</v>
      </c>
      <c r="AC883" s="32">
        <v>400000</v>
      </c>
    </row>
    <row r="884" spans="3:29">
      <c r="C884" s="22" t="s">
        <v>95</v>
      </c>
      <c r="D884" s="22" t="s">
        <v>96</v>
      </c>
      <c r="E884" s="5">
        <v>933</v>
      </c>
      <c r="F884" s="5">
        <v>3956</v>
      </c>
      <c r="G884" s="28" t="s">
        <v>1827</v>
      </c>
      <c r="H884" s="6" t="s">
        <v>249</v>
      </c>
      <c r="J884" s="5" t="s">
        <v>104</v>
      </c>
      <c r="L884" s="27">
        <v>-14.3</v>
      </c>
      <c r="O884" s="27">
        <v>-9.998357480000001</v>
      </c>
      <c r="P884" s="5">
        <v>27.09084696</v>
      </c>
      <c r="Q884" s="27">
        <v>-3.6563190350000001</v>
      </c>
      <c r="V884" s="32">
        <v>43647</v>
      </c>
      <c r="AA884" s="32">
        <v>29.62</v>
      </c>
      <c r="AB884" s="32">
        <v>-98.37</v>
      </c>
      <c r="AC884" s="32">
        <v>400000</v>
      </c>
    </row>
    <row r="885" spans="3:29" ht="19">
      <c r="C885" s="22" t="s">
        <v>544</v>
      </c>
      <c r="D885" s="22" t="s">
        <v>151</v>
      </c>
      <c r="E885" s="5">
        <v>41229</v>
      </c>
      <c r="F885" s="5">
        <v>1021</v>
      </c>
      <c r="G885" s="28" t="s">
        <v>1847</v>
      </c>
      <c r="H885" s="6" t="s">
        <v>1137</v>
      </c>
      <c r="J885" s="5" t="s">
        <v>104</v>
      </c>
      <c r="K885" s="27">
        <v>11.4</v>
      </c>
      <c r="L885" s="27">
        <v>-18</v>
      </c>
      <c r="R885" s="27">
        <v>8</v>
      </c>
      <c r="S885" s="27">
        <v>2.9</v>
      </c>
      <c r="V885" s="32" t="s">
        <v>3346</v>
      </c>
      <c r="W885" s="32">
        <v>1</v>
      </c>
      <c r="X885" s="33" t="s">
        <v>487</v>
      </c>
      <c r="Y885" s="32">
        <v>11833</v>
      </c>
      <c r="AA885" s="32">
        <v>30.13</v>
      </c>
      <c r="AB885" s="32">
        <v>-99.54</v>
      </c>
      <c r="AC885" s="32">
        <v>3410</v>
      </c>
    </row>
    <row r="886" spans="3:29" ht="19">
      <c r="C886" s="22" t="s">
        <v>544</v>
      </c>
      <c r="D886" s="22" t="s">
        <v>151</v>
      </c>
      <c r="E886" s="5">
        <v>41229</v>
      </c>
      <c r="F886" s="5">
        <v>3744</v>
      </c>
      <c r="G886" s="28" t="s">
        <v>1847</v>
      </c>
      <c r="H886" s="6" t="s">
        <v>1137</v>
      </c>
      <c r="J886" s="5" t="s">
        <v>104</v>
      </c>
      <c r="K886" s="27">
        <v>12.5</v>
      </c>
      <c r="L886" s="27">
        <v>-16</v>
      </c>
      <c r="R886" s="27">
        <v>8.5</v>
      </c>
      <c r="S886" s="27">
        <v>2.8</v>
      </c>
      <c r="V886" s="32" t="s">
        <v>3346</v>
      </c>
      <c r="W886" s="32">
        <v>1</v>
      </c>
      <c r="X886" s="33" t="s">
        <v>487</v>
      </c>
      <c r="Y886" s="32">
        <v>13150.5</v>
      </c>
      <c r="AA886" s="32">
        <v>30.13</v>
      </c>
      <c r="AB886" s="32">
        <v>-99.54</v>
      </c>
      <c r="AC886" s="32">
        <v>3410</v>
      </c>
    </row>
    <row r="887" spans="3:29" ht="19">
      <c r="C887" s="22" t="s">
        <v>1863</v>
      </c>
      <c r="D887" s="22" t="s">
        <v>151</v>
      </c>
      <c r="E887" s="5">
        <v>41229</v>
      </c>
      <c r="F887" s="5">
        <v>1365</v>
      </c>
      <c r="G887" s="28" t="s">
        <v>1827</v>
      </c>
      <c r="H887" s="6" t="s">
        <v>1137</v>
      </c>
      <c r="J887" s="5" t="s">
        <v>1744</v>
      </c>
      <c r="K887" s="27">
        <v>9.8079409999999978</v>
      </c>
      <c r="L887" s="27">
        <v>-15.874321999999999</v>
      </c>
      <c r="R887" s="27">
        <v>12.240605403379307</v>
      </c>
      <c r="S887" s="27">
        <v>2.9120303774177265</v>
      </c>
      <c r="V887" s="32" t="s">
        <v>3417</v>
      </c>
      <c r="W887" s="32">
        <v>4</v>
      </c>
      <c r="X887" s="33" t="s">
        <v>3527</v>
      </c>
      <c r="Y887" s="32">
        <v>15448</v>
      </c>
      <c r="AA887" s="32">
        <v>29.76</v>
      </c>
      <c r="AB887" s="32">
        <v>-98.77</v>
      </c>
      <c r="AC887" s="32">
        <v>3410</v>
      </c>
    </row>
    <row r="888" spans="3:29" ht="19">
      <c r="C888" s="22" t="s">
        <v>585</v>
      </c>
      <c r="D888" s="22" t="s">
        <v>151</v>
      </c>
      <c r="E888" s="5">
        <v>41229</v>
      </c>
      <c r="F888" s="5">
        <v>7646</v>
      </c>
      <c r="G888" s="28" t="s">
        <v>1723</v>
      </c>
      <c r="H888" s="6" t="s">
        <v>1137</v>
      </c>
      <c r="J888" s="5" t="s">
        <v>225</v>
      </c>
      <c r="M888" s="56">
        <v>5.0999999999999996</v>
      </c>
      <c r="N888" s="56">
        <v>-17.3</v>
      </c>
      <c r="R888" s="27">
        <v>2.9</v>
      </c>
      <c r="S888" s="27">
        <v>4.0999999999999996</v>
      </c>
      <c r="V888" s="32" t="s">
        <v>3353</v>
      </c>
      <c r="W888" s="32">
        <v>3</v>
      </c>
      <c r="X888" s="33" t="s">
        <v>3404</v>
      </c>
      <c r="Y888" s="32">
        <v>3434</v>
      </c>
      <c r="AA888" s="32">
        <v>30.13</v>
      </c>
      <c r="AB888" s="32">
        <v>-99.54</v>
      </c>
      <c r="AC888" s="32">
        <v>1173</v>
      </c>
    </row>
    <row r="889" spans="3:29" ht="19">
      <c r="C889" s="22" t="s">
        <v>585</v>
      </c>
      <c r="D889" s="22" t="s">
        <v>151</v>
      </c>
      <c r="E889" s="5">
        <v>41229</v>
      </c>
      <c r="F889" s="5">
        <v>1302</v>
      </c>
      <c r="G889" s="28" t="s">
        <v>1723</v>
      </c>
      <c r="H889" s="6" t="s">
        <v>1137</v>
      </c>
      <c r="J889" s="5" t="s">
        <v>225</v>
      </c>
      <c r="K889" s="27">
        <v>6.9</v>
      </c>
      <c r="L889" s="27">
        <v>-22.7</v>
      </c>
      <c r="R889" s="27">
        <v>9.6999999999999993</v>
      </c>
      <c r="S889" s="27">
        <v>3.2</v>
      </c>
      <c r="V889" s="32" t="s">
        <v>3353</v>
      </c>
      <c r="W889" s="32">
        <v>3</v>
      </c>
      <c r="X889" s="33" t="s">
        <v>3466</v>
      </c>
      <c r="Y889" s="32">
        <v>5739</v>
      </c>
      <c r="AA889" s="32">
        <v>30.13</v>
      </c>
      <c r="AB889" s="32">
        <v>-99.54</v>
      </c>
      <c r="AC889" s="32">
        <v>1173</v>
      </c>
    </row>
    <row r="890" spans="3:29" ht="19">
      <c r="C890" s="22" t="s">
        <v>585</v>
      </c>
      <c r="D890" s="22" t="s">
        <v>151</v>
      </c>
      <c r="E890" s="5">
        <v>41229</v>
      </c>
      <c r="F890" s="5">
        <v>17024</v>
      </c>
      <c r="G890" s="28" t="s">
        <v>1723</v>
      </c>
      <c r="H890" s="6" t="s">
        <v>1137</v>
      </c>
      <c r="J890" s="5" t="s">
        <v>225</v>
      </c>
      <c r="K890" s="27">
        <v>3.8</v>
      </c>
      <c r="L890" s="27">
        <v>-17.7</v>
      </c>
      <c r="R890" s="27">
        <v>13.9</v>
      </c>
      <c r="S890" s="27">
        <v>3.1</v>
      </c>
      <c r="V890" s="32" t="s">
        <v>3353</v>
      </c>
      <c r="W890" s="32">
        <v>2</v>
      </c>
      <c r="X890" s="33" t="s">
        <v>3629</v>
      </c>
      <c r="Y890" s="32">
        <v>2116</v>
      </c>
      <c r="AA890" s="32">
        <v>30.13</v>
      </c>
      <c r="AB890" s="32">
        <v>-99.54</v>
      </c>
      <c r="AC890" s="32">
        <v>1173</v>
      </c>
    </row>
    <row r="891" spans="3:29" ht="19">
      <c r="C891" s="22" t="s">
        <v>585</v>
      </c>
      <c r="D891" s="22" t="s">
        <v>151</v>
      </c>
      <c r="E891" s="5">
        <v>41229</v>
      </c>
      <c r="F891" s="5">
        <v>17144</v>
      </c>
      <c r="G891" s="28" t="s">
        <v>1723</v>
      </c>
      <c r="H891" s="6" t="s">
        <v>1137</v>
      </c>
      <c r="J891" s="5" t="s">
        <v>225</v>
      </c>
      <c r="K891" s="27">
        <v>4.0999999999999996</v>
      </c>
      <c r="L891" s="27">
        <v>-13.5</v>
      </c>
      <c r="R891" s="27">
        <v>11.6</v>
      </c>
      <c r="S891" s="27">
        <v>3.1</v>
      </c>
      <c r="V891" s="32" t="s">
        <v>3353</v>
      </c>
      <c r="W891" s="32">
        <v>3</v>
      </c>
      <c r="X891" s="33" t="s">
        <v>3630</v>
      </c>
      <c r="Y891" s="32">
        <v>4751</v>
      </c>
      <c r="AA891" s="32">
        <v>30.13</v>
      </c>
      <c r="AB891" s="32">
        <v>-99.54</v>
      </c>
      <c r="AC891" s="32">
        <v>1173</v>
      </c>
    </row>
    <row r="892" spans="3:29" ht="19">
      <c r="C892" s="22" t="s">
        <v>585</v>
      </c>
      <c r="D892" s="22" t="s">
        <v>151</v>
      </c>
      <c r="E892" s="5">
        <v>41229</v>
      </c>
      <c r="F892" s="5">
        <v>17174</v>
      </c>
      <c r="G892" s="28" t="s">
        <v>1723</v>
      </c>
      <c r="H892" s="6" t="s">
        <v>1137</v>
      </c>
      <c r="J892" s="5" t="s">
        <v>225</v>
      </c>
      <c r="K892" s="27">
        <v>5.2</v>
      </c>
      <c r="L892" s="27">
        <v>-15.8</v>
      </c>
      <c r="R892" s="27">
        <v>13.4</v>
      </c>
      <c r="S892" s="27">
        <v>3.1</v>
      </c>
      <c r="V892" s="32" t="s">
        <v>3353</v>
      </c>
      <c r="W892" s="32">
        <v>2</v>
      </c>
      <c r="X892" s="33" t="s">
        <v>3485</v>
      </c>
      <c r="Y892" s="32">
        <v>5410</v>
      </c>
      <c r="AA892" s="32">
        <v>30.13</v>
      </c>
      <c r="AB892" s="32">
        <v>-99.54</v>
      </c>
      <c r="AC892" s="32">
        <v>1173</v>
      </c>
    </row>
    <row r="893" spans="3:29" ht="19">
      <c r="C893" s="22" t="s">
        <v>585</v>
      </c>
      <c r="D893" s="22" t="s">
        <v>151</v>
      </c>
      <c r="E893" s="5">
        <v>41229</v>
      </c>
      <c r="F893" s="5">
        <v>17230</v>
      </c>
      <c r="G893" s="28" t="s">
        <v>1723</v>
      </c>
      <c r="H893" s="6" t="s">
        <v>1137</v>
      </c>
      <c r="J893" s="5" t="s">
        <v>225</v>
      </c>
      <c r="K893" s="27">
        <v>4.8</v>
      </c>
      <c r="L893" s="27">
        <v>-17.2</v>
      </c>
      <c r="R893" s="27">
        <v>14.3</v>
      </c>
      <c r="S893" s="27">
        <v>3.1</v>
      </c>
      <c r="V893" s="32" t="s">
        <v>3353</v>
      </c>
      <c r="W893" s="32">
        <v>2</v>
      </c>
      <c r="X893" s="33" t="s">
        <v>3465</v>
      </c>
      <c r="Y893" s="32">
        <v>6728</v>
      </c>
      <c r="AA893" s="32">
        <v>30.13</v>
      </c>
      <c r="AB893" s="32">
        <v>-99.54</v>
      </c>
      <c r="AC893" s="32">
        <v>1173</v>
      </c>
    </row>
    <row r="894" spans="3:29" ht="19">
      <c r="C894" s="22" t="s">
        <v>585</v>
      </c>
      <c r="D894" s="22" t="s">
        <v>151</v>
      </c>
      <c r="E894" s="5">
        <v>41229</v>
      </c>
      <c r="F894" s="5">
        <v>17256</v>
      </c>
      <c r="G894" s="28" t="s">
        <v>1723</v>
      </c>
      <c r="H894" s="6" t="s">
        <v>1137</v>
      </c>
      <c r="J894" s="5" t="s">
        <v>225</v>
      </c>
      <c r="K894" s="27">
        <v>5</v>
      </c>
      <c r="L894" s="27">
        <v>-18.100000000000001</v>
      </c>
      <c r="R894" s="27">
        <v>11.7</v>
      </c>
      <c r="S894" s="27">
        <v>3.1</v>
      </c>
      <c r="V894" s="32" t="s">
        <v>3353</v>
      </c>
      <c r="W894" s="32">
        <v>3</v>
      </c>
      <c r="X894" s="33" t="s">
        <v>3366</v>
      </c>
      <c r="Y894" s="32">
        <v>7386</v>
      </c>
      <c r="AA894" s="32">
        <v>30.13</v>
      </c>
      <c r="AB894" s="32">
        <v>-99.54</v>
      </c>
      <c r="AC894" s="32">
        <v>1173</v>
      </c>
    </row>
    <row r="895" spans="3:29" ht="19">
      <c r="C895" s="22" t="s">
        <v>585</v>
      </c>
      <c r="D895" s="22" t="s">
        <v>151</v>
      </c>
      <c r="E895" s="5">
        <v>41229</v>
      </c>
      <c r="F895" s="5">
        <v>17383</v>
      </c>
      <c r="G895" s="28" t="s">
        <v>1723</v>
      </c>
      <c r="H895" s="6" t="s">
        <v>1137</v>
      </c>
      <c r="J895" s="5" t="s">
        <v>225</v>
      </c>
      <c r="K895" s="27">
        <v>4.3</v>
      </c>
      <c r="L895" s="27">
        <v>-21.2</v>
      </c>
      <c r="R895" s="27">
        <v>9.6</v>
      </c>
      <c r="S895" s="27">
        <v>3.1</v>
      </c>
      <c r="V895" s="32" t="s">
        <v>3353</v>
      </c>
      <c r="W895" s="32">
        <v>2</v>
      </c>
      <c r="X895" s="33" t="s">
        <v>3518</v>
      </c>
      <c r="Y895" s="32">
        <v>9692</v>
      </c>
      <c r="AA895" s="32">
        <v>30.13</v>
      </c>
      <c r="AB895" s="32">
        <v>-99.54</v>
      </c>
      <c r="AC895" s="32">
        <v>1173</v>
      </c>
    </row>
    <row r="896" spans="3:29" ht="19">
      <c r="C896" s="22" t="s">
        <v>585</v>
      </c>
      <c r="D896" s="22" t="s">
        <v>151</v>
      </c>
      <c r="E896" s="5">
        <v>41229</v>
      </c>
      <c r="F896" s="5">
        <v>17411</v>
      </c>
      <c r="G896" s="28" t="s">
        <v>1723</v>
      </c>
      <c r="H896" s="6" t="s">
        <v>1137</v>
      </c>
      <c r="J896" s="5" t="s">
        <v>225</v>
      </c>
      <c r="K896" s="27">
        <v>4</v>
      </c>
      <c r="L896" s="27">
        <v>-21.9</v>
      </c>
      <c r="R896" s="27">
        <v>8.1</v>
      </c>
      <c r="S896" s="27">
        <v>3.1</v>
      </c>
      <c r="V896" s="32" t="s">
        <v>3353</v>
      </c>
      <c r="W896" s="32">
        <v>2</v>
      </c>
      <c r="X896" s="33" t="s">
        <v>3365</v>
      </c>
      <c r="Y896" s="32">
        <v>10351</v>
      </c>
      <c r="AA896" s="32">
        <v>30.13</v>
      </c>
      <c r="AB896" s="32">
        <v>-99.54</v>
      </c>
      <c r="AC896" s="32">
        <v>1173</v>
      </c>
    </row>
    <row r="897" spans="3:29" ht="19">
      <c r="C897" s="22" t="s">
        <v>585</v>
      </c>
      <c r="D897" s="22" t="s">
        <v>151</v>
      </c>
      <c r="E897" s="5">
        <v>41229</v>
      </c>
      <c r="F897" s="5">
        <v>2594</v>
      </c>
      <c r="G897" s="28" t="s">
        <v>1723</v>
      </c>
      <c r="H897" s="6" t="s">
        <v>1137</v>
      </c>
      <c r="J897" s="5" t="s">
        <v>225</v>
      </c>
      <c r="K897" s="27">
        <v>6.4</v>
      </c>
      <c r="L897" s="27">
        <v>-18.600000000000001</v>
      </c>
      <c r="R897" s="27">
        <v>13.8</v>
      </c>
      <c r="S897" s="27">
        <v>3.1</v>
      </c>
      <c r="V897" s="32" t="s">
        <v>3353</v>
      </c>
      <c r="W897" s="32">
        <v>2</v>
      </c>
      <c r="X897" s="33" t="s">
        <v>3478</v>
      </c>
      <c r="Y897" s="32">
        <v>7716</v>
      </c>
      <c r="AA897" s="32">
        <v>30.13</v>
      </c>
      <c r="AB897" s="32">
        <v>-99.54</v>
      </c>
      <c r="AC897" s="32">
        <v>1173</v>
      </c>
    </row>
    <row r="898" spans="3:29" ht="19">
      <c r="C898" s="22" t="s">
        <v>585</v>
      </c>
      <c r="D898" s="22" t="s">
        <v>151</v>
      </c>
      <c r="E898" s="5">
        <v>41229</v>
      </c>
      <c r="F898" s="5">
        <v>2926</v>
      </c>
      <c r="G898" s="28" t="s">
        <v>1723</v>
      </c>
      <c r="H898" s="6" t="s">
        <v>1137</v>
      </c>
      <c r="J898" s="5" t="s">
        <v>225</v>
      </c>
      <c r="K898" s="27">
        <v>4.4000000000000004</v>
      </c>
      <c r="L898" s="27">
        <v>-22.1</v>
      </c>
      <c r="R898" s="27">
        <v>10.9</v>
      </c>
      <c r="S898" s="27">
        <v>3.1</v>
      </c>
      <c r="V898" s="32" t="s">
        <v>3353</v>
      </c>
      <c r="W898" s="32">
        <v>3</v>
      </c>
      <c r="X898" s="33" t="s">
        <v>3631</v>
      </c>
      <c r="Y898" s="32">
        <v>3104</v>
      </c>
      <c r="AA898" s="32">
        <v>30.13</v>
      </c>
      <c r="AB898" s="32">
        <v>-99.54</v>
      </c>
      <c r="AC898" s="32">
        <v>1173</v>
      </c>
    </row>
    <row r="899" spans="3:29" ht="19">
      <c r="C899" s="22" t="s">
        <v>585</v>
      </c>
      <c r="D899" s="22" t="s">
        <v>151</v>
      </c>
      <c r="E899" s="5">
        <v>41229</v>
      </c>
      <c r="F899" s="5">
        <v>5921</v>
      </c>
      <c r="G899" s="28" t="s">
        <v>1723</v>
      </c>
      <c r="H899" s="6" t="s">
        <v>1137</v>
      </c>
      <c r="J899" s="5" t="s">
        <v>225</v>
      </c>
      <c r="K899" s="27">
        <v>6.6</v>
      </c>
      <c r="L899" s="27">
        <v>-18.600000000000001</v>
      </c>
      <c r="R899" s="27">
        <v>14.3</v>
      </c>
      <c r="S899" s="27">
        <v>3.1</v>
      </c>
      <c r="V899" s="32" t="s">
        <v>3353</v>
      </c>
      <c r="W899" s="32">
        <v>2</v>
      </c>
      <c r="X899" s="33" t="s">
        <v>3484</v>
      </c>
      <c r="Y899" s="32">
        <v>4093</v>
      </c>
      <c r="AA899" s="32">
        <v>30.13</v>
      </c>
      <c r="AB899" s="32">
        <v>-99.54</v>
      </c>
      <c r="AC899" s="32">
        <v>1173</v>
      </c>
    </row>
    <row r="900" spans="3:29" ht="19">
      <c r="C900" s="22" t="s">
        <v>585</v>
      </c>
      <c r="D900" s="22" t="s">
        <v>151</v>
      </c>
      <c r="E900" s="5">
        <v>41229</v>
      </c>
      <c r="F900" s="5">
        <v>14048</v>
      </c>
      <c r="G900" s="28" t="s">
        <v>1723</v>
      </c>
      <c r="H900" s="6" t="s">
        <v>1137</v>
      </c>
      <c r="J900" s="5" t="s">
        <v>225</v>
      </c>
      <c r="K900" s="27">
        <v>5.4</v>
      </c>
      <c r="L900" s="27">
        <v>-17.399999999999999</v>
      </c>
      <c r="R900" s="27">
        <v>14.8</v>
      </c>
      <c r="S900" s="27">
        <v>3</v>
      </c>
      <c r="V900" s="32" t="s">
        <v>3353</v>
      </c>
      <c r="W900" s="32">
        <v>2</v>
      </c>
      <c r="X900" s="33" t="s">
        <v>3630</v>
      </c>
      <c r="Y900" s="32">
        <v>4751</v>
      </c>
      <c r="AA900" s="32">
        <v>30.13</v>
      </c>
      <c r="AB900" s="32">
        <v>-99.54</v>
      </c>
      <c r="AC900" s="32">
        <v>1173</v>
      </c>
    </row>
    <row r="901" spans="3:29" ht="19">
      <c r="C901" s="22" t="s">
        <v>585</v>
      </c>
      <c r="D901" s="22" t="s">
        <v>151</v>
      </c>
      <c r="E901" s="5">
        <v>41229</v>
      </c>
      <c r="F901" s="5">
        <v>1597</v>
      </c>
      <c r="G901" s="28" t="s">
        <v>1723</v>
      </c>
      <c r="H901" s="6" t="s">
        <v>1137</v>
      </c>
      <c r="J901" s="5" t="s">
        <v>225</v>
      </c>
      <c r="K901" s="27">
        <v>5.6</v>
      </c>
      <c r="L901" s="27">
        <v>-16.5</v>
      </c>
      <c r="R901" s="27">
        <v>14.9</v>
      </c>
      <c r="S901" s="27">
        <v>3</v>
      </c>
      <c r="V901" s="32" t="s">
        <v>3353</v>
      </c>
      <c r="W901" s="32">
        <v>3</v>
      </c>
      <c r="X901" s="33" t="s">
        <v>3418</v>
      </c>
      <c r="Y901" s="32">
        <v>2446</v>
      </c>
      <c r="AA901" s="32">
        <v>30.13</v>
      </c>
      <c r="AB901" s="32">
        <v>-99.54</v>
      </c>
      <c r="AC901" s="32">
        <v>1173</v>
      </c>
    </row>
    <row r="902" spans="3:29" ht="19">
      <c r="C902" s="22" t="s">
        <v>585</v>
      </c>
      <c r="D902" s="22" t="s">
        <v>151</v>
      </c>
      <c r="E902" s="5">
        <v>41229</v>
      </c>
      <c r="F902" s="5">
        <v>16992</v>
      </c>
      <c r="G902" s="28" t="s">
        <v>1723</v>
      </c>
      <c r="H902" s="6" t="s">
        <v>1137</v>
      </c>
      <c r="J902" s="5" t="s">
        <v>225</v>
      </c>
      <c r="K902" s="27">
        <v>4.7</v>
      </c>
      <c r="L902" s="27">
        <v>-17.7</v>
      </c>
      <c r="R902" s="27">
        <v>14.8</v>
      </c>
      <c r="S902" s="27">
        <v>3</v>
      </c>
      <c r="V902" s="32" t="s">
        <v>3353</v>
      </c>
      <c r="W902" s="32">
        <v>3</v>
      </c>
      <c r="X902" s="33" t="s">
        <v>3632</v>
      </c>
      <c r="Y902" s="32">
        <v>1787</v>
      </c>
      <c r="AA902" s="32">
        <v>30.13</v>
      </c>
      <c r="AB902" s="32">
        <v>-99.54</v>
      </c>
      <c r="AC902" s="32">
        <v>1173</v>
      </c>
    </row>
    <row r="903" spans="3:29" ht="19">
      <c r="C903" s="22" t="s">
        <v>585</v>
      </c>
      <c r="D903" s="22" t="s">
        <v>151</v>
      </c>
      <c r="E903" s="5">
        <v>41229</v>
      </c>
      <c r="F903" s="5">
        <v>17045</v>
      </c>
      <c r="G903" s="28" t="s">
        <v>1723</v>
      </c>
      <c r="H903" s="6" t="s">
        <v>1137</v>
      </c>
      <c r="J903" s="5" t="s">
        <v>225</v>
      </c>
      <c r="K903" s="27">
        <v>4.3</v>
      </c>
      <c r="L903" s="27">
        <v>-13.7</v>
      </c>
      <c r="R903" s="27">
        <v>13</v>
      </c>
      <c r="S903" s="27">
        <v>3</v>
      </c>
      <c r="V903" s="32" t="s">
        <v>3353</v>
      </c>
      <c r="W903" s="32">
        <v>3</v>
      </c>
      <c r="X903" s="33" t="s">
        <v>3629</v>
      </c>
      <c r="Y903" s="32">
        <v>2116</v>
      </c>
      <c r="AA903" s="32">
        <v>30.13</v>
      </c>
      <c r="AB903" s="32">
        <v>-99.54</v>
      </c>
      <c r="AC903" s="32">
        <v>1173</v>
      </c>
    </row>
    <row r="904" spans="3:29" ht="19">
      <c r="C904" s="22" t="s">
        <v>585</v>
      </c>
      <c r="D904" s="22" t="s">
        <v>151</v>
      </c>
      <c r="E904" s="5">
        <v>41229</v>
      </c>
      <c r="F904" s="5">
        <v>17051</v>
      </c>
      <c r="G904" s="28" t="s">
        <v>1723</v>
      </c>
      <c r="H904" s="6" t="s">
        <v>1137</v>
      </c>
      <c r="J904" s="5" t="s">
        <v>225</v>
      </c>
      <c r="K904" s="27">
        <v>5.5</v>
      </c>
      <c r="L904" s="27">
        <v>-16.399999999999999</v>
      </c>
      <c r="R904" s="27">
        <v>15.5</v>
      </c>
      <c r="S904" s="27">
        <v>3</v>
      </c>
      <c r="V904" s="32" t="s">
        <v>3353</v>
      </c>
      <c r="W904" s="32">
        <v>2</v>
      </c>
      <c r="X904" s="33" t="s">
        <v>3631</v>
      </c>
      <c r="Y904" s="32">
        <v>3104</v>
      </c>
      <c r="AA904" s="32">
        <v>30.13</v>
      </c>
      <c r="AB904" s="32">
        <v>-99.54</v>
      </c>
      <c r="AC904" s="32">
        <v>1173</v>
      </c>
    </row>
    <row r="905" spans="3:29" ht="19">
      <c r="C905" s="22" t="s">
        <v>585</v>
      </c>
      <c r="D905" s="22" t="s">
        <v>151</v>
      </c>
      <c r="E905" s="5">
        <v>41229</v>
      </c>
      <c r="F905" s="5">
        <v>17052</v>
      </c>
      <c r="G905" s="28" t="s">
        <v>1723</v>
      </c>
      <c r="H905" s="6" t="s">
        <v>1137</v>
      </c>
      <c r="J905" s="5" t="s">
        <v>225</v>
      </c>
      <c r="K905" s="27">
        <v>5.2</v>
      </c>
      <c r="L905" s="27">
        <v>-17.7</v>
      </c>
      <c r="R905" s="27">
        <v>14.1</v>
      </c>
      <c r="S905" s="27">
        <v>3</v>
      </c>
      <c r="V905" s="32" t="s">
        <v>3353</v>
      </c>
      <c r="W905" s="32">
        <v>3</v>
      </c>
      <c r="X905" s="33" t="s">
        <v>3631</v>
      </c>
      <c r="Y905" s="32">
        <v>3104</v>
      </c>
      <c r="AA905" s="32">
        <v>30.13</v>
      </c>
      <c r="AB905" s="32">
        <v>-99.54</v>
      </c>
      <c r="AC905" s="32">
        <v>1173</v>
      </c>
    </row>
    <row r="906" spans="3:29" ht="19">
      <c r="C906" s="22" t="s">
        <v>585</v>
      </c>
      <c r="D906" s="22" t="s">
        <v>151</v>
      </c>
      <c r="E906" s="5">
        <v>41229</v>
      </c>
      <c r="F906" s="5">
        <v>17061</v>
      </c>
      <c r="G906" s="28" t="s">
        <v>1723</v>
      </c>
      <c r="H906" s="6" t="s">
        <v>1137</v>
      </c>
      <c r="J906" s="5" t="s">
        <v>225</v>
      </c>
      <c r="K906" s="27">
        <v>3.1</v>
      </c>
      <c r="L906" s="27">
        <v>-20.3</v>
      </c>
      <c r="R906" s="27">
        <v>15.3</v>
      </c>
      <c r="S906" s="27">
        <v>3</v>
      </c>
      <c r="V906" s="32" t="s">
        <v>3353</v>
      </c>
      <c r="W906" s="32">
        <v>3</v>
      </c>
      <c r="X906" s="33" t="s">
        <v>3461</v>
      </c>
      <c r="Y906" s="32">
        <v>3434</v>
      </c>
      <c r="AA906" s="32">
        <v>30.13</v>
      </c>
      <c r="AB906" s="32">
        <v>-99.54</v>
      </c>
      <c r="AC906" s="32">
        <v>1173</v>
      </c>
    </row>
    <row r="907" spans="3:29" ht="19">
      <c r="C907" s="22" t="s">
        <v>585</v>
      </c>
      <c r="D907" s="22" t="s">
        <v>151</v>
      </c>
      <c r="E907" s="5">
        <v>41229</v>
      </c>
      <c r="F907" s="5">
        <v>17066</v>
      </c>
      <c r="G907" s="28" t="s">
        <v>1723</v>
      </c>
      <c r="H907" s="6" t="s">
        <v>1137</v>
      </c>
      <c r="J907" s="5" t="s">
        <v>225</v>
      </c>
      <c r="K907" s="27">
        <v>6.3</v>
      </c>
      <c r="L907" s="27">
        <v>-18.399999999999999</v>
      </c>
      <c r="R907" s="27">
        <v>13.2</v>
      </c>
      <c r="S907" s="27">
        <v>3</v>
      </c>
      <c r="V907" s="32" t="s">
        <v>3353</v>
      </c>
      <c r="W907" s="32">
        <v>3</v>
      </c>
      <c r="X907" s="33" t="s">
        <v>3461</v>
      </c>
      <c r="Y907" s="32">
        <v>3434</v>
      </c>
      <c r="AA907" s="32">
        <v>30.13</v>
      </c>
      <c r="AB907" s="32">
        <v>-99.54</v>
      </c>
      <c r="AC907" s="32">
        <v>1173</v>
      </c>
    </row>
    <row r="908" spans="3:29" ht="19">
      <c r="C908" s="22" t="s">
        <v>585</v>
      </c>
      <c r="D908" s="22" t="s">
        <v>151</v>
      </c>
      <c r="E908" s="5">
        <v>41229</v>
      </c>
      <c r="F908" s="5">
        <v>17083</v>
      </c>
      <c r="G908" s="28" t="s">
        <v>1723</v>
      </c>
      <c r="H908" s="6" t="s">
        <v>1137</v>
      </c>
      <c r="J908" s="5" t="s">
        <v>225</v>
      </c>
      <c r="K908" s="27">
        <v>4</v>
      </c>
      <c r="L908" s="27">
        <v>-17.100000000000001</v>
      </c>
      <c r="R908" s="27">
        <v>14.3</v>
      </c>
      <c r="S908" s="27">
        <v>3</v>
      </c>
      <c r="V908" s="32" t="s">
        <v>3353</v>
      </c>
      <c r="W908" s="32">
        <v>2</v>
      </c>
      <c r="X908" s="33" t="s">
        <v>3484</v>
      </c>
      <c r="Y908" s="32">
        <v>4093</v>
      </c>
      <c r="AA908" s="32">
        <v>30.13</v>
      </c>
      <c r="AB908" s="32">
        <v>-99.54</v>
      </c>
      <c r="AC908" s="32">
        <v>1173</v>
      </c>
    </row>
    <row r="909" spans="3:29" ht="19">
      <c r="C909" s="22" t="s">
        <v>585</v>
      </c>
      <c r="D909" s="22" t="s">
        <v>151</v>
      </c>
      <c r="E909" s="5">
        <v>41229</v>
      </c>
      <c r="F909" s="5">
        <v>17108</v>
      </c>
      <c r="G909" s="28" t="s">
        <v>1723</v>
      </c>
      <c r="H909" s="6" t="s">
        <v>1137</v>
      </c>
      <c r="J909" s="5" t="s">
        <v>225</v>
      </c>
      <c r="K909" s="27">
        <v>6.8</v>
      </c>
      <c r="L909" s="27">
        <v>-9.9</v>
      </c>
      <c r="R909" s="27">
        <v>9.5</v>
      </c>
      <c r="S909" s="27">
        <v>3</v>
      </c>
      <c r="V909" s="32" t="s">
        <v>3353</v>
      </c>
      <c r="W909" s="32">
        <v>3</v>
      </c>
      <c r="X909" s="33" t="s">
        <v>3467</v>
      </c>
      <c r="Y909" s="32">
        <v>4422</v>
      </c>
      <c r="AA909" s="32">
        <v>30.13</v>
      </c>
      <c r="AB909" s="32">
        <v>-99.54</v>
      </c>
      <c r="AC909" s="32">
        <v>1173</v>
      </c>
    </row>
    <row r="910" spans="3:29" ht="19">
      <c r="C910" s="22" t="s">
        <v>585</v>
      </c>
      <c r="D910" s="22" t="s">
        <v>151</v>
      </c>
      <c r="E910" s="5">
        <v>41229</v>
      </c>
      <c r="F910" s="5">
        <v>17119</v>
      </c>
      <c r="G910" s="28" t="s">
        <v>1723</v>
      </c>
      <c r="H910" s="6" t="s">
        <v>1137</v>
      </c>
      <c r="J910" s="5" t="s">
        <v>225</v>
      </c>
      <c r="K910" s="27">
        <v>6.2</v>
      </c>
      <c r="L910" s="27">
        <v>-12.2</v>
      </c>
      <c r="R910" s="27">
        <v>11.6</v>
      </c>
      <c r="S910" s="27">
        <v>3</v>
      </c>
      <c r="V910" s="32" t="s">
        <v>3353</v>
      </c>
      <c r="W910" s="32">
        <v>3</v>
      </c>
      <c r="X910" s="33" t="s">
        <v>3467</v>
      </c>
      <c r="Y910" s="32">
        <v>4422</v>
      </c>
      <c r="AA910" s="32">
        <v>30.13</v>
      </c>
      <c r="AB910" s="32">
        <v>-99.54</v>
      </c>
      <c r="AC910" s="32">
        <v>1173</v>
      </c>
    </row>
    <row r="911" spans="3:29" ht="19">
      <c r="C911" s="22" t="s">
        <v>585</v>
      </c>
      <c r="D911" s="22" t="s">
        <v>151</v>
      </c>
      <c r="E911" s="5">
        <v>41229</v>
      </c>
      <c r="F911" s="5">
        <v>17143</v>
      </c>
      <c r="G911" s="28" t="s">
        <v>1723</v>
      </c>
      <c r="H911" s="6" t="s">
        <v>1137</v>
      </c>
      <c r="J911" s="5" t="s">
        <v>225</v>
      </c>
      <c r="K911" s="27">
        <v>6.6</v>
      </c>
      <c r="L911" s="27">
        <v>-13.1</v>
      </c>
      <c r="R911" s="27">
        <v>13.6</v>
      </c>
      <c r="S911" s="27">
        <v>3</v>
      </c>
      <c r="V911" s="32" t="s">
        <v>3353</v>
      </c>
      <c r="W911" s="32">
        <v>3</v>
      </c>
      <c r="X911" s="33" t="s">
        <v>3630</v>
      </c>
      <c r="Y911" s="32">
        <v>4751</v>
      </c>
      <c r="AA911" s="32">
        <v>30.13</v>
      </c>
      <c r="AB911" s="32">
        <v>-99.54</v>
      </c>
      <c r="AC911" s="32">
        <v>1173</v>
      </c>
    </row>
    <row r="912" spans="3:29" ht="19">
      <c r="C912" s="22" t="s">
        <v>585</v>
      </c>
      <c r="D912" s="22" t="s">
        <v>151</v>
      </c>
      <c r="E912" s="5">
        <v>41229</v>
      </c>
      <c r="F912" s="5">
        <v>17171</v>
      </c>
      <c r="G912" s="28" t="s">
        <v>1723</v>
      </c>
      <c r="H912" s="6" t="s">
        <v>1137</v>
      </c>
      <c r="J912" s="5" t="s">
        <v>225</v>
      </c>
      <c r="K912" s="27">
        <v>6.9</v>
      </c>
      <c r="L912" s="27">
        <v>-21.1</v>
      </c>
      <c r="R912" s="27">
        <v>13.8</v>
      </c>
      <c r="S912" s="27">
        <v>3</v>
      </c>
      <c r="V912" s="32" t="s">
        <v>3353</v>
      </c>
      <c r="W912" s="32">
        <v>3</v>
      </c>
      <c r="X912" s="33" t="s">
        <v>3485</v>
      </c>
      <c r="Y912" s="32">
        <v>5410</v>
      </c>
      <c r="AA912" s="32">
        <v>30.13</v>
      </c>
      <c r="AB912" s="32">
        <v>-99.54</v>
      </c>
      <c r="AC912" s="32">
        <v>1173</v>
      </c>
    </row>
    <row r="913" spans="3:31" ht="19">
      <c r="C913" s="22" t="s">
        <v>585</v>
      </c>
      <c r="D913" s="22" t="s">
        <v>151</v>
      </c>
      <c r="E913" s="5">
        <v>41229</v>
      </c>
      <c r="F913" s="5">
        <v>17172</v>
      </c>
      <c r="G913" s="28" t="s">
        <v>1723</v>
      </c>
      <c r="H913" s="6" t="s">
        <v>1137</v>
      </c>
      <c r="J913" s="5" t="s">
        <v>225</v>
      </c>
      <c r="K913" s="27">
        <v>5.7</v>
      </c>
      <c r="L913" s="27">
        <v>-18</v>
      </c>
      <c r="R913" s="27">
        <v>12</v>
      </c>
      <c r="S913" s="27">
        <v>3</v>
      </c>
      <c r="V913" s="32" t="s">
        <v>3353</v>
      </c>
      <c r="W913" s="32">
        <v>2</v>
      </c>
      <c r="X913" s="33" t="s">
        <v>3485</v>
      </c>
      <c r="Y913" s="32">
        <v>5410</v>
      </c>
      <c r="AA913" s="32">
        <v>30.13</v>
      </c>
      <c r="AB913" s="32">
        <v>-99.54</v>
      </c>
      <c r="AC913" s="32">
        <v>1173</v>
      </c>
    </row>
    <row r="914" spans="3:31" ht="19">
      <c r="C914" s="22" t="s">
        <v>585</v>
      </c>
      <c r="D914" s="22" t="s">
        <v>151</v>
      </c>
      <c r="E914" s="5">
        <v>41229</v>
      </c>
      <c r="F914" s="5">
        <v>17232</v>
      </c>
      <c r="G914" s="28" t="s">
        <v>1723</v>
      </c>
      <c r="H914" s="6" t="s">
        <v>1137</v>
      </c>
      <c r="J914" s="5" t="s">
        <v>225</v>
      </c>
      <c r="K914" s="27">
        <v>6.2</v>
      </c>
      <c r="L914" s="27">
        <v>-21.4</v>
      </c>
      <c r="R914" s="27">
        <v>12.1</v>
      </c>
      <c r="S914" s="27">
        <v>3</v>
      </c>
      <c r="V914" s="32" t="s">
        <v>3353</v>
      </c>
      <c r="W914" s="32">
        <v>2</v>
      </c>
      <c r="X914" s="33" t="s">
        <v>3465</v>
      </c>
      <c r="Y914" s="32">
        <v>6728</v>
      </c>
      <c r="AA914" s="32">
        <v>30.13</v>
      </c>
      <c r="AB914" s="32">
        <v>-99.54</v>
      </c>
      <c r="AC914" s="32">
        <v>1173</v>
      </c>
    </row>
    <row r="915" spans="3:31" ht="19">
      <c r="C915" s="22" t="s">
        <v>585</v>
      </c>
      <c r="D915" s="22" t="s">
        <v>151</v>
      </c>
      <c r="E915" s="5">
        <v>41229</v>
      </c>
      <c r="F915" s="5">
        <v>17235</v>
      </c>
      <c r="G915" s="28" t="s">
        <v>1723</v>
      </c>
      <c r="H915" s="6" t="s">
        <v>1137</v>
      </c>
      <c r="J915" s="5" t="s">
        <v>225</v>
      </c>
      <c r="K915" s="27">
        <v>6.2</v>
      </c>
      <c r="L915" s="27">
        <v>-17.8</v>
      </c>
      <c r="R915" s="27">
        <v>13.4</v>
      </c>
      <c r="S915" s="27">
        <v>3</v>
      </c>
      <c r="V915" s="32" t="s">
        <v>3353</v>
      </c>
      <c r="W915" s="32">
        <v>3</v>
      </c>
      <c r="X915" s="33" t="s">
        <v>3465</v>
      </c>
      <c r="Y915" s="32">
        <v>6728</v>
      </c>
      <c r="AA915" s="32">
        <v>30.13</v>
      </c>
      <c r="AB915" s="32">
        <v>-99.54</v>
      </c>
      <c r="AC915" s="32">
        <v>1173</v>
      </c>
    </row>
    <row r="916" spans="3:31" ht="19">
      <c r="C916" s="22" t="s">
        <v>585</v>
      </c>
      <c r="D916" s="22" t="s">
        <v>151</v>
      </c>
      <c r="E916" s="5">
        <v>41229</v>
      </c>
      <c r="F916" s="5">
        <v>17239</v>
      </c>
      <c r="G916" s="28" t="s">
        <v>1723</v>
      </c>
      <c r="H916" s="6" t="s">
        <v>1137</v>
      </c>
      <c r="J916" s="5" t="s">
        <v>225</v>
      </c>
      <c r="K916" s="27">
        <v>5.2</v>
      </c>
      <c r="L916" s="27">
        <v>-22.3</v>
      </c>
      <c r="R916" s="27">
        <v>11.9</v>
      </c>
      <c r="S916" s="27">
        <v>3</v>
      </c>
      <c r="V916" s="32" t="s">
        <v>3353</v>
      </c>
      <c r="W916" s="32">
        <v>3</v>
      </c>
      <c r="X916" s="33" t="s">
        <v>3633</v>
      </c>
      <c r="Y916" s="32">
        <v>7057</v>
      </c>
      <c r="AA916" s="32">
        <v>30.13</v>
      </c>
      <c r="AB916" s="32">
        <v>-99.54</v>
      </c>
      <c r="AC916" s="32">
        <v>1173</v>
      </c>
    </row>
    <row r="917" spans="3:31" ht="19">
      <c r="C917" s="22" t="s">
        <v>585</v>
      </c>
      <c r="D917" s="22" t="s">
        <v>151</v>
      </c>
      <c r="E917" s="5">
        <v>41229</v>
      </c>
      <c r="F917" s="5">
        <v>17248</v>
      </c>
      <c r="G917" s="28" t="s">
        <v>1723</v>
      </c>
      <c r="H917" s="6" t="s">
        <v>1137</v>
      </c>
      <c r="J917" s="5" t="s">
        <v>225</v>
      </c>
      <c r="K917" s="27">
        <v>6.1</v>
      </c>
      <c r="L917" s="27">
        <v>-22.2</v>
      </c>
      <c r="R917" s="27">
        <v>14</v>
      </c>
      <c r="S917" s="27">
        <v>3</v>
      </c>
      <c r="V917" s="32" t="s">
        <v>3353</v>
      </c>
      <c r="W917" s="32">
        <v>2</v>
      </c>
      <c r="X917" s="33" t="s">
        <v>3633</v>
      </c>
      <c r="Y917" s="32">
        <v>7057</v>
      </c>
      <c r="AA917" s="32">
        <v>30.13</v>
      </c>
      <c r="AB917" s="32">
        <v>-99.54</v>
      </c>
      <c r="AC917" s="32">
        <v>1173</v>
      </c>
    </row>
    <row r="918" spans="3:31" ht="19">
      <c r="C918" s="22" t="s">
        <v>585</v>
      </c>
      <c r="D918" s="22" t="s">
        <v>151</v>
      </c>
      <c r="E918" s="5">
        <v>41229</v>
      </c>
      <c r="F918" s="5">
        <v>17296</v>
      </c>
      <c r="G918" s="28" t="s">
        <v>1723</v>
      </c>
      <c r="H918" s="6" t="s">
        <v>1137</v>
      </c>
      <c r="J918" s="5" t="s">
        <v>225</v>
      </c>
      <c r="K918" s="27">
        <v>6.3</v>
      </c>
      <c r="L918" s="27">
        <v>-20.100000000000001</v>
      </c>
      <c r="R918" s="27">
        <v>12.3</v>
      </c>
      <c r="S918" s="27">
        <v>3</v>
      </c>
      <c r="V918" s="32" t="s">
        <v>3353</v>
      </c>
      <c r="W918" s="32">
        <v>2</v>
      </c>
      <c r="X918" s="33" t="s">
        <v>3521</v>
      </c>
      <c r="Y918" s="32">
        <v>8375</v>
      </c>
      <c r="AA918" s="32">
        <v>30.13</v>
      </c>
      <c r="AB918" s="32">
        <v>-99.54</v>
      </c>
      <c r="AC918" s="32">
        <v>1173</v>
      </c>
      <c r="AD918" s="44"/>
      <c r="AE918" s="44"/>
    </row>
    <row r="919" spans="3:31" ht="19">
      <c r="C919" s="22" t="s">
        <v>585</v>
      </c>
      <c r="D919" s="22" t="s">
        <v>151</v>
      </c>
      <c r="E919" s="5">
        <v>41229</v>
      </c>
      <c r="F919" s="5">
        <v>17310</v>
      </c>
      <c r="G919" s="28" t="s">
        <v>1723</v>
      </c>
      <c r="H919" s="6" t="s">
        <v>1137</v>
      </c>
      <c r="J919" s="5" t="s">
        <v>225</v>
      </c>
      <c r="K919" s="27">
        <v>5.8</v>
      </c>
      <c r="L919" s="27">
        <v>-16.399999999999999</v>
      </c>
      <c r="R919" s="27">
        <v>15</v>
      </c>
      <c r="S919" s="27">
        <v>3</v>
      </c>
      <c r="V919" s="32" t="s">
        <v>3353</v>
      </c>
      <c r="W919" s="32">
        <v>2</v>
      </c>
      <c r="X919" s="33" t="s">
        <v>3519</v>
      </c>
      <c r="Y919" s="32">
        <v>8704</v>
      </c>
      <c r="AA919" s="32">
        <v>30.13</v>
      </c>
      <c r="AB919" s="32">
        <v>-99.54</v>
      </c>
      <c r="AC919" s="32">
        <v>1173</v>
      </c>
    </row>
    <row r="920" spans="3:31" ht="19">
      <c r="C920" s="22" t="s">
        <v>585</v>
      </c>
      <c r="D920" s="22" t="s">
        <v>151</v>
      </c>
      <c r="E920" s="5">
        <v>41229</v>
      </c>
      <c r="F920" s="5">
        <v>17311</v>
      </c>
      <c r="G920" s="28" t="s">
        <v>1723</v>
      </c>
      <c r="H920" s="6" t="s">
        <v>1137</v>
      </c>
      <c r="J920" s="5" t="s">
        <v>225</v>
      </c>
      <c r="K920" s="27">
        <v>6</v>
      </c>
      <c r="L920" s="27">
        <v>-15.8</v>
      </c>
      <c r="R920" s="27">
        <v>15.1</v>
      </c>
      <c r="S920" s="27">
        <v>3</v>
      </c>
      <c r="V920" s="32" t="s">
        <v>3353</v>
      </c>
      <c r="W920" s="32">
        <v>3</v>
      </c>
      <c r="X920" s="33" t="s">
        <v>3519</v>
      </c>
      <c r="Y920" s="32">
        <v>8704</v>
      </c>
      <c r="AA920" s="32">
        <v>30.13</v>
      </c>
      <c r="AB920" s="32">
        <v>-99.54</v>
      </c>
      <c r="AC920" s="32">
        <v>1173</v>
      </c>
    </row>
    <row r="921" spans="3:31" ht="19">
      <c r="C921" s="22" t="s">
        <v>585</v>
      </c>
      <c r="D921" s="22" t="s">
        <v>151</v>
      </c>
      <c r="E921" s="5">
        <v>41229</v>
      </c>
      <c r="F921" s="5">
        <v>17327</v>
      </c>
      <c r="G921" s="28" t="s">
        <v>1723</v>
      </c>
      <c r="H921" s="6" t="s">
        <v>1137</v>
      </c>
      <c r="J921" s="5" t="s">
        <v>225</v>
      </c>
      <c r="K921" s="27">
        <v>4.7</v>
      </c>
      <c r="L921" s="27">
        <v>-21.8</v>
      </c>
      <c r="R921" s="27">
        <v>11.8</v>
      </c>
      <c r="S921" s="27">
        <v>3</v>
      </c>
      <c r="V921" s="32" t="s">
        <v>3353</v>
      </c>
      <c r="W921" s="32">
        <v>2</v>
      </c>
      <c r="X921" s="33" t="s">
        <v>3520</v>
      </c>
      <c r="Y921" s="32">
        <v>9033</v>
      </c>
      <c r="AA921" s="32">
        <v>30.13</v>
      </c>
      <c r="AB921" s="32">
        <v>-99.54</v>
      </c>
      <c r="AC921" s="32">
        <v>1173</v>
      </c>
    </row>
    <row r="922" spans="3:31" ht="19">
      <c r="C922" s="22" t="s">
        <v>585</v>
      </c>
      <c r="D922" s="22" t="s">
        <v>151</v>
      </c>
      <c r="E922" s="5">
        <v>41229</v>
      </c>
      <c r="F922" s="5">
        <v>17415</v>
      </c>
      <c r="G922" s="28" t="s">
        <v>1723</v>
      </c>
      <c r="H922" s="6" t="s">
        <v>1137</v>
      </c>
      <c r="J922" s="5" t="s">
        <v>225</v>
      </c>
      <c r="K922" s="27">
        <v>6.3</v>
      </c>
      <c r="L922" s="27">
        <v>-22.4</v>
      </c>
      <c r="R922" s="27">
        <v>11.6</v>
      </c>
      <c r="S922" s="27">
        <v>3</v>
      </c>
      <c r="V922" s="32" t="s">
        <v>3353</v>
      </c>
      <c r="W922" s="32">
        <v>2</v>
      </c>
      <c r="X922" s="33" t="s">
        <v>3365</v>
      </c>
      <c r="Y922" s="32">
        <v>10351</v>
      </c>
      <c r="AA922" s="32">
        <v>30.13</v>
      </c>
      <c r="AB922" s="32">
        <v>-99.54</v>
      </c>
      <c r="AC922" s="32">
        <v>1173</v>
      </c>
    </row>
    <row r="923" spans="3:31" ht="19">
      <c r="C923" s="22" t="s">
        <v>585</v>
      </c>
      <c r="D923" s="22" t="s">
        <v>151</v>
      </c>
      <c r="E923" s="5">
        <v>41229</v>
      </c>
      <c r="F923" s="5">
        <v>17416</v>
      </c>
      <c r="G923" s="28" t="s">
        <v>1723</v>
      </c>
      <c r="H923" s="6" t="s">
        <v>1137</v>
      </c>
      <c r="J923" s="5" t="s">
        <v>225</v>
      </c>
      <c r="K923" s="27">
        <v>4.9000000000000004</v>
      </c>
      <c r="L923" s="27">
        <v>-18</v>
      </c>
      <c r="R923" s="27">
        <v>11.4</v>
      </c>
      <c r="S923" s="27">
        <v>3</v>
      </c>
      <c r="V923" s="32" t="s">
        <v>3353</v>
      </c>
      <c r="W923" s="32">
        <v>3</v>
      </c>
      <c r="X923" s="33" t="s">
        <v>3365</v>
      </c>
      <c r="Y923" s="32">
        <v>10351</v>
      </c>
      <c r="AA923" s="32">
        <v>30.13</v>
      </c>
      <c r="AB923" s="32">
        <v>-99.54</v>
      </c>
      <c r="AC923" s="32">
        <v>1173</v>
      </c>
    </row>
    <row r="924" spans="3:31" ht="19">
      <c r="C924" s="22" t="s">
        <v>585</v>
      </c>
      <c r="D924" s="22" t="s">
        <v>151</v>
      </c>
      <c r="E924" s="5">
        <v>41229</v>
      </c>
      <c r="F924" s="5">
        <v>17417</v>
      </c>
      <c r="G924" s="28" t="s">
        <v>1723</v>
      </c>
      <c r="H924" s="6" t="s">
        <v>1137</v>
      </c>
      <c r="J924" s="5" t="s">
        <v>225</v>
      </c>
      <c r="K924" s="27">
        <v>6.1</v>
      </c>
      <c r="L924" s="27">
        <v>-21</v>
      </c>
      <c r="R924" s="27">
        <v>6.1</v>
      </c>
      <c r="S924" s="27">
        <v>3</v>
      </c>
      <c r="V924" s="32" t="s">
        <v>3353</v>
      </c>
      <c r="W924" s="32">
        <v>3</v>
      </c>
      <c r="X924" s="33" t="s">
        <v>3365</v>
      </c>
      <c r="Y924" s="32">
        <v>10351</v>
      </c>
      <c r="AA924" s="32">
        <v>30.13</v>
      </c>
      <c r="AB924" s="32">
        <v>-99.54</v>
      </c>
      <c r="AC924" s="32">
        <v>1173</v>
      </c>
    </row>
    <row r="925" spans="3:31" ht="19">
      <c r="C925" s="22" t="s">
        <v>585</v>
      </c>
      <c r="D925" s="22" t="s">
        <v>151</v>
      </c>
      <c r="E925" s="5">
        <v>41229</v>
      </c>
      <c r="F925" s="5">
        <v>17453</v>
      </c>
      <c r="G925" s="28" t="s">
        <v>1723</v>
      </c>
      <c r="H925" s="6" t="s">
        <v>1137</v>
      </c>
      <c r="J925" s="5" t="s">
        <v>225</v>
      </c>
      <c r="K925" s="27">
        <v>6.5</v>
      </c>
      <c r="L925" s="27">
        <v>-20.9</v>
      </c>
      <c r="R925" s="27">
        <v>10.4</v>
      </c>
      <c r="S925" s="27">
        <v>3</v>
      </c>
      <c r="V925" s="32" t="s">
        <v>3353</v>
      </c>
      <c r="W925" s="32">
        <v>2</v>
      </c>
      <c r="X925" s="33" t="s">
        <v>3537</v>
      </c>
      <c r="Y925" s="32">
        <v>11010</v>
      </c>
      <c r="AA925" s="32">
        <v>30.13</v>
      </c>
      <c r="AB925" s="32">
        <v>-99.54</v>
      </c>
      <c r="AC925" s="32">
        <v>1173</v>
      </c>
    </row>
    <row r="926" spans="3:31" ht="19">
      <c r="C926" s="22" t="s">
        <v>585</v>
      </c>
      <c r="D926" s="22" t="s">
        <v>151</v>
      </c>
      <c r="E926" s="5">
        <v>41229</v>
      </c>
      <c r="F926" s="5">
        <v>5922</v>
      </c>
      <c r="G926" s="28" t="s">
        <v>1723</v>
      </c>
      <c r="H926" s="6" t="s">
        <v>1137</v>
      </c>
      <c r="J926" s="5" t="s">
        <v>225</v>
      </c>
      <c r="K926" s="27">
        <v>6.6</v>
      </c>
      <c r="L926" s="27">
        <v>-18.100000000000001</v>
      </c>
      <c r="R926" s="27">
        <v>14.8</v>
      </c>
      <c r="S926" s="27">
        <v>3</v>
      </c>
      <c r="V926" s="32" t="s">
        <v>3353</v>
      </c>
      <c r="W926" s="32">
        <v>2</v>
      </c>
      <c r="X926" s="33" t="s">
        <v>3484</v>
      </c>
      <c r="Y926" s="32">
        <v>4093</v>
      </c>
      <c r="AA926" s="32">
        <v>30.13</v>
      </c>
      <c r="AB926" s="32">
        <v>-99.54</v>
      </c>
      <c r="AC926" s="32">
        <v>1173</v>
      </c>
    </row>
    <row r="927" spans="3:31" ht="19">
      <c r="C927" s="22" t="s">
        <v>585</v>
      </c>
      <c r="D927" s="22" t="s">
        <v>151</v>
      </c>
      <c r="E927" s="5">
        <v>41229</v>
      </c>
      <c r="F927" s="5">
        <v>7429</v>
      </c>
      <c r="G927" s="28" t="s">
        <v>1723</v>
      </c>
      <c r="H927" s="6" t="s">
        <v>1137</v>
      </c>
      <c r="J927" s="5" t="s">
        <v>225</v>
      </c>
      <c r="K927" s="27">
        <v>6.6</v>
      </c>
      <c r="L927" s="27">
        <v>-13</v>
      </c>
      <c r="R927" s="27">
        <v>14.8</v>
      </c>
      <c r="S927" s="27">
        <v>3</v>
      </c>
      <c r="V927" s="32" t="s">
        <v>3353</v>
      </c>
      <c r="W927" s="32">
        <v>3</v>
      </c>
      <c r="X927" s="33" t="s">
        <v>3418</v>
      </c>
      <c r="Y927" s="32">
        <v>2446</v>
      </c>
      <c r="AA927" s="32">
        <v>30.13</v>
      </c>
      <c r="AB927" s="32">
        <v>-99.54</v>
      </c>
      <c r="AC927" s="32">
        <v>1173</v>
      </c>
    </row>
    <row r="928" spans="3:31" ht="19">
      <c r="C928" s="22" t="s">
        <v>585</v>
      </c>
      <c r="D928" s="22" t="s">
        <v>151</v>
      </c>
      <c r="E928" s="5">
        <v>41229</v>
      </c>
      <c r="F928" s="5">
        <v>10351</v>
      </c>
      <c r="G928" s="28" t="s">
        <v>1723</v>
      </c>
      <c r="H928" s="6" t="s">
        <v>1137</v>
      </c>
      <c r="J928" s="5" t="s">
        <v>225</v>
      </c>
      <c r="K928" s="27">
        <v>6</v>
      </c>
      <c r="L928" s="27">
        <v>-15.8</v>
      </c>
      <c r="R928" s="27">
        <v>15.3</v>
      </c>
      <c r="S928" s="27">
        <v>2.9</v>
      </c>
      <c r="V928" s="32" t="s">
        <v>3353</v>
      </c>
      <c r="W928" s="32">
        <v>2</v>
      </c>
      <c r="X928" s="33" t="s">
        <v>3418</v>
      </c>
      <c r="Y928" s="32">
        <v>2446</v>
      </c>
      <c r="AA928" s="32">
        <v>30.13</v>
      </c>
      <c r="AB928" s="32">
        <v>-99.54</v>
      </c>
      <c r="AC928" s="32">
        <v>1173</v>
      </c>
    </row>
    <row r="929" spans="3:29" ht="19">
      <c r="C929" s="22" t="s">
        <v>585</v>
      </c>
      <c r="D929" s="22" t="s">
        <v>151</v>
      </c>
      <c r="E929" s="5">
        <v>41229</v>
      </c>
      <c r="F929" s="5">
        <v>1598</v>
      </c>
      <c r="G929" s="28" t="s">
        <v>1723</v>
      </c>
      <c r="H929" s="6" t="s">
        <v>1137</v>
      </c>
      <c r="J929" s="5" t="s">
        <v>225</v>
      </c>
      <c r="K929" s="27">
        <v>5.9</v>
      </c>
      <c r="L929" s="27">
        <v>-13.8</v>
      </c>
      <c r="R929" s="27">
        <v>14.5</v>
      </c>
      <c r="S929" s="27">
        <v>2.9</v>
      </c>
      <c r="V929" s="32" t="s">
        <v>3353</v>
      </c>
      <c r="W929" s="32">
        <v>3</v>
      </c>
      <c r="X929" s="33" t="s">
        <v>3418</v>
      </c>
      <c r="Y929" s="32">
        <v>2446</v>
      </c>
      <c r="AA929" s="32">
        <v>30.13</v>
      </c>
      <c r="AB929" s="32">
        <v>-99.54</v>
      </c>
      <c r="AC929" s="32">
        <v>1173</v>
      </c>
    </row>
    <row r="930" spans="3:29" ht="19">
      <c r="C930" s="22" t="s">
        <v>585</v>
      </c>
      <c r="D930" s="22" t="s">
        <v>151</v>
      </c>
      <c r="E930" s="5">
        <v>41229</v>
      </c>
      <c r="F930" s="5">
        <v>16974</v>
      </c>
      <c r="G930" s="28" t="s">
        <v>1723</v>
      </c>
      <c r="H930" s="6" t="s">
        <v>1137</v>
      </c>
      <c r="J930" s="5" t="s">
        <v>225</v>
      </c>
      <c r="K930" s="27">
        <v>5.7</v>
      </c>
      <c r="L930" s="27">
        <v>-18.5</v>
      </c>
      <c r="R930" s="27">
        <v>15.3</v>
      </c>
      <c r="S930" s="27">
        <v>2.9</v>
      </c>
      <c r="V930" s="32" t="s">
        <v>3353</v>
      </c>
      <c r="W930" s="32">
        <v>2</v>
      </c>
      <c r="X930" s="33" t="s">
        <v>3479</v>
      </c>
      <c r="Y930" s="32">
        <v>1458</v>
      </c>
      <c r="AA930" s="32">
        <v>30.13</v>
      </c>
      <c r="AB930" s="32">
        <v>-99.54</v>
      </c>
      <c r="AC930" s="32">
        <v>1173</v>
      </c>
    </row>
    <row r="931" spans="3:29" ht="19">
      <c r="C931" s="22" t="s">
        <v>585</v>
      </c>
      <c r="D931" s="22" t="s">
        <v>151</v>
      </c>
      <c r="E931" s="5">
        <v>41229</v>
      </c>
      <c r="F931" s="5">
        <v>16978</v>
      </c>
      <c r="G931" s="28" t="s">
        <v>1723</v>
      </c>
      <c r="H931" s="6" t="s">
        <v>1137</v>
      </c>
      <c r="J931" s="5" t="s">
        <v>225</v>
      </c>
      <c r="K931" s="27">
        <v>4.2</v>
      </c>
      <c r="L931" s="27">
        <v>-17.899999999999999</v>
      </c>
      <c r="R931" s="27">
        <v>15.2</v>
      </c>
      <c r="S931" s="27">
        <v>2.9</v>
      </c>
      <c r="V931" s="32" t="s">
        <v>3353</v>
      </c>
      <c r="W931" s="32">
        <v>2</v>
      </c>
      <c r="X931" s="33" t="s">
        <v>3479</v>
      </c>
      <c r="Y931" s="32">
        <v>1458</v>
      </c>
      <c r="AA931" s="32">
        <v>30.13</v>
      </c>
      <c r="AB931" s="32">
        <v>-99.54</v>
      </c>
      <c r="AC931" s="32">
        <v>1173</v>
      </c>
    </row>
    <row r="932" spans="3:29" ht="19">
      <c r="C932" s="22" t="s">
        <v>585</v>
      </c>
      <c r="D932" s="22" t="s">
        <v>151</v>
      </c>
      <c r="E932" s="5">
        <v>41229</v>
      </c>
      <c r="F932" s="5">
        <v>16997</v>
      </c>
      <c r="G932" s="28" t="s">
        <v>1723</v>
      </c>
      <c r="H932" s="6" t="s">
        <v>1137</v>
      </c>
      <c r="J932" s="5" t="s">
        <v>225</v>
      </c>
      <c r="K932" s="27">
        <v>4.5999999999999996</v>
      </c>
      <c r="L932" s="27">
        <v>-17.7</v>
      </c>
      <c r="R932" s="27">
        <v>17</v>
      </c>
      <c r="S932" s="27">
        <v>2.9</v>
      </c>
      <c r="V932" s="32" t="s">
        <v>3353</v>
      </c>
      <c r="W932" s="32">
        <v>3</v>
      </c>
      <c r="X932" s="33" t="s">
        <v>3632</v>
      </c>
      <c r="Y932" s="32">
        <v>1787</v>
      </c>
      <c r="AA932" s="32">
        <v>30.13</v>
      </c>
      <c r="AB932" s="32">
        <v>-99.54</v>
      </c>
      <c r="AC932" s="32">
        <v>1173</v>
      </c>
    </row>
    <row r="933" spans="3:29" ht="19">
      <c r="C933" s="22" t="s">
        <v>585</v>
      </c>
      <c r="D933" s="22" t="s">
        <v>151</v>
      </c>
      <c r="E933" s="5">
        <v>41229</v>
      </c>
      <c r="F933" s="5">
        <v>17003</v>
      </c>
      <c r="G933" s="28" t="s">
        <v>1723</v>
      </c>
      <c r="H933" s="6" t="s">
        <v>1137</v>
      </c>
      <c r="J933" s="5" t="s">
        <v>225</v>
      </c>
      <c r="K933" s="27">
        <v>3.5</v>
      </c>
      <c r="L933" s="27">
        <v>-21.5</v>
      </c>
      <c r="R933" s="27">
        <v>15.5</v>
      </c>
      <c r="S933" s="27">
        <v>2.9</v>
      </c>
      <c r="V933" s="32" t="s">
        <v>3353</v>
      </c>
      <c r="W933" s="32">
        <v>2</v>
      </c>
      <c r="X933" s="33" t="s">
        <v>3629</v>
      </c>
      <c r="Y933" s="32">
        <v>2116</v>
      </c>
      <c r="AA933" s="32">
        <v>30.13</v>
      </c>
      <c r="AB933" s="32">
        <v>-99.54</v>
      </c>
      <c r="AC933" s="32">
        <v>1173</v>
      </c>
    </row>
    <row r="934" spans="3:29" ht="19">
      <c r="C934" s="22" t="s">
        <v>585</v>
      </c>
      <c r="D934" s="22" t="s">
        <v>151</v>
      </c>
      <c r="E934" s="5">
        <v>41229</v>
      </c>
      <c r="F934" s="5">
        <v>17026</v>
      </c>
      <c r="G934" s="28" t="s">
        <v>1723</v>
      </c>
      <c r="H934" s="6" t="s">
        <v>1137</v>
      </c>
      <c r="J934" s="5" t="s">
        <v>225</v>
      </c>
      <c r="K934" s="27">
        <v>4.0999999999999996</v>
      </c>
      <c r="L934" s="27">
        <v>-17.8</v>
      </c>
      <c r="R934" s="27">
        <v>16.600000000000001</v>
      </c>
      <c r="S934" s="27">
        <v>2.9</v>
      </c>
      <c r="V934" s="32" t="s">
        <v>3353</v>
      </c>
      <c r="W934" s="32">
        <v>2</v>
      </c>
      <c r="X934" s="33" t="s">
        <v>3629</v>
      </c>
      <c r="Y934" s="32">
        <v>2116</v>
      </c>
      <c r="AA934" s="32">
        <v>30.13</v>
      </c>
      <c r="AB934" s="32">
        <v>-99.54</v>
      </c>
      <c r="AC934" s="32">
        <v>1173</v>
      </c>
    </row>
    <row r="935" spans="3:29" ht="19">
      <c r="C935" s="22" t="s">
        <v>585</v>
      </c>
      <c r="D935" s="22" t="s">
        <v>151</v>
      </c>
      <c r="E935" s="5">
        <v>41229</v>
      </c>
      <c r="F935" s="5">
        <v>17029</v>
      </c>
      <c r="G935" s="28" t="s">
        <v>1723</v>
      </c>
      <c r="H935" s="6" t="s">
        <v>1137</v>
      </c>
      <c r="J935" s="5" t="s">
        <v>225</v>
      </c>
      <c r="K935" s="27">
        <v>3</v>
      </c>
      <c r="L935" s="27">
        <v>-21.3</v>
      </c>
      <c r="R935" s="27">
        <v>15.8</v>
      </c>
      <c r="S935" s="27">
        <v>2.9</v>
      </c>
      <c r="V935" s="32" t="s">
        <v>3353</v>
      </c>
      <c r="W935" s="32">
        <v>2</v>
      </c>
      <c r="X935" s="33" t="s">
        <v>3629</v>
      </c>
      <c r="Y935" s="32">
        <v>2116</v>
      </c>
      <c r="AA935" s="32">
        <v>30.13</v>
      </c>
      <c r="AB935" s="32">
        <v>-99.54</v>
      </c>
      <c r="AC935" s="32">
        <v>1173</v>
      </c>
    </row>
    <row r="936" spans="3:29" ht="19">
      <c r="C936" s="22" t="s">
        <v>585</v>
      </c>
      <c r="D936" s="22" t="s">
        <v>151</v>
      </c>
      <c r="E936" s="5">
        <v>41229</v>
      </c>
      <c r="F936" s="5">
        <v>17031</v>
      </c>
      <c r="G936" s="28" t="s">
        <v>1723</v>
      </c>
      <c r="H936" s="6" t="s">
        <v>1137</v>
      </c>
      <c r="J936" s="5" t="s">
        <v>225</v>
      </c>
      <c r="K936" s="27">
        <v>6</v>
      </c>
      <c r="L936" s="27">
        <v>-15.9</v>
      </c>
      <c r="R936" s="27">
        <v>16.899999999999999</v>
      </c>
      <c r="S936" s="27">
        <v>2.9</v>
      </c>
      <c r="V936" s="32" t="s">
        <v>3353</v>
      </c>
      <c r="W936" s="32">
        <v>3</v>
      </c>
      <c r="X936" s="33" t="s">
        <v>3629</v>
      </c>
      <c r="Y936" s="32">
        <v>2116</v>
      </c>
      <c r="AA936" s="32">
        <v>30.13</v>
      </c>
      <c r="AB936" s="32">
        <v>-99.54</v>
      </c>
      <c r="AC936" s="32">
        <v>1173</v>
      </c>
    </row>
    <row r="937" spans="3:29" ht="19">
      <c r="C937" s="22" t="s">
        <v>585</v>
      </c>
      <c r="D937" s="22" t="s">
        <v>151</v>
      </c>
      <c r="E937" s="5">
        <v>41229</v>
      </c>
      <c r="F937" s="5">
        <v>17032</v>
      </c>
      <c r="G937" s="28" t="s">
        <v>1723</v>
      </c>
      <c r="H937" s="6" t="s">
        <v>1137</v>
      </c>
      <c r="J937" s="5" t="s">
        <v>225</v>
      </c>
      <c r="K937" s="27">
        <v>3.7</v>
      </c>
      <c r="L937" s="27">
        <v>-18.100000000000001</v>
      </c>
      <c r="R937" s="27">
        <v>15.6</v>
      </c>
      <c r="S937" s="27">
        <v>2.9</v>
      </c>
      <c r="V937" s="32" t="s">
        <v>3353</v>
      </c>
      <c r="W937" s="32">
        <v>2</v>
      </c>
      <c r="X937" s="33" t="s">
        <v>3629</v>
      </c>
      <c r="Y937" s="32">
        <v>2116</v>
      </c>
      <c r="AA937" s="32">
        <v>30.13</v>
      </c>
      <c r="AB937" s="32">
        <v>-99.54</v>
      </c>
      <c r="AC937" s="32">
        <v>1173</v>
      </c>
    </row>
    <row r="938" spans="3:29" ht="19">
      <c r="C938" s="22" t="s">
        <v>585</v>
      </c>
      <c r="D938" s="22" t="s">
        <v>151</v>
      </c>
      <c r="E938" s="5">
        <v>41229</v>
      </c>
      <c r="F938" s="5">
        <v>17035</v>
      </c>
      <c r="G938" s="28" t="s">
        <v>1723</v>
      </c>
      <c r="H938" s="6" t="s">
        <v>1137</v>
      </c>
      <c r="J938" s="5" t="s">
        <v>225</v>
      </c>
      <c r="K938" s="27">
        <v>4.2</v>
      </c>
      <c r="L938" s="27">
        <v>-15.1</v>
      </c>
      <c r="R938" s="27">
        <v>15.7</v>
      </c>
      <c r="S938" s="27">
        <v>2.9</v>
      </c>
      <c r="V938" s="32" t="s">
        <v>3353</v>
      </c>
      <c r="W938" s="32">
        <v>2</v>
      </c>
      <c r="X938" s="33" t="s">
        <v>3629</v>
      </c>
      <c r="Y938" s="32">
        <v>2116</v>
      </c>
      <c r="AA938" s="32">
        <v>30.13</v>
      </c>
      <c r="AB938" s="32">
        <v>-99.54</v>
      </c>
      <c r="AC938" s="32">
        <v>1173</v>
      </c>
    </row>
    <row r="939" spans="3:29" ht="19">
      <c r="C939" s="22" t="s">
        <v>585</v>
      </c>
      <c r="D939" s="22" t="s">
        <v>151</v>
      </c>
      <c r="E939" s="5">
        <v>41229</v>
      </c>
      <c r="F939" s="5">
        <v>17041</v>
      </c>
      <c r="G939" s="28" t="s">
        <v>1723</v>
      </c>
      <c r="H939" s="6" t="s">
        <v>1137</v>
      </c>
      <c r="J939" s="5" t="s">
        <v>225</v>
      </c>
      <c r="K939" s="27">
        <v>5.2</v>
      </c>
      <c r="L939" s="27">
        <v>-16.100000000000001</v>
      </c>
      <c r="R939" s="27">
        <v>15.2</v>
      </c>
      <c r="S939" s="27">
        <v>2.9</v>
      </c>
      <c r="V939" s="32" t="s">
        <v>3353</v>
      </c>
      <c r="W939" s="32">
        <v>2</v>
      </c>
      <c r="X939" s="33" t="s">
        <v>3629</v>
      </c>
      <c r="Y939" s="32">
        <v>2116</v>
      </c>
      <c r="AA939" s="32">
        <v>30.13</v>
      </c>
      <c r="AB939" s="32">
        <v>-99.54</v>
      </c>
      <c r="AC939" s="32">
        <v>1173</v>
      </c>
    </row>
    <row r="940" spans="3:29" ht="19">
      <c r="C940" s="22" t="s">
        <v>585</v>
      </c>
      <c r="D940" s="22" t="s">
        <v>151</v>
      </c>
      <c r="E940" s="5">
        <v>41229</v>
      </c>
      <c r="F940" s="5">
        <v>17044</v>
      </c>
      <c r="G940" s="28" t="s">
        <v>1723</v>
      </c>
      <c r="H940" s="6" t="s">
        <v>1137</v>
      </c>
      <c r="J940" s="5" t="s">
        <v>225</v>
      </c>
      <c r="K940" s="27">
        <v>4.7</v>
      </c>
      <c r="L940" s="27">
        <v>-15.5</v>
      </c>
      <c r="R940" s="27">
        <v>13.9</v>
      </c>
      <c r="S940" s="27">
        <v>2.9</v>
      </c>
      <c r="V940" s="32" t="s">
        <v>3353</v>
      </c>
      <c r="W940" s="32">
        <v>2</v>
      </c>
      <c r="X940" s="33" t="s">
        <v>3629</v>
      </c>
      <c r="Y940" s="32">
        <v>2116</v>
      </c>
      <c r="AA940" s="32">
        <v>30.13</v>
      </c>
      <c r="AB940" s="32">
        <v>-99.54</v>
      </c>
      <c r="AC940" s="32">
        <v>1173</v>
      </c>
    </row>
    <row r="941" spans="3:29" ht="19">
      <c r="C941" s="22" t="s">
        <v>585</v>
      </c>
      <c r="D941" s="22" t="s">
        <v>151</v>
      </c>
      <c r="E941" s="5">
        <v>41229</v>
      </c>
      <c r="F941" s="5">
        <v>17046</v>
      </c>
      <c r="G941" s="28" t="s">
        <v>1723</v>
      </c>
      <c r="H941" s="6" t="s">
        <v>1137</v>
      </c>
      <c r="J941" s="5" t="s">
        <v>225</v>
      </c>
      <c r="K941" s="27">
        <v>4.9000000000000004</v>
      </c>
      <c r="L941" s="27">
        <v>-13.4</v>
      </c>
      <c r="R941" s="27">
        <v>16.100000000000001</v>
      </c>
      <c r="S941" s="27">
        <v>2.9</v>
      </c>
      <c r="V941" s="32" t="s">
        <v>3353</v>
      </c>
      <c r="W941" s="32">
        <v>2</v>
      </c>
      <c r="X941" s="33" t="s">
        <v>3629</v>
      </c>
      <c r="Y941" s="32">
        <v>2116</v>
      </c>
      <c r="AA941" s="32">
        <v>30.13</v>
      </c>
      <c r="AB941" s="32">
        <v>-99.54</v>
      </c>
      <c r="AC941" s="32">
        <v>1173</v>
      </c>
    </row>
    <row r="942" spans="3:29" ht="19">
      <c r="C942" s="22" t="s">
        <v>585</v>
      </c>
      <c r="D942" s="22" t="s">
        <v>151</v>
      </c>
      <c r="E942" s="5">
        <v>41229</v>
      </c>
      <c r="F942" s="5">
        <v>17056</v>
      </c>
      <c r="G942" s="28" t="s">
        <v>1723</v>
      </c>
      <c r="H942" s="6" t="s">
        <v>1137</v>
      </c>
      <c r="J942" s="5" t="s">
        <v>225</v>
      </c>
      <c r="K942" s="27">
        <v>5.7</v>
      </c>
      <c r="L942" s="27">
        <v>-17</v>
      </c>
      <c r="R942" s="27">
        <v>14</v>
      </c>
      <c r="S942" s="27">
        <v>2.9</v>
      </c>
      <c r="V942" s="32" t="s">
        <v>3353</v>
      </c>
      <c r="W942" s="32">
        <v>2</v>
      </c>
      <c r="X942" s="33" t="s">
        <v>3461</v>
      </c>
      <c r="Y942" s="32">
        <v>3434</v>
      </c>
      <c r="AA942" s="32">
        <v>30.13</v>
      </c>
      <c r="AB942" s="32">
        <v>-99.54</v>
      </c>
      <c r="AC942" s="32">
        <v>1173</v>
      </c>
    </row>
    <row r="943" spans="3:29" ht="19">
      <c r="C943" s="22" t="s">
        <v>585</v>
      </c>
      <c r="D943" s="22" t="s">
        <v>151</v>
      </c>
      <c r="E943" s="5">
        <v>41229</v>
      </c>
      <c r="F943" s="5">
        <v>17063</v>
      </c>
      <c r="G943" s="28" t="s">
        <v>1723</v>
      </c>
      <c r="H943" s="6" t="s">
        <v>1137</v>
      </c>
      <c r="J943" s="5" t="s">
        <v>225</v>
      </c>
      <c r="K943" s="27">
        <v>4.0999999999999996</v>
      </c>
      <c r="L943" s="27">
        <v>-17.600000000000001</v>
      </c>
      <c r="R943" s="27">
        <v>14.6</v>
      </c>
      <c r="S943" s="27">
        <v>2.9</v>
      </c>
      <c r="V943" s="32" t="s">
        <v>3353</v>
      </c>
      <c r="W943" s="32">
        <v>3</v>
      </c>
      <c r="X943" s="33" t="s">
        <v>3461</v>
      </c>
      <c r="Y943" s="32">
        <v>3434</v>
      </c>
      <c r="AA943" s="32">
        <v>30.13</v>
      </c>
      <c r="AB943" s="32">
        <v>-99.54</v>
      </c>
      <c r="AC943" s="32">
        <v>1173</v>
      </c>
    </row>
    <row r="944" spans="3:29" ht="19">
      <c r="C944" s="22" t="s">
        <v>585</v>
      </c>
      <c r="D944" s="22" t="s">
        <v>151</v>
      </c>
      <c r="E944" s="5">
        <v>41229</v>
      </c>
      <c r="F944" s="5">
        <v>17076</v>
      </c>
      <c r="G944" s="28" t="s">
        <v>1723</v>
      </c>
      <c r="H944" s="6" t="s">
        <v>1137</v>
      </c>
      <c r="J944" s="5" t="s">
        <v>225</v>
      </c>
      <c r="K944" s="27">
        <v>3.8</v>
      </c>
      <c r="L944" s="27">
        <v>-17.399999999999999</v>
      </c>
      <c r="R944" s="27">
        <v>13.2</v>
      </c>
      <c r="S944" s="27">
        <v>2.9</v>
      </c>
      <c r="V944" s="32" t="s">
        <v>3353</v>
      </c>
      <c r="W944" s="32">
        <v>2</v>
      </c>
      <c r="X944" s="33" t="s">
        <v>3484</v>
      </c>
      <c r="Y944" s="32">
        <v>4093</v>
      </c>
      <c r="AA944" s="32">
        <v>30.13</v>
      </c>
      <c r="AB944" s="32">
        <v>-99.54</v>
      </c>
      <c r="AC944" s="32">
        <v>1173</v>
      </c>
    </row>
    <row r="945" spans="3:29" ht="19">
      <c r="C945" s="22" t="s">
        <v>585</v>
      </c>
      <c r="D945" s="22" t="s">
        <v>151</v>
      </c>
      <c r="E945" s="5">
        <v>41229</v>
      </c>
      <c r="F945" s="5">
        <v>17078</v>
      </c>
      <c r="G945" s="28" t="s">
        <v>1723</v>
      </c>
      <c r="H945" s="6" t="s">
        <v>1137</v>
      </c>
      <c r="J945" s="5" t="s">
        <v>225</v>
      </c>
      <c r="K945" s="27">
        <v>4.4000000000000004</v>
      </c>
      <c r="L945" s="27">
        <v>-21.3</v>
      </c>
      <c r="R945" s="27">
        <v>14.9</v>
      </c>
      <c r="S945" s="27">
        <v>2.9</v>
      </c>
      <c r="V945" s="32" t="s">
        <v>3353</v>
      </c>
      <c r="W945" s="32">
        <v>3</v>
      </c>
      <c r="X945" s="33" t="s">
        <v>3484</v>
      </c>
      <c r="Y945" s="32">
        <v>4093</v>
      </c>
      <c r="AA945" s="32">
        <v>30.13</v>
      </c>
      <c r="AB945" s="32">
        <v>-99.54</v>
      </c>
      <c r="AC945" s="32">
        <v>1173</v>
      </c>
    </row>
    <row r="946" spans="3:29" ht="19">
      <c r="C946" s="22" t="s">
        <v>585</v>
      </c>
      <c r="D946" s="22" t="s">
        <v>151</v>
      </c>
      <c r="E946" s="5">
        <v>41229</v>
      </c>
      <c r="F946" s="5">
        <v>17079</v>
      </c>
      <c r="G946" s="28" t="s">
        <v>1723</v>
      </c>
      <c r="H946" s="6" t="s">
        <v>1137</v>
      </c>
      <c r="J946" s="5" t="s">
        <v>225</v>
      </c>
      <c r="K946" s="27">
        <v>5.9</v>
      </c>
      <c r="L946" s="27">
        <v>-20</v>
      </c>
      <c r="R946" s="27">
        <v>15.2</v>
      </c>
      <c r="S946" s="27">
        <v>2.9</v>
      </c>
      <c r="V946" s="32" t="s">
        <v>3353</v>
      </c>
      <c r="W946" s="32">
        <v>2</v>
      </c>
      <c r="X946" s="33" t="s">
        <v>3484</v>
      </c>
      <c r="Y946" s="32">
        <v>4093</v>
      </c>
      <c r="AA946" s="32">
        <v>30.13</v>
      </c>
      <c r="AB946" s="32">
        <v>-99.54</v>
      </c>
      <c r="AC946" s="32">
        <v>1173</v>
      </c>
    </row>
    <row r="947" spans="3:29" ht="19">
      <c r="C947" s="22" t="s">
        <v>585</v>
      </c>
      <c r="D947" s="22" t="s">
        <v>151</v>
      </c>
      <c r="E947" s="5">
        <v>41229</v>
      </c>
      <c r="F947" s="5">
        <v>17081</v>
      </c>
      <c r="G947" s="28" t="s">
        <v>1723</v>
      </c>
      <c r="H947" s="6" t="s">
        <v>1137</v>
      </c>
      <c r="J947" s="5" t="s">
        <v>225</v>
      </c>
      <c r="K947" s="27">
        <v>5.3</v>
      </c>
      <c r="L947" s="27">
        <v>-19.100000000000001</v>
      </c>
      <c r="R947" s="27">
        <v>13.5</v>
      </c>
      <c r="S947" s="27">
        <v>2.9</v>
      </c>
      <c r="V947" s="32" t="s">
        <v>3353</v>
      </c>
      <c r="W947" s="32">
        <v>2</v>
      </c>
      <c r="X947" s="33" t="s">
        <v>3484</v>
      </c>
      <c r="Y947" s="32">
        <v>4093</v>
      </c>
      <c r="AA947" s="32">
        <v>30.13</v>
      </c>
      <c r="AB947" s="32">
        <v>-99.54</v>
      </c>
      <c r="AC947" s="32">
        <v>1173</v>
      </c>
    </row>
    <row r="948" spans="3:29" ht="19">
      <c r="C948" s="22" t="s">
        <v>585</v>
      </c>
      <c r="D948" s="22" t="s">
        <v>151</v>
      </c>
      <c r="E948" s="5">
        <v>41229</v>
      </c>
      <c r="F948" s="5">
        <v>17084</v>
      </c>
      <c r="G948" s="28" t="s">
        <v>1723</v>
      </c>
      <c r="H948" s="6" t="s">
        <v>1137</v>
      </c>
      <c r="J948" s="5" t="s">
        <v>225</v>
      </c>
      <c r="K948" s="27">
        <v>4.7</v>
      </c>
      <c r="L948" s="27">
        <v>-21.2</v>
      </c>
      <c r="R948" s="27">
        <v>14.5</v>
      </c>
      <c r="S948" s="27">
        <v>2.9</v>
      </c>
      <c r="V948" s="32" t="s">
        <v>3353</v>
      </c>
      <c r="W948" s="32">
        <v>3</v>
      </c>
      <c r="X948" s="33" t="s">
        <v>3484</v>
      </c>
      <c r="Y948" s="32">
        <v>4093</v>
      </c>
      <c r="AA948" s="32">
        <v>30.13</v>
      </c>
      <c r="AB948" s="32">
        <v>-99.54</v>
      </c>
      <c r="AC948" s="32">
        <v>1173</v>
      </c>
    </row>
    <row r="949" spans="3:29" ht="19">
      <c r="C949" s="22" t="s">
        <v>585</v>
      </c>
      <c r="D949" s="22" t="s">
        <v>151</v>
      </c>
      <c r="E949" s="5">
        <v>41229</v>
      </c>
      <c r="F949" s="5">
        <v>17089</v>
      </c>
      <c r="G949" s="28" t="s">
        <v>1723</v>
      </c>
      <c r="H949" s="6" t="s">
        <v>1137</v>
      </c>
      <c r="J949" s="5" t="s">
        <v>225</v>
      </c>
      <c r="K949" s="27">
        <v>7.8</v>
      </c>
      <c r="L949" s="27">
        <v>-16.7</v>
      </c>
      <c r="R949" s="27">
        <v>14.7</v>
      </c>
      <c r="S949" s="27">
        <v>2.9</v>
      </c>
      <c r="V949" s="32" t="s">
        <v>3353</v>
      </c>
      <c r="W949" s="32">
        <v>2</v>
      </c>
      <c r="X949" s="33" t="s">
        <v>3484</v>
      </c>
      <c r="Y949" s="32">
        <v>4093</v>
      </c>
      <c r="AA949" s="32">
        <v>30.13</v>
      </c>
      <c r="AB949" s="32">
        <v>-99.54</v>
      </c>
      <c r="AC949" s="32">
        <v>1173</v>
      </c>
    </row>
    <row r="950" spans="3:29" ht="19">
      <c r="C950" s="22" t="s">
        <v>585</v>
      </c>
      <c r="D950" s="22" t="s">
        <v>151</v>
      </c>
      <c r="E950" s="5">
        <v>41229</v>
      </c>
      <c r="F950" s="5">
        <v>17091</v>
      </c>
      <c r="G950" s="28" t="s">
        <v>1723</v>
      </c>
      <c r="H950" s="6" t="s">
        <v>1137</v>
      </c>
      <c r="J950" s="5" t="s">
        <v>225</v>
      </c>
      <c r="K950" s="27">
        <v>4</v>
      </c>
      <c r="L950" s="27">
        <v>-17.399999999999999</v>
      </c>
      <c r="R950" s="27">
        <v>14.9</v>
      </c>
      <c r="S950" s="27">
        <v>2.9</v>
      </c>
      <c r="V950" s="32" t="s">
        <v>3353</v>
      </c>
      <c r="W950" s="32">
        <v>2</v>
      </c>
      <c r="X950" s="33" t="s">
        <v>3484</v>
      </c>
      <c r="Y950" s="32">
        <v>4093</v>
      </c>
      <c r="AA950" s="32">
        <v>30.13</v>
      </c>
      <c r="AB950" s="32">
        <v>-99.54</v>
      </c>
      <c r="AC950" s="32">
        <v>1173</v>
      </c>
    </row>
    <row r="951" spans="3:29" ht="19">
      <c r="C951" s="22" t="s">
        <v>585</v>
      </c>
      <c r="D951" s="22" t="s">
        <v>151</v>
      </c>
      <c r="E951" s="5">
        <v>41229</v>
      </c>
      <c r="F951" s="5">
        <v>17116</v>
      </c>
      <c r="G951" s="28" t="s">
        <v>1723</v>
      </c>
      <c r="H951" s="6" t="s">
        <v>1137</v>
      </c>
      <c r="J951" s="5" t="s">
        <v>225</v>
      </c>
      <c r="K951" s="27">
        <v>4.8</v>
      </c>
      <c r="L951" s="27">
        <v>-17.899999999999999</v>
      </c>
      <c r="R951" s="27">
        <v>14.7</v>
      </c>
      <c r="S951" s="27">
        <v>2.9</v>
      </c>
      <c r="V951" s="32" t="s">
        <v>3353</v>
      </c>
      <c r="W951" s="32">
        <v>2</v>
      </c>
      <c r="X951" s="33" t="s">
        <v>3467</v>
      </c>
      <c r="Y951" s="32">
        <v>4422</v>
      </c>
      <c r="AA951" s="32">
        <v>30.13</v>
      </c>
      <c r="AB951" s="32">
        <v>-99.54</v>
      </c>
      <c r="AC951" s="32">
        <v>1173</v>
      </c>
    </row>
    <row r="952" spans="3:29" ht="19">
      <c r="C952" s="22" t="s">
        <v>585</v>
      </c>
      <c r="D952" s="22" t="s">
        <v>151</v>
      </c>
      <c r="E952" s="5">
        <v>41229</v>
      </c>
      <c r="F952" s="5">
        <v>17118</v>
      </c>
      <c r="G952" s="28" t="s">
        <v>1723</v>
      </c>
      <c r="H952" s="6" t="s">
        <v>1137</v>
      </c>
      <c r="J952" s="5" t="s">
        <v>225</v>
      </c>
      <c r="K952" s="27">
        <v>5.5</v>
      </c>
      <c r="L952" s="27">
        <v>-17.5</v>
      </c>
      <c r="R952" s="27">
        <v>15.2</v>
      </c>
      <c r="S952" s="27">
        <v>2.9</v>
      </c>
      <c r="V952" s="32" t="s">
        <v>3353</v>
      </c>
      <c r="W952" s="32">
        <v>2</v>
      </c>
      <c r="X952" s="33" t="s">
        <v>3467</v>
      </c>
      <c r="Y952" s="32">
        <v>4422</v>
      </c>
      <c r="AA952" s="32">
        <v>30.13</v>
      </c>
      <c r="AB952" s="32">
        <v>-99.54</v>
      </c>
      <c r="AC952" s="32">
        <v>1173</v>
      </c>
    </row>
    <row r="953" spans="3:29" ht="19">
      <c r="C953" s="22" t="s">
        <v>585</v>
      </c>
      <c r="D953" s="22" t="s">
        <v>151</v>
      </c>
      <c r="E953" s="5">
        <v>41229</v>
      </c>
      <c r="F953" s="5">
        <v>17123</v>
      </c>
      <c r="G953" s="28" t="s">
        <v>1723</v>
      </c>
      <c r="H953" s="6" t="s">
        <v>1137</v>
      </c>
      <c r="J953" s="5" t="s">
        <v>225</v>
      </c>
      <c r="K953" s="27">
        <v>4.9000000000000004</v>
      </c>
      <c r="L953" s="27">
        <v>-14.3</v>
      </c>
      <c r="R953" s="27">
        <v>15</v>
      </c>
      <c r="S953" s="27">
        <v>2.9</v>
      </c>
      <c r="V953" s="32" t="s">
        <v>3353</v>
      </c>
      <c r="W953" s="32">
        <v>3</v>
      </c>
      <c r="X953" s="33" t="s">
        <v>3467</v>
      </c>
      <c r="Y953" s="32">
        <v>4422</v>
      </c>
      <c r="AA953" s="32">
        <v>30.13</v>
      </c>
      <c r="AB953" s="32">
        <v>-99.54</v>
      </c>
      <c r="AC953" s="32">
        <v>1173</v>
      </c>
    </row>
    <row r="954" spans="3:29" ht="19">
      <c r="C954" s="22" t="s">
        <v>585</v>
      </c>
      <c r="D954" s="22" t="s">
        <v>151</v>
      </c>
      <c r="E954" s="5">
        <v>41229</v>
      </c>
      <c r="F954" s="5">
        <v>17131</v>
      </c>
      <c r="G954" s="28" t="s">
        <v>1723</v>
      </c>
      <c r="H954" s="6" t="s">
        <v>1137</v>
      </c>
      <c r="J954" s="5" t="s">
        <v>225</v>
      </c>
      <c r="K954" s="27">
        <v>4.5999999999999996</v>
      </c>
      <c r="L954" s="27">
        <v>-16.899999999999999</v>
      </c>
      <c r="R954" s="27">
        <v>15.8</v>
      </c>
      <c r="S954" s="27">
        <v>2.9</v>
      </c>
      <c r="V954" s="32" t="s">
        <v>3353</v>
      </c>
      <c r="W954" s="32">
        <v>2</v>
      </c>
      <c r="X954" s="33" t="s">
        <v>3467</v>
      </c>
      <c r="Y954" s="32">
        <v>4422</v>
      </c>
      <c r="AA954" s="32">
        <v>30.13</v>
      </c>
      <c r="AB954" s="32">
        <v>-99.54</v>
      </c>
      <c r="AC954" s="32">
        <v>1173</v>
      </c>
    </row>
    <row r="955" spans="3:29" ht="19">
      <c r="C955" s="22" t="s">
        <v>585</v>
      </c>
      <c r="D955" s="22" t="s">
        <v>151</v>
      </c>
      <c r="E955" s="5">
        <v>41229</v>
      </c>
      <c r="F955" s="5">
        <v>17137</v>
      </c>
      <c r="G955" s="28" t="s">
        <v>1723</v>
      </c>
      <c r="H955" s="6" t="s">
        <v>1137</v>
      </c>
      <c r="J955" s="5" t="s">
        <v>225</v>
      </c>
      <c r="K955" s="27">
        <v>4.5999999999999996</v>
      </c>
      <c r="L955" s="27">
        <v>-16</v>
      </c>
      <c r="R955" s="27">
        <v>14.4</v>
      </c>
      <c r="S955" s="27">
        <v>2.9</v>
      </c>
      <c r="V955" s="32" t="s">
        <v>3353</v>
      </c>
      <c r="W955" s="32">
        <v>2</v>
      </c>
      <c r="X955" s="33" t="s">
        <v>3630</v>
      </c>
      <c r="Y955" s="32">
        <v>4751</v>
      </c>
      <c r="AA955" s="32">
        <v>30.13</v>
      </c>
      <c r="AB955" s="32">
        <v>-99.54</v>
      </c>
      <c r="AC955" s="32">
        <v>1173</v>
      </c>
    </row>
    <row r="956" spans="3:29" ht="19">
      <c r="C956" s="22" t="s">
        <v>585</v>
      </c>
      <c r="D956" s="22" t="s">
        <v>151</v>
      </c>
      <c r="E956" s="5">
        <v>41229</v>
      </c>
      <c r="F956" s="5">
        <v>17138</v>
      </c>
      <c r="G956" s="28" t="s">
        <v>1723</v>
      </c>
      <c r="H956" s="6" t="s">
        <v>1137</v>
      </c>
      <c r="J956" s="5" t="s">
        <v>225</v>
      </c>
      <c r="K956" s="27">
        <v>6.1</v>
      </c>
      <c r="L956" s="27">
        <v>-14.6</v>
      </c>
      <c r="R956" s="27">
        <v>14.9</v>
      </c>
      <c r="S956" s="27">
        <v>2.9</v>
      </c>
      <c r="V956" s="32" t="s">
        <v>3353</v>
      </c>
      <c r="W956" s="32">
        <v>3</v>
      </c>
      <c r="X956" s="33" t="s">
        <v>3630</v>
      </c>
      <c r="Y956" s="32">
        <v>4751</v>
      </c>
      <c r="AA956" s="32">
        <v>30.13</v>
      </c>
      <c r="AB956" s="32">
        <v>-99.54</v>
      </c>
      <c r="AC956" s="32">
        <v>1173</v>
      </c>
    </row>
    <row r="957" spans="3:29" ht="19">
      <c r="C957" s="22" t="s">
        <v>585</v>
      </c>
      <c r="D957" s="22" t="s">
        <v>151</v>
      </c>
      <c r="E957" s="5">
        <v>41229</v>
      </c>
      <c r="F957" s="5">
        <v>17142</v>
      </c>
      <c r="G957" s="28" t="s">
        <v>1723</v>
      </c>
      <c r="H957" s="6" t="s">
        <v>1137</v>
      </c>
      <c r="J957" s="5" t="s">
        <v>225</v>
      </c>
      <c r="K957" s="27">
        <v>3.8</v>
      </c>
      <c r="L957" s="27">
        <v>-17.899999999999999</v>
      </c>
      <c r="R957" s="27">
        <v>14.5</v>
      </c>
      <c r="S957" s="27">
        <v>2.9</v>
      </c>
      <c r="V957" s="32" t="s">
        <v>3353</v>
      </c>
      <c r="W957" s="32">
        <v>2</v>
      </c>
      <c r="X957" s="33" t="s">
        <v>3630</v>
      </c>
      <c r="Y957" s="32">
        <v>4751</v>
      </c>
      <c r="AA957" s="32">
        <v>30.13</v>
      </c>
      <c r="AB957" s="32">
        <v>-99.54</v>
      </c>
      <c r="AC957" s="32">
        <v>1173</v>
      </c>
    </row>
    <row r="958" spans="3:29" ht="19">
      <c r="C958" s="22" t="s">
        <v>585</v>
      </c>
      <c r="D958" s="22" t="s">
        <v>151</v>
      </c>
      <c r="E958" s="5">
        <v>41229</v>
      </c>
      <c r="F958" s="5">
        <v>17146</v>
      </c>
      <c r="G958" s="28" t="s">
        <v>1723</v>
      </c>
      <c r="H958" s="6" t="s">
        <v>1137</v>
      </c>
      <c r="J958" s="5" t="s">
        <v>225</v>
      </c>
      <c r="K958" s="27">
        <v>4.4000000000000004</v>
      </c>
      <c r="L958" s="27">
        <v>-21.5</v>
      </c>
      <c r="R958" s="27">
        <v>15.7</v>
      </c>
      <c r="S958" s="27">
        <v>2.9</v>
      </c>
      <c r="V958" s="32" t="s">
        <v>3353</v>
      </c>
      <c r="W958" s="32">
        <v>2</v>
      </c>
      <c r="X958" s="33" t="s">
        <v>3630</v>
      </c>
      <c r="Y958" s="32">
        <v>4751</v>
      </c>
      <c r="AA958" s="32">
        <v>30.13</v>
      </c>
      <c r="AB958" s="32">
        <v>-99.54</v>
      </c>
      <c r="AC958" s="32">
        <v>1173</v>
      </c>
    </row>
    <row r="959" spans="3:29" ht="19">
      <c r="C959" s="22" t="s">
        <v>585</v>
      </c>
      <c r="D959" s="22" t="s">
        <v>151</v>
      </c>
      <c r="E959" s="5">
        <v>41229</v>
      </c>
      <c r="F959" s="5">
        <v>17147</v>
      </c>
      <c r="G959" s="28" t="s">
        <v>1723</v>
      </c>
      <c r="H959" s="6" t="s">
        <v>1137</v>
      </c>
      <c r="J959" s="5" t="s">
        <v>225</v>
      </c>
      <c r="K959" s="27">
        <v>5.0999999999999996</v>
      </c>
      <c r="L959" s="27">
        <v>-15.2</v>
      </c>
      <c r="R959" s="27">
        <v>15.2</v>
      </c>
      <c r="S959" s="27">
        <v>2.9</v>
      </c>
      <c r="V959" s="32" t="s">
        <v>3353</v>
      </c>
      <c r="W959" s="32">
        <v>2</v>
      </c>
      <c r="X959" s="33" t="s">
        <v>3630</v>
      </c>
      <c r="Y959" s="32">
        <v>4751</v>
      </c>
      <c r="AA959" s="32">
        <v>30.13</v>
      </c>
      <c r="AB959" s="32">
        <v>-99.54</v>
      </c>
      <c r="AC959" s="32">
        <v>1173</v>
      </c>
    </row>
    <row r="960" spans="3:29" ht="19">
      <c r="C960" s="22" t="s">
        <v>585</v>
      </c>
      <c r="D960" s="22" t="s">
        <v>151</v>
      </c>
      <c r="E960" s="5">
        <v>41229</v>
      </c>
      <c r="F960" s="5">
        <v>17151</v>
      </c>
      <c r="G960" s="28" t="s">
        <v>1723</v>
      </c>
      <c r="H960" s="6" t="s">
        <v>1137</v>
      </c>
      <c r="J960" s="5" t="s">
        <v>225</v>
      </c>
      <c r="K960" s="27">
        <v>5</v>
      </c>
      <c r="L960" s="27">
        <v>-17.899999999999999</v>
      </c>
      <c r="R960" s="27">
        <v>14.7</v>
      </c>
      <c r="S960" s="27">
        <v>2.9</v>
      </c>
      <c r="V960" s="32" t="s">
        <v>3353</v>
      </c>
      <c r="W960" s="32">
        <v>3</v>
      </c>
      <c r="X960" s="33" t="s">
        <v>3630</v>
      </c>
      <c r="Y960" s="32">
        <v>4751</v>
      </c>
      <c r="AA960" s="32">
        <v>30.13</v>
      </c>
      <c r="AB960" s="32">
        <v>-99.54</v>
      </c>
      <c r="AC960" s="32">
        <v>1173</v>
      </c>
    </row>
    <row r="961" spans="1:31" ht="19">
      <c r="C961" s="22" t="s">
        <v>585</v>
      </c>
      <c r="D961" s="22" t="s">
        <v>151</v>
      </c>
      <c r="E961" s="5">
        <v>41229</v>
      </c>
      <c r="F961" s="5">
        <v>17154</v>
      </c>
      <c r="G961" s="28" t="s">
        <v>1723</v>
      </c>
      <c r="H961" s="6" t="s">
        <v>1137</v>
      </c>
      <c r="J961" s="5" t="s">
        <v>225</v>
      </c>
      <c r="K961" s="27">
        <v>6</v>
      </c>
      <c r="L961" s="27">
        <v>-17.899999999999999</v>
      </c>
      <c r="R961" s="27">
        <v>15.6</v>
      </c>
      <c r="S961" s="27">
        <v>2.9</v>
      </c>
      <c r="V961" s="32" t="s">
        <v>3353</v>
      </c>
      <c r="W961" s="32">
        <v>2</v>
      </c>
      <c r="X961" s="33" t="s">
        <v>3630</v>
      </c>
      <c r="Y961" s="32">
        <v>4751</v>
      </c>
      <c r="AA961" s="32">
        <v>30.13</v>
      </c>
      <c r="AB961" s="32">
        <v>-99.54</v>
      </c>
      <c r="AC961" s="32">
        <v>1173</v>
      </c>
    </row>
    <row r="962" spans="1:31" ht="19">
      <c r="C962" s="22" t="s">
        <v>585</v>
      </c>
      <c r="D962" s="22" t="s">
        <v>151</v>
      </c>
      <c r="E962" s="5">
        <v>41229</v>
      </c>
      <c r="F962" s="5">
        <v>17156</v>
      </c>
      <c r="G962" s="28" t="s">
        <v>1723</v>
      </c>
      <c r="H962" s="6" t="s">
        <v>1137</v>
      </c>
      <c r="J962" s="5" t="s">
        <v>225</v>
      </c>
      <c r="K962" s="27">
        <v>5</v>
      </c>
      <c r="L962" s="27">
        <v>-21.6</v>
      </c>
      <c r="R962" s="27">
        <v>16.5</v>
      </c>
      <c r="S962" s="27">
        <v>2.9</v>
      </c>
      <c r="V962" s="32" t="s">
        <v>3353</v>
      </c>
      <c r="W962" s="32">
        <v>3</v>
      </c>
      <c r="X962" s="33" t="s">
        <v>3630</v>
      </c>
      <c r="Y962" s="32">
        <v>4751</v>
      </c>
      <c r="AA962" s="32">
        <v>30.13</v>
      </c>
      <c r="AB962" s="32">
        <v>-99.54</v>
      </c>
      <c r="AC962" s="32">
        <v>1173</v>
      </c>
    </row>
    <row r="963" spans="1:31" ht="19">
      <c r="C963" s="22" t="s">
        <v>585</v>
      </c>
      <c r="D963" s="22" t="s">
        <v>151</v>
      </c>
      <c r="E963" s="5">
        <v>41229</v>
      </c>
      <c r="F963" s="5">
        <v>17173</v>
      </c>
      <c r="G963" s="28" t="s">
        <v>1723</v>
      </c>
      <c r="H963" s="6" t="s">
        <v>1137</v>
      </c>
      <c r="J963" s="5" t="s">
        <v>225</v>
      </c>
      <c r="K963" s="27">
        <v>3.2</v>
      </c>
      <c r="L963" s="27">
        <v>-18.2</v>
      </c>
      <c r="R963" s="27">
        <v>13.3</v>
      </c>
      <c r="S963" s="27">
        <v>2.9</v>
      </c>
      <c r="V963" s="32" t="s">
        <v>3353</v>
      </c>
      <c r="W963" s="32">
        <v>2</v>
      </c>
      <c r="X963" s="33" t="s">
        <v>3485</v>
      </c>
      <c r="Y963" s="32">
        <v>5410</v>
      </c>
      <c r="AA963" s="32">
        <v>30.13</v>
      </c>
      <c r="AB963" s="32">
        <v>-99.54</v>
      </c>
      <c r="AC963" s="32">
        <v>1173</v>
      </c>
    </row>
    <row r="964" spans="1:31" ht="19">
      <c r="C964" s="22" t="s">
        <v>585</v>
      </c>
      <c r="D964" s="22" t="s">
        <v>151</v>
      </c>
      <c r="E964" s="5">
        <v>41229</v>
      </c>
      <c r="F964" s="5">
        <v>17176</v>
      </c>
      <c r="G964" s="28" t="s">
        <v>1723</v>
      </c>
      <c r="H964" s="6" t="s">
        <v>1137</v>
      </c>
      <c r="J964" s="5" t="s">
        <v>225</v>
      </c>
      <c r="K964" s="27">
        <v>6.6</v>
      </c>
      <c r="L964" s="27">
        <v>-17.600000000000001</v>
      </c>
      <c r="R964" s="27">
        <v>13.8</v>
      </c>
      <c r="S964" s="27">
        <v>2.9</v>
      </c>
      <c r="V964" s="32" t="s">
        <v>3353</v>
      </c>
      <c r="W964" s="32">
        <v>3</v>
      </c>
      <c r="X964" s="33" t="s">
        <v>3466</v>
      </c>
      <c r="Y964" s="32">
        <v>5739</v>
      </c>
      <c r="AA964" s="32">
        <v>30.13</v>
      </c>
      <c r="AB964" s="32">
        <v>-99.54</v>
      </c>
      <c r="AC964" s="32">
        <v>1173</v>
      </c>
    </row>
    <row r="965" spans="1:31" ht="19">
      <c r="C965" s="22" t="s">
        <v>585</v>
      </c>
      <c r="D965" s="22" t="s">
        <v>151</v>
      </c>
      <c r="E965" s="5">
        <v>41229</v>
      </c>
      <c r="F965" s="5">
        <v>17177</v>
      </c>
      <c r="G965" s="28" t="s">
        <v>1723</v>
      </c>
      <c r="H965" s="6" t="s">
        <v>1137</v>
      </c>
      <c r="J965" s="5" t="s">
        <v>225</v>
      </c>
      <c r="K965" s="27">
        <v>6</v>
      </c>
      <c r="L965" s="27">
        <v>-13.2</v>
      </c>
      <c r="R965" s="27">
        <v>14.6</v>
      </c>
      <c r="S965" s="27">
        <v>2.9</v>
      </c>
      <c r="V965" s="32" t="s">
        <v>3353</v>
      </c>
      <c r="W965" s="32">
        <v>2</v>
      </c>
      <c r="X965" s="33" t="s">
        <v>3466</v>
      </c>
      <c r="Y965" s="32">
        <v>5739</v>
      </c>
      <c r="AA965" s="32">
        <v>30.13</v>
      </c>
      <c r="AB965" s="32">
        <v>-99.54</v>
      </c>
      <c r="AC965" s="32">
        <v>1173</v>
      </c>
    </row>
    <row r="966" spans="1:31" ht="19">
      <c r="C966" s="22" t="s">
        <v>585</v>
      </c>
      <c r="D966" s="22" t="s">
        <v>151</v>
      </c>
      <c r="E966" s="5">
        <v>41229</v>
      </c>
      <c r="F966" s="5">
        <v>17191</v>
      </c>
      <c r="G966" s="28" t="s">
        <v>1723</v>
      </c>
      <c r="H966" s="6" t="s">
        <v>1137</v>
      </c>
      <c r="J966" s="5" t="s">
        <v>225</v>
      </c>
      <c r="K966" s="27">
        <v>4.5</v>
      </c>
      <c r="L966" s="27">
        <v>-19.100000000000001</v>
      </c>
      <c r="R966" s="27">
        <v>13.4</v>
      </c>
      <c r="S966" s="27">
        <v>2.9</v>
      </c>
      <c r="V966" s="32" t="s">
        <v>3353</v>
      </c>
      <c r="W966" s="32">
        <v>3</v>
      </c>
      <c r="X966" s="33" t="s">
        <v>3403</v>
      </c>
      <c r="Y966" s="32">
        <v>6069</v>
      </c>
      <c r="AA966" s="32">
        <v>30.13</v>
      </c>
      <c r="AB966" s="32">
        <v>-99.54</v>
      </c>
      <c r="AC966" s="32">
        <v>1173</v>
      </c>
    </row>
    <row r="967" spans="1:31" ht="19">
      <c r="C967" s="22" t="s">
        <v>585</v>
      </c>
      <c r="D967" s="22" t="s">
        <v>151</v>
      </c>
      <c r="E967" s="5">
        <v>41229</v>
      </c>
      <c r="F967" s="5">
        <v>17231</v>
      </c>
      <c r="G967" s="28" t="s">
        <v>1723</v>
      </c>
      <c r="H967" s="6" t="s">
        <v>1137</v>
      </c>
      <c r="J967" s="5" t="s">
        <v>225</v>
      </c>
      <c r="K967" s="27">
        <v>6</v>
      </c>
      <c r="L967" s="27">
        <v>-15.4</v>
      </c>
      <c r="R967" s="27">
        <v>15.7</v>
      </c>
      <c r="S967" s="27">
        <v>2.9</v>
      </c>
      <c r="V967" s="32" t="s">
        <v>3353</v>
      </c>
      <c r="W967" s="32">
        <v>2</v>
      </c>
      <c r="X967" s="33" t="s">
        <v>3465</v>
      </c>
      <c r="Y967" s="32">
        <v>6728</v>
      </c>
      <c r="AA967" s="32">
        <v>30.13</v>
      </c>
      <c r="AB967" s="32">
        <v>-99.54</v>
      </c>
      <c r="AC967" s="32">
        <v>1173</v>
      </c>
    </row>
    <row r="968" spans="1:31" ht="19">
      <c r="C968" s="22" t="s">
        <v>585</v>
      </c>
      <c r="D968" s="22" t="s">
        <v>151</v>
      </c>
      <c r="E968" s="5">
        <v>41229</v>
      </c>
      <c r="F968" s="5">
        <v>17233</v>
      </c>
      <c r="G968" s="28" t="s">
        <v>1723</v>
      </c>
      <c r="H968" s="6" t="s">
        <v>1137</v>
      </c>
      <c r="J968" s="5" t="s">
        <v>225</v>
      </c>
      <c r="K968" s="27">
        <v>5.7</v>
      </c>
      <c r="L968" s="27">
        <v>-15.4</v>
      </c>
      <c r="R968" s="27">
        <v>14.3</v>
      </c>
      <c r="S968" s="27">
        <v>2.9</v>
      </c>
      <c r="V968" s="32" t="s">
        <v>3353</v>
      </c>
      <c r="W968" s="32">
        <v>3</v>
      </c>
      <c r="X968" s="33" t="s">
        <v>3465</v>
      </c>
      <c r="Y968" s="32">
        <v>6728</v>
      </c>
      <c r="AA968" s="32">
        <v>30.13</v>
      </c>
      <c r="AB968" s="32">
        <v>-99.54</v>
      </c>
      <c r="AC968" s="32">
        <v>1173</v>
      </c>
    </row>
    <row r="969" spans="1:31" ht="19">
      <c r="C969" s="22" t="s">
        <v>585</v>
      </c>
      <c r="D969" s="22" t="s">
        <v>151</v>
      </c>
      <c r="E969" s="5">
        <v>41229</v>
      </c>
      <c r="F969" s="5">
        <v>17236</v>
      </c>
      <c r="G969" s="28" t="s">
        <v>1723</v>
      </c>
      <c r="H969" s="6" t="s">
        <v>1137</v>
      </c>
      <c r="J969" s="5" t="s">
        <v>225</v>
      </c>
      <c r="K969" s="27">
        <v>6.9</v>
      </c>
      <c r="L969" s="27">
        <v>-14.9</v>
      </c>
      <c r="R969" s="27">
        <v>15.2</v>
      </c>
      <c r="S969" s="27">
        <v>2.9</v>
      </c>
      <c r="V969" s="32" t="s">
        <v>3353</v>
      </c>
      <c r="W969" s="32">
        <v>2</v>
      </c>
      <c r="X969" s="33" t="s">
        <v>3465</v>
      </c>
      <c r="Y969" s="32">
        <v>6728</v>
      </c>
      <c r="AA969" s="32">
        <v>30.13</v>
      </c>
      <c r="AB969" s="32">
        <v>-99.54</v>
      </c>
      <c r="AC969" s="32">
        <v>1173</v>
      </c>
    </row>
    <row r="970" spans="1:31" ht="19">
      <c r="C970" s="22" t="s">
        <v>585</v>
      </c>
      <c r="D970" s="22" t="s">
        <v>151</v>
      </c>
      <c r="E970" s="5">
        <v>41229</v>
      </c>
      <c r="F970" s="5">
        <v>17244</v>
      </c>
      <c r="G970" s="28" t="s">
        <v>1723</v>
      </c>
      <c r="H970" s="6" t="s">
        <v>1137</v>
      </c>
      <c r="J970" s="5" t="s">
        <v>225</v>
      </c>
      <c r="K970" s="27">
        <v>5.5</v>
      </c>
      <c r="L970" s="27">
        <v>-18.5</v>
      </c>
      <c r="R970" s="27">
        <v>15.2</v>
      </c>
      <c r="S970" s="27">
        <v>2.9</v>
      </c>
      <c r="V970" s="32" t="s">
        <v>3353</v>
      </c>
      <c r="W970" s="32">
        <v>3</v>
      </c>
      <c r="X970" s="33" t="s">
        <v>3633</v>
      </c>
      <c r="Y970" s="32">
        <v>7057</v>
      </c>
      <c r="AA970" s="32">
        <v>30.13</v>
      </c>
      <c r="AB970" s="32">
        <v>-99.54</v>
      </c>
      <c r="AC970" s="32">
        <v>1173</v>
      </c>
    </row>
    <row r="971" spans="1:31" s="13" customFormat="1" ht="19">
      <c r="A971" s="5"/>
      <c r="B971" s="5"/>
      <c r="C971" s="22" t="s">
        <v>585</v>
      </c>
      <c r="D971" s="22" t="s">
        <v>151</v>
      </c>
      <c r="E971" s="5">
        <v>41229</v>
      </c>
      <c r="F971" s="5">
        <v>17246</v>
      </c>
      <c r="G971" s="28" t="s">
        <v>1723</v>
      </c>
      <c r="H971" s="6" t="s">
        <v>1137</v>
      </c>
      <c r="I971" s="6"/>
      <c r="J971" s="5" t="s">
        <v>225</v>
      </c>
      <c r="K971" s="27">
        <v>5.2</v>
      </c>
      <c r="L971" s="27">
        <v>-16.8</v>
      </c>
      <c r="M971" s="56"/>
      <c r="N971" s="56"/>
      <c r="O971" s="27"/>
      <c r="P971" s="5"/>
      <c r="Q971" s="27"/>
      <c r="R971" s="27">
        <v>14.9</v>
      </c>
      <c r="S971" s="27">
        <v>2.9</v>
      </c>
      <c r="T971" s="5"/>
      <c r="U971" s="24"/>
      <c r="V971" s="32" t="s">
        <v>3353</v>
      </c>
      <c r="W971" s="32">
        <v>3</v>
      </c>
      <c r="X971" s="33" t="s">
        <v>3633</v>
      </c>
      <c r="Y971" s="32">
        <v>7057</v>
      </c>
      <c r="Z971" s="31"/>
      <c r="AA971" s="32">
        <v>30.13</v>
      </c>
      <c r="AB971" s="32">
        <v>-99.54</v>
      </c>
      <c r="AC971" s="32">
        <v>1173</v>
      </c>
      <c r="AD971" s="24"/>
      <c r="AE971" s="24"/>
    </row>
    <row r="972" spans="1:31" ht="19">
      <c r="C972" s="22" t="s">
        <v>585</v>
      </c>
      <c r="D972" s="22" t="s">
        <v>151</v>
      </c>
      <c r="E972" s="5">
        <v>41229</v>
      </c>
      <c r="F972" s="5">
        <v>17247</v>
      </c>
      <c r="G972" s="28" t="s">
        <v>1723</v>
      </c>
      <c r="H972" s="6" t="s">
        <v>1137</v>
      </c>
      <c r="J972" s="5" t="s">
        <v>225</v>
      </c>
      <c r="K972" s="27">
        <v>4.3</v>
      </c>
      <c r="L972" s="27">
        <v>-16.5</v>
      </c>
      <c r="R972" s="27">
        <v>15.2</v>
      </c>
      <c r="S972" s="27">
        <v>2.9</v>
      </c>
      <c r="V972" s="32" t="s">
        <v>3353</v>
      </c>
      <c r="W972" s="32">
        <v>2</v>
      </c>
      <c r="X972" s="33" t="s">
        <v>3633</v>
      </c>
      <c r="Y972" s="32">
        <v>7057</v>
      </c>
      <c r="AA972" s="32">
        <v>30.13</v>
      </c>
      <c r="AB972" s="32">
        <v>-99.54</v>
      </c>
      <c r="AC972" s="32">
        <v>1173</v>
      </c>
    </row>
    <row r="973" spans="1:31" ht="19">
      <c r="C973" s="22" t="s">
        <v>585</v>
      </c>
      <c r="D973" s="22" t="s">
        <v>151</v>
      </c>
      <c r="E973" s="5">
        <v>41229</v>
      </c>
      <c r="F973" s="5">
        <v>17254</v>
      </c>
      <c r="G973" s="28" t="s">
        <v>1723</v>
      </c>
      <c r="H973" s="6" t="s">
        <v>1137</v>
      </c>
      <c r="J973" s="5" t="s">
        <v>225</v>
      </c>
      <c r="K973" s="27">
        <v>5.3</v>
      </c>
      <c r="L973" s="27">
        <v>-17.899999999999999</v>
      </c>
      <c r="R973" s="27">
        <v>15.6</v>
      </c>
      <c r="S973" s="27">
        <v>2.9</v>
      </c>
      <c r="V973" s="32" t="s">
        <v>3353</v>
      </c>
      <c r="W973" s="32">
        <v>2</v>
      </c>
      <c r="X973" s="33" t="s">
        <v>3366</v>
      </c>
      <c r="Y973" s="32">
        <v>7386</v>
      </c>
      <c r="AA973" s="32">
        <v>30.13</v>
      </c>
      <c r="AB973" s="32">
        <v>-99.54</v>
      </c>
      <c r="AC973" s="32">
        <v>1173</v>
      </c>
    </row>
    <row r="974" spans="1:31" ht="19">
      <c r="C974" s="22" t="s">
        <v>585</v>
      </c>
      <c r="D974" s="22" t="s">
        <v>151</v>
      </c>
      <c r="E974" s="5">
        <v>41229</v>
      </c>
      <c r="F974" s="5">
        <v>17255</v>
      </c>
      <c r="G974" s="28" t="s">
        <v>1723</v>
      </c>
      <c r="H974" s="6" t="s">
        <v>1137</v>
      </c>
      <c r="J974" s="5" t="s">
        <v>225</v>
      </c>
      <c r="K974" s="27">
        <v>7.8</v>
      </c>
      <c r="L974" s="27">
        <v>-16.8</v>
      </c>
      <c r="R974" s="27">
        <v>13.9</v>
      </c>
      <c r="S974" s="27">
        <v>2.9</v>
      </c>
      <c r="V974" s="32" t="s">
        <v>3353</v>
      </c>
      <c r="W974" s="32">
        <v>3</v>
      </c>
      <c r="X974" s="33" t="s">
        <v>3366</v>
      </c>
      <c r="Y974" s="32">
        <v>7386</v>
      </c>
      <c r="AA974" s="32">
        <v>30.13</v>
      </c>
      <c r="AB974" s="32">
        <v>-99.54</v>
      </c>
      <c r="AC974" s="32">
        <v>1173</v>
      </c>
    </row>
    <row r="975" spans="1:31" ht="19">
      <c r="C975" s="22" t="s">
        <v>585</v>
      </c>
      <c r="D975" s="22" t="s">
        <v>151</v>
      </c>
      <c r="E975" s="5">
        <v>41229</v>
      </c>
      <c r="F975" s="5">
        <v>17270</v>
      </c>
      <c r="G975" s="28" t="s">
        <v>1723</v>
      </c>
      <c r="H975" s="6" t="s">
        <v>1137</v>
      </c>
      <c r="J975" s="5" t="s">
        <v>225</v>
      </c>
      <c r="K975" s="27">
        <v>6.3</v>
      </c>
      <c r="L975" s="27">
        <v>-20.8</v>
      </c>
      <c r="R975" s="27">
        <v>10</v>
      </c>
      <c r="S975" s="27">
        <v>2.9</v>
      </c>
      <c r="V975" s="32" t="s">
        <v>3353</v>
      </c>
      <c r="W975" s="32">
        <v>3</v>
      </c>
      <c r="X975" s="33" t="s">
        <v>3478</v>
      </c>
      <c r="Y975" s="32">
        <v>7716</v>
      </c>
      <c r="AA975" s="32">
        <v>30.13</v>
      </c>
      <c r="AB975" s="32">
        <v>-99.54</v>
      </c>
      <c r="AC975" s="32">
        <v>1173</v>
      </c>
    </row>
    <row r="976" spans="1:31" ht="19">
      <c r="C976" s="22" t="s">
        <v>585</v>
      </c>
      <c r="D976" s="22" t="s">
        <v>151</v>
      </c>
      <c r="E976" s="5">
        <v>41229</v>
      </c>
      <c r="F976" s="5">
        <v>17271</v>
      </c>
      <c r="G976" s="28" t="s">
        <v>1723</v>
      </c>
      <c r="H976" s="6" t="s">
        <v>1137</v>
      </c>
      <c r="J976" s="5" t="s">
        <v>225</v>
      </c>
      <c r="K976" s="27">
        <v>6.5</v>
      </c>
      <c r="L976" s="27">
        <v>-19.3</v>
      </c>
      <c r="R976" s="27">
        <v>14.5</v>
      </c>
      <c r="S976" s="27">
        <v>2.9</v>
      </c>
      <c r="V976" s="32" t="s">
        <v>3353</v>
      </c>
      <c r="W976" s="32">
        <v>3</v>
      </c>
      <c r="X976" s="33" t="s">
        <v>3478</v>
      </c>
      <c r="Y976" s="32">
        <v>7716</v>
      </c>
      <c r="AA976" s="32">
        <v>30.13</v>
      </c>
      <c r="AB976" s="32">
        <v>-99.54</v>
      </c>
      <c r="AC976" s="32">
        <v>1173</v>
      </c>
    </row>
    <row r="977" spans="3:29" ht="19">
      <c r="C977" s="22" t="s">
        <v>585</v>
      </c>
      <c r="D977" s="22" t="s">
        <v>151</v>
      </c>
      <c r="E977" s="5">
        <v>41229</v>
      </c>
      <c r="F977" s="5">
        <v>17272</v>
      </c>
      <c r="G977" s="28" t="s">
        <v>1723</v>
      </c>
      <c r="H977" s="6" t="s">
        <v>1137</v>
      </c>
      <c r="J977" s="5" t="s">
        <v>225</v>
      </c>
      <c r="K977" s="27">
        <v>7.5</v>
      </c>
      <c r="L977" s="27">
        <v>-18.5</v>
      </c>
      <c r="R977" s="27">
        <v>13.5</v>
      </c>
      <c r="S977" s="27">
        <v>2.9</v>
      </c>
      <c r="V977" s="32" t="s">
        <v>3353</v>
      </c>
      <c r="W977" s="32">
        <v>2</v>
      </c>
      <c r="X977" s="33" t="s">
        <v>3478</v>
      </c>
      <c r="Y977" s="32">
        <v>7716</v>
      </c>
      <c r="AA977" s="32">
        <v>30.13</v>
      </c>
      <c r="AB977" s="32">
        <v>-99.54</v>
      </c>
      <c r="AC977" s="32">
        <v>1173</v>
      </c>
    </row>
    <row r="978" spans="3:29" ht="19">
      <c r="C978" s="22" t="s">
        <v>585</v>
      </c>
      <c r="D978" s="22" t="s">
        <v>151</v>
      </c>
      <c r="E978" s="5">
        <v>41229</v>
      </c>
      <c r="F978" s="5">
        <v>17280</v>
      </c>
      <c r="G978" s="28" t="s">
        <v>1723</v>
      </c>
      <c r="H978" s="6" t="s">
        <v>1137</v>
      </c>
      <c r="J978" s="5" t="s">
        <v>225</v>
      </c>
      <c r="K978" s="27">
        <v>4.5</v>
      </c>
      <c r="L978" s="27">
        <v>-15</v>
      </c>
      <c r="R978" s="27">
        <v>13.3</v>
      </c>
      <c r="S978" s="27">
        <v>2.9</v>
      </c>
      <c r="V978" s="32" t="s">
        <v>3353</v>
      </c>
      <c r="W978" s="32">
        <v>3</v>
      </c>
      <c r="X978" s="33" t="s">
        <v>3486</v>
      </c>
      <c r="Y978" s="32">
        <v>8045</v>
      </c>
      <c r="AA978" s="32">
        <v>30.13</v>
      </c>
      <c r="AB978" s="32">
        <v>-99.54</v>
      </c>
      <c r="AC978" s="32">
        <v>1173</v>
      </c>
    </row>
    <row r="979" spans="3:29" ht="19">
      <c r="C979" s="22" t="s">
        <v>585</v>
      </c>
      <c r="D979" s="22" t="s">
        <v>151</v>
      </c>
      <c r="E979" s="5">
        <v>41229</v>
      </c>
      <c r="F979" s="5">
        <v>17285</v>
      </c>
      <c r="G979" s="28" t="s">
        <v>1723</v>
      </c>
      <c r="H979" s="6" t="s">
        <v>1137</v>
      </c>
      <c r="J979" s="5" t="s">
        <v>225</v>
      </c>
      <c r="K979" s="27">
        <v>5.6</v>
      </c>
      <c r="L979" s="27">
        <v>-20.399999999999999</v>
      </c>
      <c r="R979" s="27">
        <v>14.3</v>
      </c>
      <c r="S979" s="27">
        <v>2.9</v>
      </c>
      <c r="V979" s="32" t="s">
        <v>3353</v>
      </c>
      <c r="W979" s="32">
        <v>3</v>
      </c>
      <c r="X979" s="33" t="s">
        <v>3486</v>
      </c>
      <c r="Y979" s="32">
        <v>8045</v>
      </c>
      <c r="AA979" s="32">
        <v>30.13</v>
      </c>
      <c r="AB979" s="32">
        <v>-99.54</v>
      </c>
      <c r="AC979" s="32">
        <v>1173</v>
      </c>
    </row>
    <row r="980" spans="3:29" ht="19">
      <c r="C980" s="22" t="s">
        <v>585</v>
      </c>
      <c r="D980" s="22" t="s">
        <v>151</v>
      </c>
      <c r="E980" s="5">
        <v>41229</v>
      </c>
      <c r="F980" s="5">
        <v>17286</v>
      </c>
      <c r="G980" s="28" t="s">
        <v>1723</v>
      </c>
      <c r="H980" s="6" t="s">
        <v>1137</v>
      </c>
      <c r="J980" s="5" t="s">
        <v>225</v>
      </c>
      <c r="K980" s="27">
        <v>5.0999999999999996</v>
      </c>
      <c r="L980" s="27">
        <v>-12.1</v>
      </c>
      <c r="R980" s="27">
        <v>14.9</v>
      </c>
      <c r="S980" s="27">
        <v>2.9</v>
      </c>
      <c r="V980" s="32" t="s">
        <v>3353</v>
      </c>
      <c r="W980" s="32">
        <v>2</v>
      </c>
      <c r="X980" s="33" t="s">
        <v>3486</v>
      </c>
      <c r="Y980" s="32">
        <v>8045</v>
      </c>
      <c r="AA980" s="32">
        <v>30.13</v>
      </c>
      <c r="AB980" s="32">
        <v>-99.54</v>
      </c>
      <c r="AC980" s="32">
        <v>1173</v>
      </c>
    </row>
    <row r="981" spans="3:29" ht="19">
      <c r="C981" s="22" t="s">
        <v>585</v>
      </c>
      <c r="D981" s="22" t="s">
        <v>151</v>
      </c>
      <c r="E981" s="5">
        <v>41229</v>
      </c>
      <c r="F981" s="5">
        <v>17289</v>
      </c>
      <c r="G981" s="28" t="s">
        <v>1723</v>
      </c>
      <c r="H981" s="6" t="s">
        <v>1137</v>
      </c>
      <c r="J981" s="5" t="s">
        <v>225</v>
      </c>
      <c r="K981" s="27">
        <v>5.8</v>
      </c>
      <c r="L981" s="27">
        <v>-18.8</v>
      </c>
      <c r="R981" s="27">
        <v>14.8</v>
      </c>
      <c r="S981" s="27">
        <v>2.9</v>
      </c>
      <c r="V981" s="32" t="s">
        <v>3353</v>
      </c>
      <c r="W981" s="32">
        <v>2</v>
      </c>
      <c r="X981" s="33" t="s">
        <v>3521</v>
      </c>
      <c r="Y981" s="32">
        <v>8375</v>
      </c>
      <c r="AA981" s="32">
        <v>30.13</v>
      </c>
      <c r="AB981" s="32">
        <v>-99.54</v>
      </c>
      <c r="AC981" s="32">
        <v>1173</v>
      </c>
    </row>
    <row r="982" spans="3:29" ht="19">
      <c r="C982" s="22" t="s">
        <v>585</v>
      </c>
      <c r="D982" s="22" t="s">
        <v>151</v>
      </c>
      <c r="E982" s="5">
        <v>41229</v>
      </c>
      <c r="F982" s="5">
        <v>17290</v>
      </c>
      <c r="G982" s="28" t="s">
        <v>1723</v>
      </c>
      <c r="H982" s="6" t="s">
        <v>1137</v>
      </c>
      <c r="J982" s="5" t="s">
        <v>225</v>
      </c>
      <c r="K982" s="27">
        <v>6.2</v>
      </c>
      <c r="L982" s="27">
        <v>-18.3</v>
      </c>
      <c r="R982" s="27">
        <v>14.8</v>
      </c>
      <c r="S982" s="27">
        <v>2.9</v>
      </c>
      <c r="V982" s="32" t="s">
        <v>3353</v>
      </c>
      <c r="W982" s="32">
        <v>2</v>
      </c>
      <c r="X982" s="33" t="s">
        <v>3521</v>
      </c>
      <c r="Y982" s="32">
        <v>8375</v>
      </c>
      <c r="AA982" s="32">
        <v>30.13</v>
      </c>
      <c r="AB982" s="32">
        <v>-99.54</v>
      </c>
      <c r="AC982" s="32">
        <v>1173</v>
      </c>
    </row>
    <row r="983" spans="3:29" ht="19">
      <c r="C983" s="22" t="s">
        <v>585</v>
      </c>
      <c r="D983" s="22" t="s">
        <v>151</v>
      </c>
      <c r="E983" s="5">
        <v>41229</v>
      </c>
      <c r="F983" s="5">
        <v>17291</v>
      </c>
      <c r="G983" s="28" t="s">
        <v>1723</v>
      </c>
      <c r="H983" s="6" t="s">
        <v>1137</v>
      </c>
      <c r="J983" s="5" t="s">
        <v>225</v>
      </c>
      <c r="K983" s="27">
        <v>6.1</v>
      </c>
      <c r="L983" s="27">
        <v>-16.3</v>
      </c>
      <c r="R983" s="27">
        <v>15.8</v>
      </c>
      <c r="S983" s="27">
        <v>2.9</v>
      </c>
      <c r="V983" s="32" t="s">
        <v>3353</v>
      </c>
      <c r="W983" s="32">
        <v>2</v>
      </c>
      <c r="X983" s="33" t="s">
        <v>3521</v>
      </c>
      <c r="Y983" s="32">
        <v>8375</v>
      </c>
      <c r="AA983" s="32">
        <v>30.13</v>
      </c>
      <c r="AB983" s="32">
        <v>-99.54</v>
      </c>
      <c r="AC983" s="32">
        <v>1173</v>
      </c>
    </row>
    <row r="984" spans="3:29" ht="19">
      <c r="C984" s="22" t="s">
        <v>585</v>
      </c>
      <c r="D984" s="22" t="s">
        <v>151</v>
      </c>
      <c r="E984" s="5">
        <v>41229</v>
      </c>
      <c r="F984" s="5">
        <v>17295</v>
      </c>
      <c r="G984" s="28" t="s">
        <v>1723</v>
      </c>
      <c r="H984" s="6" t="s">
        <v>1137</v>
      </c>
      <c r="J984" s="5" t="s">
        <v>225</v>
      </c>
      <c r="K984" s="27">
        <v>5.5</v>
      </c>
      <c r="L984" s="27">
        <v>-14.2</v>
      </c>
      <c r="R984" s="27">
        <v>14.5</v>
      </c>
      <c r="S984" s="27">
        <v>2.9</v>
      </c>
      <c r="V984" s="32" t="s">
        <v>3353</v>
      </c>
      <c r="W984" s="32">
        <v>3</v>
      </c>
      <c r="X984" s="33" t="s">
        <v>3521</v>
      </c>
      <c r="Y984" s="32">
        <v>8375</v>
      </c>
      <c r="AA984" s="32">
        <v>30.13</v>
      </c>
      <c r="AB984" s="32">
        <v>-99.54</v>
      </c>
      <c r="AC984" s="32">
        <v>1173</v>
      </c>
    </row>
    <row r="985" spans="3:29" ht="19">
      <c r="C985" s="22" t="s">
        <v>585</v>
      </c>
      <c r="D985" s="22" t="s">
        <v>151</v>
      </c>
      <c r="E985" s="5">
        <v>41229</v>
      </c>
      <c r="F985" s="5">
        <v>17308</v>
      </c>
      <c r="G985" s="28" t="s">
        <v>1723</v>
      </c>
      <c r="H985" s="6" t="s">
        <v>1137</v>
      </c>
      <c r="J985" s="5" t="s">
        <v>225</v>
      </c>
      <c r="K985" s="27">
        <v>5.6</v>
      </c>
      <c r="L985" s="27">
        <v>-22.3</v>
      </c>
      <c r="R985" s="27">
        <v>15.1</v>
      </c>
      <c r="S985" s="27">
        <v>2.9</v>
      </c>
      <c r="V985" s="32" t="s">
        <v>3353</v>
      </c>
      <c r="W985" s="32">
        <v>2</v>
      </c>
      <c r="X985" s="33" t="s">
        <v>3519</v>
      </c>
      <c r="Y985" s="32">
        <v>8704</v>
      </c>
      <c r="AA985" s="32">
        <v>30.13</v>
      </c>
      <c r="AB985" s="32">
        <v>-99.54</v>
      </c>
      <c r="AC985" s="32">
        <v>1173</v>
      </c>
    </row>
    <row r="986" spans="3:29" ht="19">
      <c r="C986" s="22" t="s">
        <v>585</v>
      </c>
      <c r="D986" s="22" t="s">
        <v>151</v>
      </c>
      <c r="E986" s="5">
        <v>41229</v>
      </c>
      <c r="F986" s="5">
        <v>17316</v>
      </c>
      <c r="G986" s="28" t="s">
        <v>1723</v>
      </c>
      <c r="H986" s="6" t="s">
        <v>1137</v>
      </c>
      <c r="J986" s="5" t="s">
        <v>225</v>
      </c>
      <c r="K986" s="27">
        <v>7.1</v>
      </c>
      <c r="L986" s="27">
        <v>-12.1</v>
      </c>
      <c r="R986" s="27">
        <v>13.1</v>
      </c>
      <c r="S986" s="27">
        <v>2.9</v>
      </c>
      <c r="V986" s="32" t="s">
        <v>3353</v>
      </c>
      <c r="W986" s="32">
        <v>2</v>
      </c>
      <c r="X986" s="33" t="s">
        <v>3519</v>
      </c>
      <c r="Y986" s="32">
        <v>8704</v>
      </c>
      <c r="AA986" s="32">
        <v>30.13</v>
      </c>
      <c r="AB986" s="32">
        <v>-99.54</v>
      </c>
      <c r="AC986" s="32">
        <v>1173</v>
      </c>
    </row>
    <row r="987" spans="3:29" ht="19">
      <c r="C987" s="22" t="s">
        <v>585</v>
      </c>
      <c r="D987" s="22" t="s">
        <v>151</v>
      </c>
      <c r="E987" s="5">
        <v>41229</v>
      </c>
      <c r="F987" s="5">
        <v>17379</v>
      </c>
      <c r="G987" s="28" t="s">
        <v>1723</v>
      </c>
      <c r="H987" s="6" t="s">
        <v>1137</v>
      </c>
      <c r="J987" s="5" t="s">
        <v>225</v>
      </c>
      <c r="K987" s="27">
        <v>6.8</v>
      </c>
      <c r="L987" s="27">
        <v>-21.7</v>
      </c>
      <c r="R987" s="27">
        <v>14.9</v>
      </c>
      <c r="S987" s="27">
        <v>2.9</v>
      </c>
      <c r="V987" s="32" t="s">
        <v>3353</v>
      </c>
      <c r="W987" s="32">
        <v>2</v>
      </c>
      <c r="X987" s="33" t="s">
        <v>3518</v>
      </c>
      <c r="Y987" s="32">
        <v>9692</v>
      </c>
      <c r="AA987" s="32">
        <v>30.13</v>
      </c>
      <c r="AB987" s="32">
        <v>-99.54</v>
      </c>
      <c r="AC987" s="32">
        <v>1173</v>
      </c>
    </row>
    <row r="988" spans="3:29" ht="19">
      <c r="C988" s="22" t="s">
        <v>585</v>
      </c>
      <c r="D988" s="22" t="s">
        <v>151</v>
      </c>
      <c r="E988" s="5">
        <v>41229</v>
      </c>
      <c r="F988" s="5">
        <v>17385</v>
      </c>
      <c r="G988" s="28" t="s">
        <v>1723</v>
      </c>
      <c r="H988" s="6" t="s">
        <v>1137</v>
      </c>
      <c r="J988" s="5" t="s">
        <v>225</v>
      </c>
      <c r="K988" s="27">
        <v>7.5</v>
      </c>
      <c r="L988" s="27">
        <v>-22.4</v>
      </c>
      <c r="R988" s="27">
        <v>14.4</v>
      </c>
      <c r="S988" s="27">
        <v>2.9</v>
      </c>
      <c r="V988" s="32" t="s">
        <v>3353</v>
      </c>
      <c r="W988" s="32">
        <v>3</v>
      </c>
      <c r="X988" s="33" t="s">
        <v>3518</v>
      </c>
      <c r="Y988" s="32">
        <v>9692</v>
      </c>
      <c r="AA988" s="32">
        <v>30.13</v>
      </c>
      <c r="AB988" s="32">
        <v>-99.54</v>
      </c>
      <c r="AC988" s="32">
        <v>1173</v>
      </c>
    </row>
    <row r="989" spans="3:29" ht="19">
      <c r="C989" s="22" t="s">
        <v>585</v>
      </c>
      <c r="D989" s="22" t="s">
        <v>151</v>
      </c>
      <c r="E989" s="5">
        <v>41229</v>
      </c>
      <c r="F989" s="5">
        <v>17386</v>
      </c>
      <c r="G989" s="28" t="s">
        <v>1723</v>
      </c>
      <c r="H989" s="6" t="s">
        <v>1137</v>
      </c>
      <c r="J989" s="5" t="s">
        <v>225</v>
      </c>
      <c r="K989" s="27">
        <v>6.1</v>
      </c>
      <c r="L989" s="27">
        <v>-20.3</v>
      </c>
      <c r="R989" s="27">
        <v>15.3</v>
      </c>
      <c r="S989" s="27">
        <v>2.9</v>
      </c>
      <c r="V989" s="32" t="s">
        <v>3353</v>
      </c>
      <c r="W989" s="32">
        <v>3</v>
      </c>
      <c r="X989" s="33" t="s">
        <v>3518</v>
      </c>
      <c r="Y989" s="32">
        <v>9692</v>
      </c>
      <c r="AA989" s="32">
        <v>30.13</v>
      </c>
      <c r="AB989" s="32">
        <v>-99.54</v>
      </c>
      <c r="AC989" s="32">
        <v>1173</v>
      </c>
    </row>
    <row r="990" spans="3:29" ht="19">
      <c r="C990" s="22" t="s">
        <v>585</v>
      </c>
      <c r="D990" s="22" t="s">
        <v>151</v>
      </c>
      <c r="E990" s="5">
        <v>41229</v>
      </c>
      <c r="F990" s="5">
        <v>17387</v>
      </c>
      <c r="G990" s="28" t="s">
        <v>1723</v>
      </c>
      <c r="H990" s="6" t="s">
        <v>1137</v>
      </c>
      <c r="J990" s="5" t="s">
        <v>225</v>
      </c>
      <c r="K990" s="27">
        <v>7.1</v>
      </c>
      <c r="L990" s="27">
        <v>-20.2</v>
      </c>
      <c r="R990" s="27">
        <v>14.5</v>
      </c>
      <c r="S990" s="27">
        <v>2.9</v>
      </c>
      <c r="V990" s="32" t="s">
        <v>3353</v>
      </c>
      <c r="W990" s="32">
        <v>3</v>
      </c>
      <c r="X990" s="33" t="s">
        <v>3518</v>
      </c>
      <c r="Y990" s="32">
        <v>9692</v>
      </c>
      <c r="AA990" s="32">
        <v>30.13</v>
      </c>
      <c r="AB990" s="32">
        <v>-99.54</v>
      </c>
      <c r="AC990" s="32">
        <v>1173</v>
      </c>
    </row>
    <row r="991" spans="3:29" ht="19">
      <c r="C991" s="22" t="s">
        <v>585</v>
      </c>
      <c r="D991" s="22" t="s">
        <v>151</v>
      </c>
      <c r="E991" s="5">
        <v>41229</v>
      </c>
      <c r="F991" s="5">
        <v>17391</v>
      </c>
      <c r="G991" s="28" t="s">
        <v>1723</v>
      </c>
      <c r="H991" s="6" t="s">
        <v>1137</v>
      </c>
      <c r="J991" s="5" t="s">
        <v>225</v>
      </c>
      <c r="K991" s="27">
        <v>7.3</v>
      </c>
      <c r="L991" s="27">
        <v>-21.5</v>
      </c>
      <c r="R991" s="27">
        <v>15.1</v>
      </c>
      <c r="S991" s="27">
        <v>2.9</v>
      </c>
      <c r="V991" s="32" t="s">
        <v>3353</v>
      </c>
      <c r="W991" s="32">
        <v>2</v>
      </c>
      <c r="X991" s="33" t="s">
        <v>3518</v>
      </c>
      <c r="Y991" s="32">
        <v>9692</v>
      </c>
      <c r="AA991" s="32">
        <v>30.13</v>
      </c>
      <c r="AB991" s="32">
        <v>-99.54</v>
      </c>
      <c r="AC991" s="32">
        <v>1173</v>
      </c>
    </row>
    <row r="992" spans="3:29" ht="19">
      <c r="C992" s="22" t="s">
        <v>585</v>
      </c>
      <c r="D992" s="22" t="s">
        <v>151</v>
      </c>
      <c r="E992" s="5">
        <v>41229</v>
      </c>
      <c r="F992" s="5">
        <v>17392</v>
      </c>
      <c r="G992" s="28" t="s">
        <v>1723</v>
      </c>
      <c r="H992" s="6" t="s">
        <v>1137</v>
      </c>
      <c r="J992" s="5" t="s">
        <v>225</v>
      </c>
      <c r="K992" s="27">
        <v>6.4</v>
      </c>
      <c r="L992" s="27">
        <v>-20.8</v>
      </c>
      <c r="R992" s="27">
        <v>15.5</v>
      </c>
      <c r="S992" s="27">
        <v>2.9</v>
      </c>
      <c r="V992" s="32" t="s">
        <v>3353</v>
      </c>
      <c r="W992" s="32">
        <v>3</v>
      </c>
      <c r="X992" s="33" t="s">
        <v>3518</v>
      </c>
      <c r="Y992" s="32">
        <v>9692</v>
      </c>
      <c r="AA992" s="32">
        <v>30.13</v>
      </c>
      <c r="AB992" s="32">
        <v>-99.54</v>
      </c>
      <c r="AC992" s="32">
        <v>1173</v>
      </c>
    </row>
    <row r="993" spans="3:31" ht="19">
      <c r="C993" s="22" t="s">
        <v>585</v>
      </c>
      <c r="D993" s="22" t="s">
        <v>151</v>
      </c>
      <c r="E993" s="5">
        <v>41229</v>
      </c>
      <c r="F993" s="5">
        <v>17412</v>
      </c>
      <c r="G993" s="28" t="s">
        <v>1723</v>
      </c>
      <c r="H993" s="6" t="s">
        <v>1137</v>
      </c>
      <c r="J993" s="5" t="s">
        <v>225</v>
      </c>
      <c r="K993" s="27">
        <v>6.8</v>
      </c>
      <c r="L993" s="27">
        <v>-22.7</v>
      </c>
      <c r="R993" s="27">
        <v>12.5</v>
      </c>
      <c r="S993" s="27">
        <v>2.9</v>
      </c>
      <c r="V993" s="32" t="s">
        <v>3353</v>
      </c>
      <c r="W993" s="32">
        <v>2</v>
      </c>
      <c r="X993" s="33" t="s">
        <v>3365</v>
      </c>
      <c r="Y993" s="32">
        <v>10351</v>
      </c>
      <c r="AA993" s="32">
        <v>30.13</v>
      </c>
      <c r="AB993" s="32">
        <v>-99.54</v>
      </c>
      <c r="AC993" s="32">
        <v>1173</v>
      </c>
    </row>
    <row r="994" spans="3:31" ht="19">
      <c r="C994" s="22" t="s">
        <v>585</v>
      </c>
      <c r="D994" s="22" t="s">
        <v>151</v>
      </c>
      <c r="E994" s="5">
        <v>41229</v>
      </c>
      <c r="F994" s="5">
        <v>17413</v>
      </c>
      <c r="G994" s="28" t="s">
        <v>1723</v>
      </c>
      <c r="H994" s="6" t="s">
        <v>1137</v>
      </c>
      <c r="J994" s="5" t="s">
        <v>225</v>
      </c>
      <c r="K994" s="27">
        <v>6.8</v>
      </c>
      <c r="L994" s="27">
        <v>-21.2</v>
      </c>
      <c r="R994" s="27">
        <v>11.7</v>
      </c>
      <c r="S994" s="27">
        <v>2.9</v>
      </c>
      <c r="V994" s="32" t="s">
        <v>3353</v>
      </c>
      <c r="W994" s="32">
        <v>3</v>
      </c>
      <c r="X994" s="33" t="s">
        <v>3365</v>
      </c>
      <c r="Y994" s="32">
        <v>10351</v>
      </c>
      <c r="AA994" s="32">
        <v>30.13</v>
      </c>
      <c r="AB994" s="32">
        <v>-99.54</v>
      </c>
      <c r="AC994" s="32">
        <v>1173</v>
      </c>
    </row>
    <row r="995" spans="3:31" ht="19">
      <c r="C995" s="22" t="s">
        <v>585</v>
      </c>
      <c r="D995" s="22" t="s">
        <v>151</v>
      </c>
      <c r="E995" s="5">
        <v>41229</v>
      </c>
      <c r="F995" s="5">
        <v>17414</v>
      </c>
      <c r="G995" s="28" t="s">
        <v>1723</v>
      </c>
      <c r="H995" s="6" t="s">
        <v>1137</v>
      </c>
      <c r="J995" s="5" t="s">
        <v>225</v>
      </c>
      <c r="K995" s="27">
        <v>6.9</v>
      </c>
      <c r="L995" s="27">
        <v>-22.8</v>
      </c>
      <c r="R995" s="27">
        <v>10.9</v>
      </c>
      <c r="S995" s="27">
        <v>2.9</v>
      </c>
      <c r="V995" s="32" t="s">
        <v>3353</v>
      </c>
      <c r="W995" s="32">
        <v>3</v>
      </c>
      <c r="X995" s="33" t="s">
        <v>3365</v>
      </c>
      <c r="Y995" s="32">
        <v>10351</v>
      </c>
      <c r="AA995" s="32">
        <v>30.13</v>
      </c>
      <c r="AB995" s="32">
        <v>-99.54</v>
      </c>
      <c r="AC995" s="32">
        <v>1173</v>
      </c>
    </row>
    <row r="996" spans="3:31" ht="19">
      <c r="C996" s="22" t="s">
        <v>585</v>
      </c>
      <c r="D996" s="22" t="s">
        <v>151</v>
      </c>
      <c r="E996" s="5">
        <v>41229</v>
      </c>
      <c r="F996" s="5">
        <v>17418</v>
      </c>
      <c r="G996" s="28" t="s">
        <v>1723</v>
      </c>
      <c r="H996" s="6" t="s">
        <v>1137</v>
      </c>
      <c r="J996" s="5" t="s">
        <v>225</v>
      </c>
      <c r="K996" s="27">
        <v>4</v>
      </c>
      <c r="L996" s="27">
        <v>-19.100000000000001</v>
      </c>
      <c r="R996" s="27">
        <v>14</v>
      </c>
      <c r="S996" s="27">
        <v>2.9</v>
      </c>
      <c r="V996" s="32" t="s">
        <v>3353</v>
      </c>
      <c r="W996" s="32">
        <v>2</v>
      </c>
      <c r="X996" s="33" t="s">
        <v>3365</v>
      </c>
      <c r="Y996" s="32">
        <v>10351</v>
      </c>
      <c r="AA996" s="32">
        <v>30.13</v>
      </c>
      <c r="AB996" s="32">
        <v>-99.54</v>
      </c>
      <c r="AC996" s="32">
        <v>1173</v>
      </c>
    </row>
    <row r="997" spans="3:31" ht="19">
      <c r="C997" s="22" t="s">
        <v>585</v>
      </c>
      <c r="D997" s="22" t="s">
        <v>151</v>
      </c>
      <c r="E997" s="5">
        <v>41229</v>
      </c>
      <c r="F997" s="5">
        <v>17421</v>
      </c>
      <c r="G997" s="28" t="s">
        <v>1723</v>
      </c>
      <c r="H997" s="6" t="s">
        <v>1137</v>
      </c>
      <c r="J997" s="5" t="s">
        <v>225</v>
      </c>
      <c r="K997" s="27">
        <v>5.6</v>
      </c>
      <c r="L997" s="27">
        <v>-11.9</v>
      </c>
      <c r="R997" s="27">
        <v>15</v>
      </c>
      <c r="S997" s="27">
        <v>2.9</v>
      </c>
      <c r="V997" s="32" t="s">
        <v>3353</v>
      </c>
      <c r="W997" s="32">
        <v>2</v>
      </c>
      <c r="X997" s="33" t="s">
        <v>3365</v>
      </c>
      <c r="Y997" s="32">
        <v>10351</v>
      </c>
      <c r="AA997" s="32">
        <v>30.13</v>
      </c>
      <c r="AB997" s="32">
        <v>-99.54</v>
      </c>
      <c r="AC997" s="32">
        <v>1173</v>
      </c>
    </row>
    <row r="998" spans="3:31" ht="19">
      <c r="C998" s="22" t="s">
        <v>585</v>
      </c>
      <c r="D998" s="22" t="s">
        <v>151</v>
      </c>
      <c r="E998" s="5">
        <v>41229</v>
      </c>
      <c r="F998" s="5">
        <v>17422</v>
      </c>
      <c r="G998" s="28" t="s">
        <v>1723</v>
      </c>
      <c r="H998" s="6" t="s">
        <v>1137</v>
      </c>
      <c r="J998" s="5" t="s">
        <v>225</v>
      </c>
      <c r="K998" s="27">
        <v>4</v>
      </c>
      <c r="L998" s="27">
        <v>-18.8</v>
      </c>
      <c r="R998" s="27">
        <v>13.8</v>
      </c>
      <c r="S998" s="27">
        <v>2.9</v>
      </c>
      <c r="V998" s="32" t="s">
        <v>3353</v>
      </c>
      <c r="W998" s="32">
        <v>2</v>
      </c>
      <c r="X998" s="33" t="s">
        <v>3365</v>
      </c>
      <c r="Y998" s="32">
        <v>10351</v>
      </c>
      <c r="AA998" s="32">
        <v>30.13</v>
      </c>
      <c r="AB998" s="32">
        <v>-99.54</v>
      </c>
      <c r="AC998" s="32">
        <v>1173</v>
      </c>
    </row>
    <row r="999" spans="3:31" ht="19">
      <c r="C999" s="22" t="s">
        <v>585</v>
      </c>
      <c r="D999" s="22" t="s">
        <v>151</v>
      </c>
      <c r="E999" s="5">
        <v>41229</v>
      </c>
      <c r="F999" s="5">
        <v>17451</v>
      </c>
      <c r="G999" s="28" t="s">
        <v>1723</v>
      </c>
      <c r="H999" s="6" t="s">
        <v>1137</v>
      </c>
      <c r="J999" s="5" t="s">
        <v>225</v>
      </c>
      <c r="K999" s="27">
        <v>4.8</v>
      </c>
      <c r="L999" s="27">
        <v>-21.3</v>
      </c>
      <c r="R999" s="27">
        <v>14.7</v>
      </c>
      <c r="S999" s="27">
        <v>2.9</v>
      </c>
      <c r="V999" s="32" t="s">
        <v>3353</v>
      </c>
      <c r="W999" s="32">
        <v>2</v>
      </c>
      <c r="X999" s="33" t="s">
        <v>3537</v>
      </c>
      <c r="Y999" s="32">
        <v>11010</v>
      </c>
      <c r="AA999" s="32">
        <v>30.13</v>
      </c>
      <c r="AB999" s="32">
        <v>-99.54</v>
      </c>
      <c r="AC999" s="32">
        <v>1173</v>
      </c>
    </row>
    <row r="1000" spans="3:31" ht="19">
      <c r="C1000" s="22" t="s">
        <v>585</v>
      </c>
      <c r="D1000" s="22" t="s">
        <v>151</v>
      </c>
      <c r="E1000" s="5">
        <v>41229</v>
      </c>
      <c r="F1000" s="5">
        <v>17454</v>
      </c>
      <c r="G1000" s="28" t="s">
        <v>1723</v>
      </c>
      <c r="H1000" s="6" t="s">
        <v>1137</v>
      </c>
      <c r="J1000" s="5" t="s">
        <v>225</v>
      </c>
      <c r="K1000" s="27">
        <v>7</v>
      </c>
      <c r="L1000" s="27">
        <v>-19.100000000000001</v>
      </c>
      <c r="R1000" s="27">
        <v>10.8</v>
      </c>
      <c r="S1000" s="27">
        <v>2.9</v>
      </c>
      <c r="V1000" s="32" t="s">
        <v>3353</v>
      </c>
      <c r="W1000" s="32">
        <v>3</v>
      </c>
      <c r="X1000" s="33" t="s">
        <v>3537</v>
      </c>
      <c r="Y1000" s="32">
        <v>11010</v>
      </c>
      <c r="AA1000" s="32">
        <v>30.13</v>
      </c>
      <c r="AB1000" s="32">
        <v>-99.54</v>
      </c>
      <c r="AC1000" s="32">
        <v>1173</v>
      </c>
    </row>
    <row r="1001" spans="3:31" ht="19">
      <c r="C1001" s="22" t="s">
        <v>585</v>
      </c>
      <c r="D1001" s="22" t="s">
        <v>151</v>
      </c>
      <c r="E1001" s="5">
        <v>41229</v>
      </c>
      <c r="F1001" s="5">
        <v>17459</v>
      </c>
      <c r="G1001" s="28" t="s">
        <v>1723</v>
      </c>
      <c r="H1001" s="6" t="s">
        <v>1137</v>
      </c>
      <c r="J1001" s="5" t="s">
        <v>225</v>
      </c>
      <c r="K1001" s="27">
        <v>5.3</v>
      </c>
      <c r="L1001" s="27">
        <v>-16.2</v>
      </c>
      <c r="R1001" s="27">
        <v>10.8</v>
      </c>
      <c r="S1001" s="27">
        <v>2.9</v>
      </c>
      <c r="V1001" s="32" t="s">
        <v>3353</v>
      </c>
      <c r="W1001" s="32">
        <v>3</v>
      </c>
      <c r="X1001" s="33" t="s">
        <v>3537</v>
      </c>
      <c r="Y1001" s="32">
        <v>11010</v>
      </c>
      <c r="AA1001" s="32">
        <v>30.13</v>
      </c>
      <c r="AB1001" s="32">
        <v>-99.54</v>
      </c>
      <c r="AC1001" s="32">
        <v>1173</v>
      </c>
    </row>
    <row r="1002" spans="3:31" ht="19">
      <c r="C1002" s="22" t="s">
        <v>585</v>
      </c>
      <c r="D1002" s="22" t="s">
        <v>151</v>
      </c>
      <c r="E1002" s="5">
        <v>41229</v>
      </c>
      <c r="F1002" s="5">
        <v>2896</v>
      </c>
      <c r="G1002" s="28" t="s">
        <v>1723</v>
      </c>
      <c r="H1002" s="6" t="s">
        <v>1137</v>
      </c>
      <c r="J1002" s="5" t="s">
        <v>225</v>
      </c>
      <c r="K1002" s="27">
        <v>5.9</v>
      </c>
      <c r="L1002" s="27">
        <v>-18.3</v>
      </c>
      <c r="R1002" s="27">
        <v>14.1</v>
      </c>
      <c r="S1002" s="27">
        <v>2.9</v>
      </c>
      <c r="V1002" s="32" t="s">
        <v>3353</v>
      </c>
      <c r="W1002" s="32">
        <v>3</v>
      </c>
      <c r="X1002" s="33" t="s">
        <v>3634</v>
      </c>
      <c r="Y1002" s="32">
        <v>2775</v>
      </c>
      <c r="AA1002" s="32">
        <v>30.13</v>
      </c>
      <c r="AB1002" s="32">
        <v>-99.54</v>
      </c>
      <c r="AC1002" s="32">
        <v>1173</v>
      </c>
    </row>
    <row r="1003" spans="3:31" ht="19">
      <c r="C1003" s="22" t="s">
        <v>585</v>
      </c>
      <c r="D1003" s="22" t="s">
        <v>151</v>
      </c>
      <c r="E1003" s="5">
        <v>41229</v>
      </c>
      <c r="F1003" s="5">
        <v>4017</v>
      </c>
      <c r="G1003" s="28" t="s">
        <v>1723</v>
      </c>
      <c r="H1003" s="6" t="s">
        <v>1137</v>
      </c>
      <c r="J1003" s="5" t="s">
        <v>225</v>
      </c>
      <c r="K1003" s="27">
        <v>5.3</v>
      </c>
      <c r="L1003" s="27">
        <v>-13.1</v>
      </c>
      <c r="R1003" s="27">
        <v>15.3</v>
      </c>
      <c r="S1003" s="27">
        <v>2.9</v>
      </c>
      <c r="V1003" s="32" t="s">
        <v>3353</v>
      </c>
      <c r="W1003" s="32">
        <v>2</v>
      </c>
      <c r="X1003" s="33" t="s">
        <v>3467</v>
      </c>
      <c r="Y1003" s="32">
        <v>4422</v>
      </c>
      <c r="AA1003" s="32">
        <v>30.13</v>
      </c>
      <c r="AB1003" s="32">
        <v>-99.54</v>
      </c>
      <c r="AC1003" s="32">
        <v>1173</v>
      </c>
    </row>
    <row r="1004" spans="3:31" ht="19">
      <c r="C1004" s="22" t="s">
        <v>585</v>
      </c>
      <c r="D1004" s="22" t="s">
        <v>151</v>
      </c>
      <c r="E1004" s="5">
        <v>41229</v>
      </c>
      <c r="F1004" s="5">
        <v>4018</v>
      </c>
      <c r="G1004" s="28" t="s">
        <v>1723</v>
      </c>
      <c r="H1004" s="6" t="s">
        <v>1137</v>
      </c>
      <c r="J1004" s="5" t="s">
        <v>225</v>
      </c>
      <c r="K1004" s="27">
        <v>5.7</v>
      </c>
      <c r="L1004" s="27">
        <v>-13.3</v>
      </c>
      <c r="R1004" s="27">
        <v>15.6</v>
      </c>
      <c r="S1004" s="27">
        <v>2.9</v>
      </c>
      <c r="V1004" s="32" t="s">
        <v>3353</v>
      </c>
      <c r="W1004" s="32">
        <v>3</v>
      </c>
      <c r="X1004" s="33" t="s">
        <v>3467</v>
      </c>
      <c r="Y1004" s="32">
        <v>4422</v>
      </c>
      <c r="AA1004" s="32">
        <v>30.13</v>
      </c>
      <c r="AB1004" s="32">
        <v>-99.54</v>
      </c>
      <c r="AC1004" s="32">
        <v>1173</v>
      </c>
      <c r="AD1004" s="30"/>
      <c r="AE1004" s="30"/>
    </row>
    <row r="1005" spans="3:31" ht="19">
      <c r="C1005" s="22" t="s">
        <v>585</v>
      </c>
      <c r="D1005" s="22" t="s">
        <v>151</v>
      </c>
      <c r="E1005" s="5">
        <v>41229</v>
      </c>
      <c r="F1005" s="5">
        <v>4098</v>
      </c>
      <c r="G1005" s="28" t="s">
        <v>1723</v>
      </c>
      <c r="H1005" s="6" t="s">
        <v>1137</v>
      </c>
      <c r="J1005" s="5" t="s">
        <v>225</v>
      </c>
      <c r="K1005" s="27">
        <v>6</v>
      </c>
      <c r="L1005" s="27">
        <v>-14.1</v>
      </c>
      <c r="R1005" s="27">
        <v>15.9</v>
      </c>
      <c r="S1005" s="27">
        <v>2.9</v>
      </c>
      <c r="V1005" s="32" t="s">
        <v>3353</v>
      </c>
      <c r="W1005" s="32">
        <v>2</v>
      </c>
      <c r="X1005" s="33" t="s">
        <v>3404</v>
      </c>
      <c r="Y1005" s="32">
        <v>3434</v>
      </c>
      <c r="AA1005" s="32">
        <v>30.13</v>
      </c>
      <c r="AB1005" s="32">
        <v>-99.54</v>
      </c>
      <c r="AC1005" s="32">
        <v>1173</v>
      </c>
    </row>
    <row r="1006" spans="3:31" ht="19">
      <c r="C1006" s="22" t="s">
        <v>585</v>
      </c>
      <c r="D1006" s="22" t="s">
        <v>151</v>
      </c>
      <c r="E1006" s="5">
        <v>41229</v>
      </c>
      <c r="F1006" s="5">
        <v>4753</v>
      </c>
      <c r="G1006" s="28" t="s">
        <v>1723</v>
      </c>
      <c r="H1006" s="6" t="s">
        <v>1137</v>
      </c>
      <c r="J1006" s="5" t="s">
        <v>225</v>
      </c>
      <c r="K1006" s="27">
        <v>6.2</v>
      </c>
      <c r="L1006" s="27">
        <v>-15.7</v>
      </c>
      <c r="R1006" s="27">
        <v>13.2</v>
      </c>
      <c r="S1006" s="27">
        <v>2.9</v>
      </c>
      <c r="V1006" s="32" t="s">
        <v>3353</v>
      </c>
      <c r="W1006" s="32">
        <v>3</v>
      </c>
      <c r="X1006" s="33" t="s">
        <v>3478</v>
      </c>
      <c r="Y1006" s="32">
        <v>7716</v>
      </c>
      <c r="AA1006" s="32">
        <v>30.13</v>
      </c>
      <c r="AB1006" s="32">
        <v>-99.54</v>
      </c>
      <c r="AC1006" s="32">
        <v>1173</v>
      </c>
    </row>
    <row r="1007" spans="3:31" ht="19">
      <c r="C1007" s="22" t="s">
        <v>585</v>
      </c>
      <c r="D1007" s="22" t="s">
        <v>151</v>
      </c>
      <c r="E1007" s="5">
        <v>41229</v>
      </c>
      <c r="F1007" s="5">
        <v>689</v>
      </c>
      <c r="G1007" s="28" t="s">
        <v>1723</v>
      </c>
      <c r="H1007" s="6" t="s">
        <v>1137</v>
      </c>
      <c r="J1007" s="5" t="s">
        <v>225</v>
      </c>
      <c r="K1007" s="27">
        <v>5.9</v>
      </c>
      <c r="L1007" s="27">
        <v>-15.2</v>
      </c>
      <c r="R1007" s="27">
        <v>15.8</v>
      </c>
      <c r="S1007" s="27">
        <v>2.9</v>
      </c>
      <c r="V1007" s="32" t="s">
        <v>3353</v>
      </c>
      <c r="W1007" s="32">
        <v>3</v>
      </c>
      <c r="X1007" s="33" t="s">
        <v>3634</v>
      </c>
      <c r="Y1007" s="32">
        <v>2775</v>
      </c>
      <c r="AA1007" s="32">
        <v>30.13</v>
      </c>
      <c r="AB1007" s="32">
        <v>-99.54</v>
      </c>
      <c r="AC1007" s="32">
        <v>1173</v>
      </c>
    </row>
    <row r="1008" spans="3:31" ht="19">
      <c r="C1008" s="22" t="s">
        <v>585</v>
      </c>
      <c r="D1008" s="22" t="s">
        <v>151</v>
      </c>
      <c r="E1008" s="5">
        <v>41229</v>
      </c>
      <c r="F1008" s="5">
        <v>701</v>
      </c>
      <c r="G1008" s="28" t="s">
        <v>1723</v>
      </c>
      <c r="H1008" s="6" t="s">
        <v>1137</v>
      </c>
      <c r="J1008" s="5" t="s">
        <v>225</v>
      </c>
      <c r="K1008" s="27">
        <v>4.8</v>
      </c>
      <c r="L1008" s="27">
        <v>-16.7</v>
      </c>
      <c r="R1008" s="27">
        <v>15.2</v>
      </c>
      <c r="S1008" s="27">
        <v>2.9</v>
      </c>
      <c r="V1008" s="32" t="s">
        <v>3353</v>
      </c>
      <c r="W1008" s="32">
        <v>2</v>
      </c>
      <c r="X1008" s="33" t="s">
        <v>3467</v>
      </c>
      <c r="Y1008" s="32">
        <v>4422</v>
      </c>
      <c r="AA1008" s="32">
        <v>30.13</v>
      </c>
      <c r="AB1008" s="32">
        <v>-99.54</v>
      </c>
      <c r="AC1008" s="32">
        <v>1173</v>
      </c>
    </row>
    <row r="1009" spans="3:29" ht="19">
      <c r="C1009" s="22" t="s">
        <v>585</v>
      </c>
      <c r="D1009" s="22" t="s">
        <v>151</v>
      </c>
      <c r="E1009" s="5">
        <v>41229</v>
      </c>
      <c r="F1009" s="5">
        <v>7437</v>
      </c>
      <c r="G1009" s="28" t="s">
        <v>1723</v>
      </c>
      <c r="H1009" s="6" t="s">
        <v>1137</v>
      </c>
      <c r="J1009" s="5" t="s">
        <v>225</v>
      </c>
      <c r="K1009" s="27">
        <v>5</v>
      </c>
      <c r="L1009" s="27">
        <v>-15.5</v>
      </c>
      <c r="R1009" s="27">
        <v>15.7</v>
      </c>
      <c r="S1009" s="27">
        <v>2.9</v>
      </c>
      <c r="V1009" s="32" t="s">
        <v>3353</v>
      </c>
      <c r="W1009" s="32">
        <v>2</v>
      </c>
      <c r="X1009" s="33" t="s">
        <v>3458</v>
      </c>
      <c r="Y1009" s="32">
        <v>5081</v>
      </c>
      <c r="AA1009" s="32">
        <v>30.13</v>
      </c>
      <c r="AB1009" s="32">
        <v>-99.54</v>
      </c>
      <c r="AC1009" s="32">
        <v>1173</v>
      </c>
    </row>
    <row r="1010" spans="3:29" ht="19">
      <c r="C1010" s="22" t="s">
        <v>585</v>
      </c>
      <c r="D1010" s="22" t="s">
        <v>151</v>
      </c>
      <c r="E1010" s="5">
        <v>41229</v>
      </c>
      <c r="F1010" s="5">
        <v>7438</v>
      </c>
      <c r="G1010" s="28" t="s">
        <v>1723</v>
      </c>
      <c r="H1010" s="6" t="s">
        <v>1137</v>
      </c>
      <c r="J1010" s="5" t="s">
        <v>225</v>
      </c>
      <c r="K1010" s="27">
        <v>5.4</v>
      </c>
      <c r="L1010" s="27">
        <v>-19.2</v>
      </c>
      <c r="R1010" s="27">
        <v>14.4</v>
      </c>
      <c r="S1010" s="27">
        <v>2.9</v>
      </c>
      <c r="V1010" s="32" t="s">
        <v>3353</v>
      </c>
      <c r="W1010" s="32">
        <v>3</v>
      </c>
      <c r="X1010" s="33" t="s">
        <v>3458</v>
      </c>
      <c r="Y1010" s="32">
        <v>5081</v>
      </c>
      <c r="AA1010" s="32">
        <v>30.13</v>
      </c>
      <c r="AB1010" s="32">
        <v>-99.54</v>
      </c>
      <c r="AC1010" s="32">
        <v>1173</v>
      </c>
    </row>
    <row r="1011" spans="3:29" ht="19">
      <c r="C1011" s="22" t="s">
        <v>585</v>
      </c>
      <c r="D1011" s="22" t="s">
        <v>151</v>
      </c>
      <c r="E1011" s="5">
        <v>41229</v>
      </c>
      <c r="F1011" s="5">
        <v>7439</v>
      </c>
      <c r="G1011" s="28" t="s">
        <v>1723</v>
      </c>
      <c r="H1011" s="6" t="s">
        <v>1137</v>
      </c>
      <c r="J1011" s="5" t="s">
        <v>225</v>
      </c>
      <c r="K1011" s="27">
        <v>4.9000000000000004</v>
      </c>
      <c r="L1011" s="27">
        <v>-13.6</v>
      </c>
      <c r="R1011" s="27">
        <v>15.1</v>
      </c>
      <c r="S1011" s="27">
        <v>2.9</v>
      </c>
      <c r="V1011" s="32" t="s">
        <v>3353</v>
      </c>
      <c r="W1011" s="32">
        <v>2</v>
      </c>
      <c r="X1011" s="33" t="s">
        <v>3458</v>
      </c>
      <c r="Y1011" s="32">
        <v>5081</v>
      </c>
      <c r="AA1011" s="32">
        <v>30.13</v>
      </c>
      <c r="AB1011" s="32">
        <v>-99.54</v>
      </c>
      <c r="AC1011" s="32">
        <v>1173</v>
      </c>
    </row>
    <row r="1012" spans="3:29" ht="19">
      <c r="C1012" s="22" t="s">
        <v>585</v>
      </c>
      <c r="D1012" s="22" t="s">
        <v>151</v>
      </c>
      <c r="E1012" s="5">
        <v>41229</v>
      </c>
      <c r="F1012" s="5">
        <v>7442</v>
      </c>
      <c r="G1012" s="28" t="s">
        <v>1723</v>
      </c>
      <c r="H1012" s="6" t="s">
        <v>1137</v>
      </c>
      <c r="J1012" s="5" t="s">
        <v>225</v>
      </c>
      <c r="K1012" s="27">
        <v>5.2</v>
      </c>
      <c r="L1012" s="27">
        <v>-17.600000000000001</v>
      </c>
      <c r="R1012" s="27">
        <v>15.3</v>
      </c>
      <c r="S1012" s="27">
        <v>2.9</v>
      </c>
      <c r="V1012" s="32" t="s">
        <v>3353</v>
      </c>
      <c r="W1012" s="32">
        <v>2</v>
      </c>
      <c r="X1012" s="33" t="s">
        <v>3458</v>
      </c>
      <c r="Y1012" s="32">
        <v>5081</v>
      </c>
      <c r="AA1012" s="32">
        <v>30.13</v>
      </c>
      <c r="AB1012" s="32">
        <v>-99.54</v>
      </c>
      <c r="AC1012" s="32">
        <v>1173</v>
      </c>
    </row>
    <row r="1013" spans="3:29" ht="19">
      <c r="C1013" s="22" t="s">
        <v>585</v>
      </c>
      <c r="D1013" s="22" t="s">
        <v>151</v>
      </c>
      <c r="E1013" s="5">
        <v>41229</v>
      </c>
      <c r="F1013" s="5">
        <v>863</v>
      </c>
      <c r="G1013" s="28" t="s">
        <v>1723</v>
      </c>
      <c r="H1013" s="6" t="s">
        <v>1137</v>
      </c>
      <c r="J1013" s="5" t="s">
        <v>225</v>
      </c>
      <c r="K1013" s="27">
        <v>4.5999999999999996</v>
      </c>
      <c r="L1013" s="27">
        <v>-17.5</v>
      </c>
      <c r="R1013" s="27">
        <v>15.6</v>
      </c>
      <c r="S1013" s="27">
        <v>2.9</v>
      </c>
      <c r="V1013" s="32" t="s">
        <v>3353</v>
      </c>
      <c r="W1013" s="32">
        <v>2</v>
      </c>
      <c r="X1013" s="33" t="s">
        <v>3632</v>
      </c>
      <c r="Y1013" s="32">
        <v>1787</v>
      </c>
      <c r="AA1013" s="32">
        <v>30.13</v>
      </c>
      <c r="AB1013" s="32">
        <v>-99.54</v>
      </c>
      <c r="AC1013" s="32">
        <v>1173</v>
      </c>
    </row>
    <row r="1014" spans="3:29" ht="19">
      <c r="C1014" s="22" t="s">
        <v>585</v>
      </c>
      <c r="D1014" s="22" t="s">
        <v>151</v>
      </c>
      <c r="E1014" s="5">
        <v>41229</v>
      </c>
      <c r="F1014" s="5">
        <v>866</v>
      </c>
      <c r="G1014" s="28" t="s">
        <v>1723</v>
      </c>
      <c r="H1014" s="6" t="s">
        <v>1137</v>
      </c>
      <c r="J1014" s="5" t="s">
        <v>225</v>
      </c>
      <c r="K1014" s="27">
        <v>4.5999999999999996</v>
      </c>
      <c r="L1014" s="27">
        <v>-18.399999999999999</v>
      </c>
      <c r="R1014" s="27">
        <v>15.4</v>
      </c>
      <c r="S1014" s="27">
        <v>2.9</v>
      </c>
      <c r="V1014" s="32" t="s">
        <v>3353</v>
      </c>
      <c r="W1014" s="32">
        <v>2</v>
      </c>
      <c r="X1014" s="33" t="s">
        <v>3632</v>
      </c>
      <c r="Y1014" s="32">
        <v>1787</v>
      </c>
      <c r="AA1014" s="32">
        <v>30.13</v>
      </c>
      <c r="AB1014" s="32">
        <v>-99.54</v>
      </c>
      <c r="AC1014" s="32">
        <v>1173</v>
      </c>
    </row>
    <row r="1015" spans="3:29" ht="19">
      <c r="C1015" s="22" t="s">
        <v>585</v>
      </c>
      <c r="D1015" s="22" t="s">
        <v>151</v>
      </c>
      <c r="E1015" s="5">
        <v>41229</v>
      </c>
      <c r="F1015" s="5">
        <v>9509</v>
      </c>
      <c r="G1015" s="28" t="s">
        <v>1723</v>
      </c>
      <c r="H1015" s="6" t="s">
        <v>1137</v>
      </c>
      <c r="J1015" s="5" t="s">
        <v>225</v>
      </c>
      <c r="K1015" s="27">
        <v>4.0999999999999996</v>
      </c>
      <c r="L1015" s="27">
        <v>-21.6</v>
      </c>
      <c r="R1015" s="27">
        <v>16.100000000000001</v>
      </c>
      <c r="S1015" s="27">
        <v>2.9</v>
      </c>
      <c r="V1015" s="32" t="s">
        <v>3353</v>
      </c>
      <c r="W1015" s="32">
        <v>2</v>
      </c>
      <c r="X1015" s="33" t="s">
        <v>3467</v>
      </c>
      <c r="Y1015" s="32">
        <v>4422</v>
      </c>
      <c r="AA1015" s="32">
        <v>30.13</v>
      </c>
      <c r="AB1015" s="32">
        <v>-99.54</v>
      </c>
      <c r="AC1015" s="32">
        <v>1173</v>
      </c>
    </row>
    <row r="1016" spans="3:29" ht="19">
      <c r="C1016" s="22" t="s">
        <v>585</v>
      </c>
      <c r="D1016" s="22" t="s">
        <v>151</v>
      </c>
      <c r="E1016" s="5">
        <v>41229</v>
      </c>
      <c r="F1016" s="5">
        <v>9988</v>
      </c>
      <c r="G1016" s="28" t="s">
        <v>1723</v>
      </c>
      <c r="H1016" s="6" t="s">
        <v>1137</v>
      </c>
      <c r="J1016" s="5" t="s">
        <v>225</v>
      </c>
      <c r="K1016" s="27">
        <v>4.0999999999999996</v>
      </c>
      <c r="L1016" s="27">
        <v>-16.7</v>
      </c>
      <c r="R1016" s="27">
        <v>16.8</v>
      </c>
      <c r="S1016" s="27">
        <v>2.9</v>
      </c>
      <c r="V1016" s="32" t="s">
        <v>3353</v>
      </c>
      <c r="W1016" s="32">
        <v>2</v>
      </c>
      <c r="X1016" s="33" t="s">
        <v>3461</v>
      </c>
      <c r="Y1016" s="32">
        <v>3434</v>
      </c>
      <c r="AA1016" s="32">
        <v>30.13</v>
      </c>
      <c r="AB1016" s="32">
        <v>-99.54</v>
      </c>
      <c r="AC1016" s="32">
        <v>1173</v>
      </c>
    </row>
    <row r="1017" spans="3:29" ht="19">
      <c r="C1017" s="22" t="s">
        <v>585</v>
      </c>
      <c r="D1017" s="22" t="s">
        <v>151</v>
      </c>
      <c r="E1017" s="5">
        <v>41229</v>
      </c>
      <c r="F1017" s="5">
        <v>10265</v>
      </c>
      <c r="G1017" s="28" t="s">
        <v>1723</v>
      </c>
      <c r="H1017" s="6" t="s">
        <v>1137</v>
      </c>
      <c r="J1017" s="5" t="s">
        <v>104</v>
      </c>
      <c r="K1017" s="27">
        <v>8.6</v>
      </c>
      <c r="L1017" s="27">
        <v>-18.2</v>
      </c>
      <c r="R1017" s="27">
        <v>12.6</v>
      </c>
      <c r="S1017" s="27">
        <v>2.9</v>
      </c>
      <c r="V1017" s="32" t="s">
        <v>3353</v>
      </c>
      <c r="W1017" s="32">
        <v>2</v>
      </c>
      <c r="X1017" s="33" t="s">
        <v>3576</v>
      </c>
      <c r="Y1017" s="32">
        <v>16273</v>
      </c>
      <c r="AA1017" s="32">
        <v>30.13</v>
      </c>
      <c r="AB1017" s="32">
        <v>-99.54</v>
      </c>
      <c r="AC1017" s="32">
        <v>1173</v>
      </c>
    </row>
    <row r="1018" spans="3:29" ht="19">
      <c r="C1018" s="22" t="s">
        <v>585</v>
      </c>
      <c r="D1018" s="22" t="s">
        <v>151</v>
      </c>
      <c r="E1018" s="5">
        <v>41229</v>
      </c>
      <c r="F1018" s="5">
        <v>17510</v>
      </c>
      <c r="G1018" s="28" t="s">
        <v>1723</v>
      </c>
      <c r="H1018" s="6" t="s">
        <v>1137</v>
      </c>
      <c r="J1018" s="5" t="s">
        <v>104</v>
      </c>
      <c r="K1018" s="27">
        <v>4.7</v>
      </c>
      <c r="L1018" s="27">
        <v>-12.8</v>
      </c>
      <c r="R1018" s="27">
        <v>15.3</v>
      </c>
      <c r="S1018" s="27">
        <v>2.9</v>
      </c>
      <c r="V1018" s="32" t="s">
        <v>3353</v>
      </c>
      <c r="W1018" s="32">
        <v>3</v>
      </c>
      <c r="X1018" s="33" t="s">
        <v>3510</v>
      </c>
      <c r="Y1018" s="32">
        <v>12327</v>
      </c>
      <c r="AA1018" s="32">
        <v>30.13</v>
      </c>
      <c r="AB1018" s="32">
        <v>-99.54</v>
      </c>
      <c r="AC1018" s="32">
        <v>1173</v>
      </c>
    </row>
    <row r="1019" spans="3:29" ht="19">
      <c r="C1019" s="22" t="s">
        <v>585</v>
      </c>
      <c r="D1019" s="22" t="s">
        <v>151</v>
      </c>
      <c r="E1019" s="5">
        <v>41229</v>
      </c>
      <c r="F1019" s="5">
        <v>1350</v>
      </c>
      <c r="G1019" s="28" t="s">
        <v>1723</v>
      </c>
      <c r="H1019" s="6" t="s">
        <v>1137</v>
      </c>
      <c r="J1019" s="5" t="s">
        <v>225</v>
      </c>
      <c r="K1019" s="27">
        <v>4.7</v>
      </c>
      <c r="L1019" s="27">
        <v>-15.3</v>
      </c>
      <c r="R1019" s="27">
        <v>15.9</v>
      </c>
      <c r="S1019" s="27">
        <v>2.8</v>
      </c>
      <c r="V1019" s="32" t="s">
        <v>3353</v>
      </c>
      <c r="W1019" s="32">
        <v>2</v>
      </c>
      <c r="X1019" s="33" t="s">
        <v>3418</v>
      </c>
      <c r="Y1019" s="32">
        <v>2446</v>
      </c>
      <c r="AA1019" s="32">
        <v>30.13</v>
      </c>
      <c r="AB1019" s="32">
        <v>-99.54</v>
      </c>
      <c r="AC1019" s="32">
        <v>1173</v>
      </c>
    </row>
    <row r="1020" spans="3:29" ht="19">
      <c r="C1020" s="22" t="s">
        <v>585</v>
      </c>
      <c r="D1020" s="22" t="s">
        <v>151</v>
      </c>
      <c r="E1020" s="5">
        <v>41229</v>
      </c>
      <c r="F1020" s="5">
        <v>1596</v>
      </c>
      <c r="G1020" s="28" t="s">
        <v>1723</v>
      </c>
      <c r="H1020" s="6" t="s">
        <v>1137</v>
      </c>
      <c r="J1020" s="5" t="s">
        <v>225</v>
      </c>
      <c r="K1020" s="27">
        <v>5.6</v>
      </c>
      <c r="L1020" s="27">
        <v>-18.3</v>
      </c>
      <c r="R1020" s="27">
        <v>16.399999999999999</v>
      </c>
      <c r="S1020" s="27">
        <v>2.8</v>
      </c>
      <c r="V1020" s="32" t="s">
        <v>3353</v>
      </c>
      <c r="W1020" s="32">
        <v>2</v>
      </c>
      <c r="X1020" s="33" t="s">
        <v>3418</v>
      </c>
      <c r="Y1020" s="32">
        <v>2446</v>
      </c>
      <c r="AA1020" s="32">
        <v>30.13</v>
      </c>
      <c r="AB1020" s="32">
        <v>-99.54</v>
      </c>
      <c r="AC1020" s="32">
        <v>1173</v>
      </c>
    </row>
    <row r="1021" spans="3:29" ht="19">
      <c r="C1021" s="22" t="s">
        <v>585</v>
      </c>
      <c r="D1021" s="22" t="s">
        <v>151</v>
      </c>
      <c r="E1021" s="5">
        <v>41229</v>
      </c>
      <c r="F1021" s="5">
        <v>16995</v>
      </c>
      <c r="G1021" s="28" t="s">
        <v>1723</v>
      </c>
      <c r="H1021" s="6" t="s">
        <v>1137</v>
      </c>
      <c r="J1021" s="5" t="s">
        <v>225</v>
      </c>
      <c r="K1021" s="27">
        <v>3.6</v>
      </c>
      <c r="L1021" s="27">
        <v>-15</v>
      </c>
      <c r="R1021" s="27">
        <v>14.7</v>
      </c>
      <c r="S1021" s="27">
        <v>2.8</v>
      </c>
      <c r="V1021" s="32" t="s">
        <v>3353</v>
      </c>
      <c r="W1021" s="32">
        <v>3</v>
      </c>
      <c r="X1021" s="33" t="s">
        <v>3632</v>
      </c>
      <c r="Y1021" s="32">
        <v>1787</v>
      </c>
      <c r="AA1021" s="32">
        <v>30.13</v>
      </c>
      <c r="AB1021" s="32">
        <v>-99.54</v>
      </c>
      <c r="AC1021" s="32">
        <v>1173</v>
      </c>
    </row>
    <row r="1022" spans="3:29" ht="19">
      <c r="C1022" s="22" t="s">
        <v>585</v>
      </c>
      <c r="D1022" s="22" t="s">
        <v>151</v>
      </c>
      <c r="E1022" s="5">
        <v>41229</v>
      </c>
      <c r="F1022" s="5">
        <v>17033</v>
      </c>
      <c r="G1022" s="28" t="s">
        <v>1723</v>
      </c>
      <c r="H1022" s="6" t="s">
        <v>1137</v>
      </c>
      <c r="J1022" s="5" t="s">
        <v>225</v>
      </c>
      <c r="K1022" s="27">
        <v>4.4000000000000004</v>
      </c>
      <c r="L1022" s="27">
        <v>-18.3</v>
      </c>
      <c r="R1022" s="27">
        <v>16.100000000000001</v>
      </c>
      <c r="S1022" s="27">
        <v>2.8</v>
      </c>
      <c r="V1022" s="32" t="s">
        <v>3353</v>
      </c>
      <c r="W1022" s="32">
        <v>2</v>
      </c>
      <c r="X1022" s="33" t="s">
        <v>3629</v>
      </c>
      <c r="Y1022" s="32">
        <v>2116</v>
      </c>
      <c r="AA1022" s="32">
        <v>30.13</v>
      </c>
      <c r="AB1022" s="32">
        <v>-99.54</v>
      </c>
      <c r="AC1022" s="32">
        <v>1173</v>
      </c>
    </row>
    <row r="1023" spans="3:29" ht="19">
      <c r="C1023" s="22" t="s">
        <v>585</v>
      </c>
      <c r="D1023" s="22" t="s">
        <v>151</v>
      </c>
      <c r="E1023" s="5">
        <v>41229</v>
      </c>
      <c r="F1023" s="5">
        <v>17034</v>
      </c>
      <c r="G1023" s="28" t="s">
        <v>1723</v>
      </c>
      <c r="H1023" s="6" t="s">
        <v>1137</v>
      </c>
      <c r="J1023" s="5" t="s">
        <v>225</v>
      </c>
      <c r="K1023" s="27">
        <v>4.2</v>
      </c>
      <c r="L1023" s="27">
        <v>-16.899999999999999</v>
      </c>
      <c r="R1023" s="27">
        <v>17.2</v>
      </c>
      <c r="S1023" s="27">
        <v>2.8</v>
      </c>
      <c r="V1023" s="32" t="s">
        <v>3353</v>
      </c>
      <c r="W1023" s="32">
        <v>3</v>
      </c>
      <c r="X1023" s="33" t="s">
        <v>3629</v>
      </c>
      <c r="Y1023" s="32">
        <v>2116</v>
      </c>
      <c r="AA1023" s="32">
        <v>30.13</v>
      </c>
      <c r="AB1023" s="32">
        <v>-99.54</v>
      </c>
      <c r="AC1023" s="32">
        <v>1173</v>
      </c>
    </row>
    <row r="1024" spans="3:29" ht="19">
      <c r="C1024" s="22" t="s">
        <v>585</v>
      </c>
      <c r="D1024" s="22" t="s">
        <v>151</v>
      </c>
      <c r="E1024" s="5">
        <v>41229</v>
      </c>
      <c r="F1024" s="5">
        <v>17038</v>
      </c>
      <c r="G1024" s="28" t="s">
        <v>1723</v>
      </c>
      <c r="H1024" s="6" t="s">
        <v>1137</v>
      </c>
      <c r="J1024" s="5" t="s">
        <v>225</v>
      </c>
      <c r="K1024" s="27">
        <v>4.8</v>
      </c>
      <c r="L1024" s="27">
        <v>-18.399999999999999</v>
      </c>
      <c r="R1024" s="27">
        <v>15.7</v>
      </c>
      <c r="S1024" s="27">
        <v>2.8</v>
      </c>
      <c r="V1024" s="32" t="s">
        <v>3353</v>
      </c>
      <c r="W1024" s="32">
        <v>2</v>
      </c>
      <c r="X1024" s="33" t="s">
        <v>3629</v>
      </c>
      <c r="Y1024" s="32">
        <v>2116</v>
      </c>
      <c r="AA1024" s="32">
        <v>30.13</v>
      </c>
      <c r="AB1024" s="32">
        <v>-99.54</v>
      </c>
      <c r="AC1024" s="32">
        <v>1173</v>
      </c>
    </row>
    <row r="1025" spans="3:29" ht="19">
      <c r="C1025" s="22" t="s">
        <v>585</v>
      </c>
      <c r="D1025" s="22" t="s">
        <v>151</v>
      </c>
      <c r="E1025" s="5">
        <v>41229</v>
      </c>
      <c r="F1025" s="5">
        <v>17039</v>
      </c>
      <c r="G1025" s="28" t="s">
        <v>1723</v>
      </c>
      <c r="H1025" s="6" t="s">
        <v>1137</v>
      </c>
      <c r="J1025" s="5" t="s">
        <v>225</v>
      </c>
      <c r="K1025" s="27">
        <v>6.2</v>
      </c>
      <c r="L1025" s="27">
        <v>-17.5</v>
      </c>
      <c r="R1025" s="27">
        <v>15.8</v>
      </c>
      <c r="S1025" s="27">
        <v>2.8</v>
      </c>
      <c r="V1025" s="32" t="s">
        <v>3353</v>
      </c>
      <c r="W1025" s="32">
        <v>2</v>
      </c>
      <c r="X1025" s="33" t="s">
        <v>3629</v>
      </c>
      <c r="Y1025" s="32">
        <v>2116</v>
      </c>
      <c r="AA1025" s="32">
        <v>30.13</v>
      </c>
      <c r="AB1025" s="32">
        <v>-99.54</v>
      </c>
      <c r="AC1025" s="32">
        <v>1173</v>
      </c>
    </row>
    <row r="1026" spans="3:29" ht="19">
      <c r="C1026" s="22" t="s">
        <v>585</v>
      </c>
      <c r="D1026" s="22" t="s">
        <v>151</v>
      </c>
      <c r="E1026" s="5">
        <v>41229</v>
      </c>
      <c r="F1026" s="5">
        <v>17040</v>
      </c>
      <c r="G1026" s="28" t="s">
        <v>1723</v>
      </c>
      <c r="H1026" s="6" t="s">
        <v>1137</v>
      </c>
      <c r="J1026" s="5" t="s">
        <v>225</v>
      </c>
      <c r="K1026" s="27">
        <v>3.7</v>
      </c>
      <c r="L1026" s="27">
        <v>-18.5</v>
      </c>
      <c r="R1026" s="27">
        <v>14.9</v>
      </c>
      <c r="S1026" s="27">
        <v>2.8</v>
      </c>
      <c r="V1026" s="32" t="s">
        <v>3353</v>
      </c>
      <c r="W1026" s="32">
        <v>3</v>
      </c>
      <c r="X1026" s="33" t="s">
        <v>3629</v>
      </c>
      <c r="Y1026" s="32">
        <v>2116</v>
      </c>
      <c r="AA1026" s="32">
        <v>30.13</v>
      </c>
      <c r="AB1026" s="32">
        <v>-99.54</v>
      </c>
      <c r="AC1026" s="32">
        <v>1173</v>
      </c>
    </row>
    <row r="1027" spans="3:29" ht="19">
      <c r="C1027" s="22" t="s">
        <v>585</v>
      </c>
      <c r="D1027" s="22" t="s">
        <v>151</v>
      </c>
      <c r="E1027" s="5">
        <v>41229</v>
      </c>
      <c r="F1027" s="5">
        <v>17042</v>
      </c>
      <c r="G1027" s="28" t="s">
        <v>1723</v>
      </c>
      <c r="H1027" s="6" t="s">
        <v>1137</v>
      </c>
      <c r="J1027" s="5" t="s">
        <v>225</v>
      </c>
      <c r="K1027" s="27">
        <v>6</v>
      </c>
      <c r="L1027" s="27">
        <v>-18.100000000000001</v>
      </c>
      <c r="R1027" s="27">
        <v>16.100000000000001</v>
      </c>
      <c r="S1027" s="27">
        <v>2.8</v>
      </c>
      <c r="V1027" s="32" t="s">
        <v>3353</v>
      </c>
      <c r="W1027" s="32">
        <v>3</v>
      </c>
      <c r="X1027" s="33" t="s">
        <v>3629</v>
      </c>
      <c r="Y1027" s="32">
        <v>2116</v>
      </c>
      <c r="AA1027" s="32">
        <v>30.13</v>
      </c>
      <c r="AB1027" s="32">
        <v>-99.54</v>
      </c>
      <c r="AC1027" s="32">
        <v>1173</v>
      </c>
    </row>
    <row r="1028" spans="3:29" ht="19">
      <c r="C1028" s="22" t="s">
        <v>585</v>
      </c>
      <c r="D1028" s="22" t="s">
        <v>151</v>
      </c>
      <c r="E1028" s="5">
        <v>41229</v>
      </c>
      <c r="F1028" s="5">
        <v>17077</v>
      </c>
      <c r="G1028" s="28" t="s">
        <v>1723</v>
      </c>
      <c r="H1028" s="6" t="s">
        <v>1137</v>
      </c>
      <c r="J1028" s="5" t="s">
        <v>225</v>
      </c>
      <c r="K1028" s="27">
        <v>4.0999999999999996</v>
      </c>
      <c r="L1028" s="27">
        <v>-16.600000000000001</v>
      </c>
      <c r="R1028" s="27">
        <v>14.1</v>
      </c>
      <c r="S1028" s="27">
        <v>2.8</v>
      </c>
      <c r="V1028" s="32" t="s">
        <v>3353</v>
      </c>
      <c r="W1028" s="32">
        <v>3</v>
      </c>
      <c r="X1028" s="33" t="s">
        <v>3484</v>
      </c>
      <c r="Y1028" s="32">
        <v>4093</v>
      </c>
      <c r="AA1028" s="32">
        <v>30.13</v>
      </c>
      <c r="AB1028" s="32">
        <v>-99.54</v>
      </c>
      <c r="AC1028" s="32">
        <v>1173</v>
      </c>
    </row>
    <row r="1029" spans="3:29" ht="19">
      <c r="C1029" s="22" t="s">
        <v>585</v>
      </c>
      <c r="D1029" s="22" t="s">
        <v>151</v>
      </c>
      <c r="E1029" s="5">
        <v>41229</v>
      </c>
      <c r="F1029" s="5">
        <v>17086</v>
      </c>
      <c r="G1029" s="28" t="s">
        <v>1723</v>
      </c>
      <c r="H1029" s="6" t="s">
        <v>1137</v>
      </c>
      <c r="J1029" s="5" t="s">
        <v>225</v>
      </c>
      <c r="K1029" s="27">
        <v>5.6</v>
      </c>
      <c r="L1029" s="27">
        <v>-17</v>
      </c>
      <c r="R1029" s="27">
        <v>14.4</v>
      </c>
      <c r="S1029" s="27">
        <v>2.8</v>
      </c>
      <c r="V1029" s="32" t="s">
        <v>3353</v>
      </c>
      <c r="W1029" s="32">
        <v>3</v>
      </c>
      <c r="X1029" s="33" t="s">
        <v>3484</v>
      </c>
      <c r="Y1029" s="32">
        <v>4093</v>
      </c>
      <c r="AA1029" s="32">
        <v>30.13</v>
      </c>
      <c r="AB1029" s="32">
        <v>-99.54</v>
      </c>
      <c r="AC1029" s="32">
        <v>1173</v>
      </c>
    </row>
    <row r="1030" spans="3:29" ht="19">
      <c r="C1030" s="22" t="s">
        <v>585</v>
      </c>
      <c r="D1030" s="22" t="s">
        <v>151</v>
      </c>
      <c r="E1030" s="5">
        <v>41229</v>
      </c>
      <c r="F1030" s="5">
        <v>17087</v>
      </c>
      <c r="G1030" s="28" t="s">
        <v>1723</v>
      </c>
      <c r="H1030" s="6" t="s">
        <v>1137</v>
      </c>
      <c r="J1030" s="5" t="s">
        <v>225</v>
      </c>
      <c r="K1030" s="27">
        <v>7.6</v>
      </c>
      <c r="L1030" s="27">
        <v>-18.600000000000001</v>
      </c>
      <c r="R1030" s="27">
        <v>14.8</v>
      </c>
      <c r="S1030" s="27">
        <v>2.8</v>
      </c>
      <c r="V1030" s="32" t="s">
        <v>3353</v>
      </c>
      <c r="W1030" s="32">
        <v>3</v>
      </c>
      <c r="X1030" s="33" t="s">
        <v>3484</v>
      </c>
      <c r="Y1030" s="32">
        <v>4093</v>
      </c>
      <c r="AA1030" s="32">
        <v>30.13</v>
      </c>
      <c r="AB1030" s="32">
        <v>-99.54</v>
      </c>
      <c r="AC1030" s="32">
        <v>1173</v>
      </c>
    </row>
    <row r="1031" spans="3:29" ht="19">
      <c r="C1031" s="22" t="s">
        <v>585</v>
      </c>
      <c r="D1031" s="22" t="s">
        <v>151</v>
      </c>
      <c r="E1031" s="5">
        <v>41229</v>
      </c>
      <c r="F1031" s="5">
        <v>17120</v>
      </c>
      <c r="G1031" s="28" t="s">
        <v>1723</v>
      </c>
      <c r="H1031" s="6" t="s">
        <v>1137</v>
      </c>
      <c r="J1031" s="5" t="s">
        <v>225</v>
      </c>
      <c r="K1031" s="27">
        <v>4</v>
      </c>
      <c r="L1031" s="27">
        <v>-17.5</v>
      </c>
      <c r="R1031" s="27">
        <v>15.8</v>
      </c>
      <c r="S1031" s="27">
        <v>2.8</v>
      </c>
      <c r="V1031" s="32" t="s">
        <v>3353</v>
      </c>
      <c r="W1031" s="32">
        <v>2</v>
      </c>
      <c r="X1031" s="33" t="s">
        <v>3467</v>
      </c>
      <c r="Y1031" s="32">
        <v>4422</v>
      </c>
      <c r="AA1031" s="32">
        <v>30.13</v>
      </c>
      <c r="AB1031" s="32">
        <v>-99.54</v>
      </c>
      <c r="AC1031" s="32">
        <v>1173</v>
      </c>
    </row>
    <row r="1032" spans="3:29" ht="19">
      <c r="C1032" s="22" t="s">
        <v>585</v>
      </c>
      <c r="D1032" s="22" t="s">
        <v>151</v>
      </c>
      <c r="E1032" s="5">
        <v>41229</v>
      </c>
      <c r="F1032" s="5">
        <v>17122</v>
      </c>
      <c r="G1032" s="28" t="s">
        <v>1723</v>
      </c>
      <c r="H1032" s="6" t="s">
        <v>1137</v>
      </c>
      <c r="J1032" s="5" t="s">
        <v>225</v>
      </c>
      <c r="K1032" s="27">
        <v>4.2</v>
      </c>
      <c r="L1032" s="27">
        <v>-20.399999999999999</v>
      </c>
      <c r="R1032" s="27">
        <v>16</v>
      </c>
      <c r="S1032" s="27">
        <v>2.8</v>
      </c>
      <c r="V1032" s="32" t="s">
        <v>3353</v>
      </c>
      <c r="W1032" s="32">
        <v>3</v>
      </c>
      <c r="X1032" s="33" t="s">
        <v>3467</v>
      </c>
      <c r="Y1032" s="32">
        <v>4422</v>
      </c>
      <c r="AA1032" s="32">
        <v>30.13</v>
      </c>
      <c r="AB1032" s="32">
        <v>-99.54</v>
      </c>
      <c r="AC1032" s="32">
        <v>1173</v>
      </c>
    </row>
    <row r="1033" spans="3:29" ht="19">
      <c r="C1033" s="22" t="s">
        <v>585</v>
      </c>
      <c r="D1033" s="22" t="s">
        <v>151</v>
      </c>
      <c r="E1033" s="5">
        <v>41229</v>
      </c>
      <c r="F1033" s="5">
        <v>17129</v>
      </c>
      <c r="G1033" s="28" t="s">
        <v>1723</v>
      </c>
      <c r="H1033" s="6" t="s">
        <v>1137</v>
      </c>
      <c r="J1033" s="5" t="s">
        <v>225</v>
      </c>
      <c r="K1033" s="27">
        <v>6</v>
      </c>
      <c r="L1033" s="27">
        <v>-15.4</v>
      </c>
      <c r="R1033" s="27">
        <v>15.2</v>
      </c>
      <c r="S1033" s="27">
        <v>2.8</v>
      </c>
      <c r="V1033" s="32" t="s">
        <v>3353</v>
      </c>
      <c r="W1033" s="32">
        <v>2</v>
      </c>
      <c r="X1033" s="33" t="s">
        <v>3467</v>
      </c>
      <c r="Y1033" s="32">
        <v>4422</v>
      </c>
      <c r="AA1033" s="32">
        <v>30.13</v>
      </c>
      <c r="AB1033" s="32">
        <v>-99.54</v>
      </c>
      <c r="AC1033" s="32">
        <v>1173</v>
      </c>
    </row>
    <row r="1034" spans="3:29" ht="19">
      <c r="C1034" s="22" t="s">
        <v>585</v>
      </c>
      <c r="D1034" s="22" t="s">
        <v>151</v>
      </c>
      <c r="E1034" s="5">
        <v>41229</v>
      </c>
      <c r="F1034" s="5">
        <v>17170</v>
      </c>
      <c r="G1034" s="28" t="s">
        <v>1723</v>
      </c>
      <c r="H1034" s="6" t="s">
        <v>1137</v>
      </c>
      <c r="J1034" s="5" t="s">
        <v>225</v>
      </c>
      <c r="K1034" s="27">
        <v>5</v>
      </c>
      <c r="L1034" s="27">
        <v>-16.100000000000001</v>
      </c>
      <c r="R1034" s="27">
        <v>15.3</v>
      </c>
      <c r="S1034" s="27">
        <v>2.8</v>
      </c>
      <c r="V1034" s="32" t="s">
        <v>3353</v>
      </c>
      <c r="W1034" s="32">
        <v>2</v>
      </c>
      <c r="X1034" s="33" t="s">
        <v>3485</v>
      </c>
      <c r="Y1034" s="32">
        <v>5410</v>
      </c>
      <c r="AA1034" s="32">
        <v>30.13</v>
      </c>
      <c r="AB1034" s="32">
        <v>-99.54</v>
      </c>
      <c r="AC1034" s="32">
        <v>1173</v>
      </c>
    </row>
    <row r="1035" spans="3:29" ht="19">
      <c r="C1035" s="22" t="s">
        <v>585</v>
      </c>
      <c r="D1035" s="22" t="s">
        <v>151</v>
      </c>
      <c r="E1035" s="5">
        <v>41229</v>
      </c>
      <c r="F1035" s="5">
        <v>17187</v>
      </c>
      <c r="G1035" s="28" t="s">
        <v>1723</v>
      </c>
      <c r="H1035" s="6" t="s">
        <v>1137</v>
      </c>
      <c r="J1035" s="5" t="s">
        <v>225</v>
      </c>
      <c r="K1035" s="27">
        <v>4.2</v>
      </c>
      <c r="L1035" s="27">
        <v>-12.9</v>
      </c>
      <c r="R1035" s="27">
        <v>15</v>
      </c>
      <c r="S1035" s="27">
        <v>2.8</v>
      </c>
      <c r="V1035" s="32" t="s">
        <v>3353</v>
      </c>
      <c r="W1035" s="32">
        <v>2</v>
      </c>
      <c r="X1035" s="33" t="s">
        <v>3466</v>
      </c>
      <c r="Y1035" s="32">
        <v>5739</v>
      </c>
      <c r="AA1035" s="32">
        <v>30.13</v>
      </c>
      <c r="AB1035" s="32">
        <v>-99.54</v>
      </c>
      <c r="AC1035" s="32">
        <v>1173</v>
      </c>
    </row>
    <row r="1036" spans="3:29" ht="19">
      <c r="C1036" s="22" t="s">
        <v>585</v>
      </c>
      <c r="D1036" s="22" t="s">
        <v>151</v>
      </c>
      <c r="E1036" s="5">
        <v>41229</v>
      </c>
      <c r="F1036" s="5">
        <v>17234</v>
      </c>
      <c r="G1036" s="28" t="s">
        <v>1723</v>
      </c>
      <c r="H1036" s="6" t="s">
        <v>1137</v>
      </c>
      <c r="J1036" s="5" t="s">
        <v>225</v>
      </c>
      <c r="K1036" s="27">
        <v>4.7</v>
      </c>
      <c r="L1036" s="27">
        <v>-17</v>
      </c>
      <c r="R1036" s="27">
        <v>15.7</v>
      </c>
      <c r="S1036" s="27">
        <v>2.8</v>
      </c>
      <c r="V1036" s="32" t="s">
        <v>3353</v>
      </c>
      <c r="W1036" s="32">
        <v>3</v>
      </c>
      <c r="X1036" s="33" t="s">
        <v>3465</v>
      </c>
      <c r="Y1036" s="32">
        <v>6728</v>
      </c>
      <c r="AA1036" s="32">
        <v>30.13</v>
      </c>
      <c r="AB1036" s="32">
        <v>-99.54</v>
      </c>
      <c r="AC1036" s="32">
        <v>1173</v>
      </c>
    </row>
    <row r="1037" spans="3:29" ht="19">
      <c r="C1037" s="22" t="s">
        <v>585</v>
      </c>
      <c r="D1037" s="22" t="s">
        <v>151</v>
      </c>
      <c r="E1037" s="5">
        <v>41229</v>
      </c>
      <c r="F1037" s="5">
        <v>17276</v>
      </c>
      <c r="G1037" s="28" t="s">
        <v>1723</v>
      </c>
      <c r="H1037" s="6" t="s">
        <v>1137</v>
      </c>
      <c r="J1037" s="5" t="s">
        <v>225</v>
      </c>
      <c r="K1037" s="27">
        <v>5.7</v>
      </c>
      <c r="L1037" s="27">
        <v>-18</v>
      </c>
      <c r="R1037" s="27">
        <v>16.5</v>
      </c>
      <c r="S1037" s="27">
        <v>2.8</v>
      </c>
      <c r="V1037" s="32" t="s">
        <v>3353</v>
      </c>
      <c r="W1037" s="32">
        <v>2</v>
      </c>
      <c r="X1037" s="33" t="s">
        <v>3486</v>
      </c>
      <c r="Y1037" s="32">
        <v>8045</v>
      </c>
      <c r="AA1037" s="32">
        <v>30.13</v>
      </c>
      <c r="AB1037" s="32">
        <v>-99.54</v>
      </c>
      <c r="AC1037" s="32">
        <v>1173</v>
      </c>
    </row>
    <row r="1038" spans="3:29" ht="19">
      <c r="C1038" s="22" t="s">
        <v>585</v>
      </c>
      <c r="D1038" s="22" t="s">
        <v>151</v>
      </c>
      <c r="E1038" s="5">
        <v>41229</v>
      </c>
      <c r="F1038" s="5">
        <v>17278</v>
      </c>
      <c r="G1038" s="28" t="s">
        <v>1723</v>
      </c>
      <c r="H1038" s="6" t="s">
        <v>1137</v>
      </c>
      <c r="J1038" s="5" t="s">
        <v>225</v>
      </c>
      <c r="K1038" s="27">
        <v>3.8</v>
      </c>
      <c r="L1038" s="27">
        <v>-20.9</v>
      </c>
      <c r="R1038" s="27">
        <v>15.8</v>
      </c>
      <c r="S1038" s="27">
        <v>2.8</v>
      </c>
      <c r="V1038" s="32" t="s">
        <v>3353</v>
      </c>
      <c r="W1038" s="32">
        <v>2</v>
      </c>
      <c r="X1038" s="33" t="s">
        <v>3486</v>
      </c>
      <c r="Y1038" s="32">
        <v>8045</v>
      </c>
      <c r="AA1038" s="32">
        <v>30.13</v>
      </c>
      <c r="AB1038" s="32">
        <v>-99.54</v>
      </c>
      <c r="AC1038" s="32">
        <v>1173</v>
      </c>
    </row>
    <row r="1039" spans="3:29" ht="19">
      <c r="C1039" s="22" t="s">
        <v>585</v>
      </c>
      <c r="D1039" s="22" t="s">
        <v>151</v>
      </c>
      <c r="E1039" s="5">
        <v>41229</v>
      </c>
      <c r="F1039" s="5">
        <v>17284</v>
      </c>
      <c r="G1039" s="28" t="s">
        <v>1723</v>
      </c>
      <c r="H1039" s="6" t="s">
        <v>1137</v>
      </c>
      <c r="J1039" s="5" t="s">
        <v>225</v>
      </c>
      <c r="K1039" s="27">
        <v>5.6</v>
      </c>
      <c r="L1039" s="27">
        <v>-14.7</v>
      </c>
      <c r="R1039" s="27">
        <v>15.7</v>
      </c>
      <c r="S1039" s="27">
        <v>2.8</v>
      </c>
      <c r="V1039" s="32" t="s">
        <v>3353</v>
      </c>
      <c r="W1039" s="32">
        <v>3</v>
      </c>
      <c r="X1039" s="33" t="s">
        <v>3486</v>
      </c>
      <c r="Y1039" s="32">
        <v>8045</v>
      </c>
      <c r="AA1039" s="32">
        <v>30.13</v>
      </c>
      <c r="AB1039" s="32">
        <v>-99.54</v>
      </c>
      <c r="AC1039" s="32">
        <v>1173</v>
      </c>
    </row>
    <row r="1040" spans="3:29" ht="19">
      <c r="C1040" s="22" t="s">
        <v>585</v>
      </c>
      <c r="D1040" s="22" t="s">
        <v>151</v>
      </c>
      <c r="E1040" s="5">
        <v>41229</v>
      </c>
      <c r="F1040" s="5">
        <v>17287</v>
      </c>
      <c r="G1040" s="28" t="s">
        <v>1723</v>
      </c>
      <c r="H1040" s="6" t="s">
        <v>1137</v>
      </c>
      <c r="J1040" s="5" t="s">
        <v>225</v>
      </c>
      <c r="K1040" s="27">
        <v>6.7</v>
      </c>
      <c r="L1040" s="27">
        <v>-16.399999999999999</v>
      </c>
      <c r="R1040" s="27">
        <v>16</v>
      </c>
      <c r="S1040" s="27">
        <v>2.8</v>
      </c>
      <c r="V1040" s="32" t="s">
        <v>3353</v>
      </c>
      <c r="W1040" s="32">
        <v>3</v>
      </c>
      <c r="X1040" s="33" t="s">
        <v>3486</v>
      </c>
      <c r="Y1040" s="32">
        <v>8045</v>
      </c>
      <c r="AA1040" s="32">
        <v>30.13</v>
      </c>
      <c r="AB1040" s="32">
        <v>-99.54</v>
      </c>
      <c r="AC1040" s="32">
        <v>1173</v>
      </c>
    </row>
    <row r="1041" spans="3:29" ht="19">
      <c r="C1041" s="22" t="s">
        <v>585</v>
      </c>
      <c r="D1041" s="22" t="s">
        <v>151</v>
      </c>
      <c r="E1041" s="5">
        <v>41229</v>
      </c>
      <c r="F1041" s="5">
        <v>17309</v>
      </c>
      <c r="G1041" s="28" t="s">
        <v>1723</v>
      </c>
      <c r="H1041" s="6" t="s">
        <v>1137</v>
      </c>
      <c r="J1041" s="5" t="s">
        <v>225</v>
      </c>
      <c r="K1041" s="27">
        <v>5.9</v>
      </c>
      <c r="L1041" s="27">
        <v>-16.899999999999999</v>
      </c>
      <c r="R1041" s="27">
        <v>15.6</v>
      </c>
      <c r="S1041" s="27">
        <v>2.8</v>
      </c>
      <c r="V1041" s="32" t="s">
        <v>3353</v>
      </c>
      <c r="W1041" s="32">
        <v>2</v>
      </c>
      <c r="X1041" s="33" t="s">
        <v>3519</v>
      </c>
      <c r="Y1041" s="32">
        <v>8704</v>
      </c>
      <c r="AA1041" s="32">
        <v>30.13</v>
      </c>
      <c r="AB1041" s="32">
        <v>-99.54</v>
      </c>
      <c r="AC1041" s="32">
        <v>1173</v>
      </c>
    </row>
    <row r="1042" spans="3:29" ht="19">
      <c r="C1042" s="22" t="s">
        <v>585</v>
      </c>
      <c r="D1042" s="22" t="s">
        <v>151</v>
      </c>
      <c r="E1042" s="5">
        <v>41229</v>
      </c>
      <c r="F1042" s="5">
        <v>17314</v>
      </c>
      <c r="G1042" s="28" t="s">
        <v>1723</v>
      </c>
      <c r="H1042" s="6" t="s">
        <v>1137</v>
      </c>
      <c r="J1042" s="5" t="s">
        <v>225</v>
      </c>
      <c r="K1042" s="27">
        <v>5.0999999999999996</v>
      </c>
      <c r="L1042" s="27">
        <v>-18</v>
      </c>
      <c r="R1042" s="27">
        <v>15.9</v>
      </c>
      <c r="S1042" s="27">
        <v>2.8</v>
      </c>
      <c r="V1042" s="32" t="s">
        <v>3353</v>
      </c>
      <c r="W1042" s="32">
        <v>2</v>
      </c>
      <c r="X1042" s="33" t="s">
        <v>3519</v>
      </c>
      <c r="Y1042" s="32">
        <v>8704</v>
      </c>
      <c r="AA1042" s="32">
        <v>30.13</v>
      </c>
      <c r="AB1042" s="32">
        <v>-99.54</v>
      </c>
      <c r="AC1042" s="32">
        <v>1173</v>
      </c>
    </row>
    <row r="1043" spans="3:29" ht="19">
      <c r="C1043" s="22" t="s">
        <v>585</v>
      </c>
      <c r="D1043" s="22" t="s">
        <v>151</v>
      </c>
      <c r="E1043" s="5">
        <v>41229</v>
      </c>
      <c r="F1043" s="5">
        <v>17318</v>
      </c>
      <c r="G1043" s="28" t="s">
        <v>1723</v>
      </c>
      <c r="H1043" s="6" t="s">
        <v>1137</v>
      </c>
      <c r="J1043" s="5" t="s">
        <v>225</v>
      </c>
      <c r="K1043" s="27">
        <v>5.8</v>
      </c>
      <c r="L1043" s="27">
        <v>-16.899999999999999</v>
      </c>
      <c r="R1043" s="27">
        <v>16.100000000000001</v>
      </c>
      <c r="S1043" s="27">
        <v>2.8</v>
      </c>
      <c r="V1043" s="32" t="s">
        <v>3353</v>
      </c>
      <c r="W1043" s="32">
        <v>2</v>
      </c>
      <c r="X1043" s="33" t="s">
        <v>3520</v>
      </c>
      <c r="Y1043" s="32">
        <v>9033</v>
      </c>
      <c r="AA1043" s="32">
        <v>30.13</v>
      </c>
      <c r="AB1043" s="32">
        <v>-99.54</v>
      </c>
      <c r="AC1043" s="32">
        <v>1173</v>
      </c>
    </row>
    <row r="1044" spans="3:29" ht="19">
      <c r="C1044" s="22" t="s">
        <v>585</v>
      </c>
      <c r="D1044" s="22" t="s">
        <v>151</v>
      </c>
      <c r="E1044" s="5">
        <v>41229</v>
      </c>
      <c r="F1044" s="5">
        <v>17325</v>
      </c>
      <c r="G1044" s="28" t="s">
        <v>1723</v>
      </c>
      <c r="H1044" s="6" t="s">
        <v>1137</v>
      </c>
      <c r="J1044" s="5" t="s">
        <v>225</v>
      </c>
      <c r="K1044" s="27">
        <v>6.7</v>
      </c>
      <c r="L1044" s="27">
        <v>-19.100000000000001</v>
      </c>
      <c r="R1044" s="27">
        <v>14.9</v>
      </c>
      <c r="S1044" s="27">
        <v>2.8</v>
      </c>
      <c r="V1044" s="32" t="s">
        <v>3353</v>
      </c>
      <c r="W1044" s="32">
        <v>3</v>
      </c>
      <c r="X1044" s="33" t="s">
        <v>3520</v>
      </c>
      <c r="Y1044" s="32">
        <v>9033</v>
      </c>
      <c r="AA1044" s="32">
        <v>30.13</v>
      </c>
      <c r="AB1044" s="32">
        <v>-99.54</v>
      </c>
      <c r="AC1044" s="32">
        <v>1173</v>
      </c>
    </row>
    <row r="1045" spans="3:29" ht="19">
      <c r="C1045" s="22" t="s">
        <v>585</v>
      </c>
      <c r="D1045" s="22" t="s">
        <v>151</v>
      </c>
      <c r="E1045" s="5">
        <v>41229</v>
      </c>
      <c r="F1045" s="5">
        <v>17330</v>
      </c>
      <c r="G1045" s="28" t="s">
        <v>1723</v>
      </c>
      <c r="H1045" s="6" t="s">
        <v>1137</v>
      </c>
      <c r="J1045" s="5" t="s">
        <v>225</v>
      </c>
      <c r="K1045" s="27">
        <v>4.7</v>
      </c>
      <c r="L1045" s="27">
        <v>-16.3</v>
      </c>
      <c r="R1045" s="27">
        <v>16.100000000000001</v>
      </c>
      <c r="S1045" s="27">
        <v>2.8</v>
      </c>
      <c r="V1045" s="32" t="s">
        <v>3353</v>
      </c>
      <c r="W1045" s="32">
        <v>2</v>
      </c>
      <c r="X1045" s="33" t="s">
        <v>3520</v>
      </c>
      <c r="Y1045" s="32">
        <v>9033</v>
      </c>
      <c r="AA1045" s="32">
        <v>30.13</v>
      </c>
      <c r="AB1045" s="32">
        <v>-99.54</v>
      </c>
      <c r="AC1045" s="32">
        <v>1173</v>
      </c>
    </row>
    <row r="1046" spans="3:29" ht="19">
      <c r="C1046" s="22" t="s">
        <v>585</v>
      </c>
      <c r="D1046" s="22" t="s">
        <v>151</v>
      </c>
      <c r="E1046" s="5">
        <v>41229</v>
      </c>
      <c r="F1046" s="5">
        <v>17389</v>
      </c>
      <c r="G1046" s="28" t="s">
        <v>1723</v>
      </c>
      <c r="H1046" s="6" t="s">
        <v>1137</v>
      </c>
      <c r="J1046" s="5" t="s">
        <v>225</v>
      </c>
      <c r="K1046" s="27">
        <v>6.4</v>
      </c>
      <c r="L1046" s="27">
        <v>-15.3</v>
      </c>
      <c r="R1046" s="27">
        <v>15.1</v>
      </c>
      <c r="S1046" s="27">
        <v>2.8</v>
      </c>
      <c r="V1046" s="32" t="s">
        <v>3353</v>
      </c>
      <c r="W1046" s="32">
        <v>3</v>
      </c>
      <c r="X1046" s="33" t="s">
        <v>3518</v>
      </c>
      <c r="Y1046" s="32">
        <v>9692</v>
      </c>
      <c r="AA1046" s="32">
        <v>30.13</v>
      </c>
      <c r="AB1046" s="32">
        <v>-99.54</v>
      </c>
      <c r="AC1046" s="32">
        <v>1173</v>
      </c>
    </row>
    <row r="1047" spans="3:29" ht="19">
      <c r="C1047" s="22" t="s">
        <v>585</v>
      </c>
      <c r="D1047" s="22" t="s">
        <v>151</v>
      </c>
      <c r="E1047" s="5">
        <v>41229</v>
      </c>
      <c r="F1047" s="5">
        <v>17457</v>
      </c>
      <c r="G1047" s="28" t="s">
        <v>1723</v>
      </c>
      <c r="H1047" s="6" t="s">
        <v>1137</v>
      </c>
      <c r="J1047" s="5" t="s">
        <v>225</v>
      </c>
      <c r="K1047" s="27">
        <v>5.9</v>
      </c>
      <c r="L1047" s="27">
        <v>-16.5</v>
      </c>
      <c r="R1047" s="27">
        <v>14.2</v>
      </c>
      <c r="S1047" s="27">
        <v>2.8</v>
      </c>
      <c r="V1047" s="32" t="s">
        <v>3353</v>
      </c>
      <c r="W1047" s="32">
        <v>3</v>
      </c>
      <c r="X1047" s="33" t="s">
        <v>3537</v>
      </c>
      <c r="Y1047" s="32">
        <v>11010</v>
      </c>
      <c r="AA1047" s="32">
        <v>30.13</v>
      </c>
      <c r="AB1047" s="32">
        <v>-99.54</v>
      </c>
      <c r="AC1047" s="32">
        <v>1173</v>
      </c>
    </row>
    <row r="1048" spans="3:29" ht="19">
      <c r="C1048" s="22" t="s">
        <v>585</v>
      </c>
      <c r="D1048" s="22" t="s">
        <v>151</v>
      </c>
      <c r="E1048" s="5">
        <v>41229</v>
      </c>
      <c r="F1048" s="5">
        <v>2939</v>
      </c>
      <c r="G1048" s="28" t="s">
        <v>1723</v>
      </c>
      <c r="H1048" s="6" t="s">
        <v>1137</v>
      </c>
      <c r="J1048" s="5" t="s">
        <v>225</v>
      </c>
      <c r="K1048" s="27">
        <v>4.3</v>
      </c>
      <c r="L1048" s="27">
        <v>-19.399999999999999</v>
      </c>
      <c r="R1048" s="27">
        <v>16.3</v>
      </c>
      <c r="S1048" s="27">
        <v>2.8</v>
      </c>
      <c r="V1048" s="32" t="s">
        <v>3353</v>
      </c>
      <c r="W1048" s="32">
        <v>3</v>
      </c>
      <c r="X1048" s="33" t="s">
        <v>3418</v>
      </c>
      <c r="Y1048" s="32">
        <v>2446</v>
      </c>
      <c r="AA1048" s="32">
        <v>30.13</v>
      </c>
      <c r="AB1048" s="32">
        <v>-99.54</v>
      </c>
      <c r="AC1048" s="32">
        <v>1173</v>
      </c>
    </row>
    <row r="1049" spans="3:29" ht="19">
      <c r="C1049" s="22" t="s">
        <v>585</v>
      </c>
      <c r="D1049" s="22" t="s">
        <v>151</v>
      </c>
      <c r="E1049" s="5">
        <v>41229</v>
      </c>
      <c r="F1049" s="5">
        <v>4998</v>
      </c>
      <c r="G1049" s="28" t="s">
        <v>1723</v>
      </c>
      <c r="H1049" s="6" t="s">
        <v>1137</v>
      </c>
      <c r="J1049" s="5" t="s">
        <v>225</v>
      </c>
      <c r="K1049" s="27">
        <v>7.2</v>
      </c>
      <c r="L1049" s="27">
        <v>-18.100000000000001</v>
      </c>
      <c r="R1049" s="27">
        <v>14.3</v>
      </c>
      <c r="S1049" s="27">
        <v>2.8</v>
      </c>
      <c r="V1049" s="32" t="s">
        <v>3353</v>
      </c>
      <c r="W1049" s="32">
        <v>3</v>
      </c>
      <c r="X1049" s="33" t="s">
        <v>3519</v>
      </c>
      <c r="Y1049" s="32">
        <v>8704</v>
      </c>
      <c r="AA1049" s="32">
        <v>30.13</v>
      </c>
      <c r="AB1049" s="32">
        <v>-99.54</v>
      </c>
      <c r="AC1049" s="32">
        <v>1173</v>
      </c>
    </row>
    <row r="1050" spans="3:29" ht="19">
      <c r="C1050" s="22" t="s">
        <v>585</v>
      </c>
      <c r="D1050" s="22" t="s">
        <v>151</v>
      </c>
      <c r="E1050" s="5">
        <v>41229</v>
      </c>
      <c r="F1050" s="5">
        <v>7436</v>
      </c>
      <c r="G1050" s="28" t="s">
        <v>1723</v>
      </c>
      <c r="H1050" s="6" t="s">
        <v>1137</v>
      </c>
      <c r="J1050" s="5" t="s">
        <v>225</v>
      </c>
      <c r="K1050" s="27">
        <v>5</v>
      </c>
      <c r="L1050" s="27">
        <v>-13.1</v>
      </c>
      <c r="R1050" s="27">
        <v>16.399999999999999</v>
      </c>
      <c r="S1050" s="27">
        <v>2.8</v>
      </c>
      <c r="V1050" s="32" t="s">
        <v>3353</v>
      </c>
      <c r="W1050" s="32">
        <v>2</v>
      </c>
      <c r="X1050" s="33" t="s">
        <v>3458</v>
      </c>
      <c r="Y1050" s="32">
        <v>5081</v>
      </c>
      <c r="AA1050" s="32">
        <v>30.13</v>
      </c>
      <c r="AB1050" s="32">
        <v>-99.54</v>
      </c>
      <c r="AC1050" s="32">
        <v>1173</v>
      </c>
    </row>
    <row r="1051" spans="3:29" ht="19">
      <c r="C1051" s="22" t="s">
        <v>585</v>
      </c>
      <c r="D1051" s="22" t="s">
        <v>151</v>
      </c>
      <c r="E1051" s="5">
        <v>41229</v>
      </c>
      <c r="F1051" s="5">
        <v>7936</v>
      </c>
      <c r="G1051" s="28" t="s">
        <v>1723</v>
      </c>
      <c r="H1051" s="6" t="s">
        <v>1137</v>
      </c>
      <c r="J1051" s="5" t="s">
        <v>225</v>
      </c>
      <c r="K1051" s="27">
        <v>4.8</v>
      </c>
      <c r="L1051" s="27">
        <v>-17.399999999999999</v>
      </c>
      <c r="R1051" s="27">
        <v>15.5</v>
      </c>
      <c r="S1051" s="27">
        <v>2.8</v>
      </c>
      <c r="V1051" s="32" t="s">
        <v>3353</v>
      </c>
      <c r="W1051" s="32">
        <v>3</v>
      </c>
      <c r="X1051" s="33" t="s">
        <v>3629</v>
      </c>
      <c r="Y1051" s="32">
        <v>2116</v>
      </c>
      <c r="AA1051" s="32">
        <v>30.13</v>
      </c>
      <c r="AB1051" s="32">
        <v>-99.54</v>
      </c>
      <c r="AC1051" s="32">
        <v>1173</v>
      </c>
    </row>
    <row r="1052" spans="3:29" ht="19">
      <c r="C1052" s="22" t="s">
        <v>585</v>
      </c>
      <c r="D1052" s="22" t="s">
        <v>151</v>
      </c>
      <c r="E1052" s="5">
        <v>41229</v>
      </c>
      <c r="F1052" s="5">
        <v>9510</v>
      </c>
      <c r="G1052" s="28" t="s">
        <v>1723</v>
      </c>
      <c r="H1052" s="6" t="s">
        <v>1137</v>
      </c>
      <c r="J1052" s="5" t="s">
        <v>225</v>
      </c>
      <c r="K1052" s="27">
        <v>5.8</v>
      </c>
      <c r="L1052" s="27">
        <v>-19.2</v>
      </c>
      <c r="R1052" s="27">
        <v>15.5</v>
      </c>
      <c r="S1052" s="27">
        <v>2.8</v>
      </c>
      <c r="V1052" s="32" t="s">
        <v>3353</v>
      </c>
      <c r="W1052" s="32">
        <v>3</v>
      </c>
      <c r="X1052" s="33" t="s">
        <v>3467</v>
      </c>
      <c r="Y1052" s="32">
        <v>4422</v>
      </c>
      <c r="AA1052" s="32">
        <v>30.13</v>
      </c>
      <c r="AB1052" s="32">
        <v>-99.54</v>
      </c>
      <c r="AC1052" s="32">
        <v>1173</v>
      </c>
    </row>
    <row r="1053" spans="3:29" ht="19">
      <c r="C1053" s="22" t="s">
        <v>585</v>
      </c>
      <c r="D1053" s="22" t="s">
        <v>151</v>
      </c>
      <c r="E1053" s="5">
        <v>41229</v>
      </c>
      <c r="F1053" s="5">
        <v>9806</v>
      </c>
      <c r="G1053" s="28" t="s">
        <v>1723</v>
      </c>
      <c r="H1053" s="6" t="s">
        <v>1137</v>
      </c>
      <c r="J1053" s="5" t="s">
        <v>225</v>
      </c>
      <c r="K1053" s="27">
        <v>4.5999999999999996</v>
      </c>
      <c r="L1053" s="27">
        <v>-17</v>
      </c>
      <c r="R1053" s="27">
        <v>16</v>
      </c>
      <c r="S1053" s="27">
        <v>2.8</v>
      </c>
      <c r="V1053" s="32" t="s">
        <v>3353</v>
      </c>
      <c r="W1053" s="32">
        <v>3</v>
      </c>
      <c r="X1053" s="33" t="s">
        <v>3484</v>
      </c>
      <c r="Y1053" s="32">
        <v>4093</v>
      </c>
      <c r="AA1053" s="32">
        <v>30.13</v>
      </c>
      <c r="AB1053" s="32">
        <v>-99.54</v>
      </c>
      <c r="AC1053" s="32">
        <v>1173</v>
      </c>
    </row>
    <row r="1054" spans="3:29" ht="19">
      <c r="C1054" s="22" t="s">
        <v>585</v>
      </c>
      <c r="D1054" s="22" t="s">
        <v>151</v>
      </c>
      <c r="E1054" s="5">
        <v>41229</v>
      </c>
      <c r="F1054" s="5">
        <v>9989</v>
      </c>
      <c r="G1054" s="28" t="s">
        <v>1723</v>
      </c>
      <c r="H1054" s="6" t="s">
        <v>1137</v>
      </c>
      <c r="J1054" s="5" t="s">
        <v>225</v>
      </c>
      <c r="K1054" s="27">
        <v>4.5999999999999996</v>
      </c>
      <c r="L1054" s="27">
        <v>-18.899999999999999</v>
      </c>
      <c r="R1054" s="27">
        <v>16</v>
      </c>
      <c r="S1054" s="27">
        <v>2.8</v>
      </c>
      <c r="V1054" s="32" t="s">
        <v>3353</v>
      </c>
      <c r="W1054" s="32">
        <v>2</v>
      </c>
      <c r="X1054" s="33" t="s">
        <v>3461</v>
      </c>
      <c r="Y1054" s="32">
        <v>3434</v>
      </c>
      <c r="AA1054" s="32">
        <v>30.13</v>
      </c>
      <c r="AB1054" s="32">
        <v>-99.54</v>
      </c>
      <c r="AC1054" s="32">
        <v>1173</v>
      </c>
    </row>
    <row r="1055" spans="3:29" ht="19">
      <c r="C1055" s="22" t="s">
        <v>585</v>
      </c>
      <c r="D1055" s="22" t="s">
        <v>151</v>
      </c>
      <c r="E1055" s="5">
        <v>41229</v>
      </c>
      <c r="F1055" s="5">
        <v>8271</v>
      </c>
      <c r="G1055" s="28" t="s">
        <v>1723</v>
      </c>
      <c r="H1055" s="6" t="s">
        <v>1137</v>
      </c>
      <c r="J1055" s="5" t="s">
        <v>104</v>
      </c>
      <c r="K1055" s="27">
        <v>5.3</v>
      </c>
      <c r="L1055" s="27">
        <v>-20</v>
      </c>
      <c r="R1055" s="27">
        <v>14.1</v>
      </c>
      <c r="S1055" s="27">
        <v>2.8</v>
      </c>
      <c r="V1055" s="32" t="s">
        <v>3353</v>
      </c>
      <c r="W1055" s="32">
        <v>3</v>
      </c>
      <c r="X1055" s="33" t="s">
        <v>3635</v>
      </c>
      <c r="Y1055" s="32">
        <v>15566</v>
      </c>
      <c r="AA1055" s="32">
        <v>30.13</v>
      </c>
      <c r="AB1055" s="32">
        <v>-99.54</v>
      </c>
      <c r="AC1055" s="32">
        <v>1173</v>
      </c>
    </row>
    <row r="1056" spans="3:29" ht="19">
      <c r="C1056" s="22" t="s">
        <v>585</v>
      </c>
      <c r="D1056" s="22" t="s">
        <v>151</v>
      </c>
      <c r="E1056" s="5">
        <v>41229</v>
      </c>
      <c r="F1056" s="5">
        <v>17015</v>
      </c>
      <c r="G1056" s="28" t="s">
        <v>1723</v>
      </c>
      <c r="H1056" s="6" t="s">
        <v>1137</v>
      </c>
      <c r="J1056" s="5" t="s">
        <v>225</v>
      </c>
      <c r="K1056" s="27">
        <v>4.0999999999999996</v>
      </c>
      <c r="L1056" s="27">
        <v>-16.100000000000001</v>
      </c>
      <c r="R1056" s="27">
        <v>16.100000000000001</v>
      </c>
      <c r="S1056" s="27">
        <v>2.7</v>
      </c>
      <c r="V1056" s="32" t="s">
        <v>3353</v>
      </c>
      <c r="W1056" s="32">
        <v>2</v>
      </c>
      <c r="X1056" s="33" t="s">
        <v>3629</v>
      </c>
      <c r="Y1056" s="32">
        <v>2116</v>
      </c>
      <c r="AA1056" s="32">
        <v>30.13</v>
      </c>
      <c r="AB1056" s="32">
        <v>-99.54</v>
      </c>
      <c r="AC1056" s="32">
        <v>1173</v>
      </c>
    </row>
    <row r="1057" spans="3:29" ht="19">
      <c r="C1057" s="22" t="s">
        <v>585</v>
      </c>
      <c r="D1057" s="22" t="s">
        <v>151</v>
      </c>
      <c r="E1057" s="5">
        <v>41229</v>
      </c>
      <c r="F1057" s="5">
        <v>17058</v>
      </c>
      <c r="G1057" s="28" t="s">
        <v>1723</v>
      </c>
      <c r="H1057" s="6" t="s">
        <v>1137</v>
      </c>
      <c r="J1057" s="5" t="s">
        <v>225</v>
      </c>
      <c r="K1057" s="27">
        <v>5.2</v>
      </c>
      <c r="L1057" s="27">
        <v>-16.399999999999999</v>
      </c>
      <c r="R1057" s="27">
        <v>16.5</v>
      </c>
      <c r="S1057" s="27">
        <v>2.7</v>
      </c>
      <c r="V1057" s="32" t="s">
        <v>3353</v>
      </c>
      <c r="W1057" s="32">
        <v>3</v>
      </c>
      <c r="X1057" s="33" t="s">
        <v>3461</v>
      </c>
      <c r="Y1057" s="32">
        <v>3434</v>
      </c>
      <c r="AA1057" s="32">
        <v>30.13</v>
      </c>
      <c r="AB1057" s="32">
        <v>-99.54</v>
      </c>
      <c r="AC1057" s="32">
        <v>1173</v>
      </c>
    </row>
    <row r="1058" spans="3:29" ht="19">
      <c r="C1058" s="22" t="s">
        <v>585</v>
      </c>
      <c r="D1058" s="22" t="s">
        <v>151</v>
      </c>
      <c r="E1058" s="5">
        <v>41229</v>
      </c>
      <c r="F1058" s="5">
        <v>17157</v>
      </c>
      <c r="G1058" s="28" t="s">
        <v>1723</v>
      </c>
      <c r="H1058" s="6" t="s">
        <v>1137</v>
      </c>
      <c r="J1058" s="5" t="s">
        <v>225</v>
      </c>
      <c r="K1058" s="27">
        <v>4.9000000000000004</v>
      </c>
      <c r="L1058" s="27">
        <v>-18.2</v>
      </c>
      <c r="R1058" s="27">
        <v>15.3</v>
      </c>
      <c r="S1058" s="27">
        <v>2.7</v>
      </c>
      <c r="V1058" s="32" t="s">
        <v>3353</v>
      </c>
      <c r="W1058" s="32">
        <v>3</v>
      </c>
      <c r="X1058" s="33" t="s">
        <v>3630</v>
      </c>
      <c r="Y1058" s="32">
        <v>4751</v>
      </c>
      <c r="AA1058" s="32">
        <v>30.13</v>
      </c>
      <c r="AB1058" s="32">
        <v>-99.54</v>
      </c>
      <c r="AC1058" s="32">
        <v>1173</v>
      </c>
    </row>
    <row r="1059" spans="3:29" ht="19">
      <c r="C1059" s="22" t="s">
        <v>585</v>
      </c>
      <c r="D1059" s="22" t="s">
        <v>151</v>
      </c>
      <c r="E1059" s="5">
        <v>41229</v>
      </c>
      <c r="F1059" s="5">
        <v>17159</v>
      </c>
      <c r="G1059" s="28" t="s">
        <v>1723</v>
      </c>
      <c r="H1059" s="6" t="s">
        <v>1137</v>
      </c>
      <c r="J1059" s="5" t="s">
        <v>225</v>
      </c>
      <c r="K1059" s="27">
        <v>4.3</v>
      </c>
      <c r="L1059" s="27">
        <v>-19.399999999999999</v>
      </c>
      <c r="R1059" s="27">
        <v>16</v>
      </c>
      <c r="S1059" s="27">
        <v>2.7</v>
      </c>
      <c r="V1059" s="32" t="s">
        <v>3353</v>
      </c>
      <c r="W1059" s="32">
        <v>3</v>
      </c>
      <c r="X1059" s="33" t="s">
        <v>3630</v>
      </c>
      <c r="Y1059" s="32">
        <v>4751</v>
      </c>
      <c r="AA1059" s="32">
        <v>30.13</v>
      </c>
      <c r="AB1059" s="32">
        <v>-99.54</v>
      </c>
      <c r="AC1059" s="32">
        <v>1173</v>
      </c>
    </row>
    <row r="1060" spans="3:29" ht="19">
      <c r="C1060" s="22" t="s">
        <v>585</v>
      </c>
      <c r="D1060" s="22" t="s">
        <v>151</v>
      </c>
      <c r="E1060" s="5">
        <v>41229</v>
      </c>
      <c r="F1060" s="5">
        <v>17179</v>
      </c>
      <c r="G1060" s="28" t="s">
        <v>1723</v>
      </c>
      <c r="H1060" s="6" t="s">
        <v>1137</v>
      </c>
      <c r="J1060" s="5" t="s">
        <v>225</v>
      </c>
      <c r="K1060" s="27">
        <v>5.4</v>
      </c>
      <c r="L1060" s="27">
        <v>-17</v>
      </c>
      <c r="R1060" s="27">
        <v>16.3</v>
      </c>
      <c r="S1060" s="27">
        <v>2.7</v>
      </c>
      <c r="V1060" s="32" t="s">
        <v>3353</v>
      </c>
      <c r="W1060" s="32">
        <v>3</v>
      </c>
      <c r="X1060" s="33" t="s">
        <v>3466</v>
      </c>
      <c r="Y1060" s="32">
        <v>5739</v>
      </c>
      <c r="AA1060" s="32">
        <v>30.13</v>
      </c>
      <c r="AB1060" s="32">
        <v>-99.54</v>
      </c>
      <c r="AC1060" s="32">
        <v>1173</v>
      </c>
    </row>
    <row r="1061" spans="3:29" ht="19">
      <c r="C1061" s="22" t="s">
        <v>585</v>
      </c>
      <c r="D1061" s="22" t="s">
        <v>151</v>
      </c>
      <c r="E1061" s="5">
        <v>41229</v>
      </c>
      <c r="F1061" s="5">
        <v>17220</v>
      </c>
      <c r="G1061" s="28" t="s">
        <v>1723</v>
      </c>
      <c r="H1061" s="6" t="s">
        <v>1137</v>
      </c>
      <c r="J1061" s="5" t="s">
        <v>225</v>
      </c>
      <c r="K1061" s="27">
        <v>7</v>
      </c>
      <c r="L1061" s="27">
        <v>-11.3</v>
      </c>
      <c r="R1061" s="27">
        <v>15.7</v>
      </c>
      <c r="S1061" s="27">
        <v>2.7</v>
      </c>
      <c r="V1061" s="32" t="s">
        <v>3353</v>
      </c>
      <c r="W1061" s="32">
        <v>3</v>
      </c>
      <c r="X1061" s="33" t="s">
        <v>3636</v>
      </c>
      <c r="Y1061" s="32">
        <v>6398</v>
      </c>
      <c r="AA1061" s="32">
        <v>30.13</v>
      </c>
      <c r="AB1061" s="32">
        <v>-99.54</v>
      </c>
      <c r="AC1061" s="32">
        <v>1173</v>
      </c>
    </row>
    <row r="1062" spans="3:29" ht="19">
      <c r="C1062" s="22" t="s">
        <v>585</v>
      </c>
      <c r="D1062" s="22" t="s">
        <v>151</v>
      </c>
      <c r="E1062" s="5">
        <v>41229</v>
      </c>
      <c r="F1062" s="5">
        <v>17221</v>
      </c>
      <c r="G1062" s="28" t="s">
        <v>1723</v>
      </c>
      <c r="H1062" s="6" t="s">
        <v>1137</v>
      </c>
      <c r="J1062" s="5" t="s">
        <v>225</v>
      </c>
      <c r="K1062" s="27">
        <v>7.3</v>
      </c>
      <c r="L1062" s="27">
        <v>-20.5</v>
      </c>
      <c r="R1062" s="27">
        <v>15.5</v>
      </c>
      <c r="S1062" s="27">
        <v>2.7</v>
      </c>
      <c r="V1062" s="32" t="s">
        <v>3353</v>
      </c>
      <c r="W1062" s="32">
        <v>3</v>
      </c>
      <c r="X1062" s="33" t="s">
        <v>3636</v>
      </c>
      <c r="Y1062" s="32">
        <v>6398</v>
      </c>
      <c r="AA1062" s="32">
        <v>30.13</v>
      </c>
      <c r="AB1062" s="32">
        <v>-99.54</v>
      </c>
      <c r="AC1062" s="32">
        <v>1173</v>
      </c>
    </row>
    <row r="1063" spans="3:29" ht="19">
      <c r="C1063" s="22" t="s">
        <v>585</v>
      </c>
      <c r="D1063" s="22" t="s">
        <v>151</v>
      </c>
      <c r="E1063" s="5">
        <v>41229</v>
      </c>
      <c r="F1063" s="5">
        <v>9825</v>
      </c>
      <c r="G1063" s="28" t="s">
        <v>1723</v>
      </c>
      <c r="H1063" s="6" t="s">
        <v>1137</v>
      </c>
      <c r="J1063" s="5" t="s">
        <v>104</v>
      </c>
      <c r="K1063" s="27">
        <v>8.6999999999999993</v>
      </c>
      <c r="L1063" s="27">
        <v>-14.5</v>
      </c>
      <c r="R1063" s="27">
        <v>16.100000000000001</v>
      </c>
      <c r="S1063" s="27">
        <v>2.7</v>
      </c>
      <c r="V1063" s="32" t="s">
        <v>3353</v>
      </c>
      <c r="W1063" s="32">
        <v>1</v>
      </c>
      <c r="X1063" s="33" t="s">
        <v>3488</v>
      </c>
      <c r="Y1063" s="32">
        <v>13645</v>
      </c>
      <c r="AA1063" s="32">
        <v>30.13</v>
      </c>
      <c r="AB1063" s="32">
        <v>-99.54</v>
      </c>
      <c r="AC1063" s="32">
        <v>1173</v>
      </c>
    </row>
    <row r="1064" spans="3:29" ht="19">
      <c r="C1064" s="22" t="s">
        <v>585</v>
      </c>
      <c r="D1064" s="22" t="s">
        <v>151</v>
      </c>
      <c r="E1064" s="5">
        <v>41229</v>
      </c>
      <c r="F1064" s="5">
        <v>680</v>
      </c>
      <c r="G1064" s="28" t="s">
        <v>1723</v>
      </c>
      <c r="H1064" s="6" t="s">
        <v>1137</v>
      </c>
      <c r="J1064" s="5" t="s">
        <v>1744</v>
      </c>
      <c r="K1064" s="27">
        <v>6.553055800000001</v>
      </c>
      <c r="L1064" s="27">
        <v>-18.134967799999998</v>
      </c>
      <c r="R1064" s="27">
        <v>6.2358487651503589</v>
      </c>
      <c r="S1064" s="27">
        <v>3.0828302611870995</v>
      </c>
      <c r="V1064" s="32" t="s">
        <v>3417</v>
      </c>
      <c r="W1064" s="32">
        <v>5</v>
      </c>
      <c r="X1064" s="33" t="s">
        <v>3370</v>
      </c>
      <c r="Y1064" s="32">
        <v>13315</v>
      </c>
      <c r="AA1064" s="32">
        <v>30.13</v>
      </c>
      <c r="AB1064" s="32">
        <v>-99.54</v>
      </c>
      <c r="AC1064" s="32">
        <v>1173</v>
      </c>
    </row>
    <row r="1065" spans="3:29">
      <c r="C1065" s="22" t="s">
        <v>585</v>
      </c>
      <c r="D1065" s="22" t="s">
        <v>151</v>
      </c>
      <c r="E1065" s="5">
        <v>40450</v>
      </c>
      <c r="F1065" s="5">
        <v>809</v>
      </c>
      <c r="G1065" s="28" t="s">
        <v>1723</v>
      </c>
      <c r="H1065" s="6" t="s">
        <v>1783</v>
      </c>
      <c r="J1065" s="5" t="s">
        <v>1744</v>
      </c>
      <c r="K1065" s="27">
        <v>4.4244525000000001</v>
      </c>
      <c r="L1065" s="27">
        <v>-20.125647499999999</v>
      </c>
      <c r="R1065" s="27">
        <v>5.9030772350654344</v>
      </c>
      <c r="S1065" s="27">
        <v>3.0652842554539759</v>
      </c>
      <c r="V1065" s="32" t="s">
        <v>3417</v>
      </c>
      <c r="W1065" s="32">
        <v>4</v>
      </c>
      <c r="Y1065" s="32" t="s">
        <v>3525</v>
      </c>
      <c r="AA1065" s="32">
        <v>29.88</v>
      </c>
      <c r="AB1065" s="32">
        <v>-98.62</v>
      </c>
      <c r="AC1065" s="32">
        <v>1173</v>
      </c>
    </row>
    <row r="1066" spans="3:29" ht="19">
      <c r="C1066" s="22" t="s">
        <v>585</v>
      </c>
      <c r="D1066" s="22" t="s">
        <v>151</v>
      </c>
      <c r="E1066" s="5">
        <v>41229</v>
      </c>
      <c r="F1066" s="5">
        <v>17691</v>
      </c>
      <c r="G1066" s="28" t="s">
        <v>1723</v>
      </c>
      <c r="H1066" s="6" t="s">
        <v>1137</v>
      </c>
      <c r="J1066" s="5" t="s">
        <v>1744</v>
      </c>
      <c r="K1066" s="27">
        <v>4.3121143000000011</v>
      </c>
      <c r="L1066" s="27">
        <v>-18.517896400000001</v>
      </c>
      <c r="R1066" s="27">
        <v>6.0802368496478127</v>
      </c>
      <c r="S1066" s="27">
        <v>3.0352975996653226</v>
      </c>
      <c r="V1066" s="32" t="s">
        <v>3417</v>
      </c>
      <c r="W1066" s="32">
        <v>5</v>
      </c>
      <c r="X1066" s="33" t="s">
        <v>3541</v>
      </c>
      <c r="Y1066" s="32">
        <v>21224</v>
      </c>
      <c r="AA1066" s="32">
        <v>30.13</v>
      </c>
      <c r="AB1066" s="32">
        <v>-99.54</v>
      </c>
      <c r="AC1066" s="32">
        <v>1173</v>
      </c>
    </row>
    <row r="1067" spans="3:29">
      <c r="C1067" s="22" t="s">
        <v>585</v>
      </c>
      <c r="D1067" s="22" t="s">
        <v>151</v>
      </c>
      <c r="E1067" s="5">
        <v>40450</v>
      </c>
      <c r="F1067" s="5">
        <v>622</v>
      </c>
      <c r="G1067" s="28" t="s">
        <v>1723</v>
      </c>
      <c r="H1067" s="6" t="s">
        <v>1783</v>
      </c>
      <c r="J1067" s="5" t="s">
        <v>1744</v>
      </c>
      <c r="K1067" s="27">
        <v>2.9389025999999996</v>
      </c>
      <c r="L1067" s="27">
        <v>-18.847885599999998</v>
      </c>
      <c r="R1067" s="27">
        <v>8.8938318831409209</v>
      </c>
      <c r="S1067" s="27">
        <v>3.0187370229025836</v>
      </c>
      <c r="V1067" s="32" t="s">
        <v>3417</v>
      </c>
      <c r="W1067" s="32">
        <v>4</v>
      </c>
      <c r="Y1067" s="32" t="s">
        <v>3525</v>
      </c>
      <c r="AA1067" s="32">
        <v>29.88</v>
      </c>
      <c r="AB1067" s="32">
        <v>-98.62</v>
      </c>
      <c r="AC1067" s="32">
        <v>1173</v>
      </c>
    </row>
    <row r="1068" spans="3:29">
      <c r="C1068" s="22" t="s">
        <v>585</v>
      </c>
      <c r="D1068" s="22" t="s">
        <v>151</v>
      </c>
      <c r="E1068" s="5">
        <v>40450</v>
      </c>
      <c r="F1068" s="5">
        <v>408</v>
      </c>
      <c r="G1068" s="28" t="s">
        <v>1723</v>
      </c>
      <c r="H1068" s="6" t="s">
        <v>1783</v>
      </c>
      <c r="J1068" s="5" t="s">
        <v>1744</v>
      </c>
      <c r="K1068" s="27">
        <v>3.2368562000000001</v>
      </c>
      <c r="L1068" s="27">
        <v>-18.9618787</v>
      </c>
      <c r="R1068" s="27">
        <v>13.13097749224902</v>
      </c>
      <c r="S1068" s="27">
        <v>3.0138834229664302</v>
      </c>
      <c r="V1068" s="32" t="s">
        <v>3417</v>
      </c>
      <c r="W1068" s="32">
        <v>4</v>
      </c>
      <c r="Y1068" s="32" t="s">
        <v>3525</v>
      </c>
      <c r="AA1068" s="32">
        <v>29.88</v>
      </c>
      <c r="AB1068" s="32">
        <v>-98.62</v>
      </c>
      <c r="AC1068" s="32">
        <v>1173</v>
      </c>
    </row>
    <row r="1069" spans="3:29" ht="19">
      <c r="C1069" s="22" t="s">
        <v>585</v>
      </c>
      <c r="D1069" s="22" t="s">
        <v>151</v>
      </c>
      <c r="E1069" s="5">
        <v>41229</v>
      </c>
      <c r="F1069" s="5">
        <v>2602</v>
      </c>
      <c r="G1069" s="28" t="s">
        <v>1723</v>
      </c>
      <c r="H1069" s="6" t="s">
        <v>1137</v>
      </c>
      <c r="J1069" s="5" t="s">
        <v>1744</v>
      </c>
      <c r="K1069" s="27">
        <v>6.2827200000000003</v>
      </c>
      <c r="L1069" s="27">
        <v>-19.921320000000001</v>
      </c>
      <c r="R1069" s="27">
        <v>7.2989910772932571</v>
      </c>
      <c r="S1069" s="27">
        <v>3.0129136811569892</v>
      </c>
      <c r="V1069" s="32" t="s">
        <v>3417</v>
      </c>
      <c r="W1069" s="32">
        <v>5</v>
      </c>
      <c r="X1069" s="33" t="s">
        <v>3483</v>
      </c>
      <c r="Y1069" s="32">
        <v>12986</v>
      </c>
      <c r="AA1069" s="32">
        <v>30.13</v>
      </c>
      <c r="AB1069" s="32">
        <v>-99.54</v>
      </c>
      <c r="AC1069" s="32">
        <v>1173</v>
      </c>
    </row>
    <row r="1070" spans="3:29">
      <c r="C1070" s="22" t="s">
        <v>585</v>
      </c>
      <c r="D1070" s="22" t="s">
        <v>151</v>
      </c>
      <c r="E1070" s="5">
        <v>40450</v>
      </c>
      <c r="F1070" s="5">
        <v>392</v>
      </c>
      <c r="G1070" s="28" t="s">
        <v>1723</v>
      </c>
      <c r="H1070" s="6" t="s">
        <v>1783</v>
      </c>
      <c r="J1070" s="5" t="s">
        <v>1744</v>
      </c>
      <c r="K1070" s="27">
        <v>3.0949255999999998</v>
      </c>
      <c r="L1070" s="27">
        <v>-19.439285699999999</v>
      </c>
      <c r="R1070" s="27">
        <v>14.253455873274051</v>
      </c>
      <c r="S1070" s="27">
        <v>2.9875413632719297</v>
      </c>
      <c r="V1070" s="32" t="s">
        <v>3417</v>
      </c>
      <c r="W1070" s="32">
        <v>4</v>
      </c>
      <c r="Y1070" s="32" t="s">
        <v>3525</v>
      </c>
      <c r="AA1070" s="32">
        <v>29.88</v>
      </c>
      <c r="AB1070" s="32">
        <v>-98.62</v>
      </c>
      <c r="AC1070" s="32">
        <v>1173</v>
      </c>
    </row>
    <row r="1071" spans="3:29">
      <c r="C1071" s="22" t="s">
        <v>585</v>
      </c>
      <c r="D1071" s="22" t="s">
        <v>151</v>
      </c>
      <c r="E1071" s="5">
        <v>40450</v>
      </c>
      <c r="F1071" s="5">
        <v>639</v>
      </c>
      <c r="G1071" s="28" t="s">
        <v>1723</v>
      </c>
      <c r="H1071" s="6" t="s">
        <v>1783</v>
      </c>
      <c r="J1071" s="5" t="s">
        <v>1744</v>
      </c>
      <c r="K1071" s="27">
        <v>2.9187705999999998</v>
      </c>
      <c r="L1071" s="27">
        <v>-19.214222400000001</v>
      </c>
      <c r="R1071" s="27">
        <v>14.3445044949625</v>
      </c>
      <c r="S1071" s="27">
        <v>2.9745607712510869</v>
      </c>
      <c r="V1071" s="32" t="s">
        <v>3417</v>
      </c>
      <c r="W1071" s="32">
        <v>4</v>
      </c>
      <c r="Y1071" s="32" t="s">
        <v>3525</v>
      </c>
      <c r="AA1071" s="32">
        <v>29.88</v>
      </c>
      <c r="AB1071" s="32">
        <v>-98.62</v>
      </c>
      <c r="AC1071" s="32">
        <v>1173</v>
      </c>
    </row>
    <row r="1072" spans="3:29">
      <c r="C1072" s="22" t="s">
        <v>585</v>
      </c>
      <c r="D1072" s="22" t="s">
        <v>151</v>
      </c>
      <c r="E1072" s="5">
        <v>40450</v>
      </c>
      <c r="F1072" s="5">
        <v>852</v>
      </c>
      <c r="G1072" s="28" t="s">
        <v>1723</v>
      </c>
      <c r="H1072" s="6" t="s">
        <v>1783</v>
      </c>
      <c r="J1072" s="5" t="s">
        <v>1744</v>
      </c>
      <c r="K1072" s="27">
        <v>2.8210467000000001</v>
      </c>
      <c r="L1072" s="27">
        <v>-18.935783000000001</v>
      </c>
      <c r="R1072" s="27">
        <v>14.382325584022412</v>
      </c>
      <c r="S1072" s="27">
        <v>2.9430867239976579</v>
      </c>
      <c r="V1072" s="32" t="s">
        <v>3417</v>
      </c>
      <c r="W1072" s="32">
        <v>4</v>
      </c>
      <c r="Y1072" s="32" t="s">
        <v>3525</v>
      </c>
      <c r="AA1072" s="32">
        <v>29.88</v>
      </c>
      <c r="AB1072" s="32">
        <v>-98.62</v>
      </c>
      <c r="AC1072" s="32">
        <v>1173</v>
      </c>
    </row>
    <row r="1073" spans="3:29">
      <c r="C1073" s="22" t="s">
        <v>585</v>
      </c>
      <c r="D1073" s="22" t="s">
        <v>151</v>
      </c>
      <c r="E1073" s="5">
        <v>40450</v>
      </c>
      <c r="F1073" s="5">
        <v>629</v>
      </c>
      <c r="G1073" s="28" t="s">
        <v>1723</v>
      </c>
      <c r="H1073" s="6" t="s">
        <v>1783</v>
      </c>
      <c r="J1073" s="5" t="s">
        <v>1744</v>
      </c>
      <c r="K1073" s="27">
        <v>3.0989519999999997</v>
      </c>
      <c r="L1073" s="27">
        <v>-18.050908199999999</v>
      </c>
      <c r="R1073" s="27">
        <v>13.108653464040929</v>
      </c>
      <c r="S1073" s="27">
        <v>2.9329475616350074</v>
      </c>
      <c r="V1073" s="32" t="s">
        <v>3417</v>
      </c>
      <c r="W1073" s="32">
        <v>4</v>
      </c>
      <c r="Y1073" s="32" t="s">
        <v>3525</v>
      </c>
      <c r="AA1073" s="32">
        <v>29.88</v>
      </c>
      <c r="AB1073" s="32">
        <v>-98.62</v>
      </c>
      <c r="AC1073" s="32">
        <v>1173</v>
      </c>
    </row>
    <row r="1074" spans="3:29" ht="19">
      <c r="C1074" s="22" t="s">
        <v>585</v>
      </c>
      <c r="D1074" s="22" t="s">
        <v>151</v>
      </c>
      <c r="E1074" s="5">
        <v>41229</v>
      </c>
      <c r="F1074" s="5">
        <v>17626</v>
      </c>
      <c r="G1074" s="28" t="s">
        <v>1723</v>
      </c>
      <c r="H1074" s="6" t="s">
        <v>1137</v>
      </c>
      <c r="J1074" s="5" t="s">
        <v>1744</v>
      </c>
      <c r="K1074" s="27">
        <v>3.9127083999999992</v>
      </c>
      <c r="L1074" s="27">
        <v>-22.102263600000001</v>
      </c>
      <c r="R1074" s="27">
        <v>10.519604121273879</v>
      </c>
      <c r="S1074" s="27">
        <v>2.9243613344134212</v>
      </c>
      <c r="V1074" s="32" t="s">
        <v>3417</v>
      </c>
      <c r="W1074" s="32">
        <v>5</v>
      </c>
      <c r="X1074" s="33" t="s">
        <v>3517</v>
      </c>
      <c r="Y1074" s="32">
        <v>16038</v>
      </c>
      <c r="AA1074" s="32">
        <v>30.13</v>
      </c>
      <c r="AB1074" s="32">
        <v>-99.54</v>
      </c>
      <c r="AC1074" s="32">
        <v>1173</v>
      </c>
    </row>
    <row r="1075" spans="3:29" ht="19">
      <c r="C1075" s="22" t="s">
        <v>585</v>
      </c>
      <c r="D1075" s="22" t="s">
        <v>151</v>
      </c>
      <c r="E1075" s="5">
        <v>41229</v>
      </c>
      <c r="F1075" s="5">
        <v>17201</v>
      </c>
      <c r="G1075" s="28" t="s">
        <v>1723</v>
      </c>
      <c r="H1075" s="6" t="s">
        <v>1137</v>
      </c>
      <c r="J1075" s="5" t="s">
        <v>1728</v>
      </c>
      <c r="K1075" s="27">
        <v>4.9960842000000003</v>
      </c>
      <c r="L1075" s="27">
        <v>-17.813268900000001</v>
      </c>
      <c r="R1075" s="27">
        <v>13.188447836738856</v>
      </c>
      <c r="S1075" s="27">
        <v>2.9105401279528844</v>
      </c>
      <c r="V1075" s="32" t="s">
        <v>3417</v>
      </c>
      <c r="W1075" s="32">
        <v>5</v>
      </c>
      <c r="X1075" s="33" t="s">
        <v>3540</v>
      </c>
      <c r="Y1075" s="32">
        <v>6398</v>
      </c>
      <c r="AA1075" s="32">
        <v>30.13</v>
      </c>
      <c r="AB1075" s="32">
        <v>-99.54</v>
      </c>
      <c r="AC1075" s="32">
        <v>1173</v>
      </c>
    </row>
    <row r="1076" spans="3:29" ht="19">
      <c r="C1076" s="22" t="s">
        <v>585</v>
      </c>
      <c r="D1076" s="22" t="s">
        <v>151</v>
      </c>
      <c r="E1076" s="5">
        <v>41229</v>
      </c>
      <c r="F1076" s="5">
        <v>351</v>
      </c>
      <c r="G1076" s="28" t="s">
        <v>1723</v>
      </c>
      <c r="H1076" s="6" t="s">
        <v>1137</v>
      </c>
      <c r="J1076" s="5" t="s">
        <v>1744</v>
      </c>
      <c r="K1076" s="27">
        <v>8.1034710000000008</v>
      </c>
      <c r="L1076" s="27">
        <v>-16.022646600000002</v>
      </c>
      <c r="R1076" s="27">
        <v>14.660340506351725</v>
      </c>
      <c r="S1076" s="27">
        <v>2.8874250614089791</v>
      </c>
      <c r="V1076" s="32" t="s">
        <v>3417</v>
      </c>
      <c r="W1076" s="32">
        <v>5</v>
      </c>
      <c r="X1076" s="33" t="s">
        <v>3542</v>
      </c>
      <c r="AA1076" s="32">
        <v>30.13</v>
      </c>
      <c r="AB1076" s="32">
        <v>-99.54</v>
      </c>
      <c r="AC1076" s="32">
        <v>1173</v>
      </c>
    </row>
    <row r="1077" spans="3:29" ht="19">
      <c r="C1077" s="22" t="s">
        <v>585</v>
      </c>
      <c r="D1077" s="22" t="s">
        <v>151</v>
      </c>
      <c r="E1077" s="5">
        <v>41229</v>
      </c>
      <c r="F1077" s="5">
        <v>10998</v>
      </c>
      <c r="G1077" s="28" t="s">
        <v>1723</v>
      </c>
      <c r="H1077" s="6" t="s">
        <v>1137</v>
      </c>
      <c r="J1077" s="5" t="s">
        <v>1744</v>
      </c>
      <c r="K1077" s="27">
        <v>4.0051917000000001</v>
      </c>
      <c r="L1077" s="27">
        <v>-19.327489100000001</v>
      </c>
      <c r="R1077" s="27">
        <v>13.866175809230132</v>
      </c>
      <c r="S1077" s="27">
        <v>2.8724712648515469</v>
      </c>
      <c r="V1077" s="32" t="s">
        <v>3417</v>
      </c>
      <c r="W1077" s="32">
        <v>5</v>
      </c>
      <c r="X1077" s="33" t="s">
        <v>3374</v>
      </c>
      <c r="Y1077" s="32">
        <v>21460</v>
      </c>
      <c r="AA1077" s="32">
        <v>30.13</v>
      </c>
      <c r="AB1077" s="32">
        <v>-99.54</v>
      </c>
      <c r="AC1077" s="32">
        <v>1173</v>
      </c>
    </row>
    <row r="1078" spans="3:29" ht="19">
      <c r="C1078" s="22" t="s">
        <v>585</v>
      </c>
      <c r="D1078" s="22" t="s">
        <v>151</v>
      </c>
      <c r="E1078" s="5">
        <v>41229</v>
      </c>
      <c r="F1078" s="5">
        <v>17657</v>
      </c>
      <c r="G1078" s="28" t="s">
        <v>1723</v>
      </c>
      <c r="H1078" s="6" t="s">
        <v>1137</v>
      </c>
      <c r="J1078" s="5" t="s">
        <v>1744</v>
      </c>
      <c r="K1078" s="27">
        <v>3.2406707999999997</v>
      </c>
      <c r="L1078" s="27">
        <v>-18.224699999999999</v>
      </c>
      <c r="R1078" s="27">
        <v>15.410406291546982</v>
      </c>
      <c r="S1078" s="27">
        <v>2.8708274169759034</v>
      </c>
      <c r="V1078" s="32" t="s">
        <v>3417</v>
      </c>
      <c r="W1078" s="32">
        <v>5</v>
      </c>
      <c r="X1078" s="33" t="s">
        <v>3637</v>
      </c>
      <c r="Y1078" s="32">
        <v>17688</v>
      </c>
      <c r="AA1078" s="32">
        <v>30.13</v>
      </c>
      <c r="AB1078" s="32">
        <v>-99.54</v>
      </c>
      <c r="AC1078" s="32">
        <v>1173</v>
      </c>
    </row>
    <row r="1079" spans="3:29" ht="19">
      <c r="C1079" s="22" t="s">
        <v>585</v>
      </c>
      <c r="D1079" s="22" t="s">
        <v>151</v>
      </c>
      <c r="E1079" s="5">
        <v>41229</v>
      </c>
      <c r="F1079" s="5">
        <v>17700</v>
      </c>
      <c r="G1079" s="28" t="s">
        <v>1723</v>
      </c>
      <c r="H1079" s="6" t="s">
        <v>1137</v>
      </c>
      <c r="J1079" s="5" t="s">
        <v>1744</v>
      </c>
      <c r="K1079" s="27">
        <v>3.6243703999999997</v>
      </c>
      <c r="L1079" s="27">
        <v>-15.612058799999998</v>
      </c>
      <c r="R1079" s="27">
        <v>15.077039677826743</v>
      </c>
      <c r="S1079" s="27">
        <v>2.8691711996276057</v>
      </c>
      <c r="V1079" s="32" t="s">
        <v>3417</v>
      </c>
      <c r="W1079" s="32">
        <v>5</v>
      </c>
      <c r="X1079" s="33" t="s">
        <v>3541</v>
      </c>
      <c r="Y1079" s="32">
        <v>21224</v>
      </c>
      <c r="AA1079" s="32">
        <v>30.13</v>
      </c>
      <c r="AB1079" s="32">
        <v>-99.54</v>
      </c>
      <c r="AC1079" s="32">
        <v>1173</v>
      </c>
    </row>
    <row r="1080" spans="3:29" ht="19">
      <c r="C1080" s="22" t="s">
        <v>585</v>
      </c>
      <c r="D1080" s="22" t="s">
        <v>151</v>
      </c>
      <c r="E1080" s="5">
        <v>41229</v>
      </c>
      <c r="F1080" s="5">
        <v>17666</v>
      </c>
      <c r="G1080" s="28" t="s">
        <v>1723</v>
      </c>
      <c r="H1080" s="6" t="s">
        <v>1137</v>
      </c>
      <c r="J1080" s="5" t="s">
        <v>1744</v>
      </c>
      <c r="K1080" s="27">
        <v>4.3842715999999999</v>
      </c>
      <c r="L1080" s="27">
        <v>-19.237102399999998</v>
      </c>
      <c r="R1080" s="27">
        <v>14.895342007108527</v>
      </c>
      <c r="S1080" s="27">
        <v>2.8659097354638718</v>
      </c>
      <c r="V1080" s="32" t="s">
        <v>3417</v>
      </c>
      <c r="W1080" s="32">
        <v>5</v>
      </c>
      <c r="X1080" s="33" t="s">
        <v>3637</v>
      </c>
      <c r="Y1080" s="32">
        <v>17688</v>
      </c>
      <c r="AA1080" s="32">
        <v>30.13</v>
      </c>
      <c r="AB1080" s="32">
        <v>-99.54</v>
      </c>
      <c r="AC1080" s="32">
        <v>1173</v>
      </c>
    </row>
    <row r="1081" spans="3:29" ht="19">
      <c r="C1081" s="22" t="s">
        <v>585</v>
      </c>
      <c r="D1081" s="22" t="s">
        <v>151</v>
      </c>
      <c r="E1081" s="5">
        <v>41229</v>
      </c>
      <c r="F1081" s="5">
        <v>17205</v>
      </c>
      <c r="G1081" s="28" t="s">
        <v>1723</v>
      </c>
      <c r="H1081" s="6" t="s">
        <v>1137</v>
      </c>
      <c r="J1081" s="5" t="s">
        <v>1728</v>
      </c>
      <c r="K1081" s="27">
        <v>4.0171815999999998</v>
      </c>
      <c r="L1081" s="27">
        <v>-13.520200199999998</v>
      </c>
      <c r="R1081" s="27">
        <v>14.759561728385671</v>
      </c>
      <c r="S1081" s="27">
        <v>2.8658111985132249</v>
      </c>
      <c r="V1081" s="32" t="s">
        <v>3417</v>
      </c>
      <c r="W1081" s="32">
        <v>5</v>
      </c>
      <c r="X1081" s="33" t="s">
        <v>3540</v>
      </c>
      <c r="Y1081" s="32">
        <v>6398</v>
      </c>
      <c r="AA1081" s="32">
        <v>30.13</v>
      </c>
      <c r="AB1081" s="32">
        <v>-99.54</v>
      </c>
      <c r="AC1081" s="32">
        <v>1173</v>
      </c>
    </row>
    <row r="1082" spans="3:29" ht="19">
      <c r="C1082" s="22" t="s">
        <v>585</v>
      </c>
      <c r="D1082" s="22" t="s">
        <v>151</v>
      </c>
      <c r="E1082" s="5">
        <v>41229</v>
      </c>
      <c r="F1082" s="5">
        <v>17703</v>
      </c>
      <c r="G1082" s="28" t="s">
        <v>1723</v>
      </c>
      <c r="H1082" s="6" t="s">
        <v>1137</v>
      </c>
      <c r="J1082" s="5" t="s">
        <v>1744</v>
      </c>
      <c r="K1082" s="27">
        <v>3.4856715999999994</v>
      </c>
      <c r="L1082" s="27">
        <v>-17.561356799999999</v>
      </c>
      <c r="R1082" s="27">
        <v>14.776385956058833</v>
      </c>
      <c r="S1082" s="27">
        <v>2.863368219377977</v>
      </c>
      <c r="V1082" s="32" t="s">
        <v>3417</v>
      </c>
      <c r="W1082" s="32">
        <v>5</v>
      </c>
      <c r="X1082" s="33" t="s">
        <v>3541</v>
      </c>
      <c r="Y1082" s="32">
        <v>21224</v>
      </c>
      <c r="AA1082" s="32">
        <v>30.13</v>
      </c>
      <c r="AB1082" s="32">
        <v>-99.54</v>
      </c>
      <c r="AC1082" s="32">
        <v>1173</v>
      </c>
    </row>
    <row r="1083" spans="3:29" ht="19">
      <c r="C1083" s="22" t="s">
        <v>585</v>
      </c>
      <c r="D1083" s="22" t="s">
        <v>151</v>
      </c>
      <c r="E1083" s="5">
        <v>41229</v>
      </c>
      <c r="F1083" s="5">
        <v>11684</v>
      </c>
      <c r="G1083" s="28" t="s">
        <v>1723</v>
      </c>
      <c r="H1083" s="6" t="s">
        <v>1137</v>
      </c>
      <c r="J1083" s="5" t="s">
        <v>1744</v>
      </c>
      <c r="K1083" s="27">
        <v>4.1657671000000009</v>
      </c>
      <c r="L1083" s="27">
        <v>-16.6819773</v>
      </c>
      <c r="R1083" s="27">
        <v>14.765000109330918</v>
      </c>
      <c r="S1083" s="27">
        <v>2.8631952514649859</v>
      </c>
      <c r="V1083" s="32" t="s">
        <v>3417</v>
      </c>
      <c r="W1083" s="32">
        <v>5</v>
      </c>
      <c r="X1083" s="33" t="s">
        <v>3638</v>
      </c>
      <c r="Y1083" s="32">
        <v>18866</v>
      </c>
      <c r="AA1083" s="32">
        <v>30.13</v>
      </c>
      <c r="AB1083" s="32">
        <v>-99.54</v>
      </c>
      <c r="AC1083" s="32">
        <v>1173</v>
      </c>
    </row>
    <row r="1084" spans="3:29" ht="19">
      <c r="C1084" s="22" t="s">
        <v>585</v>
      </c>
      <c r="D1084" s="22" t="s">
        <v>151</v>
      </c>
      <c r="E1084" s="5">
        <v>41229</v>
      </c>
      <c r="F1084" s="5">
        <v>17625</v>
      </c>
      <c r="G1084" s="28" t="s">
        <v>1723</v>
      </c>
      <c r="H1084" s="6" t="s">
        <v>1137</v>
      </c>
      <c r="J1084" s="5" t="s">
        <v>1744</v>
      </c>
      <c r="K1084" s="27">
        <v>5.8812815000000001</v>
      </c>
      <c r="L1084" s="27">
        <v>-17.370082500000002</v>
      </c>
      <c r="R1084" s="27">
        <v>14.46077314167731</v>
      </c>
      <c r="S1084" s="27">
        <v>2.859492367411971</v>
      </c>
      <c r="V1084" s="32" t="s">
        <v>3417</v>
      </c>
      <c r="W1084" s="32">
        <v>5</v>
      </c>
      <c r="X1084" s="33" t="s">
        <v>3517</v>
      </c>
      <c r="Y1084" s="32">
        <v>16038</v>
      </c>
      <c r="AA1084" s="32">
        <v>30.13</v>
      </c>
      <c r="AB1084" s="32">
        <v>-99.54</v>
      </c>
      <c r="AC1084" s="32">
        <v>1173</v>
      </c>
    </row>
    <row r="1085" spans="3:29" ht="19">
      <c r="C1085" s="22" t="s">
        <v>585</v>
      </c>
      <c r="D1085" s="22" t="s">
        <v>151</v>
      </c>
      <c r="E1085" s="5">
        <v>41229</v>
      </c>
      <c r="F1085" s="5">
        <v>17694</v>
      </c>
      <c r="G1085" s="28" t="s">
        <v>1723</v>
      </c>
      <c r="H1085" s="6" t="s">
        <v>1137</v>
      </c>
      <c r="J1085" s="5" t="s">
        <v>1744</v>
      </c>
      <c r="K1085" s="27">
        <v>5.0875512000000009</v>
      </c>
      <c r="L1085" s="27">
        <v>-20.727025100000002</v>
      </c>
      <c r="R1085" s="27">
        <v>15.472301022272921</v>
      </c>
      <c r="S1085" s="27">
        <v>2.8551924179607489</v>
      </c>
      <c r="V1085" s="32" t="s">
        <v>3417</v>
      </c>
      <c r="W1085" s="32">
        <v>5</v>
      </c>
      <c r="X1085" s="33" t="s">
        <v>3541</v>
      </c>
      <c r="Y1085" s="32">
        <v>21224</v>
      </c>
      <c r="AA1085" s="32">
        <v>30.13</v>
      </c>
      <c r="AB1085" s="32">
        <v>-99.54</v>
      </c>
      <c r="AC1085" s="32">
        <v>1173</v>
      </c>
    </row>
    <row r="1086" spans="3:29" ht="19">
      <c r="C1086" s="22" t="s">
        <v>585</v>
      </c>
      <c r="D1086" s="22" t="s">
        <v>151</v>
      </c>
      <c r="E1086" s="5">
        <v>41229</v>
      </c>
      <c r="F1086" s="5">
        <v>9027</v>
      </c>
      <c r="G1086" s="28" t="s">
        <v>1723</v>
      </c>
      <c r="H1086" s="6" t="s">
        <v>1137</v>
      </c>
      <c r="J1086" s="5" t="s">
        <v>1744</v>
      </c>
      <c r="K1086" s="27">
        <v>4.5476792000000001</v>
      </c>
      <c r="L1086" s="27">
        <v>-18.349804200000001</v>
      </c>
      <c r="R1086" s="27">
        <v>15.185828903786208</v>
      </c>
      <c r="S1086" s="27">
        <v>2.8547015549066681</v>
      </c>
      <c r="V1086" s="32" t="s">
        <v>3417</v>
      </c>
      <c r="W1086" s="32">
        <v>5</v>
      </c>
      <c r="X1086" s="33" t="s">
        <v>3481</v>
      </c>
      <c r="Y1086" s="32">
        <v>15330</v>
      </c>
      <c r="AA1086" s="32">
        <v>30.13</v>
      </c>
      <c r="AB1086" s="32">
        <v>-99.54</v>
      </c>
      <c r="AC1086" s="32">
        <v>1173</v>
      </c>
    </row>
    <row r="1087" spans="3:29" ht="19">
      <c r="C1087" s="22" t="s">
        <v>585</v>
      </c>
      <c r="D1087" s="22" t="s">
        <v>151</v>
      </c>
      <c r="E1087" s="5">
        <v>41229</v>
      </c>
      <c r="F1087" s="5">
        <v>17633</v>
      </c>
      <c r="G1087" s="28" t="s">
        <v>1723</v>
      </c>
      <c r="H1087" s="6" t="s">
        <v>1137</v>
      </c>
      <c r="J1087" s="5" t="s">
        <v>1744</v>
      </c>
      <c r="K1087" s="27">
        <v>5.4072068</v>
      </c>
      <c r="L1087" s="27">
        <v>-17.897877399999999</v>
      </c>
      <c r="R1087" s="27">
        <v>14.760925044329412</v>
      </c>
      <c r="S1087" s="27">
        <v>2.8546899290896173</v>
      </c>
      <c r="V1087" s="32" t="s">
        <v>3417</v>
      </c>
      <c r="W1087" s="32">
        <v>5</v>
      </c>
      <c r="X1087" s="33" t="s">
        <v>3639</v>
      </c>
      <c r="Y1087" s="32">
        <v>16273</v>
      </c>
      <c r="AA1087" s="32">
        <v>30.13</v>
      </c>
      <c r="AB1087" s="32">
        <v>-99.54</v>
      </c>
      <c r="AC1087" s="32">
        <v>1173</v>
      </c>
    </row>
    <row r="1088" spans="3:29" ht="19">
      <c r="C1088" s="22" t="s">
        <v>585</v>
      </c>
      <c r="D1088" s="22" t="s">
        <v>151</v>
      </c>
      <c r="E1088" s="5">
        <v>41229</v>
      </c>
      <c r="F1088" s="5">
        <v>8209</v>
      </c>
      <c r="G1088" s="28" t="s">
        <v>1723</v>
      </c>
      <c r="H1088" s="6" t="s">
        <v>1137</v>
      </c>
      <c r="J1088" s="5" t="s">
        <v>1728</v>
      </c>
      <c r="K1088" s="27">
        <v>6.4026433999999997</v>
      </c>
      <c r="L1088" s="27">
        <v>-19.2963883</v>
      </c>
      <c r="R1088" s="27">
        <v>15.67362460779227</v>
      </c>
      <c r="S1088" s="27">
        <v>2.8503163106698448</v>
      </c>
      <c r="V1088" s="32" t="s">
        <v>3417</v>
      </c>
      <c r="W1088" s="32">
        <v>5</v>
      </c>
      <c r="X1088" s="33" t="s">
        <v>3640</v>
      </c>
      <c r="Y1088" s="32">
        <v>1787</v>
      </c>
      <c r="AA1088" s="32">
        <v>30.13</v>
      </c>
      <c r="AB1088" s="32">
        <v>-99.54</v>
      </c>
      <c r="AC1088" s="32">
        <v>1173</v>
      </c>
    </row>
    <row r="1089" spans="3:29" ht="19">
      <c r="C1089" s="22" t="s">
        <v>585</v>
      </c>
      <c r="D1089" s="22" t="s">
        <v>151</v>
      </c>
      <c r="E1089" s="5">
        <v>41229</v>
      </c>
      <c r="F1089" s="5">
        <v>17550</v>
      </c>
      <c r="G1089" s="28" t="s">
        <v>1723</v>
      </c>
      <c r="H1089" s="6" t="s">
        <v>1137</v>
      </c>
      <c r="J1089" s="5" t="s">
        <v>1744</v>
      </c>
      <c r="K1089" s="27">
        <v>4.4261911999999999</v>
      </c>
      <c r="L1089" s="27">
        <v>-17.861994800000002</v>
      </c>
      <c r="R1089" s="27">
        <v>15.148096371779522</v>
      </c>
      <c r="S1089" s="27">
        <v>2.8501521998259447</v>
      </c>
      <c r="V1089" s="32" t="s">
        <v>3417</v>
      </c>
      <c r="W1089" s="32">
        <v>5</v>
      </c>
      <c r="X1089" s="33" t="s">
        <v>3527</v>
      </c>
      <c r="Y1089" s="32">
        <v>15448</v>
      </c>
      <c r="AA1089" s="32">
        <v>30.13</v>
      </c>
      <c r="AB1089" s="32">
        <v>-99.54</v>
      </c>
      <c r="AC1089" s="32">
        <v>1173</v>
      </c>
    </row>
    <row r="1090" spans="3:29" ht="19">
      <c r="C1090" s="22" t="s">
        <v>585</v>
      </c>
      <c r="D1090" s="22" t="s">
        <v>151</v>
      </c>
      <c r="E1090" s="5">
        <v>41229</v>
      </c>
      <c r="F1090" s="5">
        <v>4042</v>
      </c>
      <c r="G1090" s="28" t="s">
        <v>1723</v>
      </c>
      <c r="H1090" s="6" t="s">
        <v>1137</v>
      </c>
      <c r="J1090" s="5" t="s">
        <v>1744</v>
      </c>
      <c r="K1090" s="27">
        <v>5.4203679999999999</v>
      </c>
      <c r="L1090" s="27">
        <v>-15.806988599999999</v>
      </c>
      <c r="R1090" s="27">
        <v>15.01227653563533</v>
      </c>
      <c r="S1090" s="27">
        <v>2.8493809932303735</v>
      </c>
      <c r="V1090" s="32" t="s">
        <v>3417</v>
      </c>
      <c r="W1090" s="32">
        <v>5</v>
      </c>
      <c r="X1090" s="33" t="s">
        <v>3641</v>
      </c>
      <c r="Y1090" s="32">
        <v>16745</v>
      </c>
      <c r="AA1090" s="32">
        <v>30.13</v>
      </c>
      <c r="AB1090" s="32">
        <v>-99.54</v>
      </c>
      <c r="AC1090" s="32">
        <v>1173</v>
      </c>
    </row>
    <row r="1091" spans="3:29" ht="19">
      <c r="C1091" s="22" t="s">
        <v>585</v>
      </c>
      <c r="D1091" s="22" t="s">
        <v>151</v>
      </c>
      <c r="E1091" s="5">
        <v>41229</v>
      </c>
      <c r="F1091" s="5">
        <v>17544</v>
      </c>
      <c r="G1091" s="28" t="s">
        <v>1723</v>
      </c>
      <c r="H1091" s="6" t="s">
        <v>1137</v>
      </c>
      <c r="J1091" s="5" t="s">
        <v>1744</v>
      </c>
      <c r="K1091" s="27">
        <v>4.9880731999999997</v>
      </c>
      <c r="L1091" s="27">
        <v>-17.569115200000002</v>
      </c>
      <c r="R1091" s="27">
        <v>15.389125054153617</v>
      </c>
      <c r="S1091" s="27">
        <v>2.8493190234262933</v>
      </c>
      <c r="V1091" s="32" t="s">
        <v>3417</v>
      </c>
      <c r="W1091" s="32">
        <v>5</v>
      </c>
      <c r="X1091" s="33" t="s">
        <v>3527</v>
      </c>
      <c r="Y1091" s="32">
        <v>15448</v>
      </c>
      <c r="AA1091" s="32">
        <v>30.13</v>
      </c>
      <c r="AB1091" s="32">
        <v>-99.54</v>
      </c>
      <c r="AC1091" s="32">
        <v>1173</v>
      </c>
    </row>
    <row r="1092" spans="3:29" ht="19">
      <c r="C1092" s="22" t="s">
        <v>585</v>
      </c>
      <c r="D1092" s="22" t="s">
        <v>151</v>
      </c>
      <c r="E1092" s="5">
        <v>41229</v>
      </c>
      <c r="F1092" s="5">
        <v>11022</v>
      </c>
      <c r="G1092" s="28" t="s">
        <v>1723</v>
      </c>
      <c r="H1092" s="6" t="s">
        <v>1137</v>
      </c>
      <c r="J1092" s="5" t="s">
        <v>1744</v>
      </c>
      <c r="K1092" s="27">
        <v>6.0174657000000007</v>
      </c>
      <c r="L1092" s="27">
        <v>-22.005073599999999</v>
      </c>
      <c r="R1092" s="27">
        <v>12.770402521126982</v>
      </c>
      <c r="S1092" s="27">
        <v>2.8458466669988671</v>
      </c>
      <c r="V1092" s="32" t="s">
        <v>3417</v>
      </c>
      <c r="W1092" s="32">
        <v>5</v>
      </c>
      <c r="X1092" s="33" t="s">
        <v>3536</v>
      </c>
      <c r="Y1092" s="32">
        <v>19574</v>
      </c>
      <c r="AA1092" s="32">
        <v>30.13</v>
      </c>
      <c r="AB1092" s="32">
        <v>-99.54</v>
      </c>
      <c r="AC1092" s="32">
        <v>1173</v>
      </c>
    </row>
    <row r="1093" spans="3:29" ht="19">
      <c r="C1093" s="22" t="s">
        <v>585</v>
      </c>
      <c r="D1093" s="22" t="s">
        <v>151</v>
      </c>
      <c r="E1093" s="5">
        <v>41229</v>
      </c>
      <c r="F1093" s="5">
        <v>17806</v>
      </c>
      <c r="G1093" s="28" t="s">
        <v>1723</v>
      </c>
      <c r="H1093" s="6" t="s">
        <v>1137</v>
      </c>
      <c r="J1093" s="5" t="s">
        <v>1744</v>
      </c>
      <c r="K1093" s="27">
        <v>4.4174308</v>
      </c>
      <c r="L1093" s="27">
        <v>-18.692582399999999</v>
      </c>
      <c r="R1093" s="27">
        <v>14.600888871936228</v>
      </c>
      <c r="S1093" s="27">
        <v>2.8453320369165227</v>
      </c>
      <c r="V1093" s="32" t="s">
        <v>3417</v>
      </c>
      <c r="W1093" s="32">
        <v>5</v>
      </c>
      <c r="X1093" s="33" t="s">
        <v>3638</v>
      </c>
      <c r="Y1093" s="32">
        <v>18866</v>
      </c>
      <c r="AA1093" s="32">
        <v>30.13</v>
      </c>
      <c r="AB1093" s="32">
        <v>-99.54</v>
      </c>
      <c r="AC1093" s="32">
        <v>1173</v>
      </c>
    </row>
    <row r="1094" spans="3:29" ht="19">
      <c r="C1094" s="22" t="s">
        <v>585</v>
      </c>
      <c r="D1094" s="22" t="s">
        <v>151</v>
      </c>
      <c r="E1094" s="5">
        <v>41229</v>
      </c>
      <c r="F1094" s="5">
        <v>17600</v>
      </c>
      <c r="G1094" s="28" t="s">
        <v>1723</v>
      </c>
      <c r="H1094" s="6" t="s">
        <v>1137</v>
      </c>
      <c r="J1094" s="5" t="s">
        <v>1744</v>
      </c>
      <c r="K1094" s="27">
        <v>4.2611699999999999</v>
      </c>
      <c r="L1094" s="27">
        <v>-18.230518799999999</v>
      </c>
      <c r="R1094" s="27">
        <v>14.703337376886612</v>
      </c>
      <c r="S1094" s="27">
        <v>2.8415036360682993</v>
      </c>
      <c r="V1094" s="32" t="s">
        <v>3417</v>
      </c>
      <c r="W1094" s="32">
        <v>5</v>
      </c>
      <c r="X1094" s="33" t="s">
        <v>3635</v>
      </c>
      <c r="Y1094" s="32">
        <v>15802</v>
      </c>
      <c r="AA1094" s="32">
        <v>30.13</v>
      </c>
      <c r="AB1094" s="32">
        <v>-99.54</v>
      </c>
      <c r="AC1094" s="32">
        <v>1173</v>
      </c>
    </row>
    <row r="1095" spans="3:29" ht="19">
      <c r="C1095" s="22" t="s">
        <v>585</v>
      </c>
      <c r="D1095" s="22" t="s">
        <v>151</v>
      </c>
      <c r="E1095" s="5">
        <v>41229</v>
      </c>
      <c r="F1095" s="5">
        <v>17200</v>
      </c>
      <c r="G1095" s="28" t="s">
        <v>1723</v>
      </c>
      <c r="H1095" s="6" t="s">
        <v>1137</v>
      </c>
      <c r="J1095" s="5" t="s">
        <v>1728</v>
      </c>
      <c r="K1095" s="27">
        <v>5.7603418000000008</v>
      </c>
      <c r="L1095" s="27">
        <v>-17.021170400000003</v>
      </c>
      <c r="R1095" s="27">
        <v>14.450184980968716</v>
      </c>
      <c r="S1095" s="27">
        <v>2.8408616322277647</v>
      </c>
      <c r="V1095" s="32" t="s">
        <v>3417</v>
      </c>
      <c r="W1095" s="32">
        <v>5</v>
      </c>
      <c r="X1095" s="33" t="s">
        <v>3540</v>
      </c>
      <c r="Y1095" s="32">
        <v>6398</v>
      </c>
      <c r="AA1095" s="32">
        <v>30.13</v>
      </c>
      <c r="AB1095" s="32">
        <v>-99.54</v>
      </c>
      <c r="AC1095" s="32">
        <v>1173</v>
      </c>
    </row>
    <row r="1096" spans="3:29" ht="19">
      <c r="C1096" s="22" t="s">
        <v>585</v>
      </c>
      <c r="D1096" s="22" t="s">
        <v>151</v>
      </c>
      <c r="E1096" s="5">
        <v>41229</v>
      </c>
      <c r="F1096" s="5">
        <v>11446</v>
      </c>
      <c r="G1096" s="28" t="s">
        <v>1723</v>
      </c>
      <c r="H1096" s="6" t="s">
        <v>1137</v>
      </c>
      <c r="J1096" s="5" t="s">
        <v>1744</v>
      </c>
      <c r="K1096" s="27">
        <v>1.7686411999999998</v>
      </c>
      <c r="L1096" s="27">
        <v>-20.340803599999997</v>
      </c>
      <c r="R1096" s="27">
        <v>13.255633654884628</v>
      </c>
      <c r="S1096" s="27">
        <v>2.8408145016366033</v>
      </c>
      <c r="T1096" s="5" t="s">
        <v>3642</v>
      </c>
      <c r="V1096" s="32" t="s">
        <v>3417</v>
      </c>
      <c r="W1096" s="32">
        <v>5</v>
      </c>
      <c r="X1096" s="33" t="s">
        <v>3643</v>
      </c>
      <c r="Y1096" s="32">
        <v>18159</v>
      </c>
      <c r="AA1096" s="32">
        <v>30.13</v>
      </c>
      <c r="AB1096" s="32">
        <v>-99.54</v>
      </c>
      <c r="AC1096" s="32">
        <v>1173</v>
      </c>
    </row>
    <row r="1097" spans="3:29" ht="19">
      <c r="C1097" s="22" t="s">
        <v>585</v>
      </c>
      <c r="D1097" s="22" t="s">
        <v>151</v>
      </c>
      <c r="E1097" s="5">
        <v>41229</v>
      </c>
      <c r="F1097" s="5">
        <v>11246</v>
      </c>
      <c r="G1097" s="28" t="s">
        <v>1723</v>
      </c>
      <c r="H1097" s="6" t="s">
        <v>1137</v>
      </c>
      <c r="J1097" s="5" t="s">
        <v>1744</v>
      </c>
      <c r="K1097" s="27">
        <v>3.5356611</v>
      </c>
      <c r="L1097" s="27">
        <v>-18.645215299999997</v>
      </c>
      <c r="R1097" s="27">
        <v>11.438379933379263</v>
      </c>
      <c r="S1097" s="27">
        <v>2.8375412338717365</v>
      </c>
      <c r="V1097" s="32" t="s">
        <v>3417</v>
      </c>
      <c r="W1097" s="32">
        <v>5</v>
      </c>
      <c r="X1097" s="33" t="s">
        <v>3401</v>
      </c>
      <c r="Y1097" s="32">
        <v>19809</v>
      </c>
      <c r="AA1097" s="32">
        <v>30.13</v>
      </c>
      <c r="AB1097" s="32">
        <v>-99.54</v>
      </c>
      <c r="AC1097" s="32">
        <v>1173</v>
      </c>
    </row>
    <row r="1098" spans="3:29" ht="19">
      <c r="C1098" s="22" t="s">
        <v>585</v>
      </c>
      <c r="D1098" s="22" t="s">
        <v>151</v>
      </c>
      <c r="E1098" s="5">
        <v>41229</v>
      </c>
      <c r="F1098" s="5">
        <v>17202</v>
      </c>
      <c r="G1098" s="28" t="s">
        <v>1723</v>
      </c>
      <c r="H1098" s="6" t="s">
        <v>1137</v>
      </c>
      <c r="J1098" s="5" t="s">
        <v>1728</v>
      </c>
      <c r="K1098" s="27">
        <v>5.9920581999999998</v>
      </c>
      <c r="L1098" s="27">
        <v>-21.911771199999997</v>
      </c>
      <c r="R1098" s="27">
        <v>13.504408831481149</v>
      </c>
      <c r="S1098" s="27">
        <v>2.8369346152544783</v>
      </c>
      <c r="V1098" s="32" t="s">
        <v>3417</v>
      </c>
      <c r="W1098" s="32">
        <v>5</v>
      </c>
      <c r="X1098" s="33" t="s">
        <v>3540</v>
      </c>
      <c r="Y1098" s="32">
        <v>6398</v>
      </c>
      <c r="AA1098" s="32">
        <v>30.13</v>
      </c>
      <c r="AB1098" s="32">
        <v>-99.54</v>
      </c>
      <c r="AC1098" s="32">
        <v>1173</v>
      </c>
    </row>
    <row r="1099" spans="3:29" ht="19">
      <c r="C1099" s="22" t="s">
        <v>585</v>
      </c>
      <c r="D1099" s="22" t="s">
        <v>151</v>
      </c>
      <c r="E1099" s="5">
        <v>41229</v>
      </c>
      <c r="F1099" s="5">
        <v>17663</v>
      </c>
      <c r="G1099" s="28" t="s">
        <v>1723</v>
      </c>
      <c r="H1099" s="6" t="s">
        <v>1137</v>
      </c>
      <c r="J1099" s="5" t="s">
        <v>1744</v>
      </c>
      <c r="K1099" s="27">
        <v>8.3122711000000002</v>
      </c>
      <c r="L1099" s="27">
        <v>-19.0281439</v>
      </c>
      <c r="R1099" s="27">
        <v>12.883291300686556</v>
      </c>
      <c r="S1099" s="27">
        <v>2.8326451262828742</v>
      </c>
      <c r="V1099" s="32" t="s">
        <v>3417</v>
      </c>
      <c r="W1099" s="32">
        <v>5</v>
      </c>
      <c r="X1099" s="33" t="s">
        <v>3637</v>
      </c>
      <c r="Y1099" s="32">
        <v>17688</v>
      </c>
      <c r="AA1099" s="32">
        <v>30.13</v>
      </c>
      <c r="AB1099" s="32">
        <v>-99.54</v>
      </c>
      <c r="AC1099" s="32">
        <v>1173</v>
      </c>
    </row>
    <row r="1100" spans="3:29" ht="19">
      <c r="C1100" s="22" t="s">
        <v>585</v>
      </c>
      <c r="D1100" s="22" t="s">
        <v>151</v>
      </c>
      <c r="E1100" s="5">
        <v>41229</v>
      </c>
      <c r="F1100" s="5">
        <v>11683</v>
      </c>
      <c r="G1100" s="28" t="s">
        <v>1723</v>
      </c>
      <c r="H1100" s="6" t="s">
        <v>1137</v>
      </c>
      <c r="J1100" s="5" t="s">
        <v>1744</v>
      </c>
      <c r="K1100" s="27">
        <v>3.6790399999999996</v>
      </c>
      <c r="L1100" s="27">
        <v>-15.722615999999999</v>
      </c>
      <c r="R1100" s="27">
        <v>15.469318552863275</v>
      </c>
      <c r="S1100" s="27">
        <v>2.8298531241000262</v>
      </c>
      <c r="V1100" s="32" t="s">
        <v>3417</v>
      </c>
      <c r="W1100" s="32">
        <v>5</v>
      </c>
      <c r="X1100" s="33" t="s">
        <v>3638</v>
      </c>
      <c r="Y1100" s="32">
        <v>18866</v>
      </c>
      <c r="AA1100" s="32">
        <v>30.13</v>
      </c>
      <c r="AB1100" s="32">
        <v>-99.54</v>
      </c>
      <c r="AC1100" s="32">
        <v>1173</v>
      </c>
    </row>
    <row r="1101" spans="3:29" ht="19">
      <c r="C1101" s="22" t="s">
        <v>585</v>
      </c>
      <c r="D1101" s="22" t="s">
        <v>151</v>
      </c>
      <c r="E1101" s="5">
        <v>41229</v>
      </c>
      <c r="F1101" s="5">
        <v>17642</v>
      </c>
      <c r="G1101" s="28" t="s">
        <v>1723</v>
      </c>
      <c r="H1101" s="6" t="s">
        <v>1137</v>
      </c>
      <c r="J1101" s="5" t="s">
        <v>1744</v>
      </c>
      <c r="K1101" s="27">
        <v>4.3431743999999997</v>
      </c>
      <c r="L1101" s="27">
        <v>-18.222760400000002</v>
      </c>
      <c r="R1101" s="27">
        <v>13.817922450133226</v>
      </c>
      <c r="S1101" s="27">
        <v>2.8295079385840443</v>
      </c>
      <c r="V1101" s="32" t="s">
        <v>3417</v>
      </c>
      <c r="W1101" s="32">
        <v>5</v>
      </c>
      <c r="X1101" s="33" t="s">
        <v>3374</v>
      </c>
      <c r="Y1101" s="32" t="s">
        <v>3644</v>
      </c>
      <c r="AA1101" s="32">
        <v>30.13</v>
      </c>
      <c r="AB1101" s="32">
        <v>-99.54</v>
      </c>
      <c r="AC1101" s="32">
        <v>1173</v>
      </c>
    </row>
    <row r="1102" spans="3:29" ht="19">
      <c r="C1102" s="22" t="s">
        <v>585</v>
      </c>
      <c r="D1102" s="22" t="s">
        <v>151</v>
      </c>
      <c r="E1102" s="5">
        <v>41229</v>
      </c>
      <c r="F1102" s="5">
        <v>9006</v>
      </c>
      <c r="G1102" s="28" t="s">
        <v>1723</v>
      </c>
      <c r="H1102" s="6" t="s">
        <v>1137</v>
      </c>
      <c r="J1102" s="5" t="s">
        <v>1728</v>
      </c>
      <c r="K1102" s="27">
        <v>3.4746831</v>
      </c>
      <c r="L1102" s="27">
        <v>-15.412675899999998</v>
      </c>
      <c r="R1102" s="27">
        <v>15.382158191123274</v>
      </c>
      <c r="S1102" s="27">
        <v>2.8274005943214964</v>
      </c>
      <c r="V1102" s="32" t="s">
        <v>3417</v>
      </c>
      <c r="W1102" s="32">
        <v>5</v>
      </c>
      <c r="X1102" s="33" t="s">
        <v>3645</v>
      </c>
      <c r="Y1102" s="32">
        <v>2446</v>
      </c>
      <c r="AA1102" s="32">
        <v>30.13</v>
      </c>
      <c r="AB1102" s="32">
        <v>-99.54</v>
      </c>
      <c r="AC1102" s="32">
        <v>1173</v>
      </c>
    </row>
    <row r="1103" spans="3:29" ht="19">
      <c r="C1103" s="22" t="s">
        <v>585</v>
      </c>
      <c r="D1103" s="22" t="s">
        <v>151</v>
      </c>
      <c r="E1103" s="5">
        <v>41229</v>
      </c>
      <c r="F1103" s="5">
        <v>17682</v>
      </c>
      <c r="G1103" s="28" t="s">
        <v>1723</v>
      </c>
      <c r="H1103" s="6" t="s">
        <v>1137</v>
      </c>
      <c r="J1103" s="5" t="s">
        <v>1744</v>
      </c>
      <c r="K1103" s="27">
        <v>3.9837723999999994</v>
      </c>
      <c r="L1103" s="27">
        <v>-15.462709599999998</v>
      </c>
      <c r="R1103" s="27">
        <v>15.198225756828453</v>
      </c>
      <c r="S1103" s="27">
        <v>2.8208501806411048</v>
      </c>
      <c r="V1103" s="32" t="s">
        <v>3417</v>
      </c>
      <c r="W1103" s="32">
        <v>5</v>
      </c>
      <c r="X1103" s="33" t="s">
        <v>3646</v>
      </c>
      <c r="Y1103" s="32">
        <v>21695</v>
      </c>
      <c r="AA1103" s="32">
        <v>30.13</v>
      </c>
      <c r="AB1103" s="32">
        <v>-99.54</v>
      </c>
      <c r="AC1103" s="32">
        <v>1173</v>
      </c>
    </row>
    <row r="1104" spans="3:29" ht="19">
      <c r="C1104" s="22" t="s">
        <v>585</v>
      </c>
      <c r="D1104" s="22" t="s">
        <v>151</v>
      </c>
      <c r="E1104" s="5">
        <v>41229</v>
      </c>
      <c r="F1104" s="5">
        <v>17631</v>
      </c>
      <c r="G1104" s="28" t="s">
        <v>1723</v>
      </c>
      <c r="H1104" s="6" t="s">
        <v>1137</v>
      </c>
      <c r="J1104" s="5" t="s">
        <v>1744</v>
      </c>
      <c r="K1104" s="27">
        <v>2.786648</v>
      </c>
      <c r="L1104" s="27">
        <v>-21.515236000000002</v>
      </c>
      <c r="R1104" s="27">
        <v>13.03374935357629</v>
      </c>
      <c r="S1104" s="27">
        <v>2.8207274049461364</v>
      </c>
      <c r="V1104" s="32" t="s">
        <v>3417</v>
      </c>
      <c r="W1104" s="32">
        <v>5</v>
      </c>
      <c r="X1104" s="33" t="s">
        <v>3647</v>
      </c>
      <c r="Y1104" s="32">
        <v>17216</v>
      </c>
      <c r="AA1104" s="32">
        <v>30.13</v>
      </c>
      <c r="AB1104" s="32">
        <v>-99.54</v>
      </c>
      <c r="AC1104" s="32">
        <v>1173</v>
      </c>
    </row>
    <row r="1105" spans="3:29" ht="19">
      <c r="C1105" s="22" t="s">
        <v>585</v>
      </c>
      <c r="D1105" s="22" t="s">
        <v>151</v>
      </c>
      <c r="E1105" s="5">
        <v>41229</v>
      </c>
      <c r="F1105" s="5">
        <v>17607</v>
      </c>
      <c r="G1105" s="28" t="s">
        <v>1723</v>
      </c>
      <c r="H1105" s="6" t="s">
        <v>1137</v>
      </c>
      <c r="J1105" s="5" t="s">
        <v>1744</v>
      </c>
      <c r="K1105" s="27">
        <v>3.8936688000000004</v>
      </c>
      <c r="L1105" s="27">
        <v>-18.578676999999999</v>
      </c>
      <c r="R1105" s="27">
        <v>15.439856408819949</v>
      </c>
      <c r="S1105" s="27">
        <v>2.8194452328438855</v>
      </c>
      <c r="V1105" s="32" t="s">
        <v>3417</v>
      </c>
      <c r="W1105" s="32">
        <v>5</v>
      </c>
      <c r="X1105" s="33" t="s">
        <v>3635</v>
      </c>
      <c r="Y1105" s="32">
        <v>15802</v>
      </c>
      <c r="AA1105" s="32">
        <v>30.13</v>
      </c>
      <c r="AB1105" s="32">
        <v>-99.54</v>
      </c>
      <c r="AC1105" s="32">
        <v>1173</v>
      </c>
    </row>
    <row r="1106" spans="3:29" ht="19">
      <c r="C1106" s="22" t="s">
        <v>585</v>
      </c>
      <c r="D1106" s="22" t="s">
        <v>151</v>
      </c>
      <c r="E1106" s="5">
        <v>41229</v>
      </c>
      <c r="F1106" s="5">
        <v>17606</v>
      </c>
      <c r="G1106" s="28" t="s">
        <v>1723</v>
      </c>
      <c r="H1106" s="6" t="s">
        <v>1137</v>
      </c>
      <c r="J1106" s="5" t="s">
        <v>1744</v>
      </c>
      <c r="K1106" s="27">
        <v>3.0624883999999999</v>
      </c>
      <c r="L1106" s="27">
        <v>-19.735648399999999</v>
      </c>
      <c r="R1106" s="27">
        <v>13.464308705592099</v>
      </c>
      <c r="S1106" s="27">
        <v>2.8184098506581634</v>
      </c>
      <c r="V1106" s="32" t="s">
        <v>3417</v>
      </c>
      <c r="W1106" s="32">
        <v>5</v>
      </c>
      <c r="X1106" s="33" t="s">
        <v>3635</v>
      </c>
      <c r="Y1106" s="32">
        <v>15802</v>
      </c>
      <c r="AA1106" s="32">
        <v>30.13</v>
      </c>
      <c r="AB1106" s="32">
        <v>-99.54</v>
      </c>
      <c r="AC1106" s="32">
        <v>1173</v>
      </c>
    </row>
    <row r="1107" spans="3:29" ht="19">
      <c r="C1107" s="22" t="s">
        <v>585</v>
      </c>
      <c r="D1107" s="22" t="s">
        <v>151</v>
      </c>
      <c r="E1107" s="5">
        <v>41229</v>
      </c>
      <c r="F1107" s="5">
        <v>10925</v>
      </c>
      <c r="G1107" s="28" t="s">
        <v>1723</v>
      </c>
      <c r="H1107" s="6" t="s">
        <v>1137</v>
      </c>
      <c r="J1107" s="5" t="s">
        <v>1744</v>
      </c>
      <c r="K1107" s="27">
        <v>3.4229027999999997</v>
      </c>
      <c r="L1107" s="27">
        <v>-21.326120400000001</v>
      </c>
      <c r="R1107" s="27">
        <v>15.012794363082767</v>
      </c>
      <c r="S1107" s="27">
        <v>2.817851004594834</v>
      </c>
      <c r="V1107" s="32" t="s">
        <v>3417</v>
      </c>
      <c r="W1107" s="32">
        <v>5</v>
      </c>
      <c r="X1107" s="33" t="s">
        <v>3648</v>
      </c>
      <c r="Y1107" s="32">
        <v>20045</v>
      </c>
      <c r="AA1107" s="32">
        <v>30.13</v>
      </c>
      <c r="AB1107" s="32">
        <v>-99.54</v>
      </c>
      <c r="AC1107" s="32">
        <v>1173</v>
      </c>
    </row>
    <row r="1108" spans="3:29" ht="19">
      <c r="C1108" s="22" t="s">
        <v>585</v>
      </c>
      <c r="D1108" s="22" t="s">
        <v>151</v>
      </c>
      <c r="E1108" s="5">
        <v>41229</v>
      </c>
      <c r="F1108" s="5">
        <v>11245</v>
      </c>
      <c r="G1108" s="28" t="s">
        <v>1723</v>
      </c>
      <c r="H1108" s="6" t="s">
        <v>1137</v>
      </c>
      <c r="J1108" s="5" t="s">
        <v>1744</v>
      </c>
      <c r="K1108" s="27">
        <v>4.1609423999999997</v>
      </c>
      <c r="L1108" s="27">
        <v>-18.4535728</v>
      </c>
      <c r="R1108" s="27">
        <v>15.148280484064724</v>
      </c>
      <c r="S1108" s="27">
        <v>2.8166710815779923</v>
      </c>
      <c r="V1108" s="32" t="s">
        <v>3417</v>
      </c>
      <c r="W1108" s="32">
        <v>5</v>
      </c>
      <c r="X1108" s="33" t="s">
        <v>3401</v>
      </c>
      <c r="Y1108" s="32">
        <v>19809</v>
      </c>
      <c r="AA1108" s="32">
        <v>30.13</v>
      </c>
      <c r="AB1108" s="32">
        <v>-99.54</v>
      </c>
      <c r="AC1108" s="32">
        <v>1173</v>
      </c>
    </row>
    <row r="1109" spans="3:29" ht="19">
      <c r="C1109" s="22" t="s">
        <v>585</v>
      </c>
      <c r="D1109" s="22" t="s">
        <v>151</v>
      </c>
      <c r="E1109" s="5">
        <v>41229</v>
      </c>
      <c r="F1109" s="5">
        <v>17655</v>
      </c>
      <c r="G1109" s="28" t="s">
        <v>1723</v>
      </c>
      <c r="H1109" s="6" t="s">
        <v>1137</v>
      </c>
      <c r="J1109" s="5" t="s">
        <v>1744</v>
      </c>
      <c r="K1109" s="27">
        <v>4.8088784000000002</v>
      </c>
      <c r="L1109" s="27">
        <v>-19.892755999999999</v>
      </c>
      <c r="R1109" s="27">
        <v>14.536760178998735</v>
      </c>
      <c r="S1109" s="27">
        <v>2.8110834995417666</v>
      </c>
      <c r="V1109" s="32" t="s">
        <v>3417</v>
      </c>
      <c r="W1109" s="32">
        <v>5</v>
      </c>
      <c r="X1109" s="33" t="s">
        <v>3637</v>
      </c>
      <c r="Y1109" s="32">
        <v>17688</v>
      </c>
      <c r="AA1109" s="32">
        <v>30.13</v>
      </c>
      <c r="AB1109" s="32">
        <v>-99.54</v>
      </c>
      <c r="AC1109" s="32">
        <v>1173</v>
      </c>
    </row>
    <row r="1110" spans="3:29" ht="19">
      <c r="C1110" s="22" t="s">
        <v>585</v>
      </c>
      <c r="D1110" s="22" t="s">
        <v>151</v>
      </c>
      <c r="E1110" s="5">
        <v>41229</v>
      </c>
      <c r="F1110" s="5">
        <v>11019</v>
      </c>
      <c r="G1110" s="28" t="s">
        <v>1723</v>
      </c>
      <c r="H1110" s="6" t="s">
        <v>1137</v>
      </c>
      <c r="J1110" s="5" t="s">
        <v>1744</v>
      </c>
      <c r="K1110" s="27">
        <v>4.6337332</v>
      </c>
      <c r="L1110" s="27">
        <v>-20.516337399999998</v>
      </c>
      <c r="R1110" s="27">
        <v>15.468470974946975</v>
      </c>
      <c r="S1110" s="27">
        <v>2.8109902954276409</v>
      </c>
      <c r="V1110" s="32" t="s">
        <v>3417</v>
      </c>
      <c r="W1110" s="32">
        <v>5</v>
      </c>
      <c r="X1110" s="33" t="s">
        <v>3536</v>
      </c>
      <c r="Y1110" s="32">
        <v>19574</v>
      </c>
      <c r="AA1110" s="32">
        <v>30.13</v>
      </c>
      <c r="AB1110" s="32">
        <v>-99.54</v>
      </c>
      <c r="AC1110" s="32">
        <v>1173</v>
      </c>
    </row>
    <row r="1111" spans="3:29" ht="19">
      <c r="C1111" s="22" t="s">
        <v>585</v>
      </c>
      <c r="D1111" s="22" t="s">
        <v>151</v>
      </c>
      <c r="E1111" s="5">
        <v>41229</v>
      </c>
      <c r="F1111" s="5">
        <v>17687</v>
      </c>
      <c r="G1111" s="28" t="s">
        <v>1723</v>
      </c>
      <c r="H1111" s="6" t="s">
        <v>1137</v>
      </c>
      <c r="J1111" s="5" t="s">
        <v>1744</v>
      </c>
      <c r="K1111" s="27">
        <v>3.0083318000000006</v>
      </c>
      <c r="L1111" s="27">
        <v>-17.8787673</v>
      </c>
      <c r="R1111" s="27">
        <v>13.652570975409501</v>
      </c>
      <c r="S1111" s="27">
        <v>2.8100624078467575</v>
      </c>
      <c r="V1111" s="32" t="s">
        <v>3417</v>
      </c>
      <c r="W1111" s="32">
        <v>5</v>
      </c>
      <c r="X1111" s="33" t="s">
        <v>3536</v>
      </c>
      <c r="Y1111" s="32">
        <v>19574</v>
      </c>
      <c r="AA1111" s="32">
        <v>30.13</v>
      </c>
      <c r="AB1111" s="32">
        <v>-99.54</v>
      </c>
      <c r="AC1111" s="32">
        <v>1173</v>
      </c>
    </row>
    <row r="1112" spans="3:29" ht="19">
      <c r="C1112" s="22" t="s">
        <v>585</v>
      </c>
      <c r="D1112" s="22" t="s">
        <v>151</v>
      </c>
      <c r="E1112" s="5">
        <v>41229</v>
      </c>
      <c r="F1112" s="5">
        <v>17658</v>
      </c>
      <c r="G1112" s="28" t="s">
        <v>1723</v>
      </c>
      <c r="H1112" s="6" t="s">
        <v>1137</v>
      </c>
      <c r="J1112" s="5" t="s">
        <v>1744</v>
      </c>
      <c r="K1112" s="27">
        <v>4.2821166000000002</v>
      </c>
      <c r="L1112" s="27">
        <v>-18.538958999999998</v>
      </c>
      <c r="R1112" s="27">
        <v>15.438852928934304</v>
      </c>
      <c r="S1112" s="27">
        <v>2.8085469738215258</v>
      </c>
      <c r="V1112" s="32" t="s">
        <v>3417</v>
      </c>
      <c r="W1112" s="32">
        <v>5</v>
      </c>
      <c r="X1112" s="33" t="s">
        <v>3637</v>
      </c>
      <c r="Y1112" s="32">
        <v>17688</v>
      </c>
      <c r="AA1112" s="32">
        <v>30.13</v>
      </c>
      <c r="AB1112" s="32">
        <v>-99.54</v>
      </c>
      <c r="AC1112" s="32">
        <v>1173</v>
      </c>
    </row>
    <row r="1113" spans="3:29" ht="19">
      <c r="C1113" s="22" t="s">
        <v>585</v>
      </c>
      <c r="D1113" s="22" t="s">
        <v>151</v>
      </c>
      <c r="E1113" s="5">
        <v>41229</v>
      </c>
      <c r="F1113" s="5">
        <v>17557</v>
      </c>
      <c r="G1113" s="28" t="s">
        <v>1723</v>
      </c>
      <c r="H1113" s="6" t="s">
        <v>1137</v>
      </c>
      <c r="J1113" s="5" t="s">
        <v>1744</v>
      </c>
      <c r="K1113" s="27">
        <v>5.0225080000000002</v>
      </c>
      <c r="L1113" s="27">
        <v>-20.543336</v>
      </c>
      <c r="R1113" s="27">
        <v>15.354601777729076</v>
      </c>
      <c r="S1113" s="27">
        <v>2.808152371390007</v>
      </c>
      <c r="V1113" s="32" t="s">
        <v>3417</v>
      </c>
      <c r="W1113" s="32">
        <v>5</v>
      </c>
      <c r="X1113" s="33" t="s">
        <v>3647</v>
      </c>
      <c r="Y1113" s="32">
        <v>17216</v>
      </c>
      <c r="AA1113" s="32">
        <v>30.13</v>
      </c>
      <c r="AB1113" s="32">
        <v>-99.54</v>
      </c>
      <c r="AC1113" s="32">
        <v>1173</v>
      </c>
    </row>
    <row r="1114" spans="3:29" ht="19">
      <c r="C1114" s="22" t="s">
        <v>585</v>
      </c>
      <c r="D1114" s="22" t="s">
        <v>151</v>
      </c>
      <c r="E1114" s="5">
        <v>41229</v>
      </c>
      <c r="F1114" s="5">
        <v>17609</v>
      </c>
      <c r="G1114" s="28" t="s">
        <v>1723</v>
      </c>
      <c r="H1114" s="6" t="s">
        <v>1137</v>
      </c>
      <c r="J1114" s="5" t="s">
        <v>1744</v>
      </c>
      <c r="K1114" s="27">
        <v>5.5732403999999995</v>
      </c>
      <c r="L1114" s="27">
        <v>-19.837477400000001</v>
      </c>
      <c r="R1114" s="27">
        <v>14.146788042708295</v>
      </c>
      <c r="S1114" s="27">
        <v>2.8076137059728414</v>
      </c>
      <c r="V1114" s="32" t="s">
        <v>3417</v>
      </c>
      <c r="W1114" s="32">
        <v>5</v>
      </c>
      <c r="X1114" s="33" t="s">
        <v>3635</v>
      </c>
      <c r="Y1114" s="32">
        <v>15802</v>
      </c>
      <c r="AA1114" s="32">
        <v>30.13</v>
      </c>
      <c r="AB1114" s="32">
        <v>-99.54</v>
      </c>
      <c r="AC1114" s="32">
        <v>1173</v>
      </c>
    </row>
    <row r="1115" spans="3:29" ht="19">
      <c r="C1115" s="22" t="s">
        <v>585</v>
      </c>
      <c r="D1115" s="22" t="s">
        <v>151</v>
      </c>
      <c r="E1115" s="5">
        <v>41229</v>
      </c>
      <c r="F1115" s="5">
        <v>17807</v>
      </c>
      <c r="G1115" s="28" t="s">
        <v>1723</v>
      </c>
      <c r="H1115" s="6" t="s">
        <v>1137</v>
      </c>
      <c r="J1115" s="5" t="s">
        <v>1744</v>
      </c>
      <c r="K1115" s="27">
        <v>4.7147252000000002</v>
      </c>
      <c r="L1115" s="27">
        <v>-17.672883800000001</v>
      </c>
      <c r="R1115" s="27">
        <v>14.289586831054361</v>
      </c>
      <c r="S1115" s="27">
        <v>2.8062182381993992</v>
      </c>
      <c r="V1115" s="32" t="s">
        <v>3417</v>
      </c>
      <c r="W1115" s="32">
        <v>5</v>
      </c>
      <c r="X1115" s="33" t="s">
        <v>3401</v>
      </c>
      <c r="Y1115" s="32">
        <v>19809</v>
      </c>
      <c r="AA1115" s="32">
        <v>30.13</v>
      </c>
      <c r="AB1115" s="32">
        <v>-99.54</v>
      </c>
      <c r="AC1115" s="32">
        <v>1173</v>
      </c>
    </row>
    <row r="1116" spans="3:29" ht="19">
      <c r="C1116" s="22" t="s">
        <v>585</v>
      </c>
      <c r="D1116" s="22" t="s">
        <v>151</v>
      </c>
      <c r="E1116" s="5">
        <v>41229</v>
      </c>
      <c r="F1116" s="5">
        <v>17646</v>
      </c>
      <c r="G1116" s="28" t="s">
        <v>1723</v>
      </c>
      <c r="H1116" s="6" t="s">
        <v>1137</v>
      </c>
      <c r="J1116" s="5" t="s">
        <v>1744</v>
      </c>
      <c r="K1116" s="27">
        <v>3.8622843999999992</v>
      </c>
      <c r="L1116" s="27">
        <v>-20.670535599999997</v>
      </c>
      <c r="R1116" s="27">
        <v>12.56820830203613</v>
      </c>
      <c r="S1116" s="27">
        <v>2.8017334494996451</v>
      </c>
      <c r="V1116" s="32" t="s">
        <v>3417</v>
      </c>
      <c r="W1116" s="32">
        <v>5</v>
      </c>
      <c r="X1116" s="33" t="s">
        <v>3374</v>
      </c>
      <c r="Y1116" s="32" t="s">
        <v>3644</v>
      </c>
      <c r="AA1116" s="32">
        <v>30.13</v>
      </c>
      <c r="AB1116" s="32">
        <v>-99.54</v>
      </c>
      <c r="AC1116" s="32">
        <v>1173</v>
      </c>
    </row>
    <row r="1117" spans="3:29" ht="19">
      <c r="C1117" s="22" t="s">
        <v>585</v>
      </c>
      <c r="D1117" s="22" t="s">
        <v>151</v>
      </c>
      <c r="E1117" s="5">
        <v>41229</v>
      </c>
      <c r="F1117" s="5">
        <v>17651</v>
      </c>
      <c r="G1117" s="28" t="s">
        <v>1723</v>
      </c>
      <c r="H1117" s="6" t="s">
        <v>1137</v>
      </c>
      <c r="J1117" s="5" t="s">
        <v>1744</v>
      </c>
      <c r="K1117" s="27">
        <v>4.6749333999999996</v>
      </c>
      <c r="L1117" s="27">
        <v>-21.0370612</v>
      </c>
      <c r="R1117" s="27">
        <v>15.189562669371689</v>
      </c>
      <c r="S1117" s="27">
        <v>2.796542764963343</v>
      </c>
      <c r="V1117" s="32" t="s">
        <v>3417</v>
      </c>
      <c r="W1117" s="32">
        <v>5</v>
      </c>
      <c r="X1117" s="33" t="s">
        <v>3649</v>
      </c>
      <c r="Y1117" s="32">
        <v>22167</v>
      </c>
      <c r="AA1117" s="32">
        <v>30.13</v>
      </c>
      <c r="AB1117" s="32">
        <v>-99.54</v>
      </c>
      <c r="AC1117" s="32">
        <v>1173</v>
      </c>
    </row>
    <row r="1118" spans="3:29" ht="19">
      <c r="C1118" s="22" t="s">
        <v>585</v>
      </c>
      <c r="D1118" s="22" t="s">
        <v>151</v>
      </c>
      <c r="E1118" s="5">
        <v>41229</v>
      </c>
      <c r="F1118" s="5">
        <v>17605</v>
      </c>
      <c r="G1118" s="28" t="s">
        <v>1723</v>
      </c>
      <c r="H1118" s="6" t="s">
        <v>1137</v>
      </c>
      <c r="J1118" s="5" t="s">
        <v>1744</v>
      </c>
      <c r="K1118" s="27">
        <v>3.8761215999999998</v>
      </c>
      <c r="L1118" s="27">
        <v>-20.444202199999999</v>
      </c>
      <c r="R1118" s="27">
        <v>15.524058751658883</v>
      </c>
      <c r="S1118" s="27">
        <v>2.795945638566343</v>
      </c>
      <c r="V1118" s="32" t="s">
        <v>3417</v>
      </c>
      <c r="W1118" s="32">
        <v>5</v>
      </c>
      <c r="X1118" s="33" t="s">
        <v>3635</v>
      </c>
      <c r="Y1118" s="32">
        <v>15802</v>
      </c>
      <c r="AA1118" s="32">
        <v>30.13</v>
      </c>
      <c r="AB1118" s="32">
        <v>-99.54</v>
      </c>
      <c r="AC1118" s="32">
        <v>1173</v>
      </c>
    </row>
    <row r="1119" spans="3:29" ht="19">
      <c r="C1119" s="22" t="s">
        <v>585</v>
      </c>
      <c r="D1119" s="22" t="s">
        <v>151</v>
      </c>
      <c r="E1119" s="5">
        <v>41229</v>
      </c>
      <c r="F1119" s="5">
        <v>17692</v>
      </c>
      <c r="G1119" s="28" t="s">
        <v>1723</v>
      </c>
      <c r="H1119" s="6" t="s">
        <v>1137</v>
      </c>
      <c r="J1119" s="5" t="s">
        <v>1744</v>
      </c>
      <c r="K1119" s="27">
        <v>4.4204830000000008</v>
      </c>
      <c r="L1119" s="27">
        <v>-19.168037100000003</v>
      </c>
      <c r="R1119" s="27">
        <v>14.930521587515981</v>
      </c>
      <c r="S1119" s="27">
        <v>2.7948306568288843</v>
      </c>
      <c r="V1119" s="32" t="s">
        <v>3417</v>
      </c>
      <c r="W1119" s="32">
        <v>5</v>
      </c>
      <c r="X1119" s="33" t="s">
        <v>3541</v>
      </c>
      <c r="AA1119" s="32">
        <v>30.13</v>
      </c>
      <c r="AB1119" s="32">
        <v>-99.54</v>
      </c>
      <c r="AC1119" s="32">
        <v>1173</v>
      </c>
    </row>
    <row r="1120" spans="3:29" ht="19">
      <c r="C1120" s="22" t="s">
        <v>585</v>
      </c>
      <c r="D1120" s="22" t="s">
        <v>151</v>
      </c>
      <c r="E1120" s="5">
        <v>41229</v>
      </c>
      <c r="F1120" s="5">
        <v>17704</v>
      </c>
      <c r="G1120" s="28" t="s">
        <v>1723</v>
      </c>
      <c r="H1120" s="6" t="s">
        <v>1137</v>
      </c>
      <c r="J1120" s="5" t="s">
        <v>1744</v>
      </c>
      <c r="K1120" s="27">
        <v>3.4553733999999996</v>
      </c>
      <c r="L1120" s="27">
        <v>-18.8143259</v>
      </c>
      <c r="R1120" s="27">
        <v>15.187766361689052</v>
      </c>
      <c r="S1120" s="27">
        <v>2.7929260891587973</v>
      </c>
      <c r="V1120" s="32" t="s">
        <v>3417</v>
      </c>
      <c r="W1120" s="32">
        <v>5</v>
      </c>
      <c r="X1120" s="33" t="s">
        <v>3541</v>
      </c>
      <c r="Y1120" s="32">
        <v>21224</v>
      </c>
      <c r="AA1120" s="32">
        <v>30.13</v>
      </c>
      <c r="AB1120" s="32">
        <v>-99.54</v>
      </c>
      <c r="AC1120" s="32">
        <v>1173</v>
      </c>
    </row>
    <row r="1121" spans="3:29" ht="19">
      <c r="C1121" s="22" t="s">
        <v>585</v>
      </c>
      <c r="D1121" s="22" t="s">
        <v>151</v>
      </c>
      <c r="E1121" s="5">
        <v>41229</v>
      </c>
      <c r="F1121" s="5">
        <v>17676</v>
      </c>
      <c r="G1121" s="28" t="s">
        <v>1723</v>
      </c>
      <c r="H1121" s="6" t="s">
        <v>1137</v>
      </c>
      <c r="J1121" s="5" t="s">
        <v>1744</v>
      </c>
      <c r="K1121" s="27">
        <v>2.1401919999999999</v>
      </c>
      <c r="L1121" s="27">
        <v>-20.023679000000001</v>
      </c>
      <c r="R1121" s="27">
        <v>12.437498975920946</v>
      </c>
      <c r="S1121" s="27">
        <v>2.7912252809649782</v>
      </c>
      <c r="V1121" s="32" t="s">
        <v>3417</v>
      </c>
      <c r="W1121" s="32">
        <v>5</v>
      </c>
      <c r="X1121" s="33" t="s">
        <v>3649</v>
      </c>
      <c r="Y1121" s="32">
        <v>22167</v>
      </c>
      <c r="AA1121" s="32">
        <v>30.13</v>
      </c>
      <c r="AB1121" s="32">
        <v>-99.54</v>
      </c>
      <c r="AC1121" s="32">
        <v>1173</v>
      </c>
    </row>
    <row r="1122" spans="3:29" ht="19">
      <c r="C1122" s="22" t="s">
        <v>585</v>
      </c>
      <c r="D1122" s="22" t="s">
        <v>151</v>
      </c>
      <c r="E1122" s="5">
        <v>41229</v>
      </c>
      <c r="F1122" s="5">
        <v>10914</v>
      </c>
      <c r="G1122" s="28" t="s">
        <v>1723</v>
      </c>
      <c r="H1122" s="6" t="s">
        <v>1137</v>
      </c>
      <c r="J1122" s="5" t="s">
        <v>1744</v>
      </c>
      <c r="K1122" s="27">
        <v>6.4351650000000005</v>
      </c>
      <c r="L1122" s="27">
        <v>-15.0754266</v>
      </c>
      <c r="R1122" s="27">
        <v>15.335947526218252</v>
      </c>
      <c r="S1122" s="27">
        <v>2.7910563923738851</v>
      </c>
      <c r="V1122" s="32" t="s">
        <v>3417</v>
      </c>
      <c r="W1122" s="32">
        <v>5</v>
      </c>
      <c r="X1122" s="33" t="s">
        <v>3650</v>
      </c>
      <c r="Y1122" s="32">
        <v>18395</v>
      </c>
      <c r="AA1122" s="32">
        <v>30.13</v>
      </c>
      <c r="AB1122" s="32">
        <v>-99.54</v>
      </c>
      <c r="AC1122" s="32">
        <v>1173</v>
      </c>
    </row>
    <row r="1123" spans="3:29" ht="19">
      <c r="C1123" s="22" t="s">
        <v>585</v>
      </c>
      <c r="D1123" s="22" t="s">
        <v>151</v>
      </c>
      <c r="E1123" s="5">
        <v>41229</v>
      </c>
      <c r="F1123" s="5">
        <v>10903</v>
      </c>
      <c r="G1123" s="28" t="s">
        <v>1723</v>
      </c>
      <c r="H1123" s="6" t="s">
        <v>1137</v>
      </c>
      <c r="J1123" s="5" t="s">
        <v>1744</v>
      </c>
      <c r="K1123" s="27">
        <v>4.5539937000000004</v>
      </c>
      <c r="L1123" s="27">
        <v>-19.985465399999999</v>
      </c>
      <c r="R1123" s="27">
        <v>14.555915605054112</v>
      </c>
      <c r="S1123" s="27">
        <v>2.7904140225728966</v>
      </c>
      <c r="V1123" s="32" t="s">
        <v>3417</v>
      </c>
      <c r="W1123" s="32">
        <v>5</v>
      </c>
      <c r="X1123" s="33" t="s">
        <v>3648</v>
      </c>
      <c r="Y1123" s="32">
        <v>20045</v>
      </c>
      <c r="AA1123" s="32">
        <v>30.13</v>
      </c>
      <c r="AB1123" s="32">
        <v>-99.54</v>
      </c>
      <c r="AC1123" s="32">
        <v>1173</v>
      </c>
    </row>
    <row r="1124" spans="3:29" ht="19">
      <c r="C1124" s="22" t="s">
        <v>585</v>
      </c>
      <c r="D1124" s="22" t="s">
        <v>151</v>
      </c>
      <c r="E1124" s="5">
        <v>41229</v>
      </c>
      <c r="F1124" s="5">
        <v>17602</v>
      </c>
      <c r="G1124" s="28" t="s">
        <v>1723</v>
      </c>
      <c r="H1124" s="6" t="s">
        <v>1137</v>
      </c>
      <c r="J1124" s="5" t="s">
        <v>1744</v>
      </c>
      <c r="K1124" s="27">
        <v>4.1467688000000003</v>
      </c>
      <c r="L1124" s="27">
        <v>-19.739527599999999</v>
      </c>
      <c r="R1124" s="27">
        <v>15.151086847980345</v>
      </c>
      <c r="S1124" s="27">
        <v>2.7847926303718613</v>
      </c>
      <c r="V1124" s="32" t="s">
        <v>3417</v>
      </c>
      <c r="W1124" s="32">
        <v>5</v>
      </c>
      <c r="X1124" s="33" t="s">
        <v>3635</v>
      </c>
      <c r="Y1124" s="32">
        <v>15802</v>
      </c>
      <c r="AA1124" s="32">
        <v>30.13</v>
      </c>
      <c r="AB1124" s="32">
        <v>-99.54</v>
      </c>
      <c r="AC1124" s="32">
        <v>1173</v>
      </c>
    </row>
    <row r="1125" spans="3:29" ht="19">
      <c r="C1125" s="22" t="s">
        <v>585</v>
      </c>
      <c r="D1125" s="22" t="s">
        <v>151</v>
      </c>
      <c r="E1125" s="5">
        <v>41229</v>
      </c>
      <c r="F1125" s="5">
        <v>17548</v>
      </c>
      <c r="G1125" s="28" t="s">
        <v>1723</v>
      </c>
      <c r="H1125" s="6" t="s">
        <v>1137</v>
      </c>
      <c r="J1125" s="5" t="s">
        <v>1744</v>
      </c>
      <c r="K1125" s="27">
        <v>3.0630816000000003</v>
      </c>
      <c r="L1125" s="27">
        <v>-18.672428499999999</v>
      </c>
      <c r="R1125" s="27">
        <v>15.135026659803691</v>
      </c>
      <c r="S1125" s="27">
        <v>2.7839676954834776</v>
      </c>
      <c r="V1125" s="32" t="s">
        <v>3417</v>
      </c>
      <c r="W1125" s="32">
        <v>5</v>
      </c>
      <c r="X1125" s="33" t="s">
        <v>3527</v>
      </c>
      <c r="Y1125" s="32">
        <v>15448</v>
      </c>
      <c r="AA1125" s="32">
        <v>30.13</v>
      </c>
      <c r="AB1125" s="32">
        <v>-99.54</v>
      </c>
      <c r="AC1125" s="32">
        <v>1173</v>
      </c>
    </row>
    <row r="1126" spans="3:29" ht="19">
      <c r="C1126" s="22" t="s">
        <v>585</v>
      </c>
      <c r="D1126" s="22" t="s">
        <v>151</v>
      </c>
      <c r="E1126" s="5">
        <v>41229</v>
      </c>
      <c r="F1126" s="5">
        <v>17662</v>
      </c>
      <c r="G1126" s="28" t="s">
        <v>1723</v>
      </c>
      <c r="H1126" s="6" t="s">
        <v>1137</v>
      </c>
      <c r="J1126" s="5" t="s">
        <v>1744</v>
      </c>
      <c r="K1126" s="27">
        <v>2.5107303999999999</v>
      </c>
      <c r="L1126" s="27">
        <v>-20.156541600000001</v>
      </c>
      <c r="R1126" s="27">
        <v>15.234093567602196</v>
      </c>
      <c r="S1126" s="27">
        <v>2.7832069185953787</v>
      </c>
      <c r="V1126" s="32" t="s">
        <v>3417</v>
      </c>
      <c r="W1126" s="32">
        <v>5</v>
      </c>
      <c r="X1126" s="33" t="s">
        <v>3637</v>
      </c>
      <c r="Y1126" s="32">
        <v>17688</v>
      </c>
      <c r="AA1126" s="32">
        <v>30.13</v>
      </c>
      <c r="AB1126" s="32">
        <v>-99.54</v>
      </c>
      <c r="AC1126" s="32">
        <v>1173</v>
      </c>
    </row>
    <row r="1127" spans="3:29" ht="19">
      <c r="C1127" s="22" t="s">
        <v>585</v>
      </c>
      <c r="D1127" s="22" t="s">
        <v>151</v>
      </c>
      <c r="E1127" s="5">
        <v>41229</v>
      </c>
      <c r="F1127" s="5">
        <v>10999</v>
      </c>
      <c r="G1127" s="28" t="s">
        <v>1723</v>
      </c>
      <c r="H1127" s="6" t="s">
        <v>1137</v>
      </c>
      <c r="J1127" s="5" t="s">
        <v>1744</v>
      </c>
      <c r="K1127" s="27">
        <v>3.6250955</v>
      </c>
      <c r="L1127" s="27">
        <v>-18.774478000000002</v>
      </c>
      <c r="R1127" s="27">
        <v>14.349595213057833</v>
      </c>
      <c r="S1127" s="27">
        <v>2.782660828503186</v>
      </c>
      <c r="V1127" s="32" t="s">
        <v>3417</v>
      </c>
      <c r="W1127" s="32">
        <v>5</v>
      </c>
      <c r="X1127" s="33" t="s">
        <v>3638</v>
      </c>
      <c r="Y1127" s="32">
        <v>18866</v>
      </c>
      <c r="AA1127" s="32">
        <v>30.13</v>
      </c>
      <c r="AB1127" s="32">
        <v>-99.54</v>
      </c>
      <c r="AC1127" s="32">
        <v>1173</v>
      </c>
    </row>
    <row r="1128" spans="3:29" ht="19">
      <c r="C1128" s="22" t="s">
        <v>585</v>
      </c>
      <c r="D1128" s="22" t="s">
        <v>151</v>
      </c>
      <c r="E1128" s="5">
        <v>41229</v>
      </c>
      <c r="F1128" s="5">
        <v>17669</v>
      </c>
      <c r="G1128" s="28" t="s">
        <v>1723</v>
      </c>
      <c r="H1128" s="6" t="s">
        <v>1137</v>
      </c>
      <c r="J1128" s="5" t="s">
        <v>1744</v>
      </c>
      <c r="K1128" s="27">
        <v>3.8486815000000001</v>
      </c>
      <c r="L1128" s="27">
        <v>-18.5013741</v>
      </c>
      <c r="R1128" s="27">
        <v>13.946158070466483</v>
      </c>
      <c r="S1128" s="27">
        <v>2.7816291435022977</v>
      </c>
      <c r="V1128" s="32" t="s">
        <v>3417</v>
      </c>
      <c r="W1128" s="32">
        <v>5</v>
      </c>
      <c r="X1128" s="33" t="s">
        <v>3651</v>
      </c>
      <c r="Y1128" s="32">
        <v>17923</v>
      </c>
      <c r="AA1128" s="32">
        <v>30.13</v>
      </c>
      <c r="AB1128" s="32">
        <v>-99.54</v>
      </c>
      <c r="AC1128" s="32">
        <v>1173</v>
      </c>
    </row>
    <row r="1129" spans="3:29" ht="19">
      <c r="C1129" s="22" t="s">
        <v>585</v>
      </c>
      <c r="D1129" s="22" t="s">
        <v>151</v>
      </c>
      <c r="E1129" s="5">
        <v>41229</v>
      </c>
      <c r="F1129" s="5">
        <v>10924</v>
      </c>
      <c r="G1129" s="28" t="s">
        <v>1723</v>
      </c>
      <c r="H1129" s="6" t="s">
        <v>1137</v>
      </c>
      <c r="J1129" s="5" t="s">
        <v>1744</v>
      </c>
      <c r="K1129" s="27">
        <v>3.9330343999999999</v>
      </c>
      <c r="L1129" s="27">
        <v>-17.4789353</v>
      </c>
      <c r="R1129" s="27">
        <v>15.73602388235861</v>
      </c>
      <c r="S1129" s="27">
        <v>2.7813962497187172</v>
      </c>
      <c r="V1129" s="32" t="s">
        <v>3417</v>
      </c>
      <c r="W1129" s="32">
        <v>5</v>
      </c>
      <c r="X1129" s="33" t="s">
        <v>3648</v>
      </c>
      <c r="Y1129" s="32">
        <v>20045</v>
      </c>
      <c r="AA1129" s="32">
        <v>30.13</v>
      </c>
      <c r="AB1129" s="32">
        <v>-99.54</v>
      </c>
      <c r="AC1129" s="32">
        <v>1173</v>
      </c>
    </row>
    <row r="1130" spans="3:29" ht="19">
      <c r="C1130" s="22" t="s">
        <v>585</v>
      </c>
      <c r="D1130" s="22" t="s">
        <v>151</v>
      </c>
      <c r="E1130" s="5">
        <v>41229</v>
      </c>
      <c r="F1130" s="5">
        <v>10927</v>
      </c>
      <c r="G1130" s="28" t="s">
        <v>1723</v>
      </c>
      <c r="H1130" s="6" t="s">
        <v>1137</v>
      </c>
      <c r="J1130" s="5" t="s">
        <v>1744</v>
      </c>
      <c r="K1130" s="27">
        <v>3.6921713</v>
      </c>
      <c r="L1130" s="27">
        <v>-17.244707399999999</v>
      </c>
      <c r="R1130" s="27">
        <v>15.787449957985277</v>
      </c>
      <c r="S1130" s="27">
        <v>2.7811306992923743</v>
      </c>
      <c r="V1130" s="32" t="s">
        <v>3417</v>
      </c>
      <c r="W1130" s="32">
        <v>5</v>
      </c>
      <c r="X1130" s="33" t="s">
        <v>3648</v>
      </c>
      <c r="Y1130" s="32">
        <v>20045</v>
      </c>
      <c r="AA1130" s="32">
        <v>30.13</v>
      </c>
      <c r="AB1130" s="32">
        <v>-99.54</v>
      </c>
      <c r="AC1130" s="32">
        <v>1173</v>
      </c>
    </row>
    <row r="1131" spans="3:29" ht="19">
      <c r="C1131" s="22" t="s">
        <v>585</v>
      </c>
      <c r="D1131" s="22" t="s">
        <v>151</v>
      </c>
      <c r="E1131" s="5">
        <v>41229</v>
      </c>
      <c r="F1131" s="5">
        <v>17679</v>
      </c>
      <c r="G1131" s="28" t="s">
        <v>1723</v>
      </c>
      <c r="H1131" s="6" t="s">
        <v>1137</v>
      </c>
      <c r="J1131" s="5" t="s">
        <v>1744</v>
      </c>
      <c r="K1131" s="27">
        <v>3.6271280999999997</v>
      </c>
      <c r="L1131" s="27">
        <v>-19.790113499999997</v>
      </c>
      <c r="R1131" s="27">
        <v>15.657614033368191</v>
      </c>
      <c r="S1131" s="27">
        <v>2.7802440834610755</v>
      </c>
      <c r="V1131" s="32" t="s">
        <v>3417</v>
      </c>
      <c r="W1131" s="32">
        <v>5</v>
      </c>
      <c r="X1131" s="33" t="s">
        <v>3652</v>
      </c>
      <c r="Y1131" s="32">
        <v>19338</v>
      </c>
      <c r="AA1131" s="32">
        <v>30.13</v>
      </c>
      <c r="AB1131" s="32">
        <v>-99.54</v>
      </c>
      <c r="AC1131" s="32">
        <v>1173</v>
      </c>
    </row>
    <row r="1132" spans="3:29" ht="19">
      <c r="C1132" s="22" t="s">
        <v>585</v>
      </c>
      <c r="D1132" s="22" t="s">
        <v>151</v>
      </c>
      <c r="E1132" s="5">
        <v>41229</v>
      </c>
      <c r="F1132" s="5">
        <v>17661</v>
      </c>
      <c r="G1132" s="28" t="s">
        <v>1723</v>
      </c>
      <c r="H1132" s="6" t="s">
        <v>1137</v>
      </c>
      <c r="J1132" s="5" t="s">
        <v>1744</v>
      </c>
      <c r="K1132" s="27">
        <v>4.7135528000000004</v>
      </c>
      <c r="L1132" s="27">
        <v>-19.7026425</v>
      </c>
      <c r="R1132" s="27">
        <v>14.883673792201487</v>
      </c>
      <c r="S1132" s="27">
        <v>2.7802385517912134</v>
      </c>
      <c r="V1132" s="32" t="s">
        <v>3417</v>
      </c>
      <c r="W1132" s="32">
        <v>5</v>
      </c>
      <c r="X1132" s="33" t="s">
        <v>3637</v>
      </c>
      <c r="Y1132" s="32">
        <v>17688</v>
      </c>
      <c r="AA1132" s="32">
        <v>30.13</v>
      </c>
      <c r="AB1132" s="32">
        <v>-99.54</v>
      </c>
      <c r="AC1132" s="32">
        <v>1173</v>
      </c>
    </row>
    <row r="1133" spans="3:29" ht="19">
      <c r="C1133" s="22" t="s">
        <v>585</v>
      </c>
      <c r="D1133" s="22" t="s">
        <v>151</v>
      </c>
      <c r="E1133" s="5">
        <v>41229</v>
      </c>
      <c r="F1133" s="5">
        <v>17603</v>
      </c>
      <c r="G1133" s="28" t="s">
        <v>1723</v>
      </c>
      <c r="H1133" s="6" t="s">
        <v>1137</v>
      </c>
      <c r="J1133" s="5" t="s">
        <v>1744</v>
      </c>
      <c r="K1133" s="27">
        <v>2.5657627999999999</v>
      </c>
      <c r="L1133" s="27">
        <v>-19.400416800000002</v>
      </c>
      <c r="R1133" s="27">
        <v>14.745489094420925</v>
      </c>
      <c r="S1133" s="27">
        <v>2.7800809287072572</v>
      </c>
      <c r="V1133" s="32" t="s">
        <v>3417</v>
      </c>
      <c r="W1133" s="32">
        <v>5</v>
      </c>
      <c r="X1133" s="33" t="s">
        <v>3635</v>
      </c>
      <c r="Y1133" s="32">
        <v>15802</v>
      </c>
      <c r="AA1133" s="32">
        <v>30.13</v>
      </c>
      <c r="AB1133" s="32">
        <v>-99.54</v>
      </c>
      <c r="AC1133" s="32">
        <v>1173</v>
      </c>
    </row>
    <row r="1134" spans="3:29" ht="19">
      <c r="C1134" s="22" t="s">
        <v>585</v>
      </c>
      <c r="D1134" s="22" t="s">
        <v>151</v>
      </c>
      <c r="E1134" s="5">
        <v>41229</v>
      </c>
      <c r="F1134" s="5">
        <v>17613</v>
      </c>
      <c r="G1134" s="28" t="s">
        <v>1723</v>
      </c>
      <c r="H1134" s="6" t="s">
        <v>1137</v>
      </c>
      <c r="J1134" s="5" t="s">
        <v>1744</v>
      </c>
      <c r="K1134" s="27">
        <v>4.194620200000001</v>
      </c>
      <c r="L1134" s="27">
        <v>-20.013938100000001</v>
      </c>
      <c r="R1134" s="27">
        <v>13.947156766384518</v>
      </c>
      <c r="S1134" s="27">
        <v>2.7787075333884808</v>
      </c>
      <c r="V1134" s="32" t="s">
        <v>3417</v>
      </c>
      <c r="W1134" s="32">
        <v>5</v>
      </c>
      <c r="X1134" s="33" t="s">
        <v>3517</v>
      </c>
      <c r="Y1134" s="32">
        <v>16038</v>
      </c>
      <c r="AA1134" s="32">
        <v>30.13</v>
      </c>
      <c r="AB1134" s="32">
        <v>-99.54</v>
      </c>
      <c r="AC1134" s="32">
        <v>1173</v>
      </c>
    </row>
    <row r="1135" spans="3:29" ht="19">
      <c r="C1135" s="22" t="s">
        <v>585</v>
      </c>
      <c r="D1135" s="22" t="s">
        <v>151</v>
      </c>
      <c r="E1135" s="5">
        <v>41229</v>
      </c>
      <c r="F1135" s="5">
        <v>17546</v>
      </c>
      <c r="G1135" s="28" t="s">
        <v>1723</v>
      </c>
      <c r="H1135" s="6" t="s">
        <v>1137</v>
      </c>
      <c r="J1135" s="5" t="s">
        <v>1744</v>
      </c>
      <c r="K1135" s="27">
        <v>3.721644</v>
      </c>
      <c r="L1135" s="27">
        <v>-22.078937999999997</v>
      </c>
      <c r="R1135" s="27">
        <v>13.846623489130288</v>
      </c>
      <c r="S1135" s="27">
        <v>2.7776863474630393</v>
      </c>
      <c r="T1135" s="5" t="s">
        <v>3653</v>
      </c>
      <c r="V1135" s="32" t="s">
        <v>3417</v>
      </c>
      <c r="W1135" s="32">
        <v>5</v>
      </c>
      <c r="X1135" s="33" t="s">
        <v>3527</v>
      </c>
      <c r="Y1135" s="32">
        <v>15448</v>
      </c>
      <c r="AA1135" s="32">
        <v>30.13</v>
      </c>
      <c r="AB1135" s="32">
        <v>-99.54</v>
      </c>
      <c r="AC1135" s="32">
        <v>1173</v>
      </c>
    </row>
    <row r="1136" spans="3:29" ht="19">
      <c r="C1136" s="22" t="s">
        <v>585</v>
      </c>
      <c r="D1136" s="22" t="s">
        <v>151</v>
      </c>
      <c r="E1136" s="5">
        <v>41229</v>
      </c>
      <c r="F1136" s="5">
        <v>10926</v>
      </c>
      <c r="G1136" s="28" t="s">
        <v>1723</v>
      </c>
      <c r="H1136" s="6" t="s">
        <v>1137</v>
      </c>
      <c r="J1136" s="5" t="s">
        <v>1744</v>
      </c>
      <c r="K1136" s="27">
        <v>5.0712904000000005</v>
      </c>
      <c r="L1136" s="27">
        <v>-16.3680536</v>
      </c>
      <c r="R1136" s="27">
        <v>14.881072446693047</v>
      </c>
      <c r="S1136" s="27">
        <v>2.7776845253082825</v>
      </c>
      <c r="V1136" s="32" t="s">
        <v>3417</v>
      </c>
      <c r="W1136" s="32">
        <v>5</v>
      </c>
      <c r="X1136" s="33" t="s">
        <v>3648</v>
      </c>
      <c r="Y1136" s="32">
        <v>20045</v>
      </c>
      <c r="AA1136" s="32">
        <v>30.13</v>
      </c>
      <c r="AB1136" s="32">
        <v>-99.54</v>
      </c>
      <c r="AC1136" s="32">
        <v>1173</v>
      </c>
    </row>
    <row r="1137" spans="3:29" ht="19">
      <c r="C1137" s="22" t="s">
        <v>585</v>
      </c>
      <c r="D1137" s="22" t="s">
        <v>151</v>
      </c>
      <c r="E1137" s="5">
        <v>41229</v>
      </c>
      <c r="F1137" s="5">
        <v>17670</v>
      </c>
      <c r="G1137" s="28" t="s">
        <v>1723</v>
      </c>
      <c r="H1137" s="6" t="s">
        <v>1137</v>
      </c>
      <c r="J1137" s="5" t="s">
        <v>1744</v>
      </c>
      <c r="K1137" s="27">
        <v>5.6505196</v>
      </c>
      <c r="L1137" s="27">
        <v>-20.278403700000002</v>
      </c>
      <c r="R1137" s="27">
        <v>15.213063263593718</v>
      </c>
      <c r="S1137" s="27">
        <v>2.7771485523540842</v>
      </c>
      <c r="V1137" s="32" t="s">
        <v>3417</v>
      </c>
      <c r="W1137" s="32">
        <v>5</v>
      </c>
      <c r="X1137" s="33" t="s">
        <v>3651</v>
      </c>
      <c r="Y1137" s="32">
        <v>17923</v>
      </c>
      <c r="AA1137" s="32">
        <v>30.13</v>
      </c>
      <c r="AB1137" s="32">
        <v>-99.54</v>
      </c>
      <c r="AC1137" s="32">
        <v>1173</v>
      </c>
    </row>
    <row r="1138" spans="3:29" ht="19">
      <c r="C1138" s="22" t="s">
        <v>585</v>
      </c>
      <c r="D1138" s="22" t="s">
        <v>151</v>
      </c>
      <c r="E1138" s="5">
        <v>41229</v>
      </c>
      <c r="F1138" s="5">
        <v>14000</v>
      </c>
      <c r="G1138" s="28" t="s">
        <v>1723</v>
      </c>
      <c r="H1138" s="6" t="s">
        <v>1137</v>
      </c>
      <c r="J1138" s="5" t="s">
        <v>1728</v>
      </c>
      <c r="K1138" s="27">
        <v>5.0176968000000004</v>
      </c>
      <c r="L1138" s="27">
        <v>-16.8102096</v>
      </c>
      <c r="R1138" s="27">
        <v>15.347075071471352</v>
      </c>
      <c r="S1138" s="27">
        <v>2.7722506508109701</v>
      </c>
      <c r="V1138" s="32" t="s">
        <v>3417</v>
      </c>
      <c r="W1138" s="32">
        <v>5</v>
      </c>
      <c r="X1138" s="33" t="s">
        <v>3640</v>
      </c>
      <c r="Y1138" s="32">
        <v>1787</v>
      </c>
      <c r="AA1138" s="32">
        <v>30.13</v>
      </c>
      <c r="AB1138" s="32">
        <v>-99.54</v>
      </c>
      <c r="AC1138" s="32">
        <v>1173</v>
      </c>
    </row>
    <row r="1139" spans="3:29" ht="19">
      <c r="C1139" s="22" t="s">
        <v>585</v>
      </c>
      <c r="D1139" s="22" t="s">
        <v>151</v>
      </c>
      <c r="E1139" s="5">
        <v>41229</v>
      </c>
      <c r="F1139" s="5">
        <v>5301</v>
      </c>
      <c r="G1139" s="28" t="s">
        <v>1723</v>
      </c>
      <c r="H1139" s="6" t="s">
        <v>1137</v>
      </c>
      <c r="J1139" s="5" t="s">
        <v>1728</v>
      </c>
      <c r="K1139" s="27">
        <v>5.4205871999999999</v>
      </c>
      <c r="L1139" s="27">
        <v>-17.9983602</v>
      </c>
      <c r="R1139" s="27">
        <v>15.173170967850796</v>
      </c>
      <c r="S1139" s="27">
        <v>2.7704614479276892</v>
      </c>
      <c r="V1139" s="32" t="s">
        <v>3417</v>
      </c>
      <c r="W1139" s="32">
        <v>5</v>
      </c>
      <c r="X1139" s="33" t="s">
        <v>3654</v>
      </c>
      <c r="Y1139" s="32">
        <v>3104</v>
      </c>
      <c r="AA1139" s="32">
        <v>30.13</v>
      </c>
      <c r="AB1139" s="32">
        <v>-99.54</v>
      </c>
      <c r="AC1139" s="32">
        <v>1173</v>
      </c>
    </row>
    <row r="1140" spans="3:29" ht="19">
      <c r="C1140" s="22" t="s">
        <v>585</v>
      </c>
      <c r="D1140" s="22" t="s">
        <v>151</v>
      </c>
      <c r="E1140" s="5">
        <v>41229</v>
      </c>
      <c r="F1140" s="5">
        <v>7405</v>
      </c>
      <c r="G1140" s="28" t="s">
        <v>1723</v>
      </c>
      <c r="H1140" s="6" t="s">
        <v>1137</v>
      </c>
      <c r="J1140" s="5" t="s">
        <v>1728</v>
      </c>
      <c r="K1140" s="27">
        <v>4.4042046000000008</v>
      </c>
      <c r="L1140" s="27">
        <v>-12.8062782</v>
      </c>
      <c r="R1140" s="27">
        <v>15.466088308790814</v>
      </c>
      <c r="S1140" s="27">
        <v>2.7681926330322999</v>
      </c>
      <c r="V1140" s="32" t="s">
        <v>3417</v>
      </c>
      <c r="W1140" s="32">
        <v>5</v>
      </c>
      <c r="X1140" s="33" t="s">
        <v>3640</v>
      </c>
      <c r="Y1140" s="32">
        <v>1787</v>
      </c>
      <c r="AA1140" s="32">
        <v>30.13</v>
      </c>
      <c r="AB1140" s="32">
        <v>-99.54</v>
      </c>
      <c r="AC1140" s="32">
        <v>1173</v>
      </c>
    </row>
    <row r="1141" spans="3:29" ht="19">
      <c r="C1141" s="22" t="s">
        <v>585</v>
      </c>
      <c r="D1141" s="22" t="s">
        <v>151</v>
      </c>
      <c r="E1141" s="5">
        <v>41229</v>
      </c>
      <c r="F1141" s="5">
        <v>4841</v>
      </c>
      <c r="G1141" s="28" t="s">
        <v>1723</v>
      </c>
      <c r="H1141" s="6" t="s">
        <v>1137</v>
      </c>
      <c r="J1141" s="5" t="s">
        <v>1728</v>
      </c>
      <c r="K1141" s="27">
        <v>4.9706767000000003</v>
      </c>
      <c r="L1141" s="27">
        <v>-13.845973099999998</v>
      </c>
      <c r="R1141" s="27">
        <v>15.686127113868517</v>
      </c>
      <c r="S1141" s="27">
        <v>2.7636884127180514</v>
      </c>
      <c r="V1141" s="32" t="s">
        <v>3417</v>
      </c>
      <c r="W1141" s="32">
        <v>5</v>
      </c>
      <c r="X1141" s="33" t="s">
        <v>3640</v>
      </c>
      <c r="Y1141" s="32">
        <v>1787</v>
      </c>
      <c r="AA1141" s="32">
        <v>30.13</v>
      </c>
      <c r="AB1141" s="32">
        <v>-99.54</v>
      </c>
      <c r="AC1141" s="32">
        <v>1173</v>
      </c>
    </row>
    <row r="1142" spans="3:29" ht="19">
      <c r="C1142" s="22" t="s">
        <v>585</v>
      </c>
      <c r="D1142" s="22" t="s">
        <v>151</v>
      </c>
      <c r="E1142" s="5">
        <v>41229</v>
      </c>
      <c r="F1142" s="5">
        <v>17552</v>
      </c>
      <c r="G1142" s="28" t="s">
        <v>1723</v>
      </c>
      <c r="H1142" s="6" t="s">
        <v>1137</v>
      </c>
      <c r="J1142" s="5" t="s">
        <v>1744</v>
      </c>
      <c r="K1142" s="27">
        <v>4.3984998000000006</v>
      </c>
      <c r="L1142" s="27">
        <v>-18.212719800000002</v>
      </c>
      <c r="R1142" s="27">
        <v>15.24556185112594</v>
      </c>
      <c r="S1142" s="27">
        <v>2.7581526034710775</v>
      </c>
      <c r="V1142" s="32" t="s">
        <v>3417</v>
      </c>
      <c r="W1142" s="32">
        <v>5</v>
      </c>
      <c r="X1142" s="33" t="s">
        <v>3527</v>
      </c>
      <c r="Y1142" s="32">
        <v>15448</v>
      </c>
      <c r="AA1142" s="32">
        <v>30.13</v>
      </c>
      <c r="AB1142" s="32">
        <v>-99.54</v>
      </c>
      <c r="AC1142" s="32">
        <v>1173</v>
      </c>
    </row>
    <row r="1143" spans="3:29" ht="19">
      <c r="C1143" s="22" t="s">
        <v>585</v>
      </c>
      <c r="D1143" s="22" t="s">
        <v>151</v>
      </c>
      <c r="E1143" s="5">
        <v>41229</v>
      </c>
      <c r="F1143" s="5">
        <v>17698</v>
      </c>
      <c r="G1143" s="28" t="s">
        <v>1723</v>
      </c>
      <c r="H1143" s="6" t="s">
        <v>1137</v>
      </c>
      <c r="J1143" s="5" t="s">
        <v>1744</v>
      </c>
      <c r="K1143" s="27">
        <v>4.9668127999999996</v>
      </c>
      <c r="L1143" s="27">
        <v>-17.4352828</v>
      </c>
      <c r="R1143" s="27">
        <v>14.820785060863814</v>
      </c>
      <c r="S1143" s="27">
        <v>2.728216112016324</v>
      </c>
      <c r="V1143" s="32" t="s">
        <v>3417</v>
      </c>
      <c r="W1143" s="32">
        <v>5</v>
      </c>
      <c r="X1143" s="33" t="s">
        <v>3541</v>
      </c>
      <c r="Y1143" s="32">
        <v>21224</v>
      </c>
      <c r="AA1143" s="32">
        <v>30.13</v>
      </c>
      <c r="AB1143" s="32">
        <v>-99.54</v>
      </c>
      <c r="AC1143" s="32">
        <v>1173</v>
      </c>
    </row>
    <row r="1144" spans="3:29" ht="19">
      <c r="C1144" s="22" t="s">
        <v>585</v>
      </c>
      <c r="D1144" s="22" t="s">
        <v>151</v>
      </c>
      <c r="E1144" s="5">
        <v>40450</v>
      </c>
      <c r="F1144" s="5">
        <v>125</v>
      </c>
      <c r="G1144" s="28" t="s">
        <v>1723</v>
      </c>
      <c r="H1144" s="6" t="s">
        <v>1783</v>
      </c>
      <c r="J1144" s="5" t="s">
        <v>1744</v>
      </c>
      <c r="O1144" s="27">
        <v>-10.2731555</v>
      </c>
      <c r="P1144" s="5">
        <v>29.886341039999998</v>
      </c>
      <c r="V1144" s="32">
        <v>43647</v>
      </c>
      <c r="X1144" s="33" t="s">
        <v>3599</v>
      </c>
      <c r="AA1144" s="32">
        <v>29.88</v>
      </c>
      <c r="AB1144" s="32">
        <v>-98.62</v>
      </c>
      <c r="AC1144" s="32">
        <v>1173</v>
      </c>
    </row>
    <row r="1145" spans="3:29">
      <c r="C1145" s="22" t="s">
        <v>585</v>
      </c>
      <c r="D1145" s="22" t="s">
        <v>151</v>
      </c>
      <c r="E1145" s="5">
        <v>43133</v>
      </c>
      <c r="F1145" s="5">
        <v>829</v>
      </c>
      <c r="G1145" s="28" t="s">
        <v>1723</v>
      </c>
      <c r="H1145" s="6" t="s">
        <v>1821</v>
      </c>
      <c r="J1145" s="5" t="s">
        <v>1728</v>
      </c>
      <c r="K1145" s="27">
        <v>3.9324056000000005</v>
      </c>
      <c r="L1145" s="27">
        <v>-16.977962320000003</v>
      </c>
      <c r="R1145" s="27">
        <v>14.237350589784461</v>
      </c>
      <c r="S1145" s="27">
        <v>2.9019578520982279</v>
      </c>
      <c r="V1145" s="32">
        <v>43709</v>
      </c>
      <c r="W1145" s="32">
        <v>6</v>
      </c>
      <c r="AA1145" s="32">
        <v>29.76</v>
      </c>
      <c r="AB1145" s="32">
        <v>-98.77</v>
      </c>
      <c r="AC1145" s="32">
        <v>1173</v>
      </c>
    </row>
    <row r="1146" spans="3:29">
      <c r="C1146" s="22" t="s">
        <v>585</v>
      </c>
      <c r="D1146" s="22" t="s">
        <v>151</v>
      </c>
      <c r="E1146" s="5">
        <v>43133</v>
      </c>
      <c r="F1146" s="5">
        <v>830</v>
      </c>
      <c r="G1146" s="28" t="s">
        <v>1723</v>
      </c>
      <c r="H1146" s="6" t="s">
        <v>1821</v>
      </c>
      <c r="J1146" s="5" t="s">
        <v>1728</v>
      </c>
      <c r="K1146" s="27">
        <v>3.5449628000000004</v>
      </c>
      <c r="L1146" s="27">
        <v>-18.52738008</v>
      </c>
      <c r="R1146" s="27">
        <v>14.143488617850428</v>
      </c>
      <c r="S1146" s="27">
        <v>2.8609821213516962</v>
      </c>
      <c r="V1146" s="32">
        <v>43709</v>
      </c>
      <c r="W1146" s="32">
        <v>6</v>
      </c>
      <c r="AA1146" s="32">
        <v>29.76</v>
      </c>
      <c r="AB1146" s="32">
        <v>-98.77</v>
      </c>
      <c r="AC1146" s="32">
        <v>1173</v>
      </c>
    </row>
    <row r="1147" spans="3:29">
      <c r="C1147" s="22" t="s">
        <v>585</v>
      </c>
      <c r="D1147" s="22" t="s">
        <v>151</v>
      </c>
      <c r="E1147" s="5">
        <v>43133</v>
      </c>
      <c r="F1147" s="5">
        <v>828</v>
      </c>
      <c r="G1147" s="28" t="s">
        <v>1723</v>
      </c>
      <c r="H1147" s="6" t="s">
        <v>1821</v>
      </c>
      <c r="J1147" s="5" t="s">
        <v>1728</v>
      </c>
      <c r="K1147" s="27">
        <v>3.9313940000000005</v>
      </c>
      <c r="L1147" s="27">
        <v>-16.79001577</v>
      </c>
      <c r="R1147" s="27">
        <v>15.43914764315268</v>
      </c>
      <c r="S1147" s="27">
        <v>2.7888654148000689</v>
      </c>
      <c r="V1147" s="32">
        <v>43709</v>
      </c>
      <c r="W1147" s="32">
        <v>6</v>
      </c>
      <c r="AA1147" s="32">
        <v>29.76</v>
      </c>
      <c r="AB1147" s="32">
        <v>-98.77</v>
      </c>
      <c r="AC1147" s="32">
        <v>1173</v>
      </c>
    </row>
    <row r="1148" spans="3:29" ht="19">
      <c r="C1148" s="22" t="s">
        <v>247</v>
      </c>
      <c r="D1148" s="22" t="s">
        <v>248</v>
      </c>
      <c r="E1148" s="5">
        <v>804</v>
      </c>
      <c r="F1148" s="5">
        <v>84</v>
      </c>
      <c r="G1148" s="28" t="s">
        <v>1723</v>
      </c>
      <c r="H1148" s="6" t="s">
        <v>1209</v>
      </c>
      <c r="J1148" s="5" t="s">
        <v>104</v>
      </c>
      <c r="L1148" s="27">
        <v>-18.2</v>
      </c>
      <c r="O1148" s="27">
        <v>-11.382416666666666</v>
      </c>
      <c r="Q1148" s="27">
        <v>-6.7991879622452416</v>
      </c>
      <c r="V1148" s="32">
        <v>43405</v>
      </c>
      <c r="W1148" s="32">
        <v>3</v>
      </c>
      <c r="X1148" s="33" t="s">
        <v>3577</v>
      </c>
      <c r="AA1148" s="32">
        <v>29.5</v>
      </c>
      <c r="AB1148" s="32">
        <v>-100</v>
      </c>
      <c r="AC1148" s="32">
        <v>275000</v>
      </c>
    </row>
    <row r="1149" spans="3:29">
      <c r="C1149" s="22" t="s">
        <v>247</v>
      </c>
      <c r="D1149" s="22" t="s">
        <v>248</v>
      </c>
      <c r="E1149" s="5">
        <v>933</v>
      </c>
      <c r="F1149" s="5">
        <v>973</v>
      </c>
      <c r="G1149" s="28" t="s">
        <v>1723</v>
      </c>
      <c r="H1149" s="6" t="s">
        <v>249</v>
      </c>
      <c r="J1149" s="5" t="s">
        <v>104</v>
      </c>
      <c r="L1149" s="27">
        <v>-17.3</v>
      </c>
      <c r="O1149" s="27">
        <v>-10.479066666666666</v>
      </c>
      <c r="Q1149" s="27">
        <v>-6.0215371414244601</v>
      </c>
      <c r="V1149" s="32">
        <v>43405</v>
      </c>
      <c r="W1149" s="32">
        <v>4</v>
      </c>
      <c r="AA1149" s="32">
        <v>29.62</v>
      </c>
      <c r="AB1149" s="32">
        <v>-98.37</v>
      </c>
      <c r="AC1149" s="32">
        <v>275000</v>
      </c>
    </row>
    <row r="1150" spans="3:29" ht="19">
      <c r="C1150" s="22" t="s">
        <v>247</v>
      </c>
      <c r="D1150" s="22" t="s">
        <v>248</v>
      </c>
      <c r="E1150" s="5">
        <v>30967</v>
      </c>
      <c r="F1150" s="5">
        <v>176</v>
      </c>
      <c r="G1150" s="28" t="s">
        <v>1723</v>
      </c>
      <c r="H1150" s="6" t="s">
        <v>110</v>
      </c>
      <c r="J1150" s="5" t="s">
        <v>104</v>
      </c>
      <c r="L1150" s="27">
        <v>-18.399999999999999</v>
      </c>
      <c r="O1150" s="27">
        <v>-11.6</v>
      </c>
      <c r="P1150" s="5">
        <v>29.4</v>
      </c>
      <c r="Q1150" s="27">
        <v>-1.4159999999999999</v>
      </c>
      <c r="S1150" s="27">
        <v>0</v>
      </c>
      <c r="V1150" s="32" t="s">
        <v>3415</v>
      </c>
      <c r="X1150" s="33" t="s">
        <v>3421</v>
      </c>
      <c r="Y1150" s="32">
        <v>50000</v>
      </c>
      <c r="AA1150" s="32">
        <v>27.87</v>
      </c>
      <c r="AB1150" s="32">
        <v>-97.2</v>
      </c>
      <c r="AC1150" s="32">
        <v>275000</v>
      </c>
    </row>
    <row r="1151" spans="3:29" ht="19">
      <c r="C1151" s="22" t="s">
        <v>247</v>
      </c>
      <c r="D1151" s="22" t="s">
        <v>248</v>
      </c>
      <c r="E1151" s="5">
        <v>30967</v>
      </c>
      <c r="F1151" s="5">
        <v>222</v>
      </c>
      <c r="G1151" s="28" t="s">
        <v>1723</v>
      </c>
      <c r="H1151" s="6" t="s">
        <v>110</v>
      </c>
      <c r="J1151" s="5" t="s">
        <v>104</v>
      </c>
      <c r="L1151" s="27">
        <v>-18.100000000000001</v>
      </c>
      <c r="O1151" s="27">
        <v>-11.3</v>
      </c>
      <c r="P1151" s="5">
        <v>30.6</v>
      </c>
      <c r="Q1151" s="27">
        <v>-0.252</v>
      </c>
      <c r="S1151" s="27">
        <v>0</v>
      </c>
      <c r="V1151" s="32" t="s">
        <v>3415</v>
      </c>
      <c r="X1151" s="33" t="s">
        <v>3508</v>
      </c>
      <c r="Y1151" s="32">
        <v>50000</v>
      </c>
      <c r="AA1151" s="32">
        <v>27.87</v>
      </c>
      <c r="AB1151" s="32">
        <v>-97.2</v>
      </c>
      <c r="AC1151" s="32">
        <v>275000</v>
      </c>
    </row>
    <row r="1152" spans="3:29" ht="19">
      <c r="C1152" s="22" t="s">
        <v>247</v>
      </c>
      <c r="D1152" s="22" t="s">
        <v>248</v>
      </c>
      <c r="E1152" s="5">
        <v>30967</v>
      </c>
      <c r="F1152" s="5">
        <v>281</v>
      </c>
      <c r="G1152" s="28" t="s">
        <v>1723</v>
      </c>
      <c r="H1152" s="6" t="s">
        <v>110</v>
      </c>
      <c r="J1152" s="5" t="s">
        <v>104</v>
      </c>
      <c r="L1152" s="27">
        <v>-17.399999999999999</v>
      </c>
      <c r="O1152" s="27">
        <v>-10.6</v>
      </c>
      <c r="P1152" s="5">
        <v>30.1</v>
      </c>
      <c r="Q1152" s="27">
        <v>-0.73699999999999999</v>
      </c>
      <c r="S1152" s="27">
        <v>0</v>
      </c>
      <c r="V1152" s="32" t="s">
        <v>3415</v>
      </c>
      <c r="X1152" s="33" t="s">
        <v>3155</v>
      </c>
      <c r="Y1152" s="32">
        <v>50000</v>
      </c>
      <c r="AA1152" s="32">
        <v>27.87</v>
      </c>
      <c r="AB1152" s="32">
        <v>-97.2</v>
      </c>
      <c r="AC1152" s="32">
        <v>275000</v>
      </c>
    </row>
    <row r="1153" spans="1:31" ht="19">
      <c r="C1153" s="22" t="s">
        <v>247</v>
      </c>
      <c r="D1153" s="22" t="s">
        <v>248</v>
      </c>
      <c r="E1153" s="5">
        <v>30967</v>
      </c>
      <c r="F1153" s="5">
        <v>74</v>
      </c>
      <c r="G1153" s="28" t="s">
        <v>1723</v>
      </c>
      <c r="H1153" s="6" t="s">
        <v>110</v>
      </c>
      <c r="J1153" s="5" t="s">
        <v>104</v>
      </c>
      <c r="L1153" s="27">
        <v>-19.100000000000001</v>
      </c>
      <c r="O1153" s="27">
        <v>-12.3</v>
      </c>
      <c r="P1153" s="5">
        <v>31.3</v>
      </c>
      <c r="Q1153" s="27">
        <v>0.42699999999999999</v>
      </c>
      <c r="S1153" s="27">
        <v>0</v>
      </c>
      <c r="V1153" s="32" t="s">
        <v>3415</v>
      </c>
      <c r="X1153" s="33" t="s">
        <v>3424</v>
      </c>
      <c r="Y1153" s="32">
        <v>50000</v>
      </c>
      <c r="AA1153" s="32">
        <v>27.87</v>
      </c>
      <c r="AB1153" s="32">
        <v>-97.2</v>
      </c>
      <c r="AC1153" s="32">
        <v>275000</v>
      </c>
    </row>
    <row r="1154" spans="1:31" ht="19">
      <c r="C1154" s="22" t="s">
        <v>247</v>
      </c>
      <c r="D1154" s="22" t="s">
        <v>248</v>
      </c>
      <c r="E1154" s="5">
        <v>30967</v>
      </c>
      <c r="F1154" s="5">
        <v>89</v>
      </c>
      <c r="G1154" s="28" t="s">
        <v>1723</v>
      </c>
      <c r="H1154" s="6" t="s">
        <v>110</v>
      </c>
      <c r="J1154" s="5" t="s">
        <v>104</v>
      </c>
      <c r="L1154" s="27">
        <v>-18.5</v>
      </c>
      <c r="O1154" s="27">
        <v>-11.7</v>
      </c>
      <c r="P1154" s="5">
        <v>30</v>
      </c>
      <c r="Q1154" s="27">
        <v>-0.83399999999999996</v>
      </c>
      <c r="S1154" s="27">
        <v>0</v>
      </c>
      <c r="V1154" s="32" t="s">
        <v>3415</v>
      </c>
      <c r="X1154" s="33" t="s">
        <v>3421</v>
      </c>
      <c r="Y1154" s="32">
        <v>50000</v>
      </c>
      <c r="AA1154" s="32">
        <v>27.87</v>
      </c>
      <c r="AB1154" s="32">
        <v>-97.2</v>
      </c>
      <c r="AC1154" s="32">
        <v>275000</v>
      </c>
    </row>
    <row r="1155" spans="1:31" ht="57">
      <c r="C1155" s="22" t="s">
        <v>1304</v>
      </c>
      <c r="D1155" s="22" t="s">
        <v>549</v>
      </c>
      <c r="E1155" s="5">
        <v>1295</v>
      </c>
      <c r="F1155" s="5">
        <v>13</v>
      </c>
      <c r="G1155" s="28" t="s">
        <v>1847</v>
      </c>
      <c r="H1155" s="6" t="s">
        <v>1171</v>
      </c>
      <c r="J1155" s="5" t="s">
        <v>104</v>
      </c>
      <c r="K1155" s="27">
        <v>1.6</v>
      </c>
      <c r="L1155" s="27">
        <v>-23.9</v>
      </c>
      <c r="R1155" s="27">
        <v>5.4</v>
      </c>
      <c r="S1155" s="27">
        <v>3.3</v>
      </c>
      <c r="V1155" s="32" t="s">
        <v>3353</v>
      </c>
      <c r="W1155" s="32">
        <v>5</v>
      </c>
      <c r="X1155" s="33" t="s">
        <v>3655</v>
      </c>
      <c r="Y1155" s="32">
        <v>20000</v>
      </c>
      <c r="AA1155" s="32">
        <v>31.12</v>
      </c>
      <c r="AB1155" s="32">
        <v>-98.75</v>
      </c>
      <c r="AC1155" s="32">
        <v>7108</v>
      </c>
    </row>
    <row r="1156" spans="1:31" ht="48">
      <c r="C1156" s="22" t="s">
        <v>1304</v>
      </c>
      <c r="D1156" s="22" t="s">
        <v>549</v>
      </c>
      <c r="E1156" s="5">
        <v>908</v>
      </c>
      <c r="F1156" s="5">
        <v>3917</v>
      </c>
      <c r="G1156" s="28" t="s">
        <v>1847</v>
      </c>
      <c r="H1156" s="6" t="s">
        <v>250</v>
      </c>
      <c r="J1156" s="5" t="s">
        <v>225</v>
      </c>
      <c r="K1156" s="27">
        <v>12.8</v>
      </c>
      <c r="L1156" s="27">
        <v>-15.9</v>
      </c>
      <c r="R1156" s="27">
        <v>14.2</v>
      </c>
      <c r="S1156" s="27">
        <v>3.1</v>
      </c>
      <c r="V1156" s="32" t="s">
        <v>3353</v>
      </c>
      <c r="W1156" s="32">
        <v>4</v>
      </c>
      <c r="X1156" s="33" t="s">
        <v>3656</v>
      </c>
      <c r="Y1156" s="32">
        <v>2000</v>
      </c>
      <c r="Z1156" s="46" t="s">
        <v>3547</v>
      </c>
      <c r="AA1156" s="32">
        <v>29.37</v>
      </c>
      <c r="AB1156" s="32">
        <v>-99.47</v>
      </c>
      <c r="AC1156" s="32">
        <v>7108</v>
      </c>
    </row>
    <row r="1157" spans="1:31" ht="48">
      <c r="C1157" s="22" t="s">
        <v>1304</v>
      </c>
      <c r="D1157" s="22" t="s">
        <v>549</v>
      </c>
      <c r="E1157" s="5">
        <v>908</v>
      </c>
      <c r="F1157" s="5">
        <v>3898</v>
      </c>
      <c r="G1157" s="28" t="s">
        <v>1847</v>
      </c>
      <c r="H1157" s="6" t="s">
        <v>250</v>
      </c>
      <c r="J1157" s="5" t="s">
        <v>225</v>
      </c>
      <c r="K1157" s="27">
        <v>11.7</v>
      </c>
      <c r="L1157" s="27">
        <v>-10.9</v>
      </c>
      <c r="R1157" s="27">
        <v>14.5</v>
      </c>
      <c r="S1157" s="27">
        <v>3</v>
      </c>
      <c r="V1157" s="32" t="s">
        <v>3353</v>
      </c>
      <c r="W1157" s="32">
        <v>6</v>
      </c>
      <c r="X1157" s="33" t="s">
        <v>3657</v>
      </c>
      <c r="Y1157" s="32">
        <v>2000</v>
      </c>
      <c r="Z1157" s="46" t="s">
        <v>3547</v>
      </c>
      <c r="AA1157" s="32">
        <v>29.37</v>
      </c>
      <c r="AB1157" s="32">
        <v>-99.47</v>
      </c>
      <c r="AC1157" s="32">
        <v>7108</v>
      </c>
    </row>
    <row r="1158" spans="1:31" ht="38">
      <c r="C1158" s="22" t="s">
        <v>1304</v>
      </c>
      <c r="D1158" s="22" t="s">
        <v>549</v>
      </c>
      <c r="E1158" s="5">
        <v>908</v>
      </c>
      <c r="F1158" s="5">
        <v>3278</v>
      </c>
      <c r="G1158" s="28" t="s">
        <v>1847</v>
      </c>
      <c r="H1158" s="6" t="s">
        <v>250</v>
      </c>
      <c r="J1158" s="5" t="s">
        <v>225</v>
      </c>
      <c r="K1158" s="27">
        <v>9</v>
      </c>
      <c r="L1158" s="27">
        <v>-17</v>
      </c>
      <c r="R1158" s="27">
        <v>15.8</v>
      </c>
      <c r="S1158" s="27">
        <v>2.9</v>
      </c>
      <c r="V1158" s="32" t="s">
        <v>3353</v>
      </c>
      <c r="W1158" s="32">
        <v>4</v>
      </c>
      <c r="X1158" s="33" t="s">
        <v>3658</v>
      </c>
      <c r="Y1158" s="32">
        <v>1000</v>
      </c>
      <c r="AA1158" s="32">
        <v>29.37</v>
      </c>
      <c r="AB1158" s="32">
        <v>-99.47</v>
      </c>
      <c r="AC1158" s="32">
        <v>7108</v>
      </c>
    </row>
    <row r="1159" spans="1:31" ht="38">
      <c r="C1159" s="22" t="s">
        <v>1304</v>
      </c>
      <c r="D1159" s="22" t="s">
        <v>549</v>
      </c>
      <c r="E1159" s="5">
        <v>908</v>
      </c>
      <c r="F1159" s="5">
        <v>3337</v>
      </c>
      <c r="G1159" s="28" t="s">
        <v>1847</v>
      </c>
      <c r="H1159" s="6" t="s">
        <v>250</v>
      </c>
      <c r="J1159" s="5" t="s">
        <v>225</v>
      </c>
      <c r="K1159" s="27">
        <v>9.1</v>
      </c>
      <c r="L1159" s="27">
        <v>-15.8</v>
      </c>
      <c r="R1159" s="27">
        <v>14.8</v>
      </c>
      <c r="S1159" s="27">
        <v>2.9</v>
      </c>
      <c r="V1159" s="32" t="s">
        <v>3353</v>
      </c>
      <c r="W1159" s="32">
        <v>4</v>
      </c>
      <c r="X1159" s="33" t="s">
        <v>3659</v>
      </c>
      <c r="Y1159" s="32">
        <v>3500</v>
      </c>
      <c r="AA1159" s="32">
        <v>29.37</v>
      </c>
      <c r="AB1159" s="32">
        <v>-99.47</v>
      </c>
      <c r="AC1159" s="32">
        <v>7108</v>
      </c>
    </row>
    <row r="1160" spans="1:31" ht="48">
      <c r="C1160" s="22" t="s">
        <v>1304</v>
      </c>
      <c r="D1160" s="22" t="s">
        <v>549</v>
      </c>
      <c r="E1160" s="5">
        <v>908</v>
      </c>
      <c r="F1160" s="5">
        <v>3899</v>
      </c>
      <c r="G1160" s="28" t="s">
        <v>1847</v>
      </c>
      <c r="H1160" s="6" t="s">
        <v>250</v>
      </c>
      <c r="J1160" s="5" t="s">
        <v>225</v>
      </c>
      <c r="K1160" s="27">
        <v>11.9</v>
      </c>
      <c r="L1160" s="27">
        <v>-15.2</v>
      </c>
      <c r="R1160" s="27">
        <v>15.9</v>
      </c>
      <c r="S1160" s="27">
        <v>2.9</v>
      </c>
      <c r="V1160" s="32" t="s">
        <v>3353</v>
      </c>
      <c r="W1160" s="32">
        <v>4</v>
      </c>
      <c r="X1160" s="33" t="s">
        <v>3660</v>
      </c>
      <c r="Y1160" s="32">
        <v>2000</v>
      </c>
      <c r="Z1160" s="46" t="s">
        <v>3547</v>
      </c>
      <c r="AA1160" s="32">
        <v>29.37</v>
      </c>
      <c r="AB1160" s="32">
        <v>-99.47</v>
      </c>
      <c r="AC1160" s="32">
        <v>7108</v>
      </c>
    </row>
    <row r="1161" spans="1:31" ht="48">
      <c r="C1161" s="22" t="s">
        <v>1304</v>
      </c>
      <c r="D1161" s="22" t="s">
        <v>549</v>
      </c>
      <c r="E1161" s="5">
        <v>908</v>
      </c>
      <c r="F1161" s="5">
        <v>3901</v>
      </c>
      <c r="G1161" s="28" t="s">
        <v>1847</v>
      </c>
      <c r="H1161" s="6" t="s">
        <v>250</v>
      </c>
      <c r="J1161" s="5" t="s">
        <v>225</v>
      </c>
      <c r="K1161" s="27">
        <v>9.4</v>
      </c>
      <c r="L1161" s="27">
        <v>-15.4</v>
      </c>
      <c r="R1161" s="27">
        <v>15.6</v>
      </c>
      <c r="S1161" s="27">
        <v>2.8</v>
      </c>
      <c r="V1161" s="32" t="s">
        <v>3353</v>
      </c>
      <c r="W1161" s="32">
        <v>5</v>
      </c>
      <c r="X1161" s="33" t="s">
        <v>3661</v>
      </c>
      <c r="Y1161" s="32">
        <v>2000</v>
      </c>
      <c r="Z1161" s="46" t="s">
        <v>3547</v>
      </c>
      <c r="AA1161" s="32">
        <v>29.37</v>
      </c>
      <c r="AB1161" s="32">
        <v>-99.47</v>
      </c>
      <c r="AC1161" s="32">
        <v>7108</v>
      </c>
    </row>
    <row r="1162" spans="1:31" ht="48">
      <c r="C1162" s="22" t="s">
        <v>1304</v>
      </c>
      <c r="D1162" s="22" t="s">
        <v>549</v>
      </c>
      <c r="E1162" s="5">
        <v>908</v>
      </c>
      <c r="F1162" s="5">
        <v>3918</v>
      </c>
      <c r="G1162" s="28" t="s">
        <v>1847</v>
      </c>
      <c r="H1162" s="6" t="s">
        <v>250</v>
      </c>
      <c r="J1162" s="5" t="s">
        <v>225</v>
      </c>
      <c r="K1162" s="27">
        <v>10.5</v>
      </c>
      <c r="L1162" s="27">
        <v>-15.6</v>
      </c>
      <c r="R1162" s="27">
        <v>15.8</v>
      </c>
      <c r="S1162" s="27">
        <v>2.8</v>
      </c>
      <c r="V1162" s="32" t="s">
        <v>3353</v>
      </c>
      <c r="W1162" s="32">
        <v>4</v>
      </c>
      <c r="X1162" s="33" t="s">
        <v>3662</v>
      </c>
      <c r="Y1162" s="32">
        <v>2000</v>
      </c>
      <c r="Z1162" s="46" t="s">
        <v>3547</v>
      </c>
      <c r="AA1162" s="32">
        <v>29.37</v>
      </c>
      <c r="AB1162" s="32">
        <v>-99.47</v>
      </c>
      <c r="AC1162" s="32">
        <v>7108</v>
      </c>
    </row>
    <row r="1163" spans="1:31" ht="76">
      <c r="C1163" s="22" t="s">
        <v>1304</v>
      </c>
      <c r="D1163" s="22" t="s">
        <v>549</v>
      </c>
      <c r="E1163" s="5">
        <v>908</v>
      </c>
      <c r="F1163" s="5">
        <v>593</v>
      </c>
      <c r="G1163" s="28" t="s">
        <v>1847</v>
      </c>
      <c r="H1163" s="6" t="s">
        <v>250</v>
      </c>
      <c r="J1163" s="5" t="s">
        <v>225</v>
      </c>
      <c r="K1163" s="27">
        <v>9.8000000000000007</v>
      </c>
      <c r="L1163" s="27">
        <v>-13</v>
      </c>
      <c r="R1163" s="27">
        <v>15.6</v>
      </c>
      <c r="S1163" s="27">
        <v>2.8</v>
      </c>
      <c r="V1163" s="32" t="s">
        <v>3353</v>
      </c>
      <c r="W1163" s="32">
        <v>5</v>
      </c>
      <c r="X1163" s="33" t="s">
        <v>3663</v>
      </c>
      <c r="Z1163" s="31" t="s">
        <v>3664</v>
      </c>
      <c r="AA1163" s="32">
        <v>29.37</v>
      </c>
      <c r="AB1163" s="32">
        <v>-99.47</v>
      </c>
      <c r="AC1163" s="32">
        <v>7108</v>
      </c>
    </row>
    <row r="1164" spans="1:31" ht="19">
      <c r="C1164" s="22" t="s">
        <v>3665</v>
      </c>
      <c r="D1164" s="22" t="s">
        <v>3666</v>
      </c>
      <c r="E1164" s="5">
        <v>41229</v>
      </c>
      <c r="F1164" s="5">
        <v>10809</v>
      </c>
      <c r="G1164" s="28" t="s">
        <v>1723</v>
      </c>
      <c r="H1164" s="6" t="s">
        <v>1137</v>
      </c>
      <c r="J1164" s="5" t="s">
        <v>225</v>
      </c>
      <c r="K1164" s="27">
        <v>6.7706273999999995</v>
      </c>
      <c r="L1164" s="27">
        <v>-16.604779000000001</v>
      </c>
      <c r="R1164" s="27">
        <v>9.9470424695718886</v>
      </c>
      <c r="S1164" s="27">
        <v>2.9840784516035628</v>
      </c>
      <c r="V1164" s="32" t="s">
        <v>3346</v>
      </c>
      <c r="W1164" s="32">
        <v>4</v>
      </c>
      <c r="X1164" s="33" t="s">
        <v>3667</v>
      </c>
      <c r="Y1164" s="32">
        <v>1128</v>
      </c>
      <c r="AA1164" s="32">
        <v>30.13</v>
      </c>
      <c r="AB1164" s="32">
        <v>-99.54</v>
      </c>
      <c r="AC1164" s="32">
        <v>21267</v>
      </c>
    </row>
    <row r="1165" spans="1:31">
      <c r="A1165" s="47"/>
      <c r="B1165" s="47"/>
      <c r="C1165" s="48" t="s">
        <v>3665</v>
      </c>
      <c r="D1165" s="48" t="s">
        <v>495</v>
      </c>
      <c r="E1165" s="47">
        <v>40685</v>
      </c>
      <c r="F1165" s="47" t="s">
        <v>1824</v>
      </c>
      <c r="G1165" s="49" t="s">
        <v>1723</v>
      </c>
      <c r="H1165" s="50" t="s">
        <v>134</v>
      </c>
      <c r="I1165" s="50"/>
      <c r="J1165" s="47" t="s">
        <v>104</v>
      </c>
      <c r="K1165" s="51">
        <v>7</v>
      </c>
      <c r="L1165" s="51">
        <v>-15.8</v>
      </c>
      <c r="M1165" s="63"/>
      <c r="N1165" s="63"/>
      <c r="O1165" s="51"/>
      <c r="P1165" s="47"/>
      <c r="Q1165" s="51"/>
      <c r="R1165" s="51">
        <v>12.2</v>
      </c>
      <c r="S1165" s="51">
        <v>3.3</v>
      </c>
      <c r="T1165" s="47"/>
      <c r="U1165" s="34"/>
      <c r="V1165" s="52" t="s">
        <v>3349</v>
      </c>
      <c r="W1165" s="52">
        <v>5</v>
      </c>
      <c r="X1165" s="53"/>
      <c r="Y1165" s="52">
        <v>30000</v>
      </c>
      <c r="Z1165" s="54"/>
      <c r="AA1165" s="52">
        <v>30.75</v>
      </c>
      <c r="AB1165" s="52">
        <v>-99.25</v>
      </c>
      <c r="AC1165" s="52">
        <v>21267</v>
      </c>
    </row>
    <row r="1166" spans="1:31" ht="17.25" customHeight="1">
      <c r="C1166" s="22" t="s">
        <v>3665</v>
      </c>
      <c r="D1166" s="22" t="s">
        <v>495</v>
      </c>
      <c r="E1166" s="5">
        <v>40685</v>
      </c>
      <c r="F1166" s="5">
        <v>1</v>
      </c>
      <c r="G1166" s="28" t="s">
        <v>1723</v>
      </c>
      <c r="H1166" s="6" t="s">
        <v>134</v>
      </c>
      <c r="J1166" s="5" t="s">
        <v>104</v>
      </c>
      <c r="K1166" s="27">
        <v>7.3</v>
      </c>
      <c r="L1166" s="27">
        <v>-16.5</v>
      </c>
      <c r="R1166" s="27">
        <v>13.9</v>
      </c>
      <c r="S1166" s="27">
        <v>3</v>
      </c>
      <c r="V1166" s="32" t="s">
        <v>3349</v>
      </c>
      <c r="W1166" s="32">
        <v>5</v>
      </c>
      <c r="X1166" s="33" t="s">
        <v>292</v>
      </c>
      <c r="Y1166" s="32">
        <v>30000</v>
      </c>
      <c r="AA1166" s="32">
        <v>30.75</v>
      </c>
      <c r="AB1166" s="32">
        <v>-99.25</v>
      </c>
      <c r="AC1166" s="32">
        <v>21267</v>
      </c>
    </row>
    <row r="1167" spans="1:31" s="10" customFormat="1" ht="38">
      <c r="A1167" s="5"/>
      <c r="B1167" s="5"/>
      <c r="C1167" s="22" t="s">
        <v>1852</v>
      </c>
      <c r="D1167" s="22" t="s">
        <v>151</v>
      </c>
      <c r="E1167" s="5">
        <v>908</v>
      </c>
      <c r="F1167" s="5">
        <v>3622</v>
      </c>
      <c r="G1167" s="28" t="s">
        <v>1847</v>
      </c>
      <c r="H1167" s="6" t="s">
        <v>250</v>
      </c>
      <c r="I1167" s="6"/>
      <c r="J1167" s="5" t="s">
        <v>225</v>
      </c>
      <c r="K1167" s="27"/>
      <c r="L1167" s="27"/>
      <c r="M1167" s="56" t="s">
        <v>487</v>
      </c>
      <c r="N1167" s="56" t="s">
        <v>487</v>
      </c>
      <c r="O1167" s="27"/>
      <c r="P1167" s="5"/>
      <c r="Q1167" s="27"/>
      <c r="R1167" s="27" t="s">
        <v>463</v>
      </c>
      <c r="S1167" s="27">
        <v>100</v>
      </c>
      <c r="T1167" s="5"/>
      <c r="U1167" s="24"/>
      <c r="V1167" s="32" t="s">
        <v>3353</v>
      </c>
      <c r="W1167" s="32">
        <v>4</v>
      </c>
      <c r="X1167" s="33" t="s">
        <v>3350</v>
      </c>
      <c r="Y1167" s="32">
        <v>1000</v>
      </c>
      <c r="Z1167" s="31"/>
      <c r="AA1167" s="32">
        <v>29.37</v>
      </c>
      <c r="AB1167" s="32">
        <v>-99.47</v>
      </c>
      <c r="AC1167" s="32">
        <v>4132</v>
      </c>
      <c r="AD1167" s="24"/>
      <c r="AE1167" s="24"/>
    </row>
    <row r="1168" spans="1:31" ht="19">
      <c r="C1168" s="22" t="s">
        <v>1852</v>
      </c>
      <c r="D1168" s="22" t="s">
        <v>151</v>
      </c>
      <c r="E1168" s="5">
        <v>1295</v>
      </c>
      <c r="F1168" s="5">
        <v>8</v>
      </c>
      <c r="G1168" s="28" t="s">
        <v>1847</v>
      </c>
      <c r="H1168" s="6" t="s">
        <v>1171</v>
      </c>
      <c r="J1168" s="5" t="s">
        <v>104</v>
      </c>
      <c r="M1168" s="56" t="s">
        <v>487</v>
      </c>
      <c r="N1168" s="56" t="s">
        <v>487</v>
      </c>
      <c r="R1168" s="27">
        <v>2.5</v>
      </c>
      <c r="S1168" s="27">
        <v>6.2</v>
      </c>
      <c r="V1168" s="32" t="s">
        <v>3353</v>
      </c>
      <c r="W1168" s="32">
        <v>1</v>
      </c>
      <c r="X1168" s="33" t="s">
        <v>3560</v>
      </c>
      <c r="Y1168" s="32">
        <v>20000</v>
      </c>
      <c r="AA1168" s="32">
        <v>31.12</v>
      </c>
      <c r="AB1168" s="32">
        <v>-98.75</v>
      </c>
      <c r="AC1168" s="32">
        <v>4132</v>
      </c>
    </row>
    <row r="1169" spans="1:31">
      <c r="C1169" s="22" t="s">
        <v>1852</v>
      </c>
      <c r="D1169" s="22" t="s">
        <v>151</v>
      </c>
      <c r="E1169" s="5">
        <v>1295</v>
      </c>
      <c r="F1169" s="5">
        <v>2</v>
      </c>
      <c r="G1169" s="28" t="s">
        <v>1847</v>
      </c>
      <c r="H1169" s="6" t="s">
        <v>1171</v>
      </c>
      <c r="J1169" s="5" t="s">
        <v>104</v>
      </c>
      <c r="M1169" s="56" t="s">
        <v>487</v>
      </c>
      <c r="N1169" s="56" t="s">
        <v>487</v>
      </c>
      <c r="R1169" s="27">
        <v>3</v>
      </c>
      <c r="S1169" s="27">
        <v>6</v>
      </c>
      <c r="V1169" s="32" t="s">
        <v>3353</v>
      </c>
      <c r="W1169" s="32">
        <v>1</v>
      </c>
      <c r="Y1169" s="32">
        <v>20000</v>
      </c>
      <c r="AA1169" s="32">
        <v>31.12</v>
      </c>
      <c r="AB1169" s="32">
        <v>-98.75</v>
      </c>
      <c r="AC1169" s="32">
        <v>4132</v>
      </c>
    </row>
    <row r="1170" spans="1:31" ht="19">
      <c r="C1170" s="22" t="s">
        <v>1852</v>
      </c>
      <c r="D1170" s="22" t="s">
        <v>151</v>
      </c>
      <c r="E1170" s="5">
        <v>1295</v>
      </c>
      <c r="F1170" s="5">
        <v>9</v>
      </c>
      <c r="G1170" s="28" t="s">
        <v>1847</v>
      </c>
      <c r="H1170" s="6" t="s">
        <v>1171</v>
      </c>
      <c r="J1170" s="5" t="s">
        <v>104</v>
      </c>
      <c r="M1170" s="56">
        <v>3.2</v>
      </c>
      <c r="N1170" s="56">
        <v>-23.9</v>
      </c>
      <c r="R1170" s="27">
        <v>4.2</v>
      </c>
      <c r="S1170" s="27">
        <v>4.4000000000000004</v>
      </c>
      <c r="V1170" s="32" t="s">
        <v>3353</v>
      </c>
      <c r="W1170" s="32">
        <v>1</v>
      </c>
      <c r="X1170" s="33" t="s">
        <v>3560</v>
      </c>
      <c r="Y1170" s="32">
        <v>20000</v>
      </c>
      <c r="AA1170" s="32">
        <v>31.12</v>
      </c>
      <c r="AB1170" s="32">
        <v>-98.75</v>
      </c>
      <c r="AC1170" s="32">
        <v>4132</v>
      </c>
    </row>
    <row r="1171" spans="1:31" ht="19">
      <c r="C1171" s="22" t="s">
        <v>1852</v>
      </c>
      <c r="D1171" s="22" t="s">
        <v>151</v>
      </c>
      <c r="E1171" s="5">
        <v>41229</v>
      </c>
      <c r="F1171" s="5">
        <v>10867</v>
      </c>
      <c r="G1171" s="28" t="s">
        <v>1847</v>
      </c>
      <c r="H1171" s="6" t="s">
        <v>1137</v>
      </c>
      <c r="J1171" s="5" t="s">
        <v>225</v>
      </c>
      <c r="K1171" s="27">
        <v>11.7</v>
      </c>
      <c r="L1171" s="27">
        <v>-14.4</v>
      </c>
      <c r="R1171" s="27">
        <v>15.6</v>
      </c>
      <c r="S1171" s="27">
        <v>2.8</v>
      </c>
      <c r="V1171" s="32" t="s">
        <v>3353</v>
      </c>
      <c r="W1171" s="32">
        <v>1</v>
      </c>
      <c r="X1171" s="33" t="s">
        <v>3365</v>
      </c>
      <c r="Y1171" s="32">
        <v>10351</v>
      </c>
      <c r="AA1171" s="32">
        <v>30.13</v>
      </c>
      <c r="AB1171" s="32">
        <v>-99.54</v>
      </c>
      <c r="AC1171" s="32">
        <v>4132</v>
      </c>
      <c r="AD1171" s="30"/>
      <c r="AE1171" s="30"/>
    </row>
    <row r="1172" spans="1:31" ht="19">
      <c r="C1172" s="22" t="s">
        <v>1852</v>
      </c>
      <c r="D1172" s="22" t="s">
        <v>151</v>
      </c>
      <c r="E1172" s="5">
        <v>41229</v>
      </c>
      <c r="F1172" s="5">
        <v>719</v>
      </c>
      <c r="G1172" s="28" t="s">
        <v>1847</v>
      </c>
      <c r="H1172" s="6" t="s">
        <v>1137</v>
      </c>
      <c r="J1172" s="5" t="s">
        <v>225</v>
      </c>
      <c r="K1172" s="27">
        <v>8.8000000000000007</v>
      </c>
      <c r="L1172" s="27">
        <v>-19.2</v>
      </c>
      <c r="R1172" s="27">
        <v>15.6</v>
      </c>
      <c r="S1172" s="27">
        <v>2.8</v>
      </c>
      <c r="V1172" s="32" t="s">
        <v>3353</v>
      </c>
      <c r="W1172" s="32">
        <v>1</v>
      </c>
      <c r="X1172" s="33" t="s">
        <v>3480</v>
      </c>
      <c r="Y1172" s="32">
        <v>1128</v>
      </c>
      <c r="AA1172" s="32">
        <v>30.13</v>
      </c>
      <c r="AB1172" s="32">
        <v>-99.54</v>
      </c>
      <c r="AC1172" s="32">
        <v>4132</v>
      </c>
    </row>
    <row r="1173" spans="1:31" ht="19">
      <c r="C1173" s="22" t="s">
        <v>1852</v>
      </c>
      <c r="D1173" s="22" t="s">
        <v>151</v>
      </c>
      <c r="E1173" s="5">
        <v>41229</v>
      </c>
      <c r="F1173" s="5">
        <v>10469</v>
      </c>
      <c r="G1173" s="28" t="s">
        <v>1847</v>
      </c>
      <c r="H1173" s="6" t="s">
        <v>1137</v>
      </c>
      <c r="J1173" s="5" t="s">
        <v>104</v>
      </c>
      <c r="K1173" s="27">
        <v>9.9</v>
      </c>
      <c r="L1173" s="27">
        <v>-15.6</v>
      </c>
      <c r="R1173" s="27">
        <v>14.8</v>
      </c>
      <c r="S1173" s="27">
        <v>2.8</v>
      </c>
      <c r="V1173" s="32" t="s">
        <v>3353</v>
      </c>
      <c r="W1173" s="32">
        <v>1</v>
      </c>
      <c r="X1173" s="33" t="s">
        <v>3537</v>
      </c>
      <c r="Y1173" s="32">
        <v>11010</v>
      </c>
      <c r="AA1173" s="32">
        <v>30.13</v>
      </c>
      <c r="AB1173" s="32">
        <v>-99.54</v>
      </c>
      <c r="AC1173" s="32">
        <v>4132</v>
      </c>
    </row>
    <row r="1174" spans="1:31" ht="19">
      <c r="C1174" s="22" t="s">
        <v>1852</v>
      </c>
      <c r="D1174" s="22" t="s">
        <v>151</v>
      </c>
      <c r="E1174" s="5">
        <v>41229</v>
      </c>
      <c r="F1174" s="5">
        <v>12071</v>
      </c>
      <c r="G1174" s="28" t="s">
        <v>1847</v>
      </c>
      <c r="H1174" s="6" t="s">
        <v>1137</v>
      </c>
      <c r="J1174" s="5" t="s">
        <v>104</v>
      </c>
      <c r="K1174" s="27">
        <v>10.3</v>
      </c>
      <c r="L1174" s="27">
        <v>-16.100000000000001</v>
      </c>
      <c r="R1174" s="27">
        <v>15.4</v>
      </c>
      <c r="S1174" s="27">
        <v>2.8</v>
      </c>
      <c r="V1174" s="32" t="s">
        <v>3353</v>
      </c>
      <c r="W1174" s="32">
        <v>1</v>
      </c>
      <c r="X1174" s="33" t="s">
        <v>3537</v>
      </c>
      <c r="Y1174" s="32">
        <v>11010</v>
      </c>
      <c r="AA1174" s="32">
        <v>30.13</v>
      </c>
      <c r="AB1174" s="32">
        <v>-99.54</v>
      </c>
      <c r="AC1174" s="32">
        <v>4132</v>
      </c>
    </row>
    <row r="1175" spans="1:31" ht="19">
      <c r="C1175" s="22" t="s">
        <v>1852</v>
      </c>
      <c r="D1175" s="22" t="s">
        <v>151</v>
      </c>
      <c r="E1175" s="5">
        <v>41229</v>
      </c>
      <c r="F1175" s="5">
        <v>10278</v>
      </c>
      <c r="G1175" s="28" t="s">
        <v>1847</v>
      </c>
      <c r="H1175" s="6" t="s">
        <v>1137</v>
      </c>
      <c r="J1175" s="5" t="s">
        <v>104</v>
      </c>
      <c r="K1175" s="27">
        <v>9.1</v>
      </c>
      <c r="L1175" s="27">
        <v>-16</v>
      </c>
      <c r="R1175" s="27">
        <v>13.3</v>
      </c>
      <c r="S1175" s="27">
        <v>2.7</v>
      </c>
      <c r="V1175" s="32" t="s">
        <v>3353</v>
      </c>
      <c r="W1175" s="32">
        <v>1</v>
      </c>
      <c r="X1175" s="33" t="s">
        <v>3668</v>
      </c>
      <c r="Y1175" s="32">
        <v>16509</v>
      </c>
      <c r="AA1175" s="32">
        <v>30.13</v>
      </c>
      <c r="AB1175" s="32">
        <v>-99.54</v>
      </c>
      <c r="AC1175" s="32">
        <v>4132</v>
      </c>
    </row>
    <row r="1176" spans="1:31" ht="19">
      <c r="C1176" s="22" t="s">
        <v>1852</v>
      </c>
      <c r="D1176" s="22" t="s">
        <v>151</v>
      </c>
      <c r="E1176" s="5">
        <v>41229</v>
      </c>
      <c r="F1176" s="5">
        <v>9826</v>
      </c>
      <c r="G1176" s="28" t="s">
        <v>1847</v>
      </c>
      <c r="H1176" s="6" t="s">
        <v>1137</v>
      </c>
      <c r="J1176" s="5" t="s">
        <v>104</v>
      </c>
      <c r="K1176" s="27">
        <v>6.8</v>
      </c>
      <c r="L1176" s="27">
        <v>-18.8</v>
      </c>
      <c r="R1176" s="27">
        <v>16.2</v>
      </c>
      <c r="S1176" s="27">
        <v>2.7</v>
      </c>
      <c r="V1176" s="32" t="s">
        <v>3353</v>
      </c>
      <c r="W1176" s="32">
        <v>1</v>
      </c>
      <c r="X1176" s="33" t="s">
        <v>3488</v>
      </c>
      <c r="Y1176" s="32">
        <v>13645</v>
      </c>
      <c r="AA1176" s="32">
        <v>30.13</v>
      </c>
      <c r="AB1176" s="32">
        <v>-99.54</v>
      </c>
      <c r="AC1176" s="32">
        <v>4132</v>
      </c>
    </row>
    <row r="1177" spans="1:31">
      <c r="A1177" s="28"/>
      <c r="B1177" s="28"/>
      <c r="C1177" s="29" t="s">
        <v>1852</v>
      </c>
      <c r="D1177" s="29" t="s">
        <v>151</v>
      </c>
      <c r="E1177" s="28">
        <v>40449</v>
      </c>
      <c r="F1177" s="28">
        <v>258</v>
      </c>
      <c r="G1177" s="28" t="s">
        <v>1851</v>
      </c>
      <c r="H1177" s="41" t="s">
        <v>1814</v>
      </c>
      <c r="I1177" s="41"/>
      <c r="J1177" s="28" t="s">
        <v>225</v>
      </c>
      <c r="K1177" s="42" t="s">
        <v>487</v>
      </c>
      <c r="L1177" s="42" t="s">
        <v>487</v>
      </c>
      <c r="O1177" s="42"/>
      <c r="P1177" s="28"/>
      <c r="Q1177" s="42"/>
      <c r="R1177" s="42">
        <v>0.8229843738001088</v>
      </c>
      <c r="S1177" s="42">
        <v>2.7057647253649724</v>
      </c>
      <c r="T1177" s="28" t="s">
        <v>3489</v>
      </c>
      <c r="U1177" s="30"/>
      <c r="V1177" s="32" t="s">
        <v>3417</v>
      </c>
      <c r="W1177" s="32">
        <v>4</v>
      </c>
      <c r="Y1177" s="32" t="s">
        <v>3490</v>
      </c>
      <c r="Z1177" s="31" t="s">
        <v>3555</v>
      </c>
      <c r="AA1177" s="32">
        <v>30.36</v>
      </c>
      <c r="AB1177" s="32">
        <v>-98.1</v>
      </c>
      <c r="AC1177" s="32">
        <v>4132</v>
      </c>
    </row>
    <row r="1178" spans="1:31" ht="19">
      <c r="C1178" s="22" t="s">
        <v>132</v>
      </c>
      <c r="D1178" s="22" t="s">
        <v>133</v>
      </c>
      <c r="E1178" s="5">
        <v>933</v>
      </c>
      <c r="F1178" s="5">
        <v>2544</v>
      </c>
      <c r="G1178" s="28" t="s">
        <v>1827</v>
      </c>
      <c r="H1178" s="6" t="s">
        <v>249</v>
      </c>
      <c r="J1178" s="5" t="s">
        <v>104</v>
      </c>
      <c r="M1178" s="56" t="s">
        <v>487</v>
      </c>
      <c r="N1178" s="56" t="s">
        <v>487</v>
      </c>
      <c r="R1178" s="27" t="s">
        <v>463</v>
      </c>
      <c r="S1178" s="27">
        <v>100</v>
      </c>
      <c r="T1178" s="5" t="s">
        <v>3669</v>
      </c>
      <c r="V1178" s="32" t="s">
        <v>3346</v>
      </c>
      <c r="W1178" s="32">
        <v>1</v>
      </c>
      <c r="X1178" s="33" t="s">
        <v>487</v>
      </c>
      <c r="Y1178" s="32">
        <v>18500</v>
      </c>
      <c r="Z1178" s="31" t="s">
        <v>3367</v>
      </c>
      <c r="AA1178" s="32">
        <v>29.62</v>
      </c>
      <c r="AB1178" s="32">
        <v>-98.37</v>
      </c>
      <c r="AC1178" s="32">
        <v>99949</v>
      </c>
    </row>
    <row r="1179" spans="1:31" ht="37" customHeight="1">
      <c r="C1179" s="22" t="s">
        <v>132</v>
      </c>
      <c r="D1179" s="22" t="s">
        <v>133</v>
      </c>
      <c r="E1179" s="5">
        <v>41229</v>
      </c>
      <c r="F1179" s="5">
        <v>11029</v>
      </c>
      <c r="G1179" s="28" t="s">
        <v>1827</v>
      </c>
      <c r="H1179" s="6" t="s">
        <v>1137</v>
      </c>
      <c r="J1179" s="5" t="s">
        <v>225</v>
      </c>
      <c r="K1179" s="27">
        <v>3.7</v>
      </c>
      <c r="L1179" s="27">
        <v>-19.5</v>
      </c>
      <c r="R1179" s="27">
        <v>4.0999999999999996</v>
      </c>
      <c r="S1179" s="27">
        <v>3.1</v>
      </c>
      <c r="V1179" s="32" t="s">
        <v>3346</v>
      </c>
      <c r="W1179" s="32">
        <v>1</v>
      </c>
      <c r="X1179" s="33" t="s">
        <v>487</v>
      </c>
      <c r="Y1179" s="32">
        <v>6563</v>
      </c>
      <c r="AA1179" s="32">
        <v>29.76</v>
      </c>
      <c r="AB1179" s="32">
        <v>-98.77</v>
      </c>
      <c r="AC1179" s="32">
        <v>99949</v>
      </c>
    </row>
    <row r="1180" spans="1:31" ht="19">
      <c r="C1180" s="22" t="s">
        <v>132</v>
      </c>
      <c r="D1180" s="22" t="s">
        <v>133</v>
      </c>
      <c r="E1180" s="5">
        <v>41229</v>
      </c>
      <c r="F1180" s="5">
        <v>11754</v>
      </c>
      <c r="G1180" s="28" t="s">
        <v>1827</v>
      </c>
      <c r="H1180" s="6" t="s">
        <v>1137</v>
      </c>
      <c r="J1180" s="5" t="s">
        <v>104</v>
      </c>
      <c r="K1180" s="27">
        <v>3.7</v>
      </c>
      <c r="L1180" s="27">
        <v>-18.7</v>
      </c>
      <c r="R1180" s="27">
        <v>17.100000000000001</v>
      </c>
      <c r="S1180" s="27">
        <v>2.7</v>
      </c>
      <c r="V1180" s="32" t="s">
        <v>3346</v>
      </c>
      <c r="W1180" s="32">
        <v>1</v>
      </c>
      <c r="X1180" s="33" t="s">
        <v>487</v>
      </c>
      <c r="Y1180" s="32">
        <v>18984</v>
      </c>
      <c r="AA1180" s="32">
        <v>30.13</v>
      </c>
      <c r="AB1180" s="32">
        <v>-99.54</v>
      </c>
      <c r="AC1180" s="32">
        <v>99949</v>
      </c>
    </row>
    <row r="1181" spans="1:31" ht="19">
      <c r="C1181" s="22" t="s">
        <v>132</v>
      </c>
      <c r="D1181" s="22" t="s">
        <v>133</v>
      </c>
      <c r="E1181" s="5">
        <v>41229</v>
      </c>
      <c r="F1181" s="5">
        <v>2731</v>
      </c>
      <c r="G1181" s="28" t="s">
        <v>1827</v>
      </c>
      <c r="H1181" s="6" t="s">
        <v>1137</v>
      </c>
      <c r="J1181" s="5" t="s">
        <v>104</v>
      </c>
      <c r="K1181" s="27">
        <v>5.0999999999999996</v>
      </c>
      <c r="L1181" s="27">
        <v>-17.8</v>
      </c>
      <c r="R1181" s="27">
        <v>16.3</v>
      </c>
      <c r="S1181" s="27">
        <v>2.7</v>
      </c>
      <c r="T1181" s="5" t="s">
        <v>3670</v>
      </c>
      <c r="V1181" s="32" t="s">
        <v>3346</v>
      </c>
      <c r="W1181" s="32">
        <v>1</v>
      </c>
      <c r="X1181" s="33" t="s">
        <v>487</v>
      </c>
      <c r="Y1181" s="32">
        <v>15684</v>
      </c>
      <c r="AA1181" s="32">
        <v>30.13</v>
      </c>
      <c r="AB1181" s="32">
        <v>-99.54</v>
      </c>
      <c r="AC1181" s="32">
        <v>99949</v>
      </c>
    </row>
    <row r="1182" spans="1:31">
      <c r="C1182" s="22" t="s">
        <v>132</v>
      </c>
      <c r="D1182" s="22" t="s">
        <v>133</v>
      </c>
      <c r="E1182" s="5">
        <v>933</v>
      </c>
      <c r="F1182" s="5">
        <v>3499</v>
      </c>
      <c r="G1182" s="28" t="s">
        <v>1827</v>
      </c>
      <c r="H1182" s="6" t="s">
        <v>249</v>
      </c>
      <c r="J1182" s="5" t="s">
        <v>104</v>
      </c>
      <c r="M1182" s="56" t="s">
        <v>487</v>
      </c>
      <c r="N1182" s="56">
        <v>-6.1</v>
      </c>
      <c r="R1182" s="27" t="s">
        <v>463</v>
      </c>
      <c r="S1182" s="27">
        <v>100</v>
      </c>
      <c r="V1182" s="32" t="s">
        <v>3353</v>
      </c>
      <c r="W1182" s="32">
        <v>5</v>
      </c>
      <c r="Y1182" s="32">
        <v>18500</v>
      </c>
      <c r="AA1182" s="32">
        <v>29.62</v>
      </c>
      <c r="AB1182" s="32">
        <v>-98.37</v>
      </c>
      <c r="AC1182" s="32">
        <v>99949</v>
      </c>
    </row>
    <row r="1183" spans="1:31" ht="57">
      <c r="C1183" s="22" t="s">
        <v>132</v>
      </c>
      <c r="D1183" s="22" t="s">
        <v>133</v>
      </c>
      <c r="E1183" s="5">
        <v>41229</v>
      </c>
      <c r="F1183" s="5">
        <v>2729</v>
      </c>
      <c r="G1183" s="28" t="s">
        <v>1827</v>
      </c>
      <c r="H1183" s="6" t="s">
        <v>1137</v>
      </c>
      <c r="J1183" s="5" t="s">
        <v>225</v>
      </c>
      <c r="K1183" s="27">
        <v>5.4</v>
      </c>
      <c r="L1183" s="27">
        <v>-18.899999999999999</v>
      </c>
      <c r="R1183" s="27">
        <v>11.4</v>
      </c>
      <c r="S1183" s="27">
        <v>3</v>
      </c>
      <c r="V1183" s="32" t="s">
        <v>3353</v>
      </c>
      <c r="W1183" s="32">
        <v>5</v>
      </c>
      <c r="X1183" s="33" t="s">
        <v>3671</v>
      </c>
      <c r="Y1183" s="32">
        <v>10680</v>
      </c>
      <c r="AA1183" s="32">
        <v>30.13</v>
      </c>
      <c r="AB1183" s="32">
        <v>-99.54</v>
      </c>
      <c r="AC1183" s="32">
        <v>99949</v>
      </c>
    </row>
    <row r="1184" spans="1:31" ht="16" customHeight="1">
      <c r="C1184" s="22" t="s">
        <v>132</v>
      </c>
      <c r="D1184" s="22" t="s">
        <v>1865</v>
      </c>
      <c r="E1184" s="5" t="s">
        <v>1030</v>
      </c>
      <c r="F1184" s="5">
        <v>7380</v>
      </c>
      <c r="G1184" s="28" t="s">
        <v>1827</v>
      </c>
      <c r="H1184" s="6" t="s">
        <v>1774</v>
      </c>
      <c r="J1184" s="5" t="s">
        <v>104</v>
      </c>
      <c r="K1184" s="27">
        <v>8.6999999999999993</v>
      </c>
      <c r="L1184" s="27">
        <v>-17.7</v>
      </c>
      <c r="R1184" s="27">
        <v>14</v>
      </c>
      <c r="S1184" s="27">
        <v>3</v>
      </c>
      <c r="V1184" s="32" t="s">
        <v>3353</v>
      </c>
      <c r="W1184" s="32">
        <v>5</v>
      </c>
      <c r="X1184" s="33" t="s">
        <v>487</v>
      </c>
      <c r="AA1184" s="32">
        <v>30.25</v>
      </c>
      <c r="AB1184" s="32">
        <v>-99.87</v>
      </c>
      <c r="AC1184" s="32">
        <v>99949</v>
      </c>
    </row>
    <row r="1185" spans="3:29" ht="16" customHeight="1">
      <c r="C1185" s="22" t="s">
        <v>132</v>
      </c>
      <c r="D1185" s="22" t="s">
        <v>133</v>
      </c>
      <c r="E1185" s="5">
        <v>43365</v>
      </c>
      <c r="F1185" s="5">
        <v>1</v>
      </c>
      <c r="G1185" s="28" t="s">
        <v>1827</v>
      </c>
      <c r="H1185" s="6" t="s">
        <v>140</v>
      </c>
      <c r="J1185" s="5" t="s">
        <v>104</v>
      </c>
      <c r="K1185" s="27">
        <v>4.3</v>
      </c>
      <c r="L1185" s="27">
        <v>-20.100000000000001</v>
      </c>
      <c r="R1185" s="27">
        <v>15.5</v>
      </c>
      <c r="S1185" s="27">
        <v>2.9</v>
      </c>
      <c r="V1185" s="32" t="s">
        <v>3353</v>
      </c>
      <c r="W1185" s="32">
        <v>4</v>
      </c>
      <c r="X1185" s="33" t="s">
        <v>104</v>
      </c>
      <c r="AA1185" s="32"/>
      <c r="AB1185" s="32"/>
      <c r="AC1185" s="32">
        <v>99949</v>
      </c>
    </row>
    <row r="1186" spans="3:29" ht="16" customHeight="1">
      <c r="C1186" s="22" t="s">
        <v>132</v>
      </c>
      <c r="D1186" s="22" t="s">
        <v>1865</v>
      </c>
      <c r="E1186" s="5">
        <v>41284</v>
      </c>
      <c r="F1186" s="5">
        <v>16</v>
      </c>
      <c r="G1186" s="28" t="s">
        <v>1827</v>
      </c>
      <c r="H1186" s="6" t="s">
        <v>1866</v>
      </c>
      <c r="J1186" s="5" t="s">
        <v>1728</v>
      </c>
      <c r="K1186" s="27">
        <v>6.3052536000000003</v>
      </c>
      <c r="L1186" s="27">
        <v>-18.476793500000003</v>
      </c>
      <c r="R1186" s="27">
        <v>14.480462035987051</v>
      </c>
      <c r="S1186" s="27">
        <v>2.9507267102535866</v>
      </c>
      <c r="V1186" s="32" t="s">
        <v>3417</v>
      </c>
      <c r="W1186" s="32">
        <v>4</v>
      </c>
      <c r="X1186" s="33" t="s">
        <v>3479</v>
      </c>
      <c r="AA1186" s="32"/>
      <c r="AB1186" s="32"/>
      <c r="AC1186" s="32">
        <v>99949</v>
      </c>
    </row>
    <row r="1187" spans="3:29" ht="16" customHeight="1">
      <c r="C1187" s="22" t="s">
        <v>132</v>
      </c>
      <c r="D1187" s="22" t="s">
        <v>1865</v>
      </c>
      <c r="E1187" s="5">
        <v>41284</v>
      </c>
      <c r="F1187" s="5">
        <v>186</v>
      </c>
      <c r="G1187" s="28" t="s">
        <v>1827</v>
      </c>
      <c r="H1187" s="6" t="s">
        <v>1866</v>
      </c>
      <c r="J1187" s="5" t="s">
        <v>1728</v>
      </c>
      <c r="K1187" s="27">
        <v>5.9902625999999994</v>
      </c>
      <c r="L1187" s="27">
        <v>-18.486538500000002</v>
      </c>
      <c r="R1187" s="27">
        <v>8.7444305288152115</v>
      </c>
      <c r="S1187" s="27">
        <v>2.9308548500015639</v>
      </c>
      <c r="V1187" s="32" t="s">
        <v>3417</v>
      </c>
      <c r="W1187" s="32">
        <v>4</v>
      </c>
      <c r="AA1187" s="32"/>
      <c r="AB1187" s="32"/>
      <c r="AC1187" s="32">
        <v>99949</v>
      </c>
    </row>
    <row r="1188" spans="3:29" ht="16" customHeight="1">
      <c r="C1188" s="22" t="s">
        <v>132</v>
      </c>
      <c r="D1188" s="22" t="s">
        <v>1865</v>
      </c>
      <c r="E1188" s="5">
        <v>43133</v>
      </c>
      <c r="F1188" s="5">
        <v>1132</v>
      </c>
      <c r="G1188" s="28" t="s">
        <v>1827</v>
      </c>
      <c r="H1188" s="6" t="s">
        <v>1821</v>
      </c>
      <c r="J1188" s="5" t="s">
        <v>1728</v>
      </c>
      <c r="K1188" s="27">
        <v>6.4586847000000001</v>
      </c>
      <c r="L1188" s="27">
        <v>-17.000425999999997</v>
      </c>
      <c r="R1188" s="27">
        <v>14.890481620913285</v>
      </c>
      <c r="S1188" s="27">
        <v>2.9033060023204822</v>
      </c>
      <c r="V1188" s="32" t="s">
        <v>3417</v>
      </c>
      <c r="W1188" s="32">
        <v>4</v>
      </c>
      <c r="Y1188" s="32" t="s">
        <v>3624</v>
      </c>
      <c r="AA1188" s="32">
        <v>29.76</v>
      </c>
      <c r="AB1188" s="32">
        <v>-98.77</v>
      </c>
      <c r="AC1188" s="32">
        <v>99949</v>
      </c>
    </row>
    <row r="1189" spans="3:29" ht="16" customHeight="1">
      <c r="C1189" s="22" t="s">
        <v>132</v>
      </c>
      <c r="D1189" s="22" t="s">
        <v>1865</v>
      </c>
      <c r="E1189" s="5">
        <v>43539</v>
      </c>
      <c r="F1189" s="5">
        <v>1</v>
      </c>
      <c r="G1189" s="28" t="s">
        <v>1827</v>
      </c>
      <c r="H1189" s="6" t="s">
        <v>1867</v>
      </c>
      <c r="J1189" s="5" t="s">
        <v>1728</v>
      </c>
      <c r="K1189" s="27">
        <v>6.5369244000000002</v>
      </c>
      <c r="L1189" s="27">
        <v>-16.959496999999999</v>
      </c>
      <c r="R1189" s="27">
        <v>16.139011983854456</v>
      </c>
      <c r="S1189" s="27">
        <v>2.8308390389445308</v>
      </c>
      <c r="V1189" s="32" t="s">
        <v>3417</v>
      </c>
      <c r="W1189" s="32">
        <v>4</v>
      </c>
      <c r="X1189" s="33" t="s">
        <v>3672</v>
      </c>
      <c r="AA1189" s="32"/>
      <c r="AB1189" s="32"/>
      <c r="AC1189" s="32">
        <v>99949</v>
      </c>
    </row>
    <row r="1190" spans="3:29" ht="16" customHeight="1">
      <c r="C1190" s="22" t="s">
        <v>132</v>
      </c>
      <c r="D1190" s="22" t="s">
        <v>1865</v>
      </c>
      <c r="E1190" s="5">
        <v>1295</v>
      </c>
      <c r="F1190" s="5">
        <v>23</v>
      </c>
      <c r="G1190" s="28" t="s">
        <v>1827</v>
      </c>
      <c r="H1190" s="6" t="s">
        <v>1171</v>
      </c>
      <c r="J1190" s="5" t="s">
        <v>104</v>
      </c>
      <c r="L1190" s="27">
        <v>-17.86</v>
      </c>
      <c r="O1190" s="27">
        <v>-11.05520252</v>
      </c>
      <c r="P1190" s="5">
        <v>30.132728159999999</v>
      </c>
      <c r="Q1190" s="27">
        <v>-0.70550010699999999</v>
      </c>
      <c r="V1190" s="32">
        <v>43647</v>
      </c>
      <c r="AA1190" s="32">
        <v>31.12</v>
      </c>
      <c r="AB1190" s="32">
        <v>-98.75</v>
      </c>
      <c r="AC1190" s="32">
        <v>99949</v>
      </c>
    </row>
    <row r="1191" spans="3:29" ht="16" customHeight="1">
      <c r="C1191" s="22" t="s">
        <v>1868</v>
      </c>
      <c r="D1191" s="22" t="s">
        <v>1865</v>
      </c>
      <c r="E1191" s="5" t="s">
        <v>1030</v>
      </c>
      <c r="F1191" s="5">
        <v>7188</v>
      </c>
      <c r="G1191" s="28" t="s">
        <v>1827</v>
      </c>
      <c r="H1191" s="6" t="s">
        <v>1774</v>
      </c>
      <c r="J1191" s="5" t="s">
        <v>1744</v>
      </c>
      <c r="K1191" s="27">
        <v>7.1404878000000007</v>
      </c>
      <c r="L1191" s="27">
        <v>-19.566284500000002</v>
      </c>
      <c r="R1191" s="27">
        <v>7.8102843176189269</v>
      </c>
      <c r="S1191" s="27">
        <v>3.0116028551796568</v>
      </c>
      <c r="V1191" s="32" t="s">
        <v>3417</v>
      </c>
      <c r="W1191" s="32">
        <v>4</v>
      </c>
      <c r="AA1191" s="32">
        <v>30.25</v>
      </c>
      <c r="AB1191" s="32">
        <v>-99.87</v>
      </c>
      <c r="AC1191" s="32">
        <v>99949</v>
      </c>
    </row>
  </sheetData>
  <autoFilter ref="A1:U1191" xr:uid="{00000000-0009-0000-0000-000004000000}">
    <sortState xmlns:xlrd2="http://schemas.microsoft.com/office/spreadsheetml/2017/richdata2" ref="A2:U1191">
      <sortCondition ref="C2:C1191"/>
      <sortCondition ref="D2:D1191"/>
    </sortState>
  </autoFilter>
  <sortState xmlns:xlrd2="http://schemas.microsoft.com/office/spreadsheetml/2017/richdata2" ref="A2:AC1191">
    <sortCondition ref="C2:C1191"/>
  </sortState>
  <conditionalFormatting sqref="A1192:B1048576 A1101:B1182">
    <cfRule type="duplicateValues" dxfId="4" priority="1"/>
  </conditionalFormatting>
  <conditionalFormatting sqref="A1183:B1191">
    <cfRule type="duplicateValues" dxfId="3" priority="2"/>
  </conditionalFormatting>
  <conditionalFormatting sqref="A1:B1048576">
    <cfRule type="duplicateValues" dxfId="2" priority="3"/>
  </conditionalFormatting>
  <conditionalFormatting sqref="A1101:B1182">
    <cfRule type="duplicateValues" dxfId="1" priority="4"/>
  </conditionalFormatting>
  <conditionalFormatting sqref="A1100:B1100 Y1100:AC1100 G1100:J1100">
    <cfRule type="duplicateValues" dxfId="0" priority="5"/>
  </conditionalFormatting>
  <pageMargins left="0.75" right="0.75" top="1" bottom="1" header="0.5" footer="0.5"/>
  <pageSetup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AF412-5D70-1147-B821-76072277A082}">
  <sheetPr>
    <pageSetUpPr fitToPage="1"/>
  </sheetPr>
  <dimension ref="A1:BD113"/>
  <sheetViews>
    <sheetView workbookViewId="0">
      <selection activeCell="O31" sqref="O31"/>
    </sheetView>
  </sheetViews>
  <sheetFormatPr baseColWidth="10" defaultColWidth="10.5" defaultRowHeight="19"/>
  <cols>
    <col min="1" max="1" width="29" style="226" customWidth="1"/>
    <col min="2" max="2" width="10.5" style="538" customWidth="1"/>
    <col min="3" max="3" width="7.5" style="538" customWidth="1"/>
    <col min="4" max="4" width="10" style="539" customWidth="1"/>
    <col min="5" max="6" width="10" style="538" customWidth="1"/>
    <col min="7" max="7" width="10" style="525" customWidth="1"/>
    <col min="8" max="9" width="10" style="538" customWidth="1"/>
    <col min="10" max="10" width="10" style="539" customWidth="1"/>
    <col min="12" max="12" width="14.83203125" style="255" customWidth="1"/>
    <col min="13" max="16" width="8" style="255" customWidth="1"/>
    <col min="17" max="18" width="9.83203125" style="255" customWidth="1"/>
    <col min="19" max="19" width="20" style="255" customWidth="1"/>
    <col min="20" max="24" width="10.83203125" style="255"/>
  </cols>
  <sheetData>
    <row r="1" spans="1:24" s="412" customFormat="1" ht="49" customHeight="1">
      <c r="A1" s="412" t="s">
        <v>1983</v>
      </c>
      <c r="B1" s="526"/>
      <c r="C1" s="526"/>
      <c r="D1" s="526"/>
      <c r="E1" s="526"/>
      <c r="F1" s="526"/>
      <c r="G1" s="518"/>
      <c r="H1" s="526"/>
      <c r="I1" s="526"/>
      <c r="J1" s="526"/>
      <c r="L1" s="418"/>
      <c r="M1" s="418"/>
      <c r="N1" s="418"/>
      <c r="O1" s="418"/>
      <c r="P1" s="418"/>
      <c r="Q1" s="418"/>
      <c r="R1" s="418"/>
      <c r="S1" s="544">
        <f>J33</f>
        <v>0.76900000000000002</v>
      </c>
      <c r="T1" s="418"/>
      <c r="U1" s="418"/>
      <c r="V1" s="418"/>
      <c r="W1" s="418"/>
      <c r="X1" s="418"/>
    </row>
    <row r="2" spans="1:24" s="127" customFormat="1" ht="23">
      <c r="A2" s="415"/>
      <c r="B2" s="527"/>
      <c r="C2" s="527"/>
      <c r="D2" s="528"/>
      <c r="E2" s="527"/>
      <c r="F2" s="527"/>
      <c r="G2" s="518"/>
      <c r="H2" s="527"/>
      <c r="I2" s="527"/>
      <c r="J2" s="528"/>
      <c r="L2" s="419"/>
      <c r="M2" s="419"/>
      <c r="N2" s="419"/>
      <c r="O2" s="419"/>
      <c r="P2" s="419"/>
      <c r="Q2" s="419"/>
      <c r="R2" s="419"/>
      <c r="S2" s="419"/>
      <c r="T2" s="419"/>
      <c r="U2" s="419"/>
      <c r="V2" s="419"/>
      <c r="W2" s="419"/>
      <c r="X2" s="419"/>
    </row>
    <row r="3" spans="1:24" s="417" customFormat="1" ht="40" customHeight="1">
      <c r="A3" s="417" t="s">
        <v>1984</v>
      </c>
      <c r="B3" s="529"/>
      <c r="C3" s="529"/>
      <c r="D3" s="529"/>
      <c r="E3" s="529"/>
      <c r="F3" s="529"/>
      <c r="G3" s="521"/>
      <c r="H3" s="529"/>
      <c r="I3" s="529"/>
      <c r="J3" s="529"/>
      <c r="L3" s="420"/>
      <c r="M3" s="420"/>
      <c r="N3" s="420"/>
      <c r="O3" s="420"/>
      <c r="P3" s="420"/>
      <c r="Q3" s="420"/>
      <c r="R3" s="420"/>
      <c r="S3" s="420"/>
      <c r="T3" s="420"/>
      <c r="U3" s="420"/>
      <c r="V3" s="420"/>
      <c r="W3" s="420"/>
      <c r="X3" s="420"/>
    </row>
    <row r="4" spans="1:24" s="127" customFormat="1" ht="48">
      <c r="A4" s="415"/>
      <c r="B4" s="527"/>
      <c r="C4" s="527"/>
      <c r="D4" s="528"/>
      <c r="E4" s="527"/>
      <c r="F4" s="527"/>
      <c r="G4" s="540" t="s">
        <v>1985</v>
      </c>
      <c r="H4" s="527"/>
      <c r="I4" s="527"/>
      <c r="J4" s="528"/>
      <c r="L4" s="419"/>
      <c r="M4" s="419"/>
      <c r="N4" s="419"/>
      <c r="O4" s="419"/>
      <c r="P4" s="419"/>
      <c r="Q4" s="419"/>
      <c r="R4" s="419"/>
      <c r="S4" s="419"/>
      <c r="T4" s="419"/>
      <c r="U4" s="419"/>
      <c r="V4" s="419"/>
      <c r="W4" s="419"/>
      <c r="X4" s="419"/>
    </row>
    <row r="5" spans="1:24" s="542" customFormat="1" ht="35.25" customHeight="1">
      <c r="A5" s="516"/>
      <c r="B5" s="519" t="s">
        <v>1986</v>
      </c>
      <c r="C5" s="519" t="s">
        <v>1987</v>
      </c>
      <c r="D5" s="519">
        <v>2.5000000000000001E-2</v>
      </c>
      <c r="E5" s="519">
        <v>0.05</v>
      </c>
      <c r="F5" s="519">
        <v>0.25</v>
      </c>
      <c r="G5" s="519">
        <v>0.5</v>
      </c>
      <c r="H5" s="519">
        <v>0.75</v>
      </c>
      <c r="I5" s="519">
        <v>0.95</v>
      </c>
      <c r="J5" s="519">
        <v>0.97499999999999998</v>
      </c>
      <c r="K5" s="541"/>
      <c r="L5" s="543"/>
      <c r="M5" s="543"/>
      <c r="N5" s="543"/>
      <c r="O5" s="543"/>
      <c r="P5" s="543"/>
      <c r="Q5" s="543"/>
      <c r="R5" s="543"/>
      <c r="S5" s="543"/>
      <c r="T5" s="405"/>
      <c r="U5" s="405"/>
      <c r="V5" s="405"/>
      <c r="W5" s="405"/>
      <c r="X5" s="405"/>
    </row>
    <row r="6" spans="1:24" s="127" customFormat="1" ht="18">
      <c r="A6" s="415" t="s">
        <v>1988</v>
      </c>
      <c r="B6" s="527">
        <v>3.6949999999999998</v>
      </c>
      <c r="C6" s="527">
        <v>2.5049999999999999</v>
      </c>
      <c r="D6" s="527">
        <v>0.79800000000000004</v>
      </c>
      <c r="E6" s="527">
        <v>1.04</v>
      </c>
      <c r="F6" s="527">
        <v>2.0179999999999998</v>
      </c>
      <c r="G6" s="519">
        <v>3.03</v>
      </c>
      <c r="H6" s="527">
        <v>4.6139999999999999</v>
      </c>
      <c r="I6" s="527">
        <v>8.4949999999999992</v>
      </c>
      <c r="J6" s="527">
        <v>10.007999999999999</v>
      </c>
      <c r="L6" s="419"/>
      <c r="M6" s="419"/>
      <c r="N6" s="419"/>
      <c r="O6" s="419"/>
      <c r="P6" s="419"/>
      <c r="Q6" s="419"/>
      <c r="R6" s="419"/>
      <c r="S6" s="419"/>
      <c r="T6" s="419"/>
      <c r="U6" s="419"/>
      <c r="V6" s="419"/>
      <c r="W6" s="419"/>
      <c r="X6" s="419"/>
    </row>
    <row r="7" spans="1:24" s="127" customFormat="1" ht="18">
      <c r="A7" s="415" t="s">
        <v>1989</v>
      </c>
      <c r="B7" s="527">
        <v>1.129</v>
      </c>
      <c r="C7" s="527">
        <v>0.66200000000000003</v>
      </c>
      <c r="D7" s="527">
        <v>0.36799999999999999</v>
      </c>
      <c r="E7" s="527">
        <v>0.435</v>
      </c>
      <c r="F7" s="527">
        <v>0.69299999999999995</v>
      </c>
      <c r="G7" s="519">
        <v>0.97299999999999998</v>
      </c>
      <c r="H7" s="527">
        <v>1.37</v>
      </c>
      <c r="I7" s="527">
        <v>2.343</v>
      </c>
      <c r="J7" s="527">
        <v>2.8010000000000002</v>
      </c>
      <c r="L7" s="419"/>
      <c r="M7" s="419"/>
      <c r="N7" s="419"/>
      <c r="O7" s="419"/>
      <c r="P7" s="419"/>
      <c r="Q7" s="419"/>
      <c r="R7" s="419"/>
      <c r="S7" s="419"/>
      <c r="T7" s="419"/>
      <c r="U7" s="419"/>
      <c r="V7" s="419"/>
      <c r="W7" s="419"/>
      <c r="X7" s="419"/>
    </row>
    <row r="8" spans="1:24" s="127" customFormat="1" ht="18">
      <c r="A8" s="415"/>
      <c r="B8" s="527"/>
      <c r="C8" s="527"/>
      <c r="D8" s="527"/>
      <c r="E8" s="527"/>
      <c r="F8" s="527"/>
      <c r="G8" s="519"/>
      <c r="H8" s="527"/>
      <c r="I8" s="527"/>
      <c r="J8" s="527"/>
      <c r="L8" s="419"/>
      <c r="M8" s="419"/>
      <c r="N8" s="419"/>
      <c r="O8" s="419"/>
      <c r="P8" s="419"/>
      <c r="Q8" s="419"/>
      <c r="R8" s="419"/>
      <c r="S8" s="419"/>
      <c r="T8" s="419"/>
      <c r="U8" s="419"/>
      <c r="V8" s="419"/>
      <c r="W8" s="419"/>
      <c r="X8" s="419"/>
    </row>
    <row r="9" spans="1:24" s="127" customFormat="1" ht="18">
      <c r="A9" s="415" t="s">
        <v>1990</v>
      </c>
      <c r="B9" s="527">
        <v>9.7000000000000003E-2</v>
      </c>
      <c r="C9" s="527">
        <v>8.2000000000000003E-2</v>
      </c>
      <c r="D9" s="527">
        <v>3.0000000000000001E-3</v>
      </c>
      <c r="E9" s="527">
        <v>5.0000000000000001E-3</v>
      </c>
      <c r="F9" s="527">
        <v>3.2000000000000001E-2</v>
      </c>
      <c r="G9" s="519">
        <v>7.5999999999999998E-2</v>
      </c>
      <c r="H9" s="527">
        <v>0.14399999999999999</v>
      </c>
      <c r="I9" s="527">
        <v>0.25800000000000001</v>
      </c>
      <c r="J9" s="527">
        <v>0.29799999999999999</v>
      </c>
      <c r="L9" s="419"/>
      <c r="M9" s="419"/>
      <c r="N9" s="419"/>
      <c r="O9" s="419"/>
      <c r="P9" s="419"/>
      <c r="Q9" s="419"/>
      <c r="R9" s="419"/>
      <c r="S9" s="419"/>
      <c r="T9" s="419"/>
      <c r="U9" s="419"/>
      <c r="V9" s="419"/>
      <c r="W9" s="419"/>
      <c r="X9" s="419"/>
    </row>
    <row r="10" spans="1:24" s="127" customFormat="1" ht="18">
      <c r="A10" s="415" t="s">
        <v>1991</v>
      </c>
      <c r="B10" s="527">
        <v>9.5000000000000001E-2</v>
      </c>
      <c r="C10" s="527">
        <v>7.0000000000000007E-2</v>
      </c>
      <c r="D10" s="527">
        <v>3.0000000000000001E-3</v>
      </c>
      <c r="E10" s="527">
        <v>6.0000000000000001E-3</v>
      </c>
      <c r="F10" s="527">
        <v>3.6999999999999998E-2</v>
      </c>
      <c r="G10" s="519">
        <v>8.3000000000000004E-2</v>
      </c>
      <c r="H10" s="527">
        <v>0.14000000000000001</v>
      </c>
      <c r="I10" s="527">
        <v>0.23</v>
      </c>
      <c r="J10" s="527">
        <v>0.254</v>
      </c>
      <c r="L10" s="419"/>
      <c r="M10" s="419"/>
      <c r="N10" s="419"/>
      <c r="O10" s="419"/>
      <c r="P10" s="419"/>
      <c r="Q10" s="419"/>
      <c r="R10" s="419"/>
      <c r="S10" s="419"/>
      <c r="T10" s="419"/>
      <c r="U10" s="419"/>
      <c r="V10" s="419"/>
      <c r="W10" s="419"/>
      <c r="X10" s="419"/>
    </row>
    <row r="11" spans="1:24" s="127" customFormat="1" ht="18">
      <c r="A11" s="415" t="s">
        <v>1992</v>
      </c>
      <c r="B11" s="527">
        <v>0.20599999999999999</v>
      </c>
      <c r="C11" s="527">
        <v>0.13500000000000001</v>
      </c>
      <c r="D11" s="527">
        <v>8.9999999999999993E-3</v>
      </c>
      <c r="E11" s="527">
        <v>1.9E-2</v>
      </c>
      <c r="F11" s="527">
        <v>9.4E-2</v>
      </c>
      <c r="G11" s="519">
        <v>0.19500000000000001</v>
      </c>
      <c r="H11" s="527">
        <v>0.29799999999999999</v>
      </c>
      <c r="I11" s="527">
        <v>0.45</v>
      </c>
      <c r="J11" s="527">
        <v>0.498</v>
      </c>
      <c r="L11" s="419"/>
      <c r="M11" s="419"/>
      <c r="N11" s="419"/>
      <c r="O11" s="419"/>
      <c r="P11" s="419"/>
      <c r="Q11" s="419"/>
      <c r="R11" s="419"/>
      <c r="S11" s="419"/>
      <c r="T11" s="419"/>
      <c r="U11" s="419"/>
      <c r="V11" s="419"/>
      <c r="W11" s="419"/>
      <c r="X11" s="419"/>
    </row>
    <row r="12" spans="1:24" s="127" customFormat="1" ht="18">
      <c r="A12" s="415" t="s">
        <v>1993</v>
      </c>
      <c r="B12" s="527">
        <v>0.375</v>
      </c>
      <c r="C12" s="527">
        <v>0.123</v>
      </c>
      <c r="D12" s="527">
        <v>0.13900000000000001</v>
      </c>
      <c r="E12" s="527">
        <v>0.17499999999999999</v>
      </c>
      <c r="F12" s="527">
        <v>0.28799999999999998</v>
      </c>
      <c r="G12" s="519">
        <v>0.374</v>
      </c>
      <c r="H12" s="527">
        <v>0.46100000000000002</v>
      </c>
      <c r="I12" s="527">
        <v>0.57699999999999996</v>
      </c>
      <c r="J12" s="527">
        <v>0.61099999999999999</v>
      </c>
      <c r="L12" s="419"/>
      <c r="M12" s="419"/>
      <c r="N12" s="419"/>
      <c r="O12" s="419"/>
      <c r="P12" s="419"/>
      <c r="Q12" s="419"/>
      <c r="R12" s="419"/>
      <c r="S12" s="419"/>
      <c r="T12" s="419"/>
      <c r="U12" s="419"/>
      <c r="V12" s="419"/>
      <c r="W12" s="419"/>
      <c r="X12" s="419"/>
    </row>
    <row r="13" spans="1:24" s="127" customFormat="1" ht="18">
      <c r="A13" s="415" t="s">
        <v>1994</v>
      </c>
      <c r="B13" s="527">
        <v>0.11</v>
      </c>
      <c r="C13" s="527">
        <v>9.6000000000000002E-2</v>
      </c>
      <c r="D13" s="527">
        <v>3.0000000000000001E-3</v>
      </c>
      <c r="E13" s="527">
        <v>7.0000000000000001E-3</v>
      </c>
      <c r="F13" s="527">
        <v>3.6999999999999998E-2</v>
      </c>
      <c r="G13" s="519">
        <v>8.4000000000000005E-2</v>
      </c>
      <c r="H13" s="527">
        <v>0.159</v>
      </c>
      <c r="I13" s="527">
        <v>0.29799999999999999</v>
      </c>
      <c r="J13" s="527">
        <v>0.35799999999999998</v>
      </c>
      <c r="L13" s="419"/>
      <c r="M13" s="419"/>
      <c r="N13" s="419"/>
      <c r="O13" s="419"/>
      <c r="P13" s="419"/>
      <c r="Q13" s="419"/>
      <c r="R13" s="419"/>
      <c r="S13" s="419"/>
      <c r="T13" s="419"/>
      <c r="U13" s="419"/>
      <c r="V13" s="419"/>
      <c r="W13" s="419"/>
      <c r="X13" s="419"/>
    </row>
    <row r="14" spans="1:24" s="127" customFormat="1" ht="18">
      <c r="A14" s="415" t="s">
        <v>1995</v>
      </c>
      <c r="B14" s="527">
        <v>0.11700000000000001</v>
      </c>
      <c r="C14" s="527">
        <v>0.1</v>
      </c>
      <c r="D14" s="527">
        <v>3.0000000000000001E-3</v>
      </c>
      <c r="E14" s="527">
        <v>6.0000000000000001E-3</v>
      </c>
      <c r="F14" s="527">
        <v>3.7999999999999999E-2</v>
      </c>
      <c r="G14" s="519">
        <v>9.0999999999999998E-2</v>
      </c>
      <c r="H14" s="527">
        <v>0.16800000000000001</v>
      </c>
      <c r="I14" s="527">
        <v>0.31900000000000001</v>
      </c>
      <c r="J14" s="527">
        <v>0.38</v>
      </c>
      <c r="L14" s="419"/>
      <c r="M14" s="419"/>
      <c r="N14" s="419"/>
      <c r="O14" s="419"/>
      <c r="P14" s="419"/>
      <c r="Q14" s="419"/>
      <c r="R14" s="419"/>
      <c r="S14" s="419"/>
      <c r="T14" s="419"/>
      <c r="U14" s="419"/>
      <c r="V14" s="419"/>
      <c r="W14" s="419"/>
      <c r="X14" s="419"/>
    </row>
    <row r="15" spans="1:24" s="127" customFormat="1" ht="18">
      <c r="A15" s="415"/>
      <c r="B15" s="527"/>
      <c r="C15" s="527"/>
      <c r="D15" s="527"/>
      <c r="E15" s="527"/>
      <c r="F15" s="527"/>
      <c r="G15" s="519"/>
      <c r="H15" s="527"/>
      <c r="I15" s="527"/>
      <c r="J15" s="527"/>
      <c r="L15" s="419"/>
      <c r="M15" s="419"/>
      <c r="N15" s="419"/>
      <c r="O15" s="419"/>
      <c r="P15" s="419"/>
      <c r="Q15" s="419"/>
      <c r="R15" s="419"/>
      <c r="S15" s="419"/>
      <c r="T15" s="419"/>
      <c r="U15" s="419"/>
      <c r="V15" s="419"/>
      <c r="W15" s="419"/>
      <c r="X15" s="419"/>
    </row>
    <row r="16" spans="1:24" s="127" customFormat="1" ht="18">
      <c r="A16" s="415" t="s">
        <v>1996</v>
      </c>
      <c r="B16" s="527">
        <v>0.129</v>
      </c>
      <c r="C16" s="527">
        <v>0.161</v>
      </c>
      <c r="D16" s="527">
        <v>1E-3</v>
      </c>
      <c r="E16" s="527">
        <v>2E-3</v>
      </c>
      <c r="F16" s="527">
        <v>1.7000000000000001E-2</v>
      </c>
      <c r="G16" s="519">
        <v>0.06</v>
      </c>
      <c r="H16" s="527">
        <v>0.18</v>
      </c>
      <c r="I16" s="527">
        <v>0.49099999999999999</v>
      </c>
      <c r="J16" s="527">
        <v>0.58199999999999996</v>
      </c>
      <c r="L16" s="419"/>
      <c r="M16" s="419"/>
      <c r="N16" s="419"/>
      <c r="O16" s="419"/>
      <c r="P16" s="419"/>
      <c r="Q16" s="419"/>
      <c r="R16" s="419"/>
      <c r="S16" s="419"/>
      <c r="T16" s="419"/>
      <c r="U16" s="419"/>
      <c r="V16" s="419"/>
      <c r="W16" s="419"/>
      <c r="X16" s="419"/>
    </row>
    <row r="17" spans="1:24" s="127" customFormat="1" ht="18">
      <c r="A17" s="415" t="s">
        <v>1997</v>
      </c>
      <c r="B17" s="527">
        <v>0.151</v>
      </c>
      <c r="C17" s="527">
        <v>0.156</v>
      </c>
      <c r="D17" s="527">
        <v>1E-3</v>
      </c>
      <c r="E17" s="527">
        <v>3.0000000000000001E-3</v>
      </c>
      <c r="F17" s="527">
        <v>2.3E-2</v>
      </c>
      <c r="G17" s="519">
        <v>8.7999999999999995E-2</v>
      </c>
      <c r="H17" s="527">
        <v>0.252</v>
      </c>
      <c r="I17" s="527">
        <v>0.46700000000000003</v>
      </c>
      <c r="J17" s="527">
        <v>0.51900000000000002</v>
      </c>
      <c r="L17" s="419"/>
      <c r="M17" s="419"/>
      <c r="N17" s="419"/>
      <c r="O17" s="419"/>
      <c r="P17" s="419"/>
      <c r="Q17" s="419"/>
      <c r="R17" s="419"/>
      <c r="S17" s="419"/>
      <c r="T17" s="419"/>
      <c r="U17" s="419"/>
      <c r="V17" s="419"/>
      <c r="W17" s="419"/>
      <c r="X17" s="419"/>
    </row>
    <row r="18" spans="1:24" s="127" customFormat="1" ht="18">
      <c r="A18" s="415" t="s">
        <v>1998</v>
      </c>
      <c r="B18" s="527">
        <v>0.23499999999999999</v>
      </c>
      <c r="C18" s="527">
        <v>0.218</v>
      </c>
      <c r="D18" s="527">
        <v>4.0000000000000001E-3</v>
      </c>
      <c r="E18" s="527">
        <v>7.0000000000000001E-3</v>
      </c>
      <c r="F18" s="527">
        <v>0.05</v>
      </c>
      <c r="G18" s="519">
        <v>0.158</v>
      </c>
      <c r="H18" s="527">
        <v>0.379</v>
      </c>
      <c r="I18" s="527">
        <v>0.65900000000000003</v>
      </c>
      <c r="J18" s="527">
        <v>0.746</v>
      </c>
      <c r="L18" s="419"/>
      <c r="M18" s="419"/>
      <c r="N18" s="419"/>
      <c r="O18" s="419"/>
      <c r="P18" s="419"/>
      <c r="Q18" s="419"/>
      <c r="R18" s="419"/>
      <c r="S18" s="419"/>
      <c r="T18" s="419"/>
      <c r="U18" s="419"/>
      <c r="V18" s="419"/>
      <c r="W18" s="419"/>
      <c r="X18" s="419"/>
    </row>
    <row r="19" spans="1:24" s="127" customFormat="1" ht="18">
      <c r="A19" s="415" t="s">
        <v>1999</v>
      </c>
      <c r="B19" s="527">
        <v>0.21</v>
      </c>
      <c r="C19" s="527">
        <v>0.15</v>
      </c>
      <c r="D19" s="527">
        <v>2.3E-2</v>
      </c>
      <c r="E19" s="527">
        <v>3.2000000000000001E-2</v>
      </c>
      <c r="F19" s="527">
        <v>9.0999999999999998E-2</v>
      </c>
      <c r="G19" s="519">
        <v>0.17399999999999999</v>
      </c>
      <c r="H19" s="527">
        <v>0.308</v>
      </c>
      <c r="I19" s="527">
        <v>0.5</v>
      </c>
      <c r="J19" s="527">
        <v>0.56200000000000006</v>
      </c>
      <c r="L19" s="419"/>
      <c r="M19" s="419"/>
      <c r="N19" s="419"/>
      <c r="O19" s="419"/>
      <c r="P19" s="419"/>
      <c r="Q19" s="419"/>
      <c r="R19" s="419"/>
      <c r="S19" s="419"/>
      <c r="T19" s="419"/>
      <c r="U19" s="419"/>
      <c r="V19" s="419"/>
      <c r="W19" s="419"/>
      <c r="X19" s="419"/>
    </row>
    <row r="20" spans="1:24" s="127" customFormat="1" ht="18">
      <c r="A20" s="415" t="s">
        <v>2000</v>
      </c>
      <c r="B20" s="527">
        <v>0.14299999999999999</v>
      </c>
      <c r="C20" s="527">
        <v>0.187</v>
      </c>
      <c r="D20" s="527">
        <v>1E-3</v>
      </c>
      <c r="E20" s="527">
        <v>3.0000000000000001E-3</v>
      </c>
      <c r="F20" s="527">
        <v>1.9E-2</v>
      </c>
      <c r="G20" s="519">
        <v>6.5000000000000002E-2</v>
      </c>
      <c r="H20" s="527">
        <v>0.188</v>
      </c>
      <c r="I20" s="527">
        <v>0.56999999999999995</v>
      </c>
      <c r="J20" s="527">
        <v>0.69399999999999995</v>
      </c>
      <c r="L20" s="419"/>
      <c r="M20" s="419"/>
      <c r="N20" s="419"/>
      <c r="O20" s="419"/>
      <c r="P20" s="419"/>
      <c r="Q20" s="419"/>
      <c r="R20" s="419"/>
      <c r="S20" s="419"/>
      <c r="T20" s="419"/>
      <c r="U20" s="419"/>
      <c r="V20" s="419"/>
      <c r="W20" s="419"/>
      <c r="X20" s="419"/>
    </row>
    <row r="21" spans="1:24" s="127" customFormat="1" ht="18">
      <c r="A21" s="415" t="s">
        <v>2001</v>
      </c>
      <c r="B21" s="527">
        <v>0.13100000000000001</v>
      </c>
      <c r="C21" s="527">
        <v>0.17699999999999999</v>
      </c>
      <c r="D21" s="527">
        <v>1E-3</v>
      </c>
      <c r="E21" s="527">
        <v>2E-3</v>
      </c>
      <c r="F21" s="527">
        <v>1.7999999999999999E-2</v>
      </c>
      <c r="G21" s="519">
        <v>5.8000000000000003E-2</v>
      </c>
      <c r="H21" s="527">
        <v>0.161</v>
      </c>
      <c r="I21" s="527">
        <v>0.56599999999999995</v>
      </c>
      <c r="J21" s="527">
        <v>0.68300000000000005</v>
      </c>
      <c r="L21" s="419"/>
      <c r="M21" s="419"/>
      <c r="N21" s="419"/>
      <c r="O21" s="419"/>
      <c r="P21" s="419"/>
      <c r="Q21" s="419"/>
      <c r="R21" s="419"/>
      <c r="S21" s="419"/>
      <c r="T21" s="419"/>
      <c r="U21" s="419"/>
      <c r="V21" s="419"/>
      <c r="W21" s="419"/>
      <c r="X21" s="419"/>
    </row>
    <row r="22" spans="1:24" s="127" customFormat="1" ht="18">
      <c r="A22" s="415"/>
      <c r="B22" s="527"/>
      <c r="C22" s="527"/>
      <c r="D22" s="527"/>
      <c r="E22" s="527"/>
      <c r="F22" s="527"/>
      <c r="G22" s="519"/>
      <c r="H22" s="527"/>
      <c r="I22" s="527"/>
      <c r="J22" s="527"/>
      <c r="L22" s="419"/>
      <c r="M22" s="419"/>
      <c r="N22" s="419"/>
      <c r="O22" s="419"/>
      <c r="P22" s="419"/>
      <c r="Q22" s="419"/>
      <c r="R22" s="419"/>
      <c r="S22" s="419"/>
      <c r="T22" s="419"/>
      <c r="U22" s="419"/>
      <c r="V22" s="419"/>
      <c r="W22" s="419"/>
      <c r="X22" s="419"/>
    </row>
    <row r="23" spans="1:24" s="127" customFormat="1" ht="18">
      <c r="A23" s="415"/>
      <c r="B23" s="527"/>
      <c r="C23" s="527"/>
      <c r="D23" s="527"/>
      <c r="E23" s="527"/>
      <c r="F23" s="527"/>
      <c r="G23" s="519"/>
      <c r="H23" s="527"/>
      <c r="I23" s="527"/>
      <c r="J23" s="527"/>
      <c r="L23" s="419"/>
      <c r="M23" s="419"/>
      <c r="N23" s="419"/>
      <c r="O23" s="419"/>
      <c r="P23" s="419"/>
      <c r="Q23" s="419"/>
      <c r="R23" s="419"/>
      <c r="S23" s="419"/>
      <c r="T23" s="419"/>
      <c r="U23" s="419"/>
      <c r="V23" s="419"/>
      <c r="W23" s="419"/>
      <c r="X23" s="419"/>
    </row>
    <row r="24" spans="1:24" s="127" customFormat="1" ht="18">
      <c r="A24" s="415" t="s">
        <v>2002</v>
      </c>
      <c r="B24" s="527">
        <v>3.5000000000000003E-2</v>
      </c>
      <c r="C24" s="527">
        <v>3.7999999999999999E-2</v>
      </c>
      <c r="D24" s="527">
        <v>1E-3</v>
      </c>
      <c r="E24" s="527">
        <v>1E-3</v>
      </c>
      <c r="F24" s="527">
        <v>8.9999999999999993E-3</v>
      </c>
      <c r="G24" s="519">
        <v>2.3E-2</v>
      </c>
      <c r="H24" s="527">
        <v>4.9000000000000002E-2</v>
      </c>
      <c r="I24" s="527">
        <v>0.11600000000000001</v>
      </c>
      <c r="J24" s="527">
        <v>0.14000000000000001</v>
      </c>
      <c r="L24" s="419"/>
      <c r="M24" s="419"/>
      <c r="N24" s="419"/>
      <c r="O24" s="419"/>
      <c r="P24" s="419"/>
      <c r="Q24" s="419"/>
      <c r="R24" s="419"/>
      <c r="S24" s="419"/>
      <c r="T24" s="419"/>
      <c r="U24" s="419"/>
      <c r="V24" s="419"/>
      <c r="W24" s="419"/>
      <c r="X24" s="419"/>
    </row>
    <row r="25" spans="1:24" s="127" customFormat="1" ht="18">
      <c r="A25" s="415" t="s">
        <v>2003</v>
      </c>
      <c r="B25" s="527">
        <v>3.1E-2</v>
      </c>
      <c r="C25" s="527">
        <v>3.1E-2</v>
      </c>
      <c r="D25" s="527">
        <v>1E-3</v>
      </c>
      <c r="E25" s="527">
        <v>1E-3</v>
      </c>
      <c r="F25" s="527">
        <v>8.9999999999999993E-3</v>
      </c>
      <c r="G25" s="519">
        <v>2.1000000000000001E-2</v>
      </c>
      <c r="H25" s="527">
        <v>4.2999999999999997E-2</v>
      </c>
      <c r="I25" s="527">
        <v>9.7000000000000003E-2</v>
      </c>
      <c r="J25" s="527">
        <v>0.11899999999999999</v>
      </c>
      <c r="L25" s="419"/>
      <c r="M25" s="419"/>
      <c r="N25" s="419"/>
      <c r="O25" s="419"/>
      <c r="P25" s="419"/>
      <c r="Q25" s="419"/>
      <c r="R25" s="419"/>
      <c r="S25" s="419"/>
      <c r="T25" s="419"/>
      <c r="U25" s="419"/>
      <c r="V25" s="419"/>
      <c r="W25" s="419"/>
      <c r="X25" s="419"/>
    </row>
    <row r="26" spans="1:24" s="127" customFormat="1" ht="18">
      <c r="A26" s="415" t="s">
        <v>2004</v>
      </c>
      <c r="B26" s="527">
        <v>0.14699999999999999</v>
      </c>
      <c r="C26" s="527">
        <v>0.158</v>
      </c>
      <c r="D26" s="527">
        <v>2E-3</v>
      </c>
      <c r="E26" s="527">
        <v>5.0000000000000001E-3</v>
      </c>
      <c r="F26" s="527">
        <v>3.5000000000000003E-2</v>
      </c>
      <c r="G26" s="519">
        <v>9.5000000000000001E-2</v>
      </c>
      <c r="H26" s="527">
        <v>0.20300000000000001</v>
      </c>
      <c r="I26" s="527">
        <v>0.46700000000000003</v>
      </c>
      <c r="J26" s="527">
        <v>0.60899999999999999</v>
      </c>
      <c r="L26" s="419"/>
      <c r="M26" s="419"/>
      <c r="N26" s="419"/>
      <c r="O26" s="419"/>
      <c r="P26" s="419"/>
      <c r="Q26" s="419"/>
      <c r="R26" s="419"/>
      <c r="S26" s="419"/>
      <c r="T26" s="419"/>
      <c r="U26" s="419"/>
      <c r="V26" s="419"/>
      <c r="W26" s="419"/>
      <c r="X26" s="419"/>
    </row>
    <row r="27" spans="1:24" s="127" customFormat="1" ht="18">
      <c r="A27" s="415" t="s">
        <v>2005</v>
      </c>
      <c r="B27" s="527">
        <v>0.67700000000000005</v>
      </c>
      <c r="C27" s="527">
        <v>0.18</v>
      </c>
      <c r="D27" s="527">
        <v>0.18099999999999999</v>
      </c>
      <c r="E27" s="527">
        <v>0.32800000000000001</v>
      </c>
      <c r="F27" s="527">
        <v>0.59099999999999997</v>
      </c>
      <c r="G27" s="519">
        <v>0.70699999999999996</v>
      </c>
      <c r="H27" s="527">
        <v>0.80500000000000005</v>
      </c>
      <c r="I27" s="527">
        <v>0.90200000000000002</v>
      </c>
      <c r="J27" s="527">
        <v>0.92400000000000004</v>
      </c>
      <c r="L27" s="419"/>
      <c r="M27" s="419"/>
      <c r="N27" s="419"/>
      <c r="O27" s="419"/>
      <c r="P27" s="419"/>
      <c r="Q27" s="419"/>
      <c r="R27" s="419"/>
      <c r="S27" s="419"/>
      <c r="T27" s="419"/>
      <c r="U27" s="419"/>
      <c r="V27" s="419"/>
      <c r="W27" s="419"/>
      <c r="X27" s="419"/>
    </row>
    <row r="28" spans="1:24" s="127" customFormat="1" ht="18">
      <c r="A28" s="415" t="s">
        <v>2006</v>
      </c>
      <c r="B28" s="527">
        <v>4.7E-2</v>
      </c>
      <c r="C28" s="527">
        <v>5.3999999999999999E-2</v>
      </c>
      <c r="D28" s="527">
        <v>1E-3</v>
      </c>
      <c r="E28" s="527">
        <v>2E-3</v>
      </c>
      <c r="F28" s="527">
        <v>1.0999999999999999E-2</v>
      </c>
      <c r="G28" s="519">
        <v>2.8000000000000001E-2</v>
      </c>
      <c r="H28" s="527">
        <v>6.2E-2</v>
      </c>
      <c r="I28" s="527">
        <v>0.156</v>
      </c>
      <c r="J28" s="527">
        <v>0.19700000000000001</v>
      </c>
      <c r="L28" s="419"/>
      <c r="M28" s="419"/>
      <c r="N28" s="419"/>
      <c r="O28" s="419"/>
      <c r="P28" s="419"/>
      <c r="Q28" s="419"/>
      <c r="R28" s="419"/>
      <c r="S28" s="419"/>
      <c r="T28" s="419"/>
      <c r="U28" s="419"/>
      <c r="V28" s="419"/>
      <c r="W28" s="419"/>
      <c r="X28" s="419"/>
    </row>
    <row r="29" spans="1:24" s="127" customFormat="1" ht="18">
      <c r="A29" s="415" t="s">
        <v>2007</v>
      </c>
      <c r="B29" s="527">
        <v>6.2E-2</v>
      </c>
      <c r="C29" s="527">
        <v>8.1000000000000003E-2</v>
      </c>
      <c r="D29" s="527">
        <v>1E-3</v>
      </c>
      <c r="E29" s="527">
        <v>2E-3</v>
      </c>
      <c r="F29" s="527">
        <v>1.2E-2</v>
      </c>
      <c r="G29" s="519">
        <v>3.4000000000000002E-2</v>
      </c>
      <c r="H29" s="527">
        <v>0.08</v>
      </c>
      <c r="I29" s="527">
        <v>0.21199999999999999</v>
      </c>
      <c r="J29" s="527">
        <v>0.27700000000000002</v>
      </c>
      <c r="L29" s="419"/>
      <c r="M29" s="419"/>
      <c r="N29" s="419"/>
      <c r="O29" s="419"/>
      <c r="P29" s="419"/>
      <c r="Q29" s="419"/>
      <c r="R29" s="419"/>
      <c r="S29" s="419"/>
      <c r="T29" s="419"/>
      <c r="U29" s="419"/>
      <c r="V29" s="419"/>
      <c r="W29" s="419"/>
      <c r="X29" s="419"/>
    </row>
    <row r="30" spans="1:24" s="127" customFormat="1" ht="18">
      <c r="A30" s="415"/>
      <c r="B30" s="527"/>
      <c r="C30" s="527"/>
      <c r="D30" s="527"/>
      <c r="E30" s="527"/>
      <c r="F30" s="527"/>
      <c r="G30" s="519"/>
      <c r="H30" s="527"/>
      <c r="I30" s="527"/>
      <c r="J30" s="527"/>
      <c r="L30" s="419"/>
      <c r="M30" s="419"/>
      <c r="N30" s="419"/>
      <c r="O30" s="419"/>
      <c r="P30" s="419"/>
      <c r="Q30" s="419"/>
      <c r="R30" s="419"/>
      <c r="S30" s="419"/>
      <c r="T30" s="419"/>
      <c r="U30" s="419"/>
      <c r="V30" s="419"/>
      <c r="W30" s="419"/>
      <c r="X30" s="419"/>
    </row>
    <row r="31" spans="1:24" s="127" customFormat="1" ht="18">
      <c r="A31" s="415" t="s">
        <v>2008</v>
      </c>
      <c r="B31" s="527">
        <v>5.8999999999999997E-2</v>
      </c>
      <c r="C31" s="527">
        <v>6.8000000000000005E-2</v>
      </c>
      <c r="D31" s="527">
        <v>1E-3</v>
      </c>
      <c r="E31" s="527">
        <v>2E-3</v>
      </c>
      <c r="F31" s="527">
        <v>1.2E-2</v>
      </c>
      <c r="G31" s="519">
        <v>3.5000000000000003E-2</v>
      </c>
      <c r="H31" s="527">
        <v>7.9000000000000001E-2</v>
      </c>
      <c r="I31" s="527">
        <v>0.193</v>
      </c>
      <c r="J31" s="527">
        <v>0.245</v>
      </c>
      <c r="L31" s="419"/>
      <c r="M31" s="419"/>
      <c r="N31" s="419"/>
      <c r="O31" s="419"/>
      <c r="P31" s="419"/>
      <c r="Q31" s="419"/>
      <c r="R31" s="419"/>
      <c r="S31" s="419"/>
      <c r="T31" s="419"/>
      <c r="U31" s="419"/>
      <c r="V31" s="419"/>
      <c r="W31" s="419"/>
      <c r="X31" s="419"/>
    </row>
    <row r="32" spans="1:24" s="127" customFormat="1" ht="18">
      <c r="A32" s="415" t="s">
        <v>2009</v>
      </c>
      <c r="B32" s="527">
        <v>5.3999999999999999E-2</v>
      </c>
      <c r="C32" s="527">
        <v>0.06</v>
      </c>
      <c r="D32" s="527">
        <v>1E-3</v>
      </c>
      <c r="E32" s="527">
        <v>2E-3</v>
      </c>
      <c r="F32" s="527">
        <v>1.2999999999999999E-2</v>
      </c>
      <c r="G32" s="519">
        <v>3.4000000000000002E-2</v>
      </c>
      <c r="H32" s="527">
        <v>7.1999999999999995E-2</v>
      </c>
      <c r="I32" s="527">
        <v>0.17299999999999999</v>
      </c>
      <c r="J32" s="527">
        <v>0.216</v>
      </c>
      <c r="L32" s="419"/>
      <c r="M32" s="419"/>
      <c r="N32" s="419"/>
      <c r="O32" s="419"/>
      <c r="P32" s="419"/>
      <c r="Q32" s="419"/>
      <c r="R32" s="419"/>
      <c r="S32" s="419"/>
      <c r="T32" s="419"/>
      <c r="U32" s="419"/>
      <c r="V32" s="419"/>
      <c r="W32" s="419"/>
      <c r="X32" s="419"/>
    </row>
    <row r="33" spans="1:56" s="127" customFormat="1" ht="18">
      <c r="A33" s="415" t="s">
        <v>2010</v>
      </c>
      <c r="B33" s="527">
        <v>0.214</v>
      </c>
      <c r="C33" s="527">
        <v>0.218</v>
      </c>
      <c r="D33" s="527">
        <v>3.0000000000000001E-3</v>
      </c>
      <c r="E33" s="527">
        <v>5.0000000000000001E-3</v>
      </c>
      <c r="F33" s="527">
        <v>4.2999999999999997E-2</v>
      </c>
      <c r="G33" s="519">
        <v>0.13100000000000001</v>
      </c>
      <c r="H33" s="527">
        <v>0.32200000000000001</v>
      </c>
      <c r="I33" s="527">
        <v>0.67800000000000005</v>
      </c>
      <c r="J33" s="527">
        <v>0.76900000000000002</v>
      </c>
      <c r="L33" s="419"/>
      <c r="M33" s="419"/>
      <c r="N33" s="419"/>
      <c r="O33" s="419"/>
      <c r="P33" s="419"/>
      <c r="Q33" s="419"/>
      <c r="R33" s="419"/>
      <c r="S33" s="419"/>
      <c r="T33" s="419"/>
      <c r="U33" s="419"/>
      <c r="V33" s="419"/>
      <c r="W33" s="419"/>
      <c r="X33" s="419"/>
    </row>
    <row r="34" spans="1:56" s="127" customFormat="1" ht="18">
      <c r="A34" s="415" t="s">
        <v>2011</v>
      </c>
      <c r="B34" s="527">
        <v>0.495</v>
      </c>
      <c r="C34" s="527">
        <v>0.248</v>
      </c>
      <c r="D34" s="527">
        <v>3.6999999999999998E-2</v>
      </c>
      <c r="E34" s="527">
        <v>6.8000000000000005E-2</v>
      </c>
      <c r="F34" s="527">
        <v>0.3</v>
      </c>
      <c r="G34" s="519">
        <v>0.52500000000000002</v>
      </c>
      <c r="H34" s="527">
        <v>0.69799999999999995</v>
      </c>
      <c r="I34" s="527">
        <v>0.86</v>
      </c>
      <c r="J34" s="527">
        <v>0.89</v>
      </c>
      <c r="L34" s="419"/>
      <c r="M34" s="419"/>
      <c r="N34" s="419"/>
      <c r="O34" s="419"/>
      <c r="P34" s="419"/>
      <c r="Q34" s="419"/>
      <c r="R34" s="419"/>
      <c r="S34" s="419"/>
      <c r="T34" s="419"/>
      <c r="U34" s="419"/>
      <c r="V34" s="419"/>
      <c r="W34" s="419"/>
      <c r="X34" s="419"/>
    </row>
    <row r="35" spans="1:56" s="127" customFormat="1" ht="18">
      <c r="A35" s="415" t="s">
        <v>2012</v>
      </c>
      <c r="B35" s="527">
        <v>8.5000000000000006E-2</v>
      </c>
      <c r="C35" s="527">
        <v>0.112</v>
      </c>
      <c r="D35" s="527">
        <v>1E-3</v>
      </c>
      <c r="E35" s="527">
        <v>2E-3</v>
      </c>
      <c r="F35" s="527">
        <v>1.4E-2</v>
      </c>
      <c r="G35" s="519">
        <v>4.2999999999999997E-2</v>
      </c>
      <c r="H35" s="527">
        <v>0.109</v>
      </c>
      <c r="I35" s="527">
        <v>0.316</v>
      </c>
      <c r="J35" s="527">
        <v>0.41399999999999998</v>
      </c>
      <c r="L35" s="419"/>
      <c r="M35" s="419"/>
      <c r="N35" s="419"/>
      <c r="O35" s="419"/>
      <c r="P35" s="419"/>
      <c r="Q35" s="419"/>
      <c r="R35" s="419"/>
      <c r="S35" s="419"/>
      <c r="T35" s="419"/>
      <c r="U35" s="419"/>
      <c r="V35" s="419"/>
      <c r="W35" s="419"/>
      <c r="X35" s="419"/>
    </row>
    <row r="36" spans="1:56" s="127" customFormat="1" ht="18">
      <c r="A36" s="415" t="s">
        <v>2013</v>
      </c>
      <c r="B36" s="527">
        <v>9.4E-2</v>
      </c>
      <c r="C36" s="527">
        <v>0.124</v>
      </c>
      <c r="D36" s="527">
        <v>1E-3</v>
      </c>
      <c r="E36" s="527">
        <v>2E-3</v>
      </c>
      <c r="F36" s="527">
        <v>1.4999999999999999E-2</v>
      </c>
      <c r="G36" s="519">
        <v>4.8000000000000001E-2</v>
      </c>
      <c r="H36" s="527">
        <v>0.11700000000000001</v>
      </c>
      <c r="I36" s="527">
        <v>0.36799999999999999</v>
      </c>
      <c r="J36" s="527">
        <v>0.47199999999999998</v>
      </c>
      <c r="L36" s="419"/>
      <c r="M36" s="419"/>
      <c r="N36" s="419"/>
      <c r="O36" s="419"/>
      <c r="P36" s="419"/>
      <c r="Q36" s="419"/>
      <c r="R36" s="419"/>
      <c r="S36" s="419"/>
      <c r="T36" s="419"/>
      <c r="U36" s="419"/>
      <c r="V36" s="419"/>
      <c r="W36" s="419"/>
      <c r="X36" s="419"/>
    </row>
    <row r="37" spans="1:56" s="127" customFormat="1" ht="18">
      <c r="A37" s="415"/>
      <c r="B37" s="527"/>
      <c r="C37" s="527"/>
      <c r="D37" s="527"/>
      <c r="E37" s="527"/>
      <c r="F37" s="527"/>
      <c r="G37" s="519"/>
      <c r="H37" s="527"/>
      <c r="I37" s="527"/>
      <c r="J37" s="527"/>
      <c r="L37" s="419"/>
      <c r="M37" s="419"/>
      <c r="N37" s="419"/>
      <c r="O37" s="419"/>
      <c r="P37" s="419"/>
      <c r="Q37" s="419"/>
      <c r="R37" s="419"/>
      <c r="S37" s="419"/>
      <c r="T37" s="419"/>
      <c r="U37" s="419"/>
      <c r="V37" s="419"/>
      <c r="W37" s="419"/>
      <c r="X37" s="419"/>
    </row>
    <row r="38" spans="1:56" s="127" customFormat="1" ht="18">
      <c r="A38" s="415" t="s">
        <v>2014</v>
      </c>
      <c r="B38" s="527">
        <v>0.17599999999999999</v>
      </c>
      <c r="C38" s="527">
        <v>0.188</v>
      </c>
      <c r="D38" s="527">
        <v>1E-3</v>
      </c>
      <c r="E38" s="527">
        <v>2E-3</v>
      </c>
      <c r="F38" s="527">
        <v>2.4E-2</v>
      </c>
      <c r="G38" s="519">
        <v>9.6000000000000002E-2</v>
      </c>
      <c r="H38" s="527">
        <v>0.28699999999999998</v>
      </c>
      <c r="I38" s="527">
        <v>0.57099999999999995</v>
      </c>
      <c r="J38" s="527">
        <v>0.63100000000000001</v>
      </c>
      <c r="L38" s="419"/>
      <c r="M38" s="419"/>
      <c r="N38" s="419"/>
      <c r="O38" s="419"/>
      <c r="P38" s="419"/>
      <c r="Q38" s="419"/>
      <c r="R38" s="419"/>
      <c r="S38" s="419"/>
      <c r="T38" s="419"/>
      <c r="U38" s="419"/>
      <c r="V38" s="419"/>
      <c r="W38" s="419"/>
      <c r="X38" s="419"/>
    </row>
    <row r="39" spans="1:56" s="127" customFormat="1" ht="18">
      <c r="A39" s="415" t="s">
        <v>2015</v>
      </c>
      <c r="B39" s="527">
        <v>0.16500000000000001</v>
      </c>
      <c r="C39" s="527">
        <v>0.16400000000000001</v>
      </c>
      <c r="D39" s="527">
        <v>1E-3</v>
      </c>
      <c r="E39" s="527">
        <v>3.0000000000000001E-3</v>
      </c>
      <c r="F39" s="527">
        <v>2.9000000000000001E-2</v>
      </c>
      <c r="G39" s="519">
        <v>0.10299999999999999</v>
      </c>
      <c r="H39" s="527">
        <v>0.26600000000000001</v>
      </c>
      <c r="I39" s="527">
        <v>0.5</v>
      </c>
      <c r="J39" s="527">
        <v>0.54600000000000004</v>
      </c>
      <c r="L39" s="419"/>
      <c r="M39" s="419"/>
      <c r="N39" s="419"/>
      <c r="O39" s="419"/>
      <c r="P39" s="419"/>
      <c r="Q39" s="419"/>
      <c r="R39" s="419"/>
      <c r="S39" s="419"/>
      <c r="T39" s="419"/>
      <c r="U39" s="419"/>
      <c r="V39" s="419"/>
      <c r="W39" s="419"/>
      <c r="X39" s="419"/>
    </row>
    <row r="40" spans="1:56" s="127" customFormat="1" ht="18">
      <c r="A40" s="415" t="s">
        <v>2016</v>
      </c>
      <c r="B40" s="527">
        <v>0.152</v>
      </c>
      <c r="C40" s="527">
        <v>0.14000000000000001</v>
      </c>
      <c r="D40" s="527">
        <v>4.0000000000000001E-3</v>
      </c>
      <c r="E40" s="527">
        <v>8.9999999999999993E-3</v>
      </c>
      <c r="F40" s="527">
        <v>4.9000000000000002E-2</v>
      </c>
      <c r="G40" s="519">
        <v>0.112</v>
      </c>
      <c r="H40" s="527">
        <v>0.217</v>
      </c>
      <c r="I40" s="527">
        <v>0.43</v>
      </c>
      <c r="J40" s="527">
        <v>0.51300000000000001</v>
      </c>
      <c r="L40" s="419"/>
      <c r="M40" s="419"/>
      <c r="N40" s="419"/>
      <c r="O40" s="419"/>
      <c r="P40" s="419"/>
      <c r="Q40" s="419"/>
      <c r="R40" s="419"/>
      <c r="S40" s="419"/>
      <c r="T40" s="419"/>
      <c r="U40" s="419"/>
      <c r="V40" s="419"/>
      <c r="W40" s="419"/>
      <c r="X40" s="419"/>
    </row>
    <row r="41" spans="1:56" s="127" customFormat="1" ht="18">
      <c r="A41" s="415" t="s">
        <v>2017</v>
      </c>
      <c r="B41" s="527">
        <v>0.184</v>
      </c>
      <c r="C41" s="527">
        <v>0.11600000000000001</v>
      </c>
      <c r="D41" s="527">
        <v>2.5000000000000001E-2</v>
      </c>
      <c r="E41" s="527">
        <v>3.5000000000000003E-2</v>
      </c>
      <c r="F41" s="527">
        <v>9.5000000000000001E-2</v>
      </c>
      <c r="G41" s="519">
        <v>0.16200000000000001</v>
      </c>
      <c r="H41" s="527">
        <v>0.253</v>
      </c>
      <c r="I41" s="527">
        <v>0.39900000000000002</v>
      </c>
      <c r="J41" s="527">
        <v>0.46100000000000002</v>
      </c>
      <c r="L41" s="419"/>
      <c r="M41" s="419"/>
      <c r="N41" s="419"/>
      <c r="O41" s="419"/>
      <c r="P41" s="419"/>
      <c r="Q41" s="419"/>
      <c r="R41" s="419"/>
      <c r="S41" s="419"/>
      <c r="T41" s="419"/>
      <c r="U41" s="419"/>
      <c r="V41" s="419"/>
      <c r="W41" s="419"/>
      <c r="X41" s="419"/>
    </row>
    <row r="42" spans="1:56" s="413" customFormat="1" ht="31" customHeight="1">
      <c r="A42" s="415" t="s">
        <v>2018</v>
      </c>
      <c r="B42" s="527">
        <v>0.17899999999999999</v>
      </c>
      <c r="C42" s="527">
        <v>0.20399999999999999</v>
      </c>
      <c r="D42" s="527">
        <v>2E-3</v>
      </c>
      <c r="E42" s="527">
        <v>3.0000000000000001E-3</v>
      </c>
      <c r="F42" s="527">
        <v>2.5000000000000001E-2</v>
      </c>
      <c r="G42" s="519">
        <v>8.7999999999999995E-2</v>
      </c>
      <c r="H42" s="527">
        <v>0.27600000000000002</v>
      </c>
      <c r="I42" s="527">
        <v>0.623</v>
      </c>
      <c r="J42" s="527">
        <v>0.72699999999999998</v>
      </c>
      <c r="K42" s="443"/>
      <c r="L42" s="444"/>
      <c r="M42" s="444"/>
      <c r="N42" s="444"/>
      <c r="O42" s="444"/>
      <c r="P42" s="444"/>
      <c r="Q42" s="444"/>
      <c r="R42" s="444"/>
      <c r="S42" s="444"/>
      <c r="T42" s="444"/>
      <c r="U42" s="444"/>
      <c r="V42" s="444"/>
      <c r="W42" s="444"/>
      <c r="X42" s="444"/>
      <c r="Y42" s="443"/>
      <c r="Z42" s="443"/>
      <c r="AA42" s="443"/>
      <c r="AB42" s="443"/>
      <c r="AC42" s="443"/>
      <c r="AD42" s="443"/>
      <c r="AE42" s="443"/>
      <c r="AF42" s="443"/>
      <c r="AG42" s="443"/>
      <c r="AH42" s="443"/>
      <c r="AI42" s="443"/>
      <c r="AJ42" s="443"/>
      <c r="AK42" s="443"/>
      <c r="AL42" s="443"/>
      <c r="AM42" s="443"/>
      <c r="AN42" s="443"/>
      <c r="AO42" s="443"/>
      <c r="AP42" s="443"/>
      <c r="AQ42" s="443"/>
      <c r="AR42" s="443"/>
      <c r="AS42" s="443"/>
      <c r="AT42" s="443"/>
      <c r="AU42" s="443"/>
      <c r="AV42" s="443"/>
      <c r="AW42" s="443"/>
      <c r="AX42" s="443"/>
      <c r="AY42" s="443"/>
      <c r="AZ42" s="443"/>
      <c r="BA42" s="443"/>
      <c r="BB42" s="443"/>
      <c r="BC42" s="443"/>
      <c r="BD42" s="443"/>
    </row>
    <row r="43" spans="1:56" s="127" customFormat="1" ht="18">
      <c r="A43" s="415" t="s">
        <v>2019</v>
      </c>
      <c r="B43" s="527">
        <v>0.14399999999999999</v>
      </c>
      <c r="C43" s="527">
        <v>0.16600000000000001</v>
      </c>
      <c r="D43" s="527">
        <v>1E-3</v>
      </c>
      <c r="E43" s="527">
        <v>3.0000000000000001E-3</v>
      </c>
      <c r="F43" s="527">
        <v>2.3E-2</v>
      </c>
      <c r="G43" s="519">
        <v>7.9000000000000001E-2</v>
      </c>
      <c r="H43" s="527">
        <v>0.20899999999999999</v>
      </c>
      <c r="I43" s="527">
        <v>0.51500000000000001</v>
      </c>
      <c r="J43" s="527">
        <v>0.60899999999999999</v>
      </c>
      <c r="L43" s="419"/>
      <c r="M43" s="419"/>
      <c r="N43" s="419"/>
      <c r="O43" s="419"/>
      <c r="P43" s="419"/>
      <c r="Q43" s="419"/>
      <c r="R43" s="419"/>
      <c r="S43" s="419"/>
      <c r="T43" s="419"/>
      <c r="U43" s="419"/>
      <c r="V43" s="419"/>
      <c r="W43" s="419"/>
      <c r="X43" s="419"/>
    </row>
    <row r="44" spans="1:56" s="127" customFormat="1" ht="18">
      <c r="A44" s="415"/>
      <c r="B44" s="527"/>
      <c r="C44" s="527"/>
      <c r="D44" s="527"/>
      <c r="E44" s="527"/>
      <c r="F44" s="527"/>
      <c r="G44" s="520"/>
      <c r="H44" s="527"/>
      <c r="I44" s="527"/>
      <c r="J44" s="527"/>
      <c r="L44" s="419"/>
      <c r="M44" s="419"/>
      <c r="N44" s="419"/>
      <c r="O44" s="419"/>
      <c r="P44" s="419"/>
      <c r="Q44" s="419"/>
      <c r="R44" s="419"/>
      <c r="S44" s="419"/>
      <c r="T44" s="419"/>
      <c r="U44" s="419"/>
      <c r="V44" s="419"/>
      <c r="W44" s="419"/>
      <c r="X44" s="419"/>
    </row>
    <row r="45" spans="1:56" s="417" customFormat="1" ht="42" customHeight="1">
      <c r="A45" s="417" t="s">
        <v>2020</v>
      </c>
      <c r="B45" s="529"/>
      <c r="C45" s="529"/>
      <c r="D45" s="529"/>
      <c r="E45" s="529"/>
      <c r="F45" s="529"/>
      <c r="G45" s="521"/>
      <c r="H45" s="529"/>
      <c r="I45" s="529"/>
      <c r="J45" s="529"/>
      <c r="L45" s="420"/>
      <c r="M45" s="420"/>
      <c r="N45" s="420"/>
      <c r="O45" s="420"/>
      <c r="P45" s="420"/>
      <c r="Q45" s="420"/>
      <c r="R45" s="420"/>
      <c r="S45" s="420"/>
      <c r="T45" s="420"/>
      <c r="U45" s="420"/>
      <c r="V45" s="420"/>
      <c r="W45" s="420"/>
      <c r="X45" s="420"/>
    </row>
    <row r="46" spans="1:56" s="409" customFormat="1" ht="111" customHeight="1">
      <c r="A46" s="409" t="s">
        <v>2021</v>
      </c>
      <c r="B46" s="530" t="s">
        <v>2022</v>
      </c>
      <c r="C46" s="530" t="s">
        <v>2023</v>
      </c>
      <c r="D46" s="522" t="s">
        <v>2024</v>
      </c>
      <c r="E46" s="522" t="s">
        <v>2025</v>
      </c>
      <c r="F46" s="522" t="s">
        <v>2026</v>
      </c>
      <c r="G46" s="522" t="s">
        <v>2027</v>
      </c>
      <c r="H46" s="522" t="s">
        <v>2028</v>
      </c>
      <c r="I46" s="522" t="s">
        <v>2029</v>
      </c>
      <c r="J46" s="522" t="s">
        <v>2030</v>
      </c>
      <c r="K46" s="517" t="s">
        <v>2031</v>
      </c>
      <c r="L46" s="517" t="s">
        <v>2032</v>
      </c>
      <c r="M46" s="517" t="s">
        <v>2033</v>
      </c>
      <c r="N46" s="517" t="s">
        <v>2034</v>
      </c>
      <c r="O46" s="517" t="s">
        <v>2035</v>
      </c>
      <c r="P46" s="517" t="s">
        <v>2036</v>
      </c>
      <c r="Q46" s="517" t="s">
        <v>2037</v>
      </c>
      <c r="R46" s="517" t="s">
        <v>2038</v>
      </c>
      <c r="S46" s="409" t="s">
        <v>2039</v>
      </c>
    </row>
    <row r="47" spans="1:56" s="103" customFormat="1" ht="59.25" customHeight="1">
      <c r="A47" s="103" t="s">
        <v>2040</v>
      </c>
      <c r="B47" s="531" t="s">
        <v>2041</v>
      </c>
      <c r="C47" s="254" t="s">
        <v>68</v>
      </c>
      <c r="D47" s="532" t="s">
        <v>1457</v>
      </c>
      <c r="E47" s="532" t="s">
        <v>1457</v>
      </c>
      <c r="F47" s="254">
        <v>4.5</v>
      </c>
      <c r="G47" s="108">
        <v>1</v>
      </c>
      <c r="H47" s="168" t="s">
        <v>1457</v>
      </c>
      <c r="I47" s="168" t="s">
        <v>1457</v>
      </c>
      <c r="J47" s="254">
        <v>1.5</v>
      </c>
      <c r="K47" s="103">
        <v>1</v>
      </c>
      <c r="L47" s="421" t="s">
        <v>1952</v>
      </c>
      <c r="M47" s="422" t="s">
        <v>1457</v>
      </c>
      <c r="N47" s="422" t="s">
        <v>1457</v>
      </c>
      <c r="O47" s="422" t="s">
        <v>1457</v>
      </c>
      <c r="P47" s="422" t="s">
        <v>1457</v>
      </c>
      <c r="Q47" s="414" t="s">
        <v>2042</v>
      </c>
      <c r="R47" s="414" t="s">
        <v>2043</v>
      </c>
      <c r="S47" s="414" t="s">
        <v>2044</v>
      </c>
      <c r="T47" s="414"/>
      <c r="U47" s="414"/>
      <c r="V47" s="414"/>
      <c r="W47" s="414"/>
      <c r="X47" s="414"/>
    </row>
    <row r="48" spans="1:56" s="103" customFormat="1" ht="59.25" customHeight="1">
      <c r="A48" s="103" t="s">
        <v>2040</v>
      </c>
      <c r="B48" s="531" t="s">
        <v>2041</v>
      </c>
      <c r="C48" s="254" t="s">
        <v>68</v>
      </c>
      <c r="D48" s="532" t="s">
        <v>1457</v>
      </c>
      <c r="E48" s="532" t="s">
        <v>1457</v>
      </c>
      <c r="F48" s="254">
        <v>4.5</v>
      </c>
      <c r="G48" s="108">
        <v>1</v>
      </c>
      <c r="H48" s="168" t="s">
        <v>1457</v>
      </c>
      <c r="I48" s="168" t="s">
        <v>1457</v>
      </c>
      <c r="J48" s="254">
        <v>1.5</v>
      </c>
      <c r="K48" s="103">
        <v>1</v>
      </c>
      <c r="L48" s="421" t="s">
        <v>2045</v>
      </c>
      <c r="M48" s="422" t="s">
        <v>1457</v>
      </c>
      <c r="N48" s="422" t="s">
        <v>1457</v>
      </c>
      <c r="O48" s="422" t="s">
        <v>1457</v>
      </c>
      <c r="P48" s="422" t="s">
        <v>1457</v>
      </c>
      <c r="Q48" s="414" t="s">
        <v>2046</v>
      </c>
      <c r="R48" s="414" t="s">
        <v>2047</v>
      </c>
      <c r="S48" s="414" t="s">
        <v>2044</v>
      </c>
      <c r="T48" s="414"/>
      <c r="U48" s="414"/>
      <c r="V48" s="414"/>
      <c r="W48" s="414"/>
      <c r="X48" s="414"/>
    </row>
    <row r="49" spans="1:24" s="103" customFormat="1" ht="59.25" customHeight="1">
      <c r="A49" s="103" t="s">
        <v>2040</v>
      </c>
      <c r="B49" s="531" t="s">
        <v>2041</v>
      </c>
      <c r="C49" s="254" t="s">
        <v>68</v>
      </c>
      <c r="D49" s="532" t="s">
        <v>1457</v>
      </c>
      <c r="E49" s="532" t="s">
        <v>1457</v>
      </c>
      <c r="F49" s="254">
        <v>4.5</v>
      </c>
      <c r="G49" s="108">
        <v>1</v>
      </c>
      <c r="H49" s="168" t="s">
        <v>1457</v>
      </c>
      <c r="I49" s="168" t="s">
        <v>1457</v>
      </c>
      <c r="J49" s="254">
        <v>1.5</v>
      </c>
      <c r="K49" s="103">
        <v>1</v>
      </c>
      <c r="L49" s="421" t="s">
        <v>2048</v>
      </c>
      <c r="M49" s="422" t="s">
        <v>1457</v>
      </c>
      <c r="N49" s="422" t="s">
        <v>1457</v>
      </c>
      <c r="O49" s="422" t="s">
        <v>1457</v>
      </c>
      <c r="P49" s="422" t="s">
        <v>1457</v>
      </c>
      <c r="Q49" s="414" t="s">
        <v>2049</v>
      </c>
      <c r="R49" s="414" t="s">
        <v>2050</v>
      </c>
      <c r="S49" s="414" t="s">
        <v>2044</v>
      </c>
      <c r="T49" s="414"/>
      <c r="U49" s="414"/>
      <c r="V49" s="414"/>
      <c r="W49" s="414"/>
      <c r="X49" s="414"/>
    </row>
    <row r="50" spans="1:24" s="390" customFormat="1" ht="18">
      <c r="B50" s="533"/>
      <c r="C50" s="473"/>
      <c r="D50" s="473"/>
      <c r="E50" s="473"/>
      <c r="F50" s="473"/>
      <c r="G50" s="458"/>
      <c r="H50" s="473"/>
      <c r="I50" s="473"/>
      <c r="J50" s="473"/>
      <c r="L50" s="423"/>
      <c r="M50" s="389"/>
      <c r="N50" s="389"/>
      <c r="O50" s="389"/>
      <c r="P50" s="389"/>
      <c r="Q50" s="389"/>
      <c r="R50" s="389"/>
      <c r="S50" s="389"/>
      <c r="T50" s="389"/>
      <c r="U50" s="389"/>
      <c r="V50" s="389"/>
      <c r="W50" s="389"/>
      <c r="X50" s="389"/>
    </row>
    <row r="51" spans="1:24" s="103" customFormat="1" ht="57">
      <c r="A51" s="103" t="s">
        <v>1465</v>
      </c>
      <c r="B51" s="531" t="s">
        <v>2041</v>
      </c>
      <c r="C51" s="254" t="s">
        <v>68</v>
      </c>
      <c r="D51" s="532" t="s">
        <v>1457</v>
      </c>
      <c r="E51" s="532" t="s">
        <v>1457</v>
      </c>
      <c r="F51" s="254">
        <v>4.5</v>
      </c>
      <c r="G51" s="108">
        <v>1</v>
      </c>
      <c r="H51" s="168" t="s">
        <v>1457</v>
      </c>
      <c r="I51" s="168" t="s">
        <v>1457</v>
      </c>
      <c r="J51" s="254">
        <v>3</v>
      </c>
      <c r="K51" s="103">
        <v>1</v>
      </c>
      <c r="L51" s="421" t="s">
        <v>1952</v>
      </c>
      <c r="M51" s="422" t="s">
        <v>1457</v>
      </c>
      <c r="N51" s="422" t="s">
        <v>1457</v>
      </c>
      <c r="O51" s="422" t="s">
        <v>1457</v>
      </c>
      <c r="P51" s="422" t="s">
        <v>1457</v>
      </c>
      <c r="Q51" s="414" t="s">
        <v>2051</v>
      </c>
      <c r="R51" s="414" t="s">
        <v>2052</v>
      </c>
      <c r="S51" s="414" t="s">
        <v>2053</v>
      </c>
      <c r="T51" s="414"/>
      <c r="U51" s="414"/>
      <c r="V51" s="414"/>
      <c r="W51" s="414"/>
      <c r="X51" s="414"/>
    </row>
    <row r="52" spans="1:24" s="103" customFormat="1" ht="57">
      <c r="A52" s="103" t="s">
        <v>1465</v>
      </c>
      <c r="B52" s="531" t="s">
        <v>2041</v>
      </c>
      <c r="C52" s="254" t="s">
        <v>68</v>
      </c>
      <c r="D52" s="532" t="s">
        <v>1457</v>
      </c>
      <c r="E52" s="532" t="s">
        <v>1457</v>
      </c>
      <c r="F52" s="254">
        <v>4.5</v>
      </c>
      <c r="G52" s="108">
        <v>1</v>
      </c>
      <c r="H52" s="168" t="s">
        <v>1457</v>
      </c>
      <c r="I52" s="168" t="s">
        <v>1457</v>
      </c>
      <c r="J52" s="254">
        <v>3</v>
      </c>
      <c r="K52" s="103">
        <v>1</v>
      </c>
      <c r="L52" s="421" t="s">
        <v>2045</v>
      </c>
      <c r="M52" s="422" t="s">
        <v>1457</v>
      </c>
      <c r="N52" s="422" t="s">
        <v>1457</v>
      </c>
      <c r="O52" s="422" t="s">
        <v>1457</v>
      </c>
      <c r="P52" s="422" t="s">
        <v>1457</v>
      </c>
      <c r="Q52" s="414" t="s">
        <v>2054</v>
      </c>
      <c r="R52" s="414" t="s">
        <v>2055</v>
      </c>
      <c r="S52" s="414" t="s">
        <v>2053</v>
      </c>
      <c r="T52" s="414"/>
      <c r="U52" s="414"/>
      <c r="V52" s="414"/>
      <c r="W52" s="414"/>
      <c r="X52" s="414"/>
    </row>
    <row r="53" spans="1:24" s="103" customFormat="1" ht="57">
      <c r="A53" s="103" t="s">
        <v>1465</v>
      </c>
      <c r="B53" s="531" t="s">
        <v>2041</v>
      </c>
      <c r="C53" s="254" t="s">
        <v>68</v>
      </c>
      <c r="D53" s="532" t="s">
        <v>1457</v>
      </c>
      <c r="E53" s="532" t="s">
        <v>1457</v>
      </c>
      <c r="F53" s="254">
        <v>4.5</v>
      </c>
      <c r="G53" s="108">
        <v>1</v>
      </c>
      <c r="H53" s="168" t="s">
        <v>1457</v>
      </c>
      <c r="I53" s="168" t="s">
        <v>1457</v>
      </c>
      <c r="J53" s="254">
        <v>3</v>
      </c>
      <c r="K53" s="103">
        <v>1</v>
      </c>
      <c r="L53" s="421" t="s">
        <v>2048</v>
      </c>
      <c r="M53" s="422" t="s">
        <v>1457</v>
      </c>
      <c r="N53" s="422" t="s">
        <v>1457</v>
      </c>
      <c r="O53" s="422" t="s">
        <v>1457</v>
      </c>
      <c r="P53" s="422" t="s">
        <v>1457</v>
      </c>
      <c r="Q53" s="414" t="s">
        <v>2056</v>
      </c>
      <c r="R53" s="414" t="s">
        <v>2057</v>
      </c>
      <c r="S53" s="414" t="s">
        <v>2053</v>
      </c>
      <c r="T53" s="414"/>
      <c r="U53" s="414"/>
      <c r="V53" s="414"/>
      <c r="W53" s="414"/>
      <c r="X53" s="414"/>
    </row>
    <row r="54" spans="1:24" s="103" customFormat="1" ht="18">
      <c r="B54" s="531"/>
      <c r="C54" s="254"/>
      <c r="D54" s="532"/>
      <c r="E54" s="532"/>
      <c r="F54" s="254"/>
      <c r="G54" s="108"/>
      <c r="H54" s="168"/>
      <c r="I54" s="168"/>
      <c r="J54" s="254"/>
      <c r="L54" s="421"/>
      <c r="M54" s="414"/>
      <c r="N54" s="414"/>
      <c r="O54" s="414"/>
      <c r="P54" s="414"/>
      <c r="Q54" s="414"/>
      <c r="R54" s="414"/>
      <c r="S54" s="414"/>
      <c r="T54" s="414"/>
      <c r="U54" s="414"/>
      <c r="V54" s="414"/>
      <c r="W54" s="414"/>
      <c r="X54" s="414"/>
    </row>
    <row r="55" spans="1:24" s="103" customFormat="1" ht="76">
      <c r="A55" s="103" t="s">
        <v>1781</v>
      </c>
      <c r="B55" s="531" t="s">
        <v>2058</v>
      </c>
      <c r="C55" s="254" t="s">
        <v>2059</v>
      </c>
      <c r="D55" s="254">
        <v>1</v>
      </c>
      <c r="E55" s="254">
        <v>1</v>
      </c>
      <c r="F55" s="254">
        <v>4.5</v>
      </c>
      <c r="G55" s="108">
        <v>1</v>
      </c>
      <c r="H55" s="254">
        <v>0.5</v>
      </c>
      <c r="I55" s="254">
        <v>1</v>
      </c>
      <c r="J55" s="254">
        <v>1.5</v>
      </c>
      <c r="K55" s="103">
        <v>1</v>
      </c>
      <c r="L55" s="421" t="s">
        <v>1952</v>
      </c>
      <c r="M55" s="414" t="s">
        <v>2060</v>
      </c>
      <c r="N55" s="414" t="s">
        <v>2061</v>
      </c>
      <c r="O55" s="414" t="s">
        <v>2062</v>
      </c>
      <c r="P55" s="414" t="s">
        <v>2063</v>
      </c>
      <c r="Q55" s="414" t="s">
        <v>2064</v>
      </c>
      <c r="R55" s="414" t="s">
        <v>2065</v>
      </c>
      <c r="S55" s="414" t="s">
        <v>2044</v>
      </c>
      <c r="T55" s="414"/>
      <c r="U55" s="414"/>
      <c r="V55" s="414"/>
      <c r="W55" s="414"/>
      <c r="X55" s="414"/>
    </row>
    <row r="56" spans="1:24" s="103" customFormat="1" ht="76">
      <c r="A56" s="103" t="s">
        <v>1781</v>
      </c>
      <c r="B56" s="531" t="s">
        <v>2058</v>
      </c>
      <c r="C56" s="254" t="s">
        <v>2059</v>
      </c>
      <c r="D56" s="254">
        <v>1</v>
      </c>
      <c r="E56" s="254">
        <v>1</v>
      </c>
      <c r="F56" s="254">
        <v>4.5</v>
      </c>
      <c r="G56" s="108">
        <v>1</v>
      </c>
      <c r="H56" s="254">
        <v>0.5</v>
      </c>
      <c r="I56" s="254">
        <v>1</v>
      </c>
      <c r="J56" s="254">
        <v>1.5</v>
      </c>
      <c r="K56" s="103">
        <v>1</v>
      </c>
      <c r="L56" s="421" t="s">
        <v>2066</v>
      </c>
      <c r="M56" s="414" t="s">
        <v>2067</v>
      </c>
      <c r="N56" s="414" t="s">
        <v>2068</v>
      </c>
      <c r="O56" s="414" t="s">
        <v>2069</v>
      </c>
      <c r="P56" s="414" t="s">
        <v>2070</v>
      </c>
      <c r="Q56" s="414" t="s">
        <v>2071</v>
      </c>
      <c r="R56" s="414" t="s">
        <v>2072</v>
      </c>
      <c r="S56" s="414" t="s">
        <v>2044</v>
      </c>
      <c r="T56" s="414"/>
      <c r="U56" s="414"/>
      <c r="V56" s="414"/>
      <c r="W56" s="414"/>
      <c r="X56" s="414"/>
    </row>
    <row r="57" spans="1:24" s="103" customFormat="1" ht="76">
      <c r="A57" s="103" t="s">
        <v>1781</v>
      </c>
      <c r="B57" s="531" t="s">
        <v>2058</v>
      </c>
      <c r="C57" s="254" t="s">
        <v>2059</v>
      </c>
      <c r="D57" s="254">
        <v>1</v>
      </c>
      <c r="E57" s="254">
        <v>1</v>
      </c>
      <c r="F57" s="254">
        <v>4.5</v>
      </c>
      <c r="G57" s="108">
        <v>1</v>
      </c>
      <c r="H57" s="254">
        <v>0.5</v>
      </c>
      <c r="I57" s="254">
        <v>1</v>
      </c>
      <c r="J57" s="254">
        <v>1.5</v>
      </c>
      <c r="K57" s="103">
        <v>1</v>
      </c>
      <c r="L57" s="421" t="s">
        <v>2045</v>
      </c>
      <c r="M57" s="414" t="s">
        <v>2073</v>
      </c>
      <c r="N57" s="414" t="s">
        <v>2074</v>
      </c>
      <c r="O57" s="414" t="s">
        <v>2075</v>
      </c>
      <c r="P57" s="414" t="s">
        <v>2076</v>
      </c>
      <c r="Q57" s="414" t="s">
        <v>2077</v>
      </c>
      <c r="R57" s="414" t="s">
        <v>2078</v>
      </c>
      <c r="S57" s="414" t="s">
        <v>2044</v>
      </c>
      <c r="T57" s="414"/>
      <c r="U57" s="414"/>
      <c r="V57" s="414"/>
      <c r="W57" s="414"/>
      <c r="X57" s="414"/>
    </row>
    <row r="58" spans="1:24" s="103" customFormat="1" ht="76">
      <c r="A58" s="103" t="s">
        <v>1781</v>
      </c>
      <c r="B58" s="531" t="s">
        <v>2058</v>
      </c>
      <c r="C58" s="254" t="s">
        <v>2059</v>
      </c>
      <c r="D58" s="254">
        <v>1</v>
      </c>
      <c r="E58" s="254">
        <v>1</v>
      </c>
      <c r="F58" s="254">
        <v>4.5</v>
      </c>
      <c r="G58" s="108">
        <v>1</v>
      </c>
      <c r="H58" s="254">
        <v>0.5</v>
      </c>
      <c r="I58" s="254">
        <v>1</v>
      </c>
      <c r="J58" s="254">
        <v>1.5</v>
      </c>
      <c r="K58" s="103">
        <v>1</v>
      </c>
      <c r="L58" s="421" t="s">
        <v>2079</v>
      </c>
      <c r="M58" s="414" t="s">
        <v>2080</v>
      </c>
      <c r="N58" s="414" t="s">
        <v>2081</v>
      </c>
      <c r="O58" s="414" t="s">
        <v>2082</v>
      </c>
      <c r="P58" s="414" t="s">
        <v>2083</v>
      </c>
      <c r="Q58" s="414" t="s">
        <v>2084</v>
      </c>
      <c r="R58" s="414" t="s">
        <v>2085</v>
      </c>
      <c r="S58" s="414" t="s">
        <v>2044</v>
      </c>
      <c r="T58" s="414"/>
      <c r="U58" s="414"/>
      <c r="V58" s="414"/>
      <c r="W58" s="414"/>
      <c r="X58" s="414"/>
    </row>
    <row r="59" spans="1:24" s="103" customFormat="1" ht="76">
      <c r="A59" s="103" t="s">
        <v>1781</v>
      </c>
      <c r="B59" s="531" t="s">
        <v>2058</v>
      </c>
      <c r="C59" s="254" t="s">
        <v>2059</v>
      </c>
      <c r="D59" s="254">
        <v>1</v>
      </c>
      <c r="E59" s="254">
        <v>1</v>
      </c>
      <c r="F59" s="254">
        <v>4.5</v>
      </c>
      <c r="G59" s="108">
        <v>1</v>
      </c>
      <c r="H59" s="254">
        <v>0.5</v>
      </c>
      <c r="I59" s="254">
        <v>1</v>
      </c>
      <c r="J59" s="254">
        <v>1.5</v>
      </c>
      <c r="K59" s="103">
        <v>1</v>
      </c>
      <c r="L59" s="421" t="s">
        <v>2048</v>
      </c>
      <c r="M59" s="414" t="s">
        <v>2086</v>
      </c>
      <c r="N59" s="414" t="s">
        <v>2087</v>
      </c>
      <c r="O59" s="414" t="s">
        <v>2088</v>
      </c>
      <c r="P59" s="414" t="s">
        <v>2089</v>
      </c>
      <c r="Q59" s="414" t="s">
        <v>2090</v>
      </c>
      <c r="R59" s="414" t="s">
        <v>2091</v>
      </c>
      <c r="S59" s="414" t="s">
        <v>2044</v>
      </c>
      <c r="T59" s="414"/>
      <c r="U59" s="414"/>
      <c r="V59" s="414"/>
      <c r="W59" s="414"/>
      <c r="X59" s="414"/>
    </row>
    <row r="60" spans="1:24" s="103" customFormat="1" ht="18">
      <c r="B60" s="531"/>
      <c r="C60" s="254"/>
      <c r="D60" s="254"/>
      <c r="E60" s="254"/>
      <c r="F60" s="254"/>
      <c r="G60" s="108"/>
      <c r="H60" s="254"/>
      <c r="I60" s="254"/>
      <c r="J60" s="254"/>
      <c r="L60" s="421"/>
      <c r="M60" s="414"/>
      <c r="N60" s="414"/>
      <c r="O60" s="414"/>
      <c r="P60" s="414"/>
      <c r="Q60" s="414"/>
      <c r="R60" s="414"/>
      <c r="S60" s="414"/>
      <c r="T60" s="414"/>
      <c r="U60" s="414"/>
      <c r="V60" s="414"/>
      <c r="W60" s="414"/>
      <c r="X60" s="414"/>
    </row>
    <row r="61" spans="1:24" s="103" customFormat="1" ht="76">
      <c r="A61" s="103" t="s">
        <v>398</v>
      </c>
      <c r="B61" s="531" t="s">
        <v>2058</v>
      </c>
      <c r="C61" s="254" t="s">
        <v>2059</v>
      </c>
      <c r="D61" s="254">
        <v>1</v>
      </c>
      <c r="E61" s="254">
        <v>1</v>
      </c>
      <c r="F61" s="254">
        <v>4.5</v>
      </c>
      <c r="G61" s="108">
        <v>1</v>
      </c>
      <c r="H61" s="254">
        <v>1</v>
      </c>
      <c r="I61" s="254">
        <v>1</v>
      </c>
      <c r="J61" s="254">
        <v>3</v>
      </c>
      <c r="K61" s="103">
        <v>1</v>
      </c>
      <c r="L61" s="421" t="s">
        <v>1952</v>
      </c>
      <c r="M61" s="414" t="s">
        <v>2092</v>
      </c>
      <c r="N61" s="414" t="s">
        <v>2093</v>
      </c>
      <c r="O61" s="414" t="s">
        <v>2094</v>
      </c>
      <c r="P61" s="414" t="s">
        <v>2095</v>
      </c>
      <c r="Q61" s="414" t="s">
        <v>2096</v>
      </c>
      <c r="R61" s="414" t="s">
        <v>2097</v>
      </c>
      <c r="S61" s="414" t="s">
        <v>2098</v>
      </c>
      <c r="T61" s="414"/>
      <c r="U61" s="414"/>
      <c r="V61" s="414"/>
      <c r="W61" s="414"/>
      <c r="X61" s="414"/>
    </row>
    <row r="62" spans="1:24" s="103" customFormat="1" ht="76">
      <c r="A62" s="103" t="s">
        <v>398</v>
      </c>
      <c r="B62" s="531" t="s">
        <v>2058</v>
      </c>
      <c r="C62" s="254" t="s">
        <v>2059</v>
      </c>
      <c r="D62" s="254">
        <v>1</v>
      </c>
      <c r="E62" s="254">
        <v>1</v>
      </c>
      <c r="F62" s="254">
        <v>4.5</v>
      </c>
      <c r="G62" s="108">
        <v>1</v>
      </c>
      <c r="H62" s="254">
        <v>1</v>
      </c>
      <c r="I62" s="254">
        <v>1</v>
      </c>
      <c r="J62" s="254">
        <v>3</v>
      </c>
      <c r="K62" s="103">
        <v>1</v>
      </c>
      <c r="L62" s="421" t="s">
        <v>2066</v>
      </c>
      <c r="M62" s="414" t="s">
        <v>2099</v>
      </c>
      <c r="N62" s="414" t="s">
        <v>2100</v>
      </c>
      <c r="O62" s="414" t="s">
        <v>2101</v>
      </c>
      <c r="P62" s="414" t="s">
        <v>2102</v>
      </c>
      <c r="Q62" s="414" t="s">
        <v>2103</v>
      </c>
      <c r="R62" s="414" t="s">
        <v>2104</v>
      </c>
      <c r="S62" s="414" t="s">
        <v>2098</v>
      </c>
      <c r="T62" s="414"/>
      <c r="U62" s="414"/>
      <c r="V62" s="414"/>
      <c r="W62" s="414"/>
      <c r="X62" s="414"/>
    </row>
    <row r="63" spans="1:24" s="103" customFormat="1" ht="76">
      <c r="A63" s="103" t="s">
        <v>398</v>
      </c>
      <c r="B63" s="531" t="s">
        <v>2058</v>
      </c>
      <c r="C63" s="254" t="s">
        <v>2059</v>
      </c>
      <c r="D63" s="254">
        <v>1</v>
      </c>
      <c r="E63" s="254">
        <v>1</v>
      </c>
      <c r="F63" s="254">
        <v>4.5</v>
      </c>
      <c r="G63" s="108">
        <v>1</v>
      </c>
      <c r="H63" s="254">
        <v>1</v>
      </c>
      <c r="I63" s="254">
        <v>1</v>
      </c>
      <c r="J63" s="254">
        <v>3</v>
      </c>
      <c r="K63" s="103">
        <v>1</v>
      </c>
      <c r="L63" s="421" t="s">
        <v>2045</v>
      </c>
      <c r="M63" s="414" t="s">
        <v>2105</v>
      </c>
      <c r="N63" s="414" t="s">
        <v>2106</v>
      </c>
      <c r="O63" s="414" t="s">
        <v>2107</v>
      </c>
      <c r="P63" s="414" t="s">
        <v>2108</v>
      </c>
      <c r="Q63" s="414" t="s">
        <v>2109</v>
      </c>
      <c r="R63" s="414" t="s">
        <v>2110</v>
      </c>
      <c r="S63" s="414" t="s">
        <v>2098</v>
      </c>
      <c r="T63" s="414"/>
      <c r="U63" s="414"/>
      <c r="V63" s="414"/>
      <c r="W63" s="414"/>
      <c r="X63" s="414"/>
    </row>
    <row r="64" spans="1:24" s="103" customFormat="1" ht="76">
      <c r="A64" s="103" t="s">
        <v>398</v>
      </c>
      <c r="B64" s="531" t="s">
        <v>2058</v>
      </c>
      <c r="C64" s="254" t="s">
        <v>2059</v>
      </c>
      <c r="D64" s="254">
        <v>1</v>
      </c>
      <c r="E64" s="254">
        <v>1</v>
      </c>
      <c r="F64" s="254">
        <v>4.5</v>
      </c>
      <c r="G64" s="108">
        <v>1</v>
      </c>
      <c r="H64" s="254">
        <v>1</v>
      </c>
      <c r="I64" s="254">
        <v>1</v>
      </c>
      <c r="J64" s="254">
        <v>3</v>
      </c>
      <c r="K64" s="103">
        <v>1</v>
      </c>
      <c r="L64" s="421" t="s">
        <v>2079</v>
      </c>
      <c r="M64" s="414" t="s">
        <v>2111</v>
      </c>
      <c r="N64" s="414" t="s">
        <v>2112</v>
      </c>
      <c r="O64" s="414" t="s">
        <v>2113</v>
      </c>
      <c r="P64" s="414" t="s">
        <v>2114</v>
      </c>
      <c r="Q64" s="414" t="s">
        <v>2115</v>
      </c>
      <c r="R64" s="414" t="s">
        <v>2116</v>
      </c>
      <c r="S64" s="414" t="s">
        <v>2098</v>
      </c>
      <c r="T64" s="414"/>
      <c r="U64" s="414"/>
      <c r="V64" s="414"/>
      <c r="W64" s="414"/>
      <c r="X64" s="414"/>
    </row>
    <row r="65" spans="1:24" s="103" customFormat="1" ht="76">
      <c r="A65" s="103" t="s">
        <v>398</v>
      </c>
      <c r="B65" s="531" t="s">
        <v>2058</v>
      </c>
      <c r="C65" s="254" t="s">
        <v>2059</v>
      </c>
      <c r="D65" s="254">
        <v>1</v>
      </c>
      <c r="E65" s="254">
        <v>1</v>
      </c>
      <c r="F65" s="254">
        <v>4.5</v>
      </c>
      <c r="G65" s="108">
        <v>1</v>
      </c>
      <c r="H65" s="254">
        <v>1</v>
      </c>
      <c r="I65" s="254">
        <v>1</v>
      </c>
      <c r="J65" s="254">
        <v>3</v>
      </c>
      <c r="K65" s="103">
        <v>1</v>
      </c>
      <c r="L65" s="421" t="s">
        <v>2048</v>
      </c>
      <c r="M65" s="414" t="s">
        <v>2117</v>
      </c>
      <c r="N65" s="414" t="s">
        <v>2118</v>
      </c>
      <c r="O65" s="414" t="s">
        <v>2119</v>
      </c>
      <c r="P65" s="414" t="s">
        <v>2120</v>
      </c>
      <c r="Q65" s="414" t="s">
        <v>2121</v>
      </c>
      <c r="R65" s="414" t="s">
        <v>2122</v>
      </c>
      <c r="S65" s="414" t="s">
        <v>2098</v>
      </c>
      <c r="T65" s="414"/>
      <c r="U65" s="414"/>
      <c r="V65" s="414"/>
      <c r="W65" s="414"/>
      <c r="X65" s="414"/>
    </row>
    <row r="66" spans="1:24" s="103" customFormat="1" ht="18">
      <c r="B66" s="534"/>
      <c r="C66" s="535"/>
      <c r="D66" s="535"/>
      <c r="E66" s="535"/>
      <c r="F66" s="535"/>
      <c r="G66" s="520"/>
      <c r="H66" s="535"/>
      <c r="I66" s="535"/>
      <c r="J66" s="535"/>
      <c r="L66" s="421"/>
      <c r="M66" s="414"/>
      <c r="N66" s="414"/>
      <c r="O66" s="414"/>
      <c r="P66" s="414"/>
      <c r="Q66" s="414"/>
      <c r="R66" s="414"/>
      <c r="S66" s="414"/>
      <c r="T66" s="414"/>
      <c r="U66" s="414"/>
      <c r="V66" s="414"/>
      <c r="W66" s="414"/>
      <c r="X66" s="414"/>
    </row>
    <row r="67" spans="1:24" s="103" customFormat="1" ht="18">
      <c r="B67" s="534"/>
      <c r="C67" s="535"/>
      <c r="D67" s="535"/>
      <c r="E67" s="535"/>
      <c r="F67" s="535"/>
      <c r="G67" s="520"/>
      <c r="H67" s="535"/>
      <c r="I67" s="535"/>
      <c r="J67" s="535"/>
      <c r="L67" s="421"/>
      <c r="M67" s="414"/>
      <c r="N67" s="414"/>
      <c r="O67" s="414"/>
      <c r="P67" s="414"/>
      <c r="Q67" s="414"/>
      <c r="R67" s="414"/>
      <c r="S67" s="414"/>
      <c r="T67" s="414"/>
      <c r="U67" s="414"/>
      <c r="V67" s="414"/>
      <c r="W67" s="414"/>
      <c r="X67" s="414"/>
    </row>
    <row r="68" spans="1:24" s="103" customFormat="1" ht="18">
      <c r="B68" s="534"/>
      <c r="C68" s="535"/>
      <c r="D68" s="535"/>
      <c r="E68" s="535"/>
      <c r="F68" s="535"/>
      <c r="G68" s="520"/>
      <c r="H68" s="535"/>
      <c r="I68" s="535"/>
      <c r="J68" s="535"/>
      <c r="L68" s="421"/>
      <c r="M68" s="414"/>
      <c r="N68" s="414"/>
      <c r="O68" s="414"/>
      <c r="P68" s="414"/>
      <c r="Q68" s="414"/>
      <c r="R68" s="414"/>
      <c r="S68" s="414"/>
      <c r="T68" s="414"/>
      <c r="U68" s="414"/>
      <c r="V68" s="414"/>
      <c r="W68" s="414"/>
      <c r="X68" s="414"/>
    </row>
    <row r="69" spans="1:24" s="103" customFormat="1" ht="18">
      <c r="B69" s="535"/>
      <c r="C69" s="535"/>
      <c r="D69" s="535"/>
      <c r="E69" s="535"/>
      <c r="F69" s="535"/>
      <c r="G69" s="520"/>
      <c r="H69" s="535"/>
      <c r="I69" s="535"/>
      <c r="J69" s="535"/>
      <c r="L69" s="421"/>
      <c r="M69" s="414"/>
      <c r="N69" s="414"/>
      <c r="O69" s="414"/>
      <c r="P69" s="414"/>
      <c r="Q69" s="414"/>
      <c r="R69" s="414"/>
      <c r="S69" s="414"/>
      <c r="T69" s="414"/>
      <c r="U69" s="414"/>
      <c r="V69" s="414"/>
      <c r="W69" s="414"/>
      <c r="X69" s="414"/>
    </row>
    <row r="70" spans="1:24" s="103" customFormat="1" ht="18">
      <c r="B70" s="535"/>
      <c r="C70" s="535"/>
      <c r="D70" s="535"/>
      <c r="E70" s="535"/>
      <c r="F70" s="535"/>
      <c r="G70" s="520"/>
      <c r="H70" s="535"/>
      <c r="I70" s="535"/>
      <c r="J70" s="535"/>
      <c r="L70" s="421"/>
      <c r="M70" s="414"/>
      <c r="N70" s="414"/>
      <c r="O70" s="414"/>
      <c r="P70" s="414"/>
      <c r="Q70" s="414"/>
      <c r="R70" s="414"/>
      <c r="S70" s="414"/>
      <c r="T70" s="414"/>
      <c r="U70" s="414"/>
      <c r="V70" s="414"/>
      <c r="W70" s="414"/>
      <c r="X70" s="414"/>
    </row>
    <row r="71" spans="1:24" s="103" customFormat="1" ht="18">
      <c r="B71" s="535"/>
      <c r="C71" s="535"/>
      <c r="D71" s="535"/>
      <c r="E71" s="535"/>
      <c r="F71" s="535"/>
      <c r="G71" s="520"/>
      <c r="H71" s="535"/>
      <c r="I71" s="535"/>
      <c r="J71" s="535"/>
      <c r="L71" s="421"/>
      <c r="M71" s="414"/>
      <c r="N71" s="414"/>
      <c r="O71" s="414"/>
      <c r="P71" s="414"/>
      <c r="Q71" s="414"/>
      <c r="R71" s="414"/>
      <c r="S71" s="414"/>
      <c r="T71" s="414"/>
      <c r="U71" s="414"/>
      <c r="V71" s="414"/>
      <c r="W71" s="414"/>
      <c r="X71" s="414"/>
    </row>
    <row r="72" spans="1:24" s="2" customFormat="1" ht="16">
      <c r="B72" s="536"/>
      <c r="C72" s="536"/>
      <c r="D72" s="536"/>
      <c r="E72" s="536"/>
      <c r="F72" s="536"/>
      <c r="G72" s="523"/>
      <c r="H72" s="536"/>
      <c r="I72" s="536"/>
      <c r="J72" s="536"/>
      <c r="L72" s="424"/>
      <c r="M72" s="402"/>
      <c r="N72" s="402"/>
      <c r="O72" s="402"/>
      <c r="P72" s="402"/>
      <c r="Q72" s="402"/>
      <c r="R72" s="402"/>
      <c r="S72" s="402"/>
      <c r="T72" s="402"/>
      <c r="U72" s="402"/>
      <c r="V72" s="402"/>
      <c r="W72" s="402"/>
      <c r="X72" s="402"/>
    </row>
    <row r="73" spans="1:24" s="2" customFormat="1" ht="16">
      <c r="B73" s="536"/>
      <c r="C73" s="536"/>
      <c r="D73" s="536"/>
      <c r="E73" s="536"/>
      <c r="F73" s="536"/>
      <c r="G73" s="523"/>
      <c r="H73" s="536"/>
      <c r="I73" s="536"/>
      <c r="J73" s="536"/>
      <c r="L73" s="424"/>
      <c r="M73" s="402"/>
      <c r="N73" s="402"/>
      <c r="O73" s="402"/>
      <c r="P73" s="402"/>
      <c r="Q73" s="402"/>
      <c r="R73" s="402"/>
      <c r="S73" s="402"/>
      <c r="T73" s="402"/>
      <c r="U73" s="402"/>
      <c r="V73" s="402"/>
      <c r="W73" s="402"/>
      <c r="X73" s="402"/>
    </row>
    <row r="74" spans="1:24" s="2" customFormat="1" ht="16">
      <c r="B74" s="536"/>
      <c r="C74" s="536"/>
      <c r="D74" s="536"/>
      <c r="E74" s="536"/>
      <c r="F74" s="536"/>
      <c r="G74" s="523"/>
      <c r="H74" s="536"/>
      <c r="I74" s="536"/>
      <c r="J74" s="536"/>
      <c r="L74" s="424"/>
      <c r="M74" s="402"/>
      <c r="N74" s="402"/>
      <c r="O74" s="402"/>
      <c r="P74" s="402"/>
      <c r="Q74" s="402"/>
      <c r="R74" s="402"/>
      <c r="S74" s="402"/>
      <c r="T74" s="402"/>
      <c r="U74" s="402"/>
      <c r="V74" s="402"/>
      <c r="W74" s="402"/>
      <c r="X74" s="402"/>
    </row>
    <row r="75" spans="1:24" s="2" customFormat="1" ht="16">
      <c r="B75" s="536"/>
      <c r="C75" s="536"/>
      <c r="D75" s="536"/>
      <c r="E75" s="536"/>
      <c r="F75" s="536"/>
      <c r="G75" s="523"/>
      <c r="H75" s="536"/>
      <c r="I75" s="536"/>
      <c r="J75" s="536"/>
      <c r="L75" s="424"/>
      <c r="M75" s="402"/>
      <c r="N75" s="402"/>
      <c r="O75" s="402"/>
      <c r="P75" s="402"/>
      <c r="Q75" s="402"/>
      <c r="R75" s="402"/>
      <c r="S75" s="402"/>
      <c r="T75" s="402"/>
      <c r="U75" s="402"/>
      <c r="V75" s="402"/>
      <c r="W75" s="402"/>
      <c r="X75" s="402"/>
    </row>
    <row r="76" spans="1:24" s="2" customFormat="1" ht="16">
      <c r="B76" s="536"/>
      <c r="C76" s="536"/>
      <c r="D76" s="536"/>
      <c r="E76" s="536"/>
      <c r="F76" s="536"/>
      <c r="G76" s="523"/>
      <c r="H76" s="536"/>
      <c r="I76" s="536"/>
      <c r="J76" s="536"/>
      <c r="L76" s="424"/>
      <c r="M76" s="402"/>
      <c r="N76" s="402"/>
      <c r="O76" s="402"/>
      <c r="P76" s="402"/>
      <c r="Q76" s="402"/>
      <c r="R76" s="402"/>
      <c r="S76" s="402"/>
      <c r="T76" s="402"/>
      <c r="U76" s="402"/>
      <c r="V76" s="402"/>
      <c r="W76" s="402"/>
      <c r="X76" s="402"/>
    </row>
    <row r="77" spans="1:24" s="2" customFormat="1" ht="16">
      <c r="B77" s="536"/>
      <c r="C77" s="536"/>
      <c r="D77" s="536"/>
      <c r="E77" s="536"/>
      <c r="F77" s="536"/>
      <c r="G77" s="523"/>
      <c r="H77" s="536"/>
      <c r="I77" s="536"/>
      <c r="J77" s="536"/>
      <c r="L77" s="424"/>
      <c r="M77" s="402"/>
      <c r="N77" s="402"/>
      <c r="O77" s="402"/>
      <c r="P77" s="402"/>
      <c r="Q77" s="402"/>
      <c r="R77" s="402"/>
      <c r="S77" s="402"/>
      <c r="T77" s="402"/>
      <c r="U77" s="402"/>
      <c r="V77" s="402"/>
      <c r="W77" s="402"/>
      <c r="X77" s="402"/>
    </row>
    <row r="78" spans="1:24" s="2" customFormat="1" ht="16">
      <c r="B78" s="536"/>
      <c r="C78" s="536"/>
      <c r="D78" s="536"/>
      <c r="E78" s="536"/>
      <c r="F78" s="536"/>
      <c r="G78" s="523"/>
      <c r="H78" s="536"/>
      <c r="I78" s="536"/>
      <c r="J78" s="536"/>
      <c r="L78" s="424"/>
      <c r="M78" s="402"/>
      <c r="N78" s="402"/>
      <c r="O78" s="402"/>
      <c r="P78" s="402"/>
      <c r="Q78" s="402"/>
      <c r="R78" s="402"/>
      <c r="S78" s="402"/>
      <c r="T78" s="402"/>
      <c r="U78" s="402"/>
      <c r="V78" s="402"/>
      <c r="W78" s="402"/>
      <c r="X78" s="402"/>
    </row>
    <row r="79" spans="1:24" s="2" customFormat="1">
      <c r="B79" s="536"/>
      <c r="C79" s="536"/>
      <c r="D79" s="537"/>
      <c r="E79" s="536"/>
      <c r="F79" s="536"/>
      <c r="G79" s="524"/>
      <c r="H79" s="536"/>
      <c r="I79" s="536"/>
      <c r="J79" s="537"/>
      <c r="L79" s="424"/>
      <c r="M79" s="402"/>
      <c r="N79" s="402"/>
      <c r="O79" s="402"/>
      <c r="P79" s="402"/>
      <c r="Q79" s="402"/>
      <c r="R79" s="402"/>
      <c r="S79" s="402"/>
      <c r="T79" s="402"/>
      <c r="U79" s="402"/>
      <c r="V79" s="402"/>
      <c r="W79" s="402"/>
      <c r="X79" s="402"/>
    </row>
    <row r="80" spans="1:24" s="2" customFormat="1">
      <c r="B80" s="536"/>
      <c r="C80" s="536"/>
      <c r="D80" s="537"/>
      <c r="E80" s="536"/>
      <c r="F80" s="536"/>
      <c r="G80" s="524"/>
      <c r="H80" s="536"/>
      <c r="I80" s="536"/>
      <c r="J80" s="537"/>
      <c r="L80" s="402"/>
      <c r="M80" s="402"/>
      <c r="N80" s="402"/>
      <c r="O80" s="402"/>
      <c r="P80" s="402"/>
      <c r="Q80" s="402"/>
      <c r="R80" s="402"/>
      <c r="S80" s="402"/>
      <c r="T80" s="402"/>
      <c r="U80" s="402"/>
      <c r="V80" s="402"/>
      <c r="W80" s="402"/>
      <c r="X80" s="402"/>
    </row>
    <row r="81" spans="1:24" s="2" customFormat="1">
      <c r="B81" s="536"/>
      <c r="C81" s="536"/>
      <c r="D81" s="537"/>
      <c r="E81" s="536"/>
      <c r="F81" s="536"/>
      <c r="G81" s="524"/>
      <c r="H81" s="536"/>
      <c r="I81" s="536"/>
      <c r="J81" s="537"/>
      <c r="L81" s="402"/>
      <c r="M81" s="402"/>
      <c r="N81" s="402"/>
      <c r="O81" s="402"/>
      <c r="P81" s="402"/>
      <c r="Q81" s="402"/>
      <c r="R81" s="402"/>
      <c r="S81" s="402"/>
      <c r="T81" s="402"/>
      <c r="U81" s="402"/>
      <c r="V81" s="402"/>
      <c r="W81" s="402"/>
      <c r="X81" s="402"/>
    </row>
    <row r="82" spans="1:24" s="411" customFormat="1" ht="37" customHeight="1">
      <c r="A82" s="411" t="s">
        <v>2123</v>
      </c>
      <c r="B82" s="525"/>
      <c r="C82" s="525"/>
      <c r="D82" s="525"/>
      <c r="E82" s="525"/>
      <c r="F82" s="525"/>
      <c r="G82" s="524"/>
      <c r="H82" s="525"/>
      <c r="I82" s="525"/>
      <c r="J82" s="525"/>
      <c r="L82" s="425"/>
      <c r="M82" s="425"/>
      <c r="N82" s="425"/>
      <c r="O82" s="425"/>
      <c r="P82" s="425"/>
      <c r="Q82" s="425"/>
      <c r="R82" s="425"/>
      <c r="S82" s="425"/>
      <c r="T82" s="425"/>
      <c r="U82" s="425"/>
      <c r="V82" s="425"/>
      <c r="W82" s="425"/>
      <c r="X82" s="425"/>
    </row>
    <row r="83" spans="1:24" s="2" customFormat="1" ht="16">
      <c r="B83" s="536"/>
      <c r="C83" s="536"/>
      <c r="D83" s="536"/>
      <c r="E83" s="536"/>
      <c r="F83" s="536"/>
      <c r="G83" s="523"/>
      <c r="H83" s="536"/>
      <c r="I83" s="536"/>
      <c r="J83" s="536"/>
      <c r="L83" s="402"/>
      <c r="M83" s="402"/>
      <c r="N83" s="402"/>
      <c r="O83" s="402"/>
      <c r="P83" s="402"/>
      <c r="Q83" s="402"/>
      <c r="R83" s="402"/>
      <c r="S83" s="402"/>
      <c r="T83" s="402"/>
      <c r="U83" s="402"/>
      <c r="V83" s="402"/>
      <c r="W83" s="402"/>
      <c r="X83" s="402"/>
    </row>
    <row r="84" spans="1:24" s="2" customFormat="1" ht="16">
      <c r="B84" s="536"/>
      <c r="C84" s="536"/>
      <c r="D84" s="536"/>
      <c r="E84" s="536"/>
      <c r="F84" s="536"/>
      <c r="G84" s="523"/>
      <c r="H84" s="536"/>
      <c r="I84" s="536"/>
      <c r="J84" s="536"/>
      <c r="L84" s="402"/>
      <c r="M84" s="402"/>
      <c r="N84" s="402"/>
      <c r="O84" s="402"/>
      <c r="P84" s="402"/>
      <c r="Q84" s="402"/>
      <c r="R84" s="402"/>
      <c r="S84" s="402"/>
      <c r="T84" s="402"/>
      <c r="U84" s="402"/>
      <c r="V84" s="402"/>
      <c r="W84" s="402"/>
      <c r="X84" s="402"/>
    </row>
    <row r="85" spans="1:24" s="2" customFormat="1" ht="16">
      <c r="B85" s="536"/>
      <c r="C85" s="536"/>
      <c r="D85" s="536"/>
      <c r="E85" s="536"/>
      <c r="F85" s="536"/>
      <c r="G85" s="523"/>
      <c r="H85" s="536"/>
      <c r="I85" s="536"/>
      <c r="J85" s="536"/>
      <c r="L85" s="402"/>
      <c r="M85" s="402"/>
      <c r="N85" s="402"/>
      <c r="O85" s="402"/>
      <c r="P85" s="402"/>
      <c r="Q85" s="402"/>
      <c r="R85" s="402"/>
      <c r="S85" s="402"/>
      <c r="T85" s="402"/>
      <c r="U85" s="402"/>
      <c r="V85" s="402"/>
      <c r="W85" s="402"/>
      <c r="X85" s="402"/>
    </row>
    <row r="86" spans="1:24" s="2" customFormat="1" ht="16">
      <c r="B86" s="536"/>
      <c r="C86" s="536"/>
      <c r="D86" s="536"/>
      <c r="E86" s="536"/>
      <c r="F86" s="536"/>
      <c r="G86" s="523"/>
      <c r="H86" s="536"/>
      <c r="I86" s="536"/>
      <c r="J86" s="536"/>
      <c r="L86" s="402"/>
      <c r="M86" s="402"/>
      <c r="N86" s="402"/>
      <c r="O86" s="402"/>
      <c r="P86" s="402"/>
      <c r="Q86" s="402"/>
      <c r="R86" s="402"/>
      <c r="S86" s="402"/>
      <c r="T86" s="402"/>
      <c r="U86" s="402"/>
      <c r="V86" s="402"/>
      <c r="W86" s="402"/>
      <c r="X86" s="402"/>
    </row>
    <row r="87" spans="1:24" s="2" customFormat="1" ht="16">
      <c r="B87" s="536"/>
      <c r="C87" s="536"/>
      <c r="D87" s="536"/>
      <c r="E87" s="536"/>
      <c r="F87" s="536"/>
      <c r="G87" s="523"/>
      <c r="H87" s="536"/>
      <c r="I87" s="536"/>
      <c r="J87" s="536"/>
      <c r="L87" s="402"/>
      <c r="M87" s="402"/>
      <c r="N87" s="402"/>
      <c r="O87" s="402"/>
      <c r="P87" s="402"/>
      <c r="Q87" s="402"/>
      <c r="R87" s="402"/>
      <c r="S87" s="402"/>
      <c r="T87" s="402"/>
      <c r="U87" s="402"/>
      <c r="V87" s="402"/>
      <c r="W87" s="402"/>
      <c r="X87" s="402"/>
    </row>
    <row r="88" spans="1:24" s="2" customFormat="1" ht="16">
      <c r="B88" s="536"/>
      <c r="C88" s="536"/>
      <c r="D88" s="536"/>
      <c r="E88" s="536"/>
      <c r="F88" s="536"/>
      <c r="G88" s="523"/>
      <c r="H88" s="536"/>
      <c r="I88" s="536"/>
      <c r="J88" s="536"/>
      <c r="L88" s="402"/>
      <c r="M88" s="402"/>
      <c r="N88" s="402"/>
      <c r="O88" s="402"/>
      <c r="P88" s="402"/>
      <c r="Q88" s="402"/>
      <c r="R88" s="402"/>
      <c r="S88" s="402"/>
      <c r="T88" s="402"/>
      <c r="U88" s="402"/>
      <c r="V88" s="402"/>
      <c r="W88" s="402"/>
      <c r="X88" s="402"/>
    </row>
    <row r="89" spans="1:24" s="2" customFormat="1" ht="16">
      <c r="B89" s="536"/>
      <c r="C89" s="536"/>
      <c r="D89" s="536"/>
      <c r="E89" s="536"/>
      <c r="F89" s="536"/>
      <c r="G89" s="523"/>
      <c r="H89" s="536"/>
      <c r="I89" s="536"/>
      <c r="J89" s="536"/>
      <c r="L89" s="402"/>
      <c r="M89" s="402"/>
      <c r="N89" s="402"/>
      <c r="O89" s="402"/>
      <c r="P89" s="402"/>
      <c r="Q89" s="402"/>
      <c r="R89" s="402"/>
      <c r="S89" s="402"/>
      <c r="T89" s="402"/>
      <c r="U89" s="402"/>
      <c r="V89" s="402"/>
      <c r="W89" s="402"/>
      <c r="X89" s="402"/>
    </row>
    <row r="90" spans="1:24" s="2" customFormat="1" ht="16">
      <c r="B90" s="536"/>
      <c r="C90" s="536"/>
      <c r="D90" s="536"/>
      <c r="E90" s="536"/>
      <c r="F90" s="536"/>
      <c r="G90" s="523"/>
      <c r="H90" s="536"/>
      <c r="I90" s="536"/>
      <c r="J90" s="536"/>
      <c r="L90" s="402"/>
      <c r="M90" s="402"/>
      <c r="N90" s="402"/>
      <c r="O90" s="402"/>
      <c r="P90" s="402"/>
      <c r="Q90" s="402"/>
      <c r="R90" s="402"/>
      <c r="S90" s="402"/>
      <c r="T90" s="402"/>
      <c r="U90" s="402"/>
      <c r="V90" s="402"/>
      <c r="W90" s="402"/>
      <c r="X90" s="402"/>
    </row>
    <row r="91" spans="1:24" s="2" customFormat="1" ht="16">
      <c r="B91" s="536"/>
      <c r="C91" s="536"/>
      <c r="D91" s="536"/>
      <c r="E91" s="536"/>
      <c r="F91" s="536"/>
      <c r="G91" s="523"/>
      <c r="H91" s="536"/>
      <c r="I91" s="536"/>
      <c r="J91" s="536"/>
      <c r="L91" s="402"/>
      <c r="M91" s="402"/>
      <c r="N91" s="402"/>
      <c r="O91" s="402"/>
      <c r="P91" s="402"/>
      <c r="Q91" s="402"/>
      <c r="R91" s="402"/>
      <c r="S91" s="402"/>
      <c r="T91" s="402"/>
      <c r="U91" s="402"/>
      <c r="V91" s="402"/>
      <c r="W91" s="402"/>
      <c r="X91" s="402"/>
    </row>
    <row r="92" spans="1:24" s="2" customFormat="1" ht="16">
      <c r="B92" s="536"/>
      <c r="C92" s="536"/>
      <c r="D92" s="536"/>
      <c r="E92" s="536"/>
      <c r="F92" s="536"/>
      <c r="G92" s="523"/>
      <c r="H92" s="536"/>
      <c r="I92" s="536"/>
      <c r="J92" s="536"/>
      <c r="L92" s="402"/>
      <c r="M92" s="402"/>
      <c r="N92" s="402"/>
      <c r="O92" s="402"/>
      <c r="P92" s="402"/>
      <c r="Q92" s="402"/>
      <c r="R92" s="402"/>
      <c r="S92" s="402"/>
      <c r="T92" s="402"/>
      <c r="U92" s="402"/>
      <c r="V92" s="402"/>
      <c r="W92" s="402"/>
      <c r="X92" s="402"/>
    </row>
    <row r="93" spans="1:24" s="2" customFormat="1" ht="16">
      <c r="B93" s="536"/>
      <c r="C93" s="536"/>
      <c r="D93" s="536"/>
      <c r="E93" s="536"/>
      <c r="F93" s="536"/>
      <c r="G93" s="523"/>
      <c r="H93" s="536"/>
      <c r="I93" s="536"/>
      <c r="J93" s="536"/>
      <c r="L93" s="402"/>
      <c r="M93" s="402"/>
      <c r="N93" s="402"/>
      <c r="O93" s="402"/>
      <c r="P93" s="402"/>
      <c r="Q93" s="402"/>
      <c r="R93" s="402"/>
      <c r="S93" s="402"/>
      <c r="T93" s="402"/>
      <c r="U93" s="402"/>
      <c r="V93" s="402"/>
      <c r="W93" s="402"/>
      <c r="X93" s="402"/>
    </row>
    <row r="94" spans="1:24" s="2" customFormat="1" ht="16">
      <c r="B94" s="536"/>
      <c r="C94" s="536"/>
      <c r="D94" s="536"/>
      <c r="E94" s="536"/>
      <c r="F94" s="536"/>
      <c r="G94" s="523"/>
      <c r="H94" s="536"/>
      <c r="I94" s="536"/>
      <c r="J94" s="536"/>
      <c r="L94" s="402"/>
      <c r="M94" s="402"/>
      <c r="N94" s="402"/>
      <c r="O94" s="402"/>
      <c r="P94" s="402"/>
      <c r="Q94" s="402"/>
      <c r="R94" s="402"/>
      <c r="S94" s="402"/>
      <c r="T94" s="402"/>
      <c r="U94" s="402"/>
      <c r="V94" s="402"/>
      <c r="W94" s="402"/>
      <c r="X94" s="402"/>
    </row>
    <row r="95" spans="1:24" s="2" customFormat="1" ht="16">
      <c r="B95" s="536"/>
      <c r="C95" s="536"/>
      <c r="D95" s="536"/>
      <c r="E95" s="536"/>
      <c r="F95" s="536"/>
      <c r="G95" s="523"/>
      <c r="H95" s="536"/>
      <c r="I95" s="536"/>
      <c r="J95" s="536"/>
      <c r="L95" s="402"/>
      <c r="M95" s="402"/>
      <c r="N95" s="402"/>
      <c r="O95" s="402"/>
      <c r="P95" s="402"/>
      <c r="Q95" s="402"/>
      <c r="R95" s="402"/>
      <c r="S95" s="402"/>
      <c r="T95" s="402"/>
      <c r="U95" s="402"/>
      <c r="V95" s="402"/>
      <c r="W95" s="402"/>
      <c r="X95" s="402"/>
    </row>
    <row r="96" spans="1:24" s="2" customFormat="1" ht="16">
      <c r="B96" s="536"/>
      <c r="C96" s="536"/>
      <c r="D96" s="536"/>
      <c r="E96" s="536"/>
      <c r="F96" s="536"/>
      <c r="G96" s="523"/>
      <c r="H96" s="536"/>
      <c r="I96" s="536"/>
      <c r="J96" s="536"/>
      <c r="L96" s="402"/>
      <c r="M96" s="402"/>
      <c r="N96" s="402"/>
      <c r="O96" s="402"/>
      <c r="P96" s="402"/>
      <c r="Q96" s="402"/>
      <c r="R96" s="402"/>
      <c r="S96" s="402"/>
      <c r="T96" s="402"/>
      <c r="U96" s="402"/>
      <c r="V96" s="402"/>
      <c r="W96" s="402"/>
      <c r="X96" s="402"/>
    </row>
    <row r="97" spans="2:24" s="2" customFormat="1" ht="16">
      <c r="B97" s="536"/>
      <c r="C97" s="536"/>
      <c r="D97" s="536"/>
      <c r="E97" s="536"/>
      <c r="F97" s="536"/>
      <c r="G97" s="523"/>
      <c r="H97" s="536"/>
      <c r="I97" s="536"/>
      <c r="J97" s="536"/>
      <c r="L97" s="402"/>
      <c r="M97" s="402"/>
      <c r="N97" s="402"/>
      <c r="O97" s="402"/>
      <c r="P97" s="402"/>
      <c r="Q97" s="402"/>
      <c r="R97" s="402"/>
      <c r="S97" s="402"/>
      <c r="T97" s="402"/>
      <c r="U97" s="402"/>
      <c r="V97" s="402"/>
      <c r="W97" s="402"/>
      <c r="X97" s="402"/>
    </row>
    <row r="98" spans="2:24" s="2" customFormat="1" ht="16">
      <c r="B98" s="536"/>
      <c r="C98" s="536"/>
      <c r="D98" s="536"/>
      <c r="E98" s="536"/>
      <c r="F98" s="536"/>
      <c r="G98" s="523"/>
      <c r="H98" s="536"/>
      <c r="I98" s="536"/>
      <c r="J98" s="536"/>
      <c r="L98" s="402"/>
      <c r="M98" s="402"/>
      <c r="N98" s="402"/>
      <c r="O98" s="402"/>
      <c r="P98" s="402"/>
      <c r="Q98" s="402"/>
      <c r="R98" s="402"/>
      <c r="S98" s="402"/>
      <c r="T98" s="402"/>
      <c r="U98" s="402"/>
      <c r="V98" s="402"/>
      <c r="W98" s="402"/>
      <c r="X98" s="402"/>
    </row>
    <row r="99" spans="2:24" ht="16">
      <c r="D99" s="538"/>
      <c r="G99" s="523"/>
      <c r="J99" s="538"/>
    </row>
    <row r="100" spans="2:24" ht="16">
      <c r="D100" s="538"/>
      <c r="G100" s="523"/>
      <c r="J100" s="538"/>
    </row>
    <row r="101" spans="2:24" ht="16">
      <c r="D101" s="538"/>
      <c r="G101" s="523"/>
      <c r="J101" s="538"/>
    </row>
    <row r="102" spans="2:24" ht="16">
      <c r="D102" s="538"/>
      <c r="G102" s="523"/>
      <c r="J102" s="538"/>
    </row>
    <row r="103" spans="2:24" ht="16">
      <c r="D103" s="538"/>
      <c r="G103" s="523"/>
      <c r="J103" s="538"/>
    </row>
    <row r="104" spans="2:24" ht="16">
      <c r="D104" s="538"/>
      <c r="G104" s="523"/>
      <c r="J104" s="538"/>
    </row>
    <row r="105" spans="2:24" ht="16">
      <c r="D105" s="538"/>
      <c r="G105" s="523"/>
      <c r="J105" s="538"/>
    </row>
    <row r="106" spans="2:24" ht="16">
      <c r="D106" s="538"/>
      <c r="G106" s="523"/>
      <c r="J106" s="538"/>
    </row>
    <row r="107" spans="2:24" ht="16">
      <c r="D107" s="538"/>
      <c r="G107" s="523"/>
      <c r="J107" s="538"/>
    </row>
    <row r="108" spans="2:24" ht="16">
      <c r="D108" s="538"/>
      <c r="G108" s="523"/>
      <c r="J108" s="538"/>
    </row>
    <row r="109" spans="2:24" ht="16">
      <c r="D109" s="538"/>
      <c r="G109" s="523"/>
      <c r="J109" s="538"/>
    </row>
    <row r="110" spans="2:24" ht="16">
      <c r="D110" s="538"/>
      <c r="G110" s="523"/>
      <c r="J110" s="538"/>
    </row>
    <row r="111" spans="2:24" ht="16">
      <c r="D111" s="538"/>
      <c r="G111" s="523"/>
      <c r="J111" s="538"/>
    </row>
    <row r="112" spans="2:24" ht="16">
      <c r="D112" s="538"/>
      <c r="G112" s="523"/>
      <c r="J112" s="538"/>
    </row>
    <row r="113" spans="4:10" ht="16">
      <c r="D113" s="538"/>
      <c r="G113" s="523"/>
      <c r="J113" s="538"/>
    </row>
  </sheetData>
  <pageMargins left="0.25" right="0.25" top="0.75" bottom="0.75" header="0.3" footer="0.3"/>
  <pageSetup scale="58" fitToHeight="3" orientation="landscape"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10</vt:i4>
      </vt:variant>
    </vt:vector>
  </HeadingPairs>
  <TitlesOfParts>
    <vt:vector size="24" baseType="lpstr">
      <vt:lpstr>Metadata</vt:lpstr>
      <vt:lpstr>Table S1-Summary data</vt:lpstr>
      <vt:lpstr>Table S2-Morphology</vt:lpstr>
      <vt:lpstr>Table S3--Museum Allometry data</vt:lpstr>
      <vt:lpstr>Table S4-Carnivore Regressions</vt:lpstr>
      <vt:lpstr>Table S5- Isotopes</vt:lpstr>
      <vt:lpstr>Table S6-Enamel vs. collagen</vt:lpstr>
      <vt:lpstr>Table S7- statistical tests</vt:lpstr>
      <vt:lpstr>Table S8-isotope by molar</vt:lpstr>
      <vt:lpstr>Table S9-isotopevsenamel</vt:lpstr>
      <vt:lpstr>OTHER BS equations</vt:lpstr>
      <vt:lpstr>bison sheet</vt:lpstr>
      <vt:lpstr>notes isotopes (07.28.20)</vt:lpstr>
      <vt:lpstr>MixSIAR results</vt:lpstr>
      <vt:lpstr>'MixSIAR results'!Print_Area</vt:lpstr>
      <vt:lpstr>'Table S1-Summary data'!Print_Area</vt:lpstr>
      <vt:lpstr>'Table S2-Morphology'!Print_Area</vt:lpstr>
      <vt:lpstr>'Table S3--Museum Allometry data'!Print_Area</vt:lpstr>
      <vt:lpstr>'Table S4-Carnivore Regressions'!Print_Area</vt:lpstr>
      <vt:lpstr>'Table S5- Isotopes'!Print_Area</vt:lpstr>
      <vt:lpstr>'Table S6-Enamel vs. collagen'!Print_Area</vt:lpstr>
      <vt:lpstr>'Table S7- statistical tests'!Print_Area</vt:lpstr>
      <vt:lpstr>'Table S8-isotope by molar'!Print_Area</vt:lpstr>
      <vt:lpstr>'Table S9-isotopevsenamel'!Print_Area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 Smith</dc:creator>
  <cp:keywords/>
  <dc:description/>
  <cp:lastModifiedBy>FA Smith</cp:lastModifiedBy>
  <cp:revision/>
  <cp:lastPrinted>2022-03-24T20:22:51Z</cp:lastPrinted>
  <dcterms:created xsi:type="dcterms:W3CDTF">2020-07-07T18:35:29Z</dcterms:created>
  <dcterms:modified xsi:type="dcterms:W3CDTF">2022-05-21T00:22:22Z</dcterms:modified>
  <cp:category/>
  <cp:contentStatus/>
</cp:coreProperties>
</file>